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0d1084e2d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款式尺码促销表" sheetId="1" r:id="Rc46681e773444a4f"/>
    <x:sheet xmlns:r="http://schemas.openxmlformats.org/officeDocument/2006/relationships" name="SKU明细" sheetId="2" r:id="R82807b7d49f34abf"/>
    <x:sheet xmlns:r="http://schemas.openxmlformats.org/officeDocument/2006/relationships" name="统计与数据口径说明" sheetId="3" r:id="R11ffb070173245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[Red]-#,##0;0"/>
    <x:numFmt numFmtId="201" formatCode="0.0"/>
    <x:numFmt numFmtId="202" formatCode="0.00"/>
    <x:numFmt numFmtId="203" formatCode="0.0%;[Red]-0.0%;0.0%"/>
  </x:numFmts>
  <x:fonts count="5">
    <x:font>
      <x:sz val="11"/>
      <x:name val="Carlito"/>
    </x:font>
    <x:font>
      <x:sz val="10"/>
      <x:color rgb="FF193047"/>
      <x:name val="Arial"/>
    </x:font>
    <x:font>
      <x:b/>
      <x:sz val="15"/>
      <x:color rgb="FF193047"/>
      <x:name val="Arial"/>
    </x:font>
    <x:font>
      <x:b/>
      <x:sz val="10"/>
      <x:color rgb="FFFFFFFF"/>
      <x:name val="Arial"/>
    </x:font>
    <x:font>
      <x:b/>
      <x:sz val="10"/>
      <x:color rgb="FF1930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3F5C"/>
      </x:patternFill>
    </x:fill>
    <x:fill>
      <x:patternFill patternType="solid">
        <x:fgColor rgb="FFFFFFFF"/>
      </x:patternFill>
    </x:fill>
    <x:fill>
      <x:patternFill patternType="solid">
        <x:fgColor rgb="FFF0F5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/>
    </x:xf>
    <x:xf numFmtId="201" fontId="1" fillId="3" borderId="0" xfId="0" applyNumberFormat="1" applyFont="1" applyFill="1" applyBorder="1" applyAlignment="1">
      <x:alignment horizontal="center" vertical="center"/>
    </x:xf>
    <x:xf numFmtId="203" fontId="1" fillId="3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horizontal="center" vertical="center"/>
    </x:xf>
    <x:xf numFmtId="201" fontId="1" fillId="4" borderId="0" xfId="0" applyNumberFormat="1" applyFont="1" applyFill="1" applyBorder="1" applyAlignment="1">
      <x:alignment horizontal="center" vertical="center"/>
    </x:xf>
    <x:xf numFmtId="203" fontId="1" fillId="4" borderId="0" xfId="0" applyNumberFormat="1" applyFont="1" applyFill="1" applyBorder="1" applyAlignment="1">
      <x:alignment horizontal="center" vertical="center"/>
    </x:xf>
    <x:xf numFmtId="200" fontId="1" fillId="4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6">
    <x:dxf>
      <x:fill>
        <x:patternFill>
          <x:bgColor rgb="FFFFF1DD"/>
        </x:patternFill>
      </x:fill>
    </x:dxf>
    <x:dxf>
      <x:fill>
        <x:patternFill>
          <x:bgColor rgb="FFFDECEF"/>
        </x:patternFill>
      </x:fill>
    </x:dxf>
    <x:dxf>
      <x:fill>
        <x:patternFill>
          <x:bgColor rgb="FFF0E5F9"/>
        </x:patternFill>
      </x:fill>
    </x:dxf>
    <x:dxf>
      <x:fill>
        <x:patternFill>
          <x:bgColor rgb="FFDCECFF"/>
        </x:patternFill>
      </x:fill>
    </x:dxf>
    <x:dxf>
      <x:fill>
        <x:patternFill>
          <x:bgColor rgb="FFF1F3F5"/>
        </x:patternFill>
      </x:fill>
    </x:dxf>
    <x:dxf>
      <x:fill>
        <x:patternFill>
          <x:bgColor rgb="FFF1F3F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e3fefbb6e4bf8" /><Relationship Type="http://schemas.openxmlformats.org/officeDocument/2006/relationships/theme" Target="/xl/theme/theme1.xml" Id="Rdb5ed9d570e6449d" /><Relationship Type="http://schemas.openxmlformats.org/officeDocument/2006/relationships/sharedStrings" Target="/xl/sharedStrings.xml" Id="R6aa5765e6e244049" /><Relationship Type="http://schemas.openxmlformats.org/officeDocument/2006/relationships/worksheet" Target="/xl/worksheets/sheet1.xml" Id="Rc46681e773444a4f" /><Relationship Type="http://schemas.openxmlformats.org/officeDocument/2006/relationships/worksheet" Target="/xl/worksheets/sheet2.xml" Id="R82807b7d49f34abf" /><Relationship Type="http://schemas.openxmlformats.org/officeDocument/2006/relationships/worksheet" Target="/xl/worksheets/sheet3.xml" Id="R11ffb0701732458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0a885a2ff60b4178" /><Relationship Type="http://schemas.openxmlformats.org/officeDocument/2006/relationships/image" Target="/xl/media/image2.jpg" Id="Rb59aa32b48e34fb1" /><Relationship Type="http://schemas.openxmlformats.org/officeDocument/2006/relationships/image" Target="/xl/media/image3.jpg" Id="R98faf4c462e041db" /><Relationship Type="http://schemas.openxmlformats.org/officeDocument/2006/relationships/image" Target="/xl/media/image4.jpg" Id="R7ec82f174cd44579" /><Relationship Type="http://schemas.openxmlformats.org/officeDocument/2006/relationships/image" Target="/xl/media/image5.jpg" Id="Rb91da9377e4f4df4" /><Relationship Type="http://schemas.openxmlformats.org/officeDocument/2006/relationships/image" Target="/xl/media/image6.jpg" Id="R559d50ff571e49a5" /><Relationship Type="http://schemas.openxmlformats.org/officeDocument/2006/relationships/image" Target="/xl/media/image7.jpg" Id="Re21163334cf441cd" /><Relationship Type="http://schemas.openxmlformats.org/officeDocument/2006/relationships/image" Target="/xl/media/image8.jpg" Id="R2a2171d11370480f" /><Relationship Type="http://schemas.openxmlformats.org/officeDocument/2006/relationships/image" Target="/xl/media/image9.jpg" Id="R4c8e8a5c078d436b" /><Relationship Type="http://schemas.openxmlformats.org/officeDocument/2006/relationships/image" Target="/xl/media/image10.jpg" Id="R65ad5011dd804d36" /><Relationship Type="http://schemas.openxmlformats.org/officeDocument/2006/relationships/image" Target="/xl/media/image11.jpg" Id="Ra75f4e39d301456f" /><Relationship Type="http://schemas.openxmlformats.org/officeDocument/2006/relationships/image" Target="/xl/media/image12.jpg" Id="Rd826ada5ce0f4a49" /><Relationship Type="http://schemas.openxmlformats.org/officeDocument/2006/relationships/image" Target="/xl/media/image13.jpg" Id="Red2c8320434645a6" /><Relationship Type="http://schemas.openxmlformats.org/officeDocument/2006/relationships/image" Target="/xl/media/image14.jpg" Id="R3220b4932355423c" /><Relationship Type="http://schemas.openxmlformats.org/officeDocument/2006/relationships/image" Target="/xl/media/image15.jpg" Id="R74d293ef678f4a89" /><Relationship Type="http://schemas.openxmlformats.org/officeDocument/2006/relationships/image" Target="/xl/media/image16.jpg" Id="R3f0a4b0e5e0c4783" /><Relationship Type="http://schemas.openxmlformats.org/officeDocument/2006/relationships/image" Target="/xl/media/image17.jpg" Id="R6ceaf6184b57462e" /><Relationship Type="http://schemas.openxmlformats.org/officeDocument/2006/relationships/image" Target="/xl/media/image18.jpg" Id="Rbae9209758cd42ba" /><Relationship Type="http://schemas.openxmlformats.org/officeDocument/2006/relationships/image" Target="/xl/media/image19.jpg" Id="R71c72c2cc1a04613" /><Relationship Type="http://schemas.openxmlformats.org/officeDocument/2006/relationships/image" Target="/xl/media/image20.jpg" Id="R5916189d81804043" /><Relationship Type="http://schemas.openxmlformats.org/officeDocument/2006/relationships/image" Target="/xl/media/image21.jpg" Id="Re2dedc3afea640e4" /><Relationship Type="http://schemas.openxmlformats.org/officeDocument/2006/relationships/image" Target="/xl/media/image22.jpg" Id="R6917fa5875f745e8" /><Relationship Type="http://schemas.openxmlformats.org/officeDocument/2006/relationships/image" Target="/xl/media/image23.jpg" Id="Reccd9b6cf3e04571" /><Relationship Type="http://schemas.openxmlformats.org/officeDocument/2006/relationships/image" Target="/xl/media/image24.jpg" Id="R3d37a4298a6840c1" /><Relationship Type="http://schemas.openxmlformats.org/officeDocument/2006/relationships/image" Target="/xl/media/image25.jpg" Id="R89bcbe53b56a4c01" /><Relationship Type="http://schemas.openxmlformats.org/officeDocument/2006/relationships/image" Target="/xl/media/image26.jpg" Id="R08148dbfc1804c99" /><Relationship Type="http://schemas.openxmlformats.org/officeDocument/2006/relationships/image" Target="/xl/media/image27.jpg" Id="Rce4ac55e927040fc" /><Relationship Type="http://schemas.openxmlformats.org/officeDocument/2006/relationships/image" Target="/xl/media/image28.jpg" Id="Re553b3d58c3844d1" /><Relationship Type="http://schemas.openxmlformats.org/officeDocument/2006/relationships/image" Target="/xl/media/image29.jpg" Id="R1b49fb5738fe4669" /><Relationship Type="http://schemas.openxmlformats.org/officeDocument/2006/relationships/image" Target="/xl/media/image30.jpg" Id="R6b9316299d1b41db" /><Relationship Type="http://schemas.openxmlformats.org/officeDocument/2006/relationships/image" Target="/xl/media/image31.jpg" Id="R37221097c38d438c" /><Relationship Type="http://schemas.openxmlformats.org/officeDocument/2006/relationships/image" Target="/xl/media/image32.jpg" Id="R23b89e69b2774583" /><Relationship Type="http://schemas.openxmlformats.org/officeDocument/2006/relationships/image" Target="/xl/media/image33.jpg" Id="R663bc59fe10648d4" /><Relationship Type="http://schemas.openxmlformats.org/officeDocument/2006/relationships/image" Target="/xl/media/image34.jpg" Id="Rf7c12b7eb18440e8" /><Relationship Type="http://schemas.openxmlformats.org/officeDocument/2006/relationships/image" Target="/xl/media/image.png" Id="R19578a91f75b49ce" /><Relationship Type="http://schemas.openxmlformats.org/officeDocument/2006/relationships/image" Target="/xl/media/image2.png" Id="R74f8a80e63284a17" /><Relationship Type="http://schemas.openxmlformats.org/officeDocument/2006/relationships/image" Target="/xl/media/image3.png" Id="Re6b1e9fb43a245ce" /><Relationship Type="http://schemas.openxmlformats.org/officeDocument/2006/relationships/image" Target="/xl/media/image4.png" Id="Rfb46aba99b8c4d28" /><Relationship Type="http://schemas.openxmlformats.org/officeDocument/2006/relationships/image" Target="/xl/media/image5.png" Id="R08632ee770094519" /><Relationship Type="http://schemas.openxmlformats.org/officeDocument/2006/relationships/image" Target="/xl/media/image6.png" Id="R8572ecd4d0824c83" /><Relationship Type="http://schemas.openxmlformats.org/officeDocument/2006/relationships/image" Target="/xl/media/image7.png" Id="R9a9b76fcb070479b" /><Relationship Type="http://schemas.openxmlformats.org/officeDocument/2006/relationships/image" Target="/xl/media/image8.png" Id="R947ad35c2db049a2" /><Relationship Type="http://schemas.openxmlformats.org/officeDocument/2006/relationships/image" Target="/xl/media/image9.png" Id="R950da66305cc408e" /><Relationship Type="http://schemas.openxmlformats.org/officeDocument/2006/relationships/image" Target="/xl/media/image35.jpg" Id="Ra44a134b8eb94cae" /><Relationship Type="http://schemas.openxmlformats.org/officeDocument/2006/relationships/image" Target="/xl/media/image36.jpg" Id="R83e77cb449c84b44" /><Relationship Type="http://schemas.openxmlformats.org/officeDocument/2006/relationships/image" Target="/xl/media/image37.jpg" Id="R9f3789a7c5b54d3d" /><Relationship Type="http://schemas.openxmlformats.org/officeDocument/2006/relationships/image" Target="/xl/media/image38.jpg" Id="R9acaacd4d2314ec7" /><Relationship Type="http://schemas.openxmlformats.org/officeDocument/2006/relationships/image" Target="/xl/media/image39.jpg" Id="R4c89f1bccd2c4f1c" /><Relationship Type="http://schemas.openxmlformats.org/officeDocument/2006/relationships/image" Target="/xl/media/image40.jpg" Id="R11d14e186dd64d69" /><Relationship Type="http://schemas.openxmlformats.org/officeDocument/2006/relationships/image" Target="/xl/media/image41.jpg" Id="R543587ea20bf406a" /><Relationship Type="http://schemas.openxmlformats.org/officeDocument/2006/relationships/image" Target="/xl/media/image42.jpg" Id="Rd4c1980223f147b3" /><Relationship Type="http://schemas.openxmlformats.org/officeDocument/2006/relationships/image" Target="/xl/media/image43.jpg" Id="Ra195ccc289ae469d" /><Relationship Type="http://schemas.openxmlformats.org/officeDocument/2006/relationships/image" Target="/xl/media/image44.jpg" Id="Re87ee5fc6f08484b" /><Relationship Type="http://schemas.openxmlformats.org/officeDocument/2006/relationships/image" Target="/xl/media/image45.jpg" Id="R72469e4f22524d95" /><Relationship Type="http://schemas.openxmlformats.org/officeDocument/2006/relationships/image" Target="/xl/media/image46.jpg" Id="R609c5f2682d1449b" /><Relationship Type="http://schemas.openxmlformats.org/officeDocument/2006/relationships/image" Target="/xl/media/image47.jpg" Id="R6db6526585fc48b6" /><Relationship Type="http://schemas.openxmlformats.org/officeDocument/2006/relationships/image" Target="/xl/media/image48.jpg" Id="R5b6411cc4d97490c" /><Relationship Type="http://schemas.openxmlformats.org/officeDocument/2006/relationships/image" Target="/xl/media/image49.jpg" Id="R0ab45522289d4ef4" /><Relationship Type="http://schemas.openxmlformats.org/officeDocument/2006/relationships/image" Target="/xl/media/image50.jpg" Id="R87c52b10f8874b9e" /><Relationship Type="http://schemas.openxmlformats.org/officeDocument/2006/relationships/image" Target="/xl/media/image51.jpg" Id="Ra07483f225e34fd8" /><Relationship Type="http://schemas.openxmlformats.org/officeDocument/2006/relationships/image" Target="/xl/media/image52.jpg" Id="Re16f9adb5b8941a6" /><Relationship Type="http://schemas.openxmlformats.org/officeDocument/2006/relationships/image" Target="/xl/media/image53.jpg" Id="R0e6faa81030048d6" /><Relationship Type="http://schemas.openxmlformats.org/officeDocument/2006/relationships/image" Target="/xl/media/image54.jpg" Id="R8faab57adbfa4f6f" /><Relationship Type="http://schemas.openxmlformats.org/officeDocument/2006/relationships/image" Target="/xl/media/image55.jpg" Id="Rf999ab54042e4050" /><Relationship Type="http://schemas.openxmlformats.org/officeDocument/2006/relationships/image" Target="/xl/media/image56.jpg" Id="Raf34c48c49e74f41" /><Relationship Type="http://schemas.openxmlformats.org/officeDocument/2006/relationships/image" Target="/xl/media/image57.jpg" Id="Red415039ca2f4805" /><Relationship Type="http://schemas.openxmlformats.org/officeDocument/2006/relationships/image" Target="/xl/media/image58.jpg" Id="Red83540695ac4cbd" /><Relationship Type="http://schemas.openxmlformats.org/officeDocument/2006/relationships/image" Target="/xl/media/image59.jpg" Id="R1b16a9dab52f4c09" /><Relationship Type="http://schemas.openxmlformats.org/officeDocument/2006/relationships/image" Target="/xl/media/image60.jpg" Id="Rff59483d06f64d26" /><Relationship Type="http://schemas.openxmlformats.org/officeDocument/2006/relationships/image" Target="/xl/media/image61.jpg" Id="Rab974d9455fa4945" /><Relationship Type="http://schemas.openxmlformats.org/officeDocument/2006/relationships/image" Target="/xl/media/image62.jpg" Id="R8ebdaef9fea741f0" /><Relationship Type="http://schemas.openxmlformats.org/officeDocument/2006/relationships/image" Target="/xl/media/image63.jpg" Id="Rf21b4a2f707a4a24" /><Relationship Type="http://schemas.openxmlformats.org/officeDocument/2006/relationships/image" Target="/xl/media/image64.jpg" Id="Rcc475f0f136d4fc1" /><Relationship Type="http://schemas.openxmlformats.org/officeDocument/2006/relationships/image" Target="/xl/media/image65.jpg" Id="Ra8d6e33bdd4a46b1" /><Relationship Type="http://schemas.openxmlformats.org/officeDocument/2006/relationships/image" Target="/xl/media/image66.jpg" Id="Raf00fe854c45444a" /><Relationship Type="http://schemas.openxmlformats.org/officeDocument/2006/relationships/image" Target="/xl/media/image67.jpg" Id="R36d5524c9b484d64" /><Relationship Type="http://schemas.openxmlformats.org/officeDocument/2006/relationships/image" Target="/xl/media/image68.jpg" Id="R96878de55f1e4fd9" /><Relationship Type="http://schemas.openxmlformats.org/officeDocument/2006/relationships/image" Target="/xl/media/image69.jpg" Id="R4ec882b09caa4265" /><Relationship Type="http://schemas.openxmlformats.org/officeDocument/2006/relationships/image" Target="/xl/media/image70.jpg" Id="Rc39e90cda8274faf" /><Relationship Type="http://schemas.openxmlformats.org/officeDocument/2006/relationships/image" Target="/xl/media/image71.jpg" Id="R4f4d4e8df6c447fe" /><Relationship Type="http://schemas.openxmlformats.org/officeDocument/2006/relationships/image" Target="/xl/media/image72.jpg" Id="R1b13255a7e334d47" /><Relationship Type="http://schemas.openxmlformats.org/officeDocument/2006/relationships/image" Target="/xl/media/image73.jpg" Id="R0fa35cd0b9a84519" /><Relationship Type="http://schemas.openxmlformats.org/officeDocument/2006/relationships/image" Target="/xl/media/image74.jpg" Id="R962596bd2f3b4316" /><Relationship Type="http://schemas.openxmlformats.org/officeDocument/2006/relationships/image" Target="/xl/media/image75.jpg" Id="R880dba3163e74fee" /><Relationship Type="http://schemas.openxmlformats.org/officeDocument/2006/relationships/image" Target="/xl/media/image76.jpg" Id="R820dbfc73ee64582" /><Relationship Type="http://schemas.openxmlformats.org/officeDocument/2006/relationships/image" Target="/xl/media/image77.jpg" Id="Rdf0c5d5d24f04481" /><Relationship Type="http://schemas.openxmlformats.org/officeDocument/2006/relationships/image" Target="/xl/media/image78.jpg" Id="R1e34af8cd5ff4f7d" /><Relationship Type="http://schemas.openxmlformats.org/officeDocument/2006/relationships/image" Target="/xl/media/image79.jpg" Id="Rdfdc6e2ab69d4f10" /><Relationship Type="http://schemas.openxmlformats.org/officeDocument/2006/relationships/image" Target="/xl/media/image80.jpg" Id="R65748e3df50741de" /><Relationship Type="http://schemas.openxmlformats.org/officeDocument/2006/relationships/image" Target="/xl/media/image81.jpg" Id="R9dfec726269b4cc5" /><Relationship Type="http://schemas.openxmlformats.org/officeDocument/2006/relationships/image" Target="/xl/media/image82.jpg" Id="Rbf13775ce45c435a" /><Relationship Type="http://schemas.openxmlformats.org/officeDocument/2006/relationships/image" Target="/xl/media/image83.jpg" Id="R1683c5ae563d487c" /><Relationship Type="http://schemas.openxmlformats.org/officeDocument/2006/relationships/image" Target="/xl/media/image84.jpg" Id="R30ed43734ae045a7" /><Relationship Type="http://schemas.openxmlformats.org/officeDocument/2006/relationships/image" Target="/xl/media/image85.jpg" Id="Re489c591578b463c" /><Relationship Type="http://schemas.openxmlformats.org/officeDocument/2006/relationships/image" Target="/xl/media/image86.jpg" Id="R42fea119dc954eef" /><Relationship Type="http://schemas.openxmlformats.org/officeDocument/2006/relationships/image" Target="/xl/media/image87.jpg" Id="R7bacac31de6e4ef0" /><Relationship Type="http://schemas.openxmlformats.org/officeDocument/2006/relationships/image" Target="/xl/media/image88.jpg" Id="R61d7bb6cea29439d" /><Relationship Type="http://schemas.openxmlformats.org/officeDocument/2006/relationships/image" Target="/xl/media/image89.jpg" Id="R7ce6a084bd764010" /><Relationship Type="http://schemas.openxmlformats.org/officeDocument/2006/relationships/image" Target="/xl/media/image90.jpg" Id="R9f6f3656bf514734" /><Relationship Type="http://schemas.openxmlformats.org/officeDocument/2006/relationships/image" Target="/xl/media/image91.jpg" Id="R863c5396e43845ad" /><Relationship Type="http://schemas.openxmlformats.org/officeDocument/2006/relationships/image" Target="/xl/media/image92.jpg" Id="Ref97d60947634bed" /><Relationship Type="http://schemas.openxmlformats.org/officeDocument/2006/relationships/image" Target="/xl/media/image93.jpg" Id="Rf4f2df5b747d4a30" /><Relationship Type="http://schemas.openxmlformats.org/officeDocument/2006/relationships/image" Target="/xl/media/image94.jpg" Id="R5c4309e2f2cf42bf" /><Relationship Type="http://schemas.openxmlformats.org/officeDocument/2006/relationships/image" Target="/xl/media/image95.jpg" Id="R017e1b1879b343cb" /><Relationship Type="http://schemas.openxmlformats.org/officeDocument/2006/relationships/image" Target="/xl/media/image96.jpg" Id="Rc2c9e7f2c7984ab9" /><Relationship Type="http://schemas.openxmlformats.org/officeDocument/2006/relationships/image" Target="/xl/media/image97.jpg" Id="R52b9c60af72c4f2a" /><Relationship Type="http://schemas.openxmlformats.org/officeDocument/2006/relationships/image" Target="/xl/media/image98.jpg" Id="R5c316cda325d41c3" /><Relationship Type="http://schemas.openxmlformats.org/officeDocument/2006/relationships/image" Target="/xl/media/image99.jpg" Id="R56b85f15e8024089" /><Relationship Type="http://schemas.openxmlformats.org/officeDocument/2006/relationships/image" Target="/xl/media/image100.jpg" Id="R296d955b704a4cf4" /><Relationship Type="http://schemas.openxmlformats.org/officeDocument/2006/relationships/image" Target="/xl/media/image101.jpg" Id="R418ef5f8ffcf46bc" /><Relationship Type="http://schemas.openxmlformats.org/officeDocument/2006/relationships/image" Target="/xl/media/image102.jpg" Id="Rffd1c7d649a74ec9" /><Relationship Type="http://schemas.openxmlformats.org/officeDocument/2006/relationships/image" Target="/xl/media/image103.jpg" Id="Ra45b1ba1a902402d" /><Relationship Type="http://schemas.openxmlformats.org/officeDocument/2006/relationships/image" Target="/xl/media/image104.jpg" Id="Rcac54d6cdb48400f" /><Relationship Type="http://schemas.openxmlformats.org/officeDocument/2006/relationships/image" Target="/xl/media/image105.jpg" Id="R1e23fa7bd5d04de8" /><Relationship Type="http://schemas.openxmlformats.org/officeDocument/2006/relationships/image" Target="/xl/media/image106.jpg" Id="R9574ca8d56ad4233" /><Relationship Type="http://schemas.openxmlformats.org/officeDocument/2006/relationships/image" Target="/xl/media/image107.jpg" Id="Re7450d791f744187" /><Relationship Type="http://schemas.openxmlformats.org/officeDocument/2006/relationships/image" Target="/xl/media/image108.jpg" Id="Rfa715e619b5a4237" /><Relationship Type="http://schemas.openxmlformats.org/officeDocument/2006/relationships/image" Target="/xl/media/image109.jpg" Id="R8618b1ba684c462e" /><Relationship Type="http://schemas.openxmlformats.org/officeDocument/2006/relationships/image" Target="/xl/media/image110.jpg" Id="Re9e2fc6dee794782" /><Relationship Type="http://schemas.openxmlformats.org/officeDocument/2006/relationships/image" Target="/xl/media/image111.jpg" Id="R988d094d800d4f98" /><Relationship Type="http://schemas.openxmlformats.org/officeDocument/2006/relationships/image" Target="/xl/media/image112.jpg" Id="R480d59b6d4b5427a" /><Relationship Type="http://schemas.openxmlformats.org/officeDocument/2006/relationships/image" Target="/xl/media/image113.jpg" Id="R7e2fe65e1ba8413f" /><Relationship Type="http://schemas.openxmlformats.org/officeDocument/2006/relationships/image" Target="/xl/media/image114.jpg" Id="R51fdb4ae13f64fda" /><Relationship Type="http://schemas.openxmlformats.org/officeDocument/2006/relationships/image" Target="/xl/media/image115.jpg" Id="R0ef0a6928f28447f" /><Relationship Type="http://schemas.openxmlformats.org/officeDocument/2006/relationships/image" Target="/xl/media/image116.jpg" Id="Rb16b2e1db8d54cc7" /><Relationship Type="http://schemas.openxmlformats.org/officeDocument/2006/relationships/image" Target="/xl/media/image117.jpg" Id="R8e6fcdcf6dbc47cf" /><Relationship Type="http://schemas.openxmlformats.org/officeDocument/2006/relationships/image" Target="/xl/media/image118.jpg" Id="R038a054ac47e4c6e" /><Relationship Type="http://schemas.openxmlformats.org/officeDocument/2006/relationships/image" Target="/xl/media/image119.jpg" Id="R43a5eead32ec4622" /><Relationship Type="http://schemas.openxmlformats.org/officeDocument/2006/relationships/image" Target="/xl/media/image120.jpg" Id="R2b2fa71049214b28" /><Relationship Type="http://schemas.openxmlformats.org/officeDocument/2006/relationships/image" Target="/xl/media/image121.jpg" Id="R5b84495ea9674acf" /><Relationship Type="http://schemas.openxmlformats.org/officeDocument/2006/relationships/image" Target="/xl/media/image122.jpg" Id="R10f02b5cb20a4c62" /><Relationship Type="http://schemas.openxmlformats.org/officeDocument/2006/relationships/image" Target="/xl/media/image123.jpg" Id="R1687d5b18693400a" /><Relationship Type="http://schemas.openxmlformats.org/officeDocument/2006/relationships/image" Target="/xl/media/image124.jpg" Id="Rcd6b184f0ad24284" /><Relationship Type="http://schemas.openxmlformats.org/officeDocument/2006/relationships/image" Target="/xl/media/image125.jpg" Id="R0e87cee927f3419b" /><Relationship Type="http://schemas.openxmlformats.org/officeDocument/2006/relationships/image" Target="/xl/media/image126.jpg" Id="Re393acfe858a4d09" /><Relationship Type="http://schemas.openxmlformats.org/officeDocument/2006/relationships/image" Target="/xl/media/image127.jpg" Id="R0d467bd93f634993" /><Relationship Type="http://schemas.openxmlformats.org/officeDocument/2006/relationships/image" Target="/xl/media/image128.jpg" Id="Rfe2e893e178f4fc7" /><Relationship Type="http://schemas.openxmlformats.org/officeDocument/2006/relationships/image" Target="/xl/media/image129.jpg" Id="Rfd15cd9e98194886" /><Relationship Type="http://schemas.openxmlformats.org/officeDocument/2006/relationships/image" Target="/xl/media/image130.jpg" Id="Rad49d5babd86400e" /><Relationship Type="http://schemas.openxmlformats.org/officeDocument/2006/relationships/image" Target="/xl/media/image131.jpg" Id="Rd861ae286f684e7b" /><Relationship Type="http://schemas.openxmlformats.org/officeDocument/2006/relationships/image" Target="/xl/media/image132.jpg" Id="R1a6a39899d8b4039" /><Relationship Type="http://schemas.openxmlformats.org/officeDocument/2006/relationships/image" Target="/xl/media/image133.jpg" Id="R1d445e7d05994f43" /><Relationship Type="http://schemas.openxmlformats.org/officeDocument/2006/relationships/image" Target="/xl/media/image134.jpg" Id="R9bb5584be4f64de3" /><Relationship Type="http://schemas.openxmlformats.org/officeDocument/2006/relationships/image" Target="/xl/media/image135.jpg" Id="R1c64c18849af47a1" /><Relationship Type="http://schemas.openxmlformats.org/officeDocument/2006/relationships/image" Target="/xl/media/image136.jpg" Id="R91f1ab6a4bc94d57" /><Relationship Type="http://schemas.openxmlformats.org/officeDocument/2006/relationships/image" Target="/xl/media/image137.jpg" Id="R48456f27309c448d" /><Relationship Type="http://schemas.openxmlformats.org/officeDocument/2006/relationships/image" Target="/xl/media/image138.jpg" Id="R2cd9bbee42774109" /><Relationship Type="http://schemas.openxmlformats.org/officeDocument/2006/relationships/image" Target="/xl/media/image139.jpg" Id="R1d0a500bd0a14fca" /><Relationship Type="http://schemas.openxmlformats.org/officeDocument/2006/relationships/image" Target="/xl/media/image140.jpg" Id="R215c789690524709" /><Relationship Type="http://schemas.openxmlformats.org/officeDocument/2006/relationships/image" Target="/xl/media/image141.jpg" Id="Rebf20cd5501b4574" /><Relationship Type="http://schemas.openxmlformats.org/officeDocument/2006/relationships/image" Target="/xl/media/image142.jpg" Id="R3d4307b9a7ac4ee9" /><Relationship Type="http://schemas.openxmlformats.org/officeDocument/2006/relationships/image" Target="/xl/media/image143.jpg" Id="R465d21723a614f43" /><Relationship Type="http://schemas.openxmlformats.org/officeDocument/2006/relationships/image" Target="/xl/media/image144.jpg" Id="R28e53481fa6b4d97" /><Relationship Type="http://schemas.openxmlformats.org/officeDocument/2006/relationships/image" Target="/xl/media/image145.jpg" Id="R7b0c3f851d234b33" /><Relationship Type="http://schemas.openxmlformats.org/officeDocument/2006/relationships/image" Target="/xl/media/image146.jpg" Id="R64859e20f8ce4cdf" /><Relationship Type="http://schemas.openxmlformats.org/officeDocument/2006/relationships/image" Target="/xl/media/image147.jpg" Id="R6d04dcb4750b4707" /><Relationship Type="http://schemas.openxmlformats.org/officeDocument/2006/relationships/image" Target="/xl/media/image148.jpg" Id="Rb6fc6bf71cf045b5" /><Relationship Type="http://schemas.openxmlformats.org/officeDocument/2006/relationships/image" Target="/xl/media/image149.jpg" Id="Re733c53874c04cd7" /><Relationship Type="http://schemas.openxmlformats.org/officeDocument/2006/relationships/image" Target="/xl/media/image150.jpg" Id="R0690dce079d748ce" /><Relationship Type="http://schemas.openxmlformats.org/officeDocument/2006/relationships/image" Target="/xl/media/image151.jpg" Id="Rb381d6fcc8e34f55" /><Relationship Type="http://schemas.openxmlformats.org/officeDocument/2006/relationships/image" Target="/xl/media/image152.jpg" Id="R5096d9aac42246c1" /><Relationship Type="http://schemas.openxmlformats.org/officeDocument/2006/relationships/image" Target="/xl/media/image153.jpg" Id="R3541a56cdb424c80" /><Relationship Type="http://schemas.openxmlformats.org/officeDocument/2006/relationships/image" Target="/xl/media/image154.jpg" Id="Rb104ed9d7d6a4c43" /><Relationship Type="http://schemas.openxmlformats.org/officeDocument/2006/relationships/image" Target="/xl/media/image155.jpg" Id="Reb2e082a8bef4ab7" /><Relationship Type="http://schemas.openxmlformats.org/officeDocument/2006/relationships/image" Target="/xl/media/image156.jpg" Id="R8ff186a1b6d74bf3" /><Relationship Type="http://schemas.openxmlformats.org/officeDocument/2006/relationships/image" Target="/xl/media/image157.jpg" Id="R2d3c344916454bbd" /><Relationship Type="http://schemas.openxmlformats.org/officeDocument/2006/relationships/image" Target="/xl/media/image158.jpg" Id="R9db7cc2af34c41fc" /><Relationship Type="http://schemas.openxmlformats.org/officeDocument/2006/relationships/image" Target="/xl/media/image159.jpg" Id="R56208f1aed05463c" /><Relationship Type="http://schemas.openxmlformats.org/officeDocument/2006/relationships/image" Target="/xl/media/image160.jpg" Id="R43b1b86847d24b17" /><Relationship Type="http://schemas.openxmlformats.org/officeDocument/2006/relationships/image" Target="/xl/media/image161.jpg" Id="R49f0b94fc27f4889" /><Relationship Type="http://schemas.openxmlformats.org/officeDocument/2006/relationships/image" Target="/xl/media/image162.jpg" Id="R5dd737f83e7a43ee" /><Relationship Type="http://schemas.openxmlformats.org/officeDocument/2006/relationships/image" Target="/xl/media/image163.jpg" Id="R6b2274ad19204fec" /><Relationship Type="http://schemas.openxmlformats.org/officeDocument/2006/relationships/image" Target="/xl/media/image164.jpg" Id="R6ea2337a5c3f4dc7" /><Relationship Type="http://schemas.openxmlformats.org/officeDocument/2006/relationships/image" Target="/xl/media/image165.jpg" Id="R99c074d752814fde" /><Relationship Type="http://schemas.openxmlformats.org/officeDocument/2006/relationships/image" Target="/xl/media/image166.jpg" Id="R8316770f225d45ad" /><Relationship Type="http://schemas.openxmlformats.org/officeDocument/2006/relationships/image" Target="/xl/media/image167.jpg" Id="Ra0583c1d6e3b4542" /><Relationship Type="http://schemas.openxmlformats.org/officeDocument/2006/relationships/image" Target="/xl/media/image168.jpg" Id="R1a5da905d93f403e" /><Relationship Type="http://schemas.openxmlformats.org/officeDocument/2006/relationships/image" Target="/xl/media/image169.jpg" Id="R86bb9004963b4326" /><Relationship Type="http://schemas.openxmlformats.org/officeDocument/2006/relationships/image" Target="/xl/media/image170.jpg" Id="Re93b65b1662e4c99" /><Relationship Type="http://schemas.openxmlformats.org/officeDocument/2006/relationships/image" Target="/xl/media/image171.jpg" Id="Rd0abe6d801e5453a" /><Relationship Type="http://schemas.openxmlformats.org/officeDocument/2006/relationships/image" Target="/xl/media/image172.jpg" Id="R824740a7e8da4654" /><Relationship Type="http://schemas.openxmlformats.org/officeDocument/2006/relationships/image" Target="/xl/media/image173.jpg" Id="R346b9d1d13994da8" /><Relationship Type="http://schemas.openxmlformats.org/officeDocument/2006/relationships/image" Target="/xl/media/image174.jpg" Id="R1086c2ac229d4fa1" /><Relationship Type="http://schemas.openxmlformats.org/officeDocument/2006/relationships/image" Target="/xl/media/image175.jpg" Id="R8389d6e748824f30" /><Relationship Type="http://schemas.openxmlformats.org/officeDocument/2006/relationships/image" Target="/xl/media/image176.jpg" Id="Rbfc727dd3f9248de" /><Relationship Type="http://schemas.openxmlformats.org/officeDocument/2006/relationships/image" Target="/xl/media/image177.jpg" Id="Rddc0560ed9aa4b80" /></Relationships>
</file>

<file path=xl/drawings/drawing1.xml><?xml version="1.0" encoding="utf-8"?>
<xdr:wsDr xmlns:xdr="http://schemas.openxmlformats.org/drawingml/2006/spreadsheetDrawing">
  <xdr:oneCellAnchor>
    <xdr:from>
      <xdr:col>5</xdr:col>
      <xdr:colOff>38100</xdr:colOff>
      <xdr:row>8</xdr:row>
      <xdr:rowOff>28575</xdr:rowOff>
    </xdr:from>
    <xdr:ext cx="619125" cy="552450"/>
    <xdr:pic>
      <xdr:nvPicPr>
        <xdr:cNvPr id="1" name="/xl/media/image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a885a2ff60b417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9</xdr:row>
      <xdr:rowOff>28575</xdr:rowOff>
    </xdr:from>
    <xdr:ext cx="619125" cy="552450"/>
    <xdr:pic>
      <xdr:nvPicPr>
        <xdr:cNvPr id="2" name="/xl/media/image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9aa32b48e34fb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10</xdr:row>
      <xdr:rowOff>28575</xdr:rowOff>
    </xdr:from>
    <xdr:ext cx="619125" cy="552450"/>
    <xdr:pic>
      <xdr:nvPicPr>
        <xdr:cNvPr id="3" name="/xl/media/image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faf4c462e041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11</xdr:row>
      <xdr:rowOff>28575</xdr:rowOff>
    </xdr:from>
    <xdr:ext cx="619125" cy="552450"/>
    <xdr:pic>
      <xdr:nvPicPr>
        <xdr:cNvPr id="4" name="/xl/media/image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ec82f174cd4457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12</xdr:row>
      <xdr:rowOff>28575</xdr:rowOff>
    </xdr:from>
    <xdr:ext cx="619125" cy="552450"/>
    <xdr:pic>
      <xdr:nvPicPr>
        <xdr:cNvPr id="5" name="/xl/media/image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91da9377e4f4df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13</xdr:row>
      <xdr:rowOff>28575</xdr:rowOff>
    </xdr:from>
    <xdr:ext cx="619125" cy="552450"/>
    <xdr:pic>
      <xdr:nvPicPr>
        <xdr:cNvPr id="6" name="/xl/media/image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59d50ff571e49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14</xdr:row>
      <xdr:rowOff>28575</xdr:rowOff>
    </xdr:from>
    <xdr:ext cx="619125" cy="552450"/>
    <xdr:pic>
      <xdr:nvPicPr>
        <xdr:cNvPr id="7" name="/xl/media/image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1163334cf441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15</xdr:row>
      <xdr:rowOff>28575</xdr:rowOff>
    </xdr:from>
    <xdr:ext cx="619125" cy="552450"/>
    <xdr:pic>
      <xdr:nvPicPr>
        <xdr:cNvPr id="8" name="/xl/media/image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a2171d11370480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16</xdr:row>
      <xdr:rowOff>28575</xdr:rowOff>
    </xdr:from>
    <xdr:ext cx="619125" cy="552450"/>
    <xdr:pic>
      <xdr:nvPicPr>
        <xdr:cNvPr id="9" name="/xl/media/image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c8e8a5c078d436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17</xdr:row>
      <xdr:rowOff>28575</xdr:rowOff>
    </xdr:from>
    <xdr:ext cx="619125" cy="552450"/>
    <xdr:pic>
      <xdr:nvPicPr>
        <xdr:cNvPr id="10" name="/xl/media/image1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5ad5011dd804d3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18</xdr:row>
      <xdr:rowOff>28575</xdr:rowOff>
    </xdr:from>
    <xdr:ext cx="619125" cy="552450"/>
    <xdr:pic>
      <xdr:nvPicPr>
        <xdr:cNvPr id="11" name="/xl/media/image1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75f4e39d301456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19</xdr:row>
      <xdr:rowOff>28575</xdr:rowOff>
    </xdr:from>
    <xdr:ext cx="619125" cy="552450"/>
    <xdr:pic>
      <xdr:nvPicPr>
        <xdr:cNvPr id="12" name="/xl/media/image1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826ada5ce0f4a4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20</xdr:row>
      <xdr:rowOff>28575</xdr:rowOff>
    </xdr:from>
    <xdr:ext cx="619125" cy="552450"/>
    <xdr:pic>
      <xdr:nvPicPr>
        <xdr:cNvPr id="13" name="/xl/media/image1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d2c8320434645a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21</xdr:row>
      <xdr:rowOff>28575</xdr:rowOff>
    </xdr:from>
    <xdr:ext cx="619125" cy="552450"/>
    <xdr:pic>
      <xdr:nvPicPr>
        <xdr:cNvPr id="14" name="/xl/media/image1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220b4932355423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22</xdr:row>
      <xdr:rowOff>28575</xdr:rowOff>
    </xdr:from>
    <xdr:ext cx="619125" cy="552450"/>
    <xdr:pic>
      <xdr:nvPicPr>
        <xdr:cNvPr id="15" name="/xl/media/image1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4d293ef678f4a8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23</xdr:row>
      <xdr:rowOff>28575</xdr:rowOff>
    </xdr:from>
    <xdr:ext cx="619125" cy="552450"/>
    <xdr:pic>
      <xdr:nvPicPr>
        <xdr:cNvPr id="16" name="/xl/media/image1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f0a4b0e5e0c478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24</xdr:row>
      <xdr:rowOff>28575</xdr:rowOff>
    </xdr:from>
    <xdr:ext cx="619125" cy="552450"/>
    <xdr:pic>
      <xdr:nvPicPr>
        <xdr:cNvPr id="17" name="/xl/media/image1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ceaf6184b57462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25</xdr:row>
      <xdr:rowOff>28575</xdr:rowOff>
    </xdr:from>
    <xdr:ext cx="619125" cy="552450"/>
    <xdr:pic>
      <xdr:nvPicPr>
        <xdr:cNvPr id="18" name="/xl/media/image1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ae9209758cd42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26</xdr:row>
      <xdr:rowOff>28575</xdr:rowOff>
    </xdr:from>
    <xdr:ext cx="619125" cy="552450"/>
    <xdr:pic>
      <xdr:nvPicPr>
        <xdr:cNvPr id="19" name="/xl/media/image1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1c72c2cc1a0461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27</xdr:row>
      <xdr:rowOff>28575</xdr:rowOff>
    </xdr:from>
    <xdr:ext cx="619125" cy="552450"/>
    <xdr:pic>
      <xdr:nvPicPr>
        <xdr:cNvPr id="20" name="/xl/media/image2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916189d8180404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28</xdr:row>
      <xdr:rowOff>28575</xdr:rowOff>
    </xdr:from>
    <xdr:ext cx="619125" cy="552450"/>
    <xdr:pic>
      <xdr:nvPicPr>
        <xdr:cNvPr id="21" name="/xl/media/image2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dedc3afea640e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29</xdr:row>
      <xdr:rowOff>28575</xdr:rowOff>
    </xdr:from>
    <xdr:ext cx="619125" cy="552450"/>
    <xdr:pic>
      <xdr:nvPicPr>
        <xdr:cNvPr id="22" name="/xl/media/image2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917fa5875f745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30</xdr:row>
      <xdr:rowOff>28575</xdr:rowOff>
    </xdr:from>
    <xdr:ext cx="619125" cy="552450"/>
    <xdr:pic>
      <xdr:nvPicPr>
        <xdr:cNvPr id="23" name="/xl/media/image2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ccd9b6cf3e0457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31</xdr:row>
      <xdr:rowOff>28575</xdr:rowOff>
    </xdr:from>
    <xdr:ext cx="619125" cy="552450"/>
    <xdr:pic>
      <xdr:nvPicPr>
        <xdr:cNvPr id="24" name="/xl/media/image2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d37a4298a6840c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32</xdr:row>
      <xdr:rowOff>28575</xdr:rowOff>
    </xdr:from>
    <xdr:ext cx="619125" cy="552450"/>
    <xdr:pic>
      <xdr:nvPicPr>
        <xdr:cNvPr id="25" name="/xl/media/image2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bcbe53b56a4c0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33</xdr:row>
      <xdr:rowOff>28575</xdr:rowOff>
    </xdr:from>
    <xdr:ext cx="619125" cy="552450"/>
    <xdr:pic>
      <xdr:nvPicPr>
        <xdr:cNvPr id="26" name="/xl/media/image2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148dbfc1804c9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34</xdr:row>
      <xdr:rowOff>28575</xdr:rowOff>
    </xdr:from>
    <xdr:ext cx="619125" cy="552450"/>
    <xdr:pic>
      <xdr:nvPicPr>
        <xdr:cNvPr id="27" name="/xl/media/image2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e4ac55e927040f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35</xdr:row>
      <xdr:rowOff>28575</xdr:rowOff>
    </xdr:from>
    <xdr:ext cx="619125" cy="552450"/>
    <xdr:pic>
      <xdr:nvPicPr>
        <xdr:cNvPr id="28" name="/xl/media/image2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553b3d58c3844d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36</xdr:row>
      <xdr:rowOff>28575</xdr:rowOff>
    </xdr:from>
    <xdr:ext cx="619125" cy="552450"/>
    <xdr:pic>
      <xdr:nvPicPr>
        <xdr:cNvPr id="29" name="/xl/media/image2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49fb5738fe466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37</xdr:row>
      <xdr:rowOff>28575</xdr:rowOff>
    </xdr:from>
    <xdr:ext cx="619125" cy="552450"/>
    <xdr:pic>
      <xdr:nvPicPr>
        <xdr:cNvPr id="30" name="/xl/media/image3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9316299d1b41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38</xdr:row>
      <xdr:rowOff>28575</xdr:rowOff>
    </xdr:from>
    <xdr:ext cx="619125" cy="552450"/>
    <xdr:pic>
      <xdr:nvPicPr>
        <xdr:cNvPr id="31" name="/xl/media/image3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7221097c38d438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39</xdr:row>
      <xdr:rowOff>28575</xdr:rowOff>
    </xdr:from>
    <xdr:ext cx="619125" cy="552450"/>
    <xdr:pic>
      <xdr:nvPicPr>
        <xdr:cNvPr id="32" name="/xl/media/image3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3b89e69b277458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40</xdr:row>
      <xdr:rowOff>28575</xdr:rowOff>
    </xdr:from>
    <xdr:ext cx="619125" cy="552450"/>
    <xdr:pic>
      <xdr:nvPicPr>
        <xdr:cNvPr id="33" name="/xl/media/image3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63bc59fe10648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41</xdr:row>
      <xdr:rowOff>28575</xdr:rowOff>
    </xdr:from>
    <xdr:ext cx="619125" cy="552450"/>
    <xdr:pic>
      <xdr:nvPicPr>
        <xdr:cNvPr id="34" name="/xl/media/image3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7c12b7eb18440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42</xdr:row>
      <xdr:rowOff>28575</xdr:rowOff>
    </xdr:from>
    <xdr:ext cx="619125" cy="552450"/>
    <xdr:pic>
      <xdr:nvPicPr>
        <xdr:cNvPr id="35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9578a91f75b49c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43</xdr:row>
      <xdr:rowOff>28575</xdr:rowOff>
    </xdr:from>
    <xdr:ext cx="619125" cy="552450"/>
    <xdr:pic>
      <xdr:nvPicPr>
        <xdr:cNvPr id="36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4f8a80e63284a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44</xdr:row>
      <xdr:rowOff>28575</xdr:rowOff>
    </xdr:from>
    <xdr:ext cx="619125" cy="552450"/>
    <xdr:pic>
      <xdr:nvPicPr>
        <xdr:cNvPr id="37" name="/xl/media/image3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6b1e9fb43a245c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45</xdr:row>
      <xdr:rowOff>28575</xdr:rowOff>
    </xdr:from>
    <xdr:ext cx="619125" cy="552450"/>
    <xdr:pic>
      <xdr:nvPicPr>
        <xdr:cNvPr id="38" name="/xl/media/image4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46aba99b8c4d2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46</xdr:row>
      <xdr:rowOff>28575</xdr:rowOff>
    </xdr:from>
    <xdr:ext cx="619125" cy="552450"/>
    <xdr:pic>
      <xdr:nvPicPr>
        <xdr:cNvPr id="39" name="/xl/media/image5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632ee77009451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47</xdr:row>
      <xdr:rowOff>28575</xdr:rowOff>
    </xdr:from>
    <xdr:ext cx="619125" cy="552450"/>
    <xdr:pic>
      <xdr:nvPicPr>
        <xdr:cNvPr id="40" name="/xl/media/image6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572ecd4d0824c8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48</xdr:row>
      <xdr:rowOff>28575</xdr:rowOff>
    </xdr:from>
    <xdr:ext cx="619125" cy="552450"/>
    <xdr:pic>
      <xdr:nvPicPr>
        <xdr:cNvPr id="41" name="/xl/media/image7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a9b76fcb07047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49</xdr:row>
      <xdr:rowOff>28575</xdr:rowOff>
    </xdr:from>
    <xdr:ext cx="619125" cy="552450"/>
    <xdr:pic>
      <xdr:nvPicPr>
        <xdr:cNvPr id="42" name="/xl/media/image8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47ad35c2db049a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50</xdr:row>
      <xdr:rowOff>28575</xdr:rowOff>
    </xdr:from>
    <xdr:ext cx="619125" cy="552450"/>
    <xdr:pic>
      <xdr:nvPicPr>
        <xdr:cNvPr id="43" name="/xl/media/image9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50da66305cc408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51</xdr:row>
      <xdr:rowOff>28575</xdr:rowOff>
    </xdr:from>
    <xdr:ext cx="619125" cy="552450"/>
    <xdr:pic>
      <xdr:nvPicPr>
        <xdr:cNvPr id="44" name="/xl/media/image3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4a134b8eb94ca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52</xdr:row>
      <xdr:rowOff>28575</xdr:rowOff>
    </xdr:from>
    <xdr:ext cx="619125" cy="552450"/>
    <xdr:pic>
      <xdr:nvPicPr>
        <xdr:cNvPr id="45" name="/xl/media/image3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3e77cb449c84b4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53</xdr:row>
      <xdr:rowOff>28575</xdr:rowOff>
    </xdr:from>
    <xdr:ext cx="619125" cy="552450"/>
    <xdr:pic>
      <xdr:nvPicPr>
        <xdr:cNvPr id="46" name="/xl/media/image3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f3789a7c5b54d3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54</xdr:row>
      <xdr:rowOff>28575</xdr:rowOff>
    </xdr:from>
    <xdr:ext cx="619125" cy="552450"/>
    <xdr:pic>
      <xdr:nvPicPr>
        <xdr:cNvPr id="47" name="/xl/media/image3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acaacd4d2314ec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55</xdr:row>
      <xdr:rowOff>28575</xdr:rowOff>
    </xdr:from>
    <xdr:ext cx="619125" cy="552450"/>
    <xdr:pic>
      <xdr:nvPicPr>
        <xdr:cNvPr id="48" name="/xl/media/image3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c89f1bccd2c4f1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56</xdr:row>
      <xdr:rowOff>28575</xdr:rowOff>
    </xdr:from>
    <xdr:ext cx="619125" cy="552450"/>
    <xdr:pic>
      <xdr:nvPicPr>
        <xdr:cNvPr id="49" name="/xl/media/image4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1d14e186dd64d6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57</xdr:row>
      <xdr:rowOff>28575</xdr:rowOff>
    </xdr:from>
    <xdr:ext cx="619125" cy="552450"/>
    <xdr:pic>
      <xdr:nvPicPr>
        <xdr:cNvPr id="50" name="/xl/media/image4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43587ea20bf406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58</xdr:row>
      <xdr:rowOff>28575</xdr:rowOff>
    </xdr:from>
    <xdr:ext cx="619125" cy="552450"/>
    <xdr:pic>
      <xdr:nvPicPr>
        <xdr:cNvPr id="51" name="/xl/media/image4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4c1980223f147b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59</xdr:row>
      <xdr:rowOff>28575</xdr:rowOff>
    </xdr:from>
    <xdr:ext cx="619125" cy="552450"/>
    <xdr:pic>
      <xdr:nvPicPr>
        <xdr:cNvPr id="52" name="/xl/media/image4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95ccc289ae469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60</xdr:row>
      <xdr:rowOff>28575</xdr:rowOff>
    </xdr:from>
    <xdr:ext cx="619125" cy="552450"/>
    <xdr:pic>
      <xdr:nvPicPr>
        <xdr:cNvPr id="53" name="/xl/media/image4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87ee5fc6f08484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61</xdr:row>
      <xdr:rowOff>28575</xdr:rowOff>
    </xdr:from>
    <xdr:ext cx="619125" cy="552450"/>
    <xdr:pic>
      <xdr:nvPicPr>
        <xdr:cNvPr id="54" name="/xl/media/image4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2469e4f22524d9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62</xdr:row>
      <xdr:rowOff>28575</xdr:rowOff>
    </xdr:from>
    <xdr:ext cx="619125" cy="552450"/>
    <xdr:pic>
      <xdr:nvPicPr>
        <xdr:cNvPr id="55" name="/xl/media/image4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09c5f2682d144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63</xdr:row>
      <xdr:rowOff>28575</xdr:rowOff>
    </xdr:from>
    <xdr:ext cx="619125" cy="552450"/>
    <xdr:pic>
      <xdr:nvPicPr>
        <xdr:cNvPr id="56" name="/xl/media/image4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db6526585fc48b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64</xdr:row>
      <xdr:rowOff>28575</xdr:rowOff>
    </xdr:from>
    <xdr:ext cx="619125" cy="552450"/>
    <xdr:pic>
      <xdr:nvPicPr>
        <xdr:cNvPr id="57" name="/xl/media/image4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6411cc4d97490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65</xdr:row>
      <xdr:rowOff>28575</xdr:rowOff>
    </xdr:from>
    <xdr:ext cx="619125" cy="552450"/>
    <xdr:pic>
      <xdr:nvPicPr>
        <xdr:cNvPr id="58" name="/xl/media/image4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ab45522289d4ef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66</xdr:row>
      <xdr:rowOff>28575</xdr:rowOff>
    </xdr:from>
    <xdr:ext cx="619125" cy="552450"/>
    <xdr:pic>
      <xdr:nvPicPr>
        <xdr:cNvPr id="59" name="/xl/media/image5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7c52b10f8874b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67</xdr:row>
      <xdr:rowOff>28575</xdr:rowOff>
    </xdr:from>
    <xdr:ext cx="619125" cy="552450"/>
    <xdr:pic>
      <xdr:nvPicPr>
        <xdr:cNvPr id="60" name="/xl/media/image5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07483f225e34fd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68</xdr:row>
      <xdr:rowOff>28575</xdr:rowOff>
    </xdr:from>
    <xdr:ext cx="619125" cy="552450"/>
    <xdr:pic>
      <xdr:nvPicPr>
        <xdr:cNvPr id="61" name="/xl/media/image5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6f9adb5b8941a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69</xdr:row>
      <xdr:rowOff>28575</xdr:rowOff>
    </xdr:from>
    <xdr:ext cx="619125" cy="552450"/>
    <xdr:pic>
      <xdr:nvPicPr>
        <xdr:cNvPr id="62" name="/xl/media/image5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6faa81030048d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70</xdr:row>
      <xdr:rowOff>28575</xdr:rowOff>
    </xdr:from>
    <xdr:ext cx="619125" cy="552450"/>
    <xdr:pic>
      <xdr:nvPicPr>
        <xdr:cNvPr id="63" name="/xl/media/image5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aab57adbfa4f6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71</xdr:row>
      <xdr:rowOff>28575</xdr:rowOff>
    </xdr:from>
    <xdr:ext cx="619125" cy="552450"/>
    <xdr:pic>
      <xdr:nvPicPr>
        <xdr:cNvPr id="64" name="/xl/media/image5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999ab54042e405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72</xdr:row>
      <xdr:rowOff>28575</xdr:rowOff>
    </xdr:from>
    <xdr:ext cx="619125" cy="552450"/>
    <xdr:pic>
      <xdr:nvPicPr>
        <xdr:cNvPr id="65" name="/xl/media/image5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f34c48c49e74f4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73</xdr:row>
      <xdr:rowOff>28575</xdr:rowOff>
    </xdr:from>
    <xdr:ext cx="619125" cy="552450"/>
    <xdr:pic>
      <xdr:nvPicPr>
        <xdr:cNvPr id="66" name="/xl/media/image5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d415039ca2f480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74</xdr:row>
      <xdr:rowOff>28575</xdr:rowOff>
    </xdr:from>
    <xdr:ext cx="619125" cy="552450"/>
    <xdr:pic>
      <xdr:nvPicPr>
        <xdr:cNvPr id="67" name="/xl/media/image5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d83540695ac4cb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75</xdr:row>
      <xdr:rowOff>28575</xdr:rowOff>
    </xdr:from>
    <xdr:ext cx="619125" cy="552450"/>
    <xdr:pic>
      <xdr:nvPicPr>
        <xdr:cNvPr id="68" name="/xl/media/image5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16a9dab52f4c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76</xdr:row>
      <xdr:rowOff>28575</xdr:rowOff>
    </xdr:from>
    <xdr:ext cx="619125" cy="552450"/>
    <xdr:pic>
      <xdr:nvPicPr>
        <xdr:cNvPr id="69" name="/xl/media/image6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f59483d06f64d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77</xdr:row>
      <xdr:rowOff>28575</xdr:rowOff>
    </xdr:from>
    <xdr:ext cx="619125" cy="552450"/>
    <xdr:pic>
      <xdr:nvPicPr>
        <xdr:cNvPr id="70" name="/xl/media/image6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974d9455fa494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78</xdr:row>
      <xdr:rowOff>28575</xdr:rowOff>
    </xdr:from>
    <xdr:ext cx="619125" cy="552450"/>
    <xdr:pic>
      <xdr:nvPicPr>
        <xdr:cNvPr id="71" name="/xl/media/image6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ebdaef9fea741f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79</xdr:row>
      <xdr:rowOff>28575</xdr:rowOff>
    </xdr:from>
    <xdr:ext cx="619125" cy="552450"/>
    <xdr:pic>
      <xdr:nvPicPr>
        <xdr:cNvPr id="72" name="/xl/media/image6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21b4a2f707a4a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80</xdr:row>
      <xdr:rowOff>28575</xdr:rowOff>
    </xdr:from>
    <xdr:ext cx="619125" cy="552450"/>
    <xdr:pic>
      <xdr:nvPicPr>
        <xdr:cNvPr id="73" name="/xl/media/image6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c475f0f136d4fc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81</xdr:row>
      <xdr:rowOff>28575</xdr:rowOff>
    </xdr:from>
    <xdr:ext cx="619125" cy="552450"/>
    <xdr:pic>
      <xdr:nvPicPr>
        <xdr:cNvPr id="74" name="/xl/media/image6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8d6e33bdd4a46b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82</xdr:row>
      <xdr:rowOff>28575</xdr:rowOff>
    </xdr:from>
    <xdr:ext cx="619125" cy="552450"/>
    <xdr:pic>
      <xdr:nvPicPr>
        <xdr:cNvPr id="75" name="/xl/media/image6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f00fe854c4544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83</xdr:row>
      <xdr:rowOff>28575</xdr:rowOff>
    </xdr:from>
    <xdr:ext cx="619125" cy="552450"/>
    <xdr:pic>
      <xdr:nvPicPr>
        <xdr:cNvPr id="76" name="/xl/media/image6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6d5524c9b484d6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84</xdr:row>
      <xdr:rowOff>28575</xdr:rowOff>
    </xdr:from>
    <xdr:ext cx="619125" cy="552450"/>
    <xdr:pic>
      <xdr:nvPicPr>
        <xdr:cNvPr id="77" name="/xl/media/image6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6878de55f1e4fd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85</xdr:row>
      <xdr:rowOff>28575</xdr:rowOff>
    </xdr:from>
    <xdr:ext cx="619125" cy="552450"/>
    <xdr:pic>
      <xdr:nvPicPr>
        <xdr:cNvPr id="78" name="/xl/media/image6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ec882b09caa426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86</xdr:row>
      <xdr:rowOff>28575</xdr:rowOff>
    </xdr:from>
    <xdr:ext cx="619125" cy="552450"/>
    <xdr:pic>
      <xdr:nvPicPr>
        <xdr:cNvPr id="79" name="/xl/media/image7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39e90cda8274fa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87</xdr:row>
      <xdr:rowOff>28575</xdr:rowOff>
    </xdr:from>
    <xdr:ext cx="619125" cy="552450"/>
    <xdr:pic>
      <xdr:nvPicPr>
        <xdr:cNvPr id="80" name="/xl/media/image7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f4d4e8df6c447f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88</xdr:row>
      <xdr:rowOff>28575</xdr:rowOff>
    </xdr:from>
    <xdr:ext cx="619125" cy="552450"/>
    <xdr:pic>
      <xdr:nvPicPr>
        <xdr:cNvPr id="81" name="/xl/media/image7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13255a7e334d4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89</xdr:row>
      <xdr:rowOff>28575</xdr:rowOff>
    </xdr:from>
    <xdr:ext cx="619125" cy="552450"/>
    <xdr:pic>
      <xdr:nvPicPr>
        <xdr:cNvPr id="82" name="/xl/media/image7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fa35cd0b9a8451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90</xdr:row>
      <xdr:rowOff>28575</xdr:rowOff>
    </xdr:from>
    <xdr:ext cx="619125" cy="552450"/>
    <xdr:pic>
      <xdr:nvPicPr>
        <xdr:cNvPr id="83" name="/xl/media/image7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62596bd2f3b431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91</xdr:row>
      <xdr:rowOff>28575</xdr:rowOff>
    </xdr:from>
    <xdr:ext cx="619125" cy="552450"/>
    <xdr:pic>
      <xdr:nvPicPr>
        <xdr:cNvPr id="84" name="/xl/media/image7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80dba3163e74fe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92</xdr:row>
      <xdr:rowOff>28575</xdr:rowOff>
    </xdr:from>
    <xdr:ext cx="619125" cy="552450"/>
    <xdr:pic>
      <xdr:nvPicPr>
        <xdr:cNvPr id="85" name="/xl/media/image7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20dbfc73ee6458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93</xdr:row>
      <xdr:rowOff>28575</xdr:rowOff>
    </xdr:from>
    <xdr:ext cx="619125" cy="552450"/>
    <xdr:pic>
      <xdr:nvPicPr>
        <xdr:cNvPr id="86" name="/xl/media/image7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f0c5d5d24f0448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94</xdr:row>
      <xdr:rowOff>28575</xdr:rowOff>
    </xdr:from>
    <xdr:ext cx="619125" cy="552450"/>
    <xdr:pic>
      <xdr:nvPicPr>
        <xdr:cNvPr id="87" name="/xl/media/image7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34af8cd5ff4f7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95</xdr:row>
      <xdr:rowOff>28575</xdr:rowOff>
    </xdr:from>
    <xdr:ext cx="619125" cy="552450"/>
    <xdr:pic>
      <xdr:nvPicPr>
        <xdr:cNvPr id="88" name="/xl/media/image7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fdc6e2ab69d4f1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96</xdr:row>
      <xdr:rowOff>28575</xdr:rowOff>
    </xdr:from>
    <xdr:ext cx="619125" cy="552450"/>
    <xdr:pic>
      <xdr:nvPicPr>
        <xdr:cNvPr id="89" name="/xl/media/image8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5748e3df50741d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97</xdr:row>
      <xdr:rowOff>28575</xdr:rowOff>
    </xdr:from>
    <xdr:ext cx="619125" cy="552450"/>
    <xdr:pic>
      <xdr:nvPicPr>
        <xdr:cNvPr id="90" name="/xl/media/image8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dfec726269b4cc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98</xdr:row>
      <xdr:rowOff>28575</xdr:rowOff>
    </xdr:from>
    <xdr:ext cx="619125" cy="552450"/>
    <xdr:pic>
      <xdr:nvPicPr>
        <xdr:cNvPr id="91" name="/xl/media/image8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f13775ce45c435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99</xdr:row>
      <xdr:rowOff>28575</xdr:rowOff>
    </xdr:from>
    <xdr:ext cx="619125" cy="552450"/>
    <xdr:pic>
      <xdr:nvPicPr>
        <xdr:cNvPr id="92" name="/xl/media/image8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683c5ae563d487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100</xdr:row>
      <xdr:rowOff>28575</xdr:rowOff>
    </xdr:from>
    <xdr:ext cx="619125" cy="552450"/>
    <xdr:pic>
      <xdr:nvPicPr>
        <xdr:cNvPr id="93" name="/xl/media/image8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0ed43734ae045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101</xdr:row>
      <xdr:rowOff>28575</xdr:rowOff>
    </xdr:from>
    <xdr:ext cx="619125" cy="552450"/>
    <xdr:pic>
      <xdr:nvPicPr>
        <xdr:cNvPr id="94" name="/xl/media/image8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489c591578b463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102</xdr:row>
      <xdr:rowOff>28575</xdr:rowOff>
    </xdr:from>
    <xdr:ext cx="619125" cy="552450"/>
    <xdr:pic>
      <xdr:nvPicPr>
        <xdr:cNvPr id="95" name="/xl/media/image8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2fea119dc954ee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103</xdr:row>
      <xdr:rowOff>28575</xdr:rowOff>
    </xdr:from>
    <xdr:ext cx="619125" cy="552450"/>
    <xdr:pic>
      <xdr:nvPicPr>
        <xdr:cNvPr id="96" name="/xl/media/image8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acac31de6e4ef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104</xdr:row>
      <xdr:rowOff>28575</xdr:rowOff>
    </xdr:from>
    <xdr:ext cx="619125" cy="552450"/>
    <xdr:pic>
      <xdr:nvPicPr>
        <xdr:cNvPr id="97" name="/xl/media/image8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1d7bb6cea29439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105</xdr:row>
      <xdr:rowOff>28575</xdr:rowOff>
    </xdr:from>
    <xdr:ext cx="619125" cy="552450"/>
    <xdr:pic>
      <xdr:nvPicPr>
        <xdr:cNvPr id="98" name="/xl/media/image8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ce6a084bd76401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106</xdr:row>
      <xdr:rowOff>28575</xdr:rowOff>
    </xdr:from>
    <xdr:ext cx="619125" cy="552450"/>
    <xdr:pic>
      <xdr:nvPicPr>
        <xdr:cNvPr id="99" name="/xl/media/image9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f6f3656bf51473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107</xdr:row>
      <xdr:rowOff>28575</xdr:rowOff>
    </xdr:from>
    <xdr:ext cx="619125" cy="552450"/>
    <xdr:pic>
      <xdr:nvPicPr>
        <xdr:cNvPr id="100" name="/xl/media/image9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63c5396e43845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108</xdr:row>
      <xdr:rowOff>28575</xdr:rowOff>
    </xdr:from>
    <xdr:ext cx="619125" cy="552450"/>
    <xdr:pic>
      <xdr:nvPicPr>
        <xdr:cNvPr id="101" name="/xl/media/image9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f97d60947634be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109</xdr:row>
      <xdr:rowOff>28575</xdr:rowOff>
    </xdr:from>
    <xdr:ext cx="619125" cy="552450"/>
    <xdr:pic>
      <xdr:nvPicPr>
        <xdr:cNvPr id="102" name="/xl/media/image9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4f2df5b747d4a3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110</xdr:row>
      <xdr:rowOff>28575</xdr:rowOff>
    </xdr:from>
    <xdr:ext cx="619125" cy="552450"/>
    <xdr:pic>
      <xdr:nvPicPr>
        <xdr:cNvPr id="103" name="/xl/media/image9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c4309e2f2cf42b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111</xdr:row>
      <xdr:rowOff>28575</xdr:rowOff>
    </xdr:from>
    <xdr:ext cx="619125" cy="552450"/>
    <xdr:pic>
      <xdr:nvPicPr>
        <xdr:cNvPr id="104" name="/xl/media/image9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7e1b1879b343c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112</xdr:row>
      <xdr:rowOff>28575</xdr:rowOff>
    </xdr:from>
    <xdr:ext cx="619125" cy="552450"/>
    <xdr:pic>
      <xdr:nvPicPr>
        <xdr:cNvPr id="105" name="/xl/media/image9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2c9e7f2c7984ab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113</xdr:row>
      <xdr:rowOff>28575</xdr:rowOff>
    </xdr:from>
    <xdr:ext cx="619125" cy="552450"/>
    <xdr:pic>
      <xdr:nvPicPr>
        <xdr:cNvPr id="106" name="/xl/media/image9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2b9c60af72c4f2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114</xdr:row>
      <xdr:rowOff>28575</xdr:rowOff>
    </xdr:from>
    <xdr:ext cx="619125" cy="552450"/>
    <xdr:pic>
      <xdr:nvPicPr>
        <xdr:cNvPr id="107" name="/xl/media/image9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c316cda325d41c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115</xdr:row>
      <xdr:rowOff>28575</xdr:rowOff>
    </xdr:from>
    <xdr:ext cx="619125" cy="552450"/>
    <xdr:pic>
      <xdr:nvPicPr>
        <xdr:cNvPr id="108" name="/xl/media/image9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b85f15e802408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116</xdr:row>
      <xdr:rowOff>28575</xdr:rowOff>
    </xdr:from>
    <xdr:ext cx="619125" cy="552450"/>
    <xdr:pic>
      <xdr:nvPicPr>
        <xdr:cNvPr id="109" name="/xl/media/image10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6d955b704a4cf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117</xdr:row>
      <xdr:rowOff>28575</xdr:rowOff>
    </xdr:from>
    <xdr:ext cx="619125" cy="552450"/>
    <xdr:pic>
      <xdr:nvPicPr>
        <xdr:cNvPr id="110" name="/xl/media/image10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18ef5f8ffcf46b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118</xdr:row>
      <xdr:rowOff>28575</xdr:rowOff>
    </xdr:from>
    <xdr:ext cx="619125" cy="552450"/>
    <xdr:pic>
      <xdr:nvPicPr>
        <xdr:cNvPr id="111" name="/xl/media/image10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fd1c7d649a74e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119</xdr:row>
      <xdr:rowOff>28575</xdr:rowOff>
    </xdr:from>
    <xdr:ext cx="619125" cy="552450"/>
    <xdr:pic>
      <xdr:nvPicPr>
        <xdr:cNvPr id="112" name="/xl/media/image10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5b1ba1a902402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120</xdr:row>
      <xdr:rowOff>28575</xdr:rowOff>
    </xdr:from>
    <xdr:ext cx="619125" cy="552450"/>
    <xdr:pic>
      <xdr:nvPicPr>
        <xdr:cNvPr id="113" name="/xl/media/image10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ac54d6cdb48400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121</xdr:row>
      <xdr:rowOff>28575</xdr:rowOff>
    </xdr:from>
    <xdr:ext cx="619125" cy="552450"/>
    <xdr:pic>
      <xdr:nvPicPr>
        <xdr:cNvPr id="114" name="/xl/media/image10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23fa7bd5d04d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122</xdr:row>
      <xdr:rowOff>28575</xdr:rowOff>
    </xdr:from>
    <xdr:ext cx="619125" cy="552450"/>
    <xdr:pic>
      <xdr:nvPicPr>
        <xdr:cNvPr id="115" name="/xl/media/image10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574ca8d56ad423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123</xdr:row>
      <xdr:rowOff>28575</xdr:rowOff>
    </xdr:from>
    <xdr:ext cx="619125" cy="552450"/>
    <xdr:pic>
      <xdr:nvPicPr>
        <xdr:cNvPr id="116" name="/xl/media/image10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7450d791f74418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124</xdr:row>
      <xdr:rowOff>28575</xdr:rowOff>
    </xdr:from>
    <xdr:ext cx="619125" cy="552450"/>
    <xdr:pic>
      <xdr:nvPicPr>
        <xdr:cNvPr id="117" name="/xl/media/image10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a715e619b5a423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125</xdr:row>
      <xdr:rowOff>28575</xdr:rowOff>
    </xdr:from>
    <xdr:ext cx="619125" cy="552450"/>
    <xdr:pic>
      <xdr:nvPicPr>
        <xdr:cNvPr id="118" name="/xl/media/image10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618b1ba684c462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126</xdr:row>
      <xdr:rowOff>28575</xdr:rowOff>
    </xdr:from>
    <xdr:ext cx="619125" cy="552450"/>
    <xdr:pic>
      <xdr:nvPicPr>
        <xdr:cNvPr id="119" name="/xl/media/image11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9e2fc6dee79478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127</xdr:row>
      <xdr:rowOff>28575</xdr:rowOff>
    </xdr:from>
    <xdr:ext cx="619125" cy="552450"/>
    <xdr:pic>
      <xdr:nvPicPr>
        <xdr:cNvPr id="120" name="/xl/media/image11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8d094d800d4f9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128</xdr:row>
      <xdr:rowOff>28575</xdr:rowOff>
    </xdr:from>
    <xdr:ext cx="619125" cy="552450"/>
    <xdr:pic>
      <xdr:nvPicPr>
        <xdr:cNvPr id="121" name="/xl/media/image11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80d59b6d4b5427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129</xdr:row>
      <xdr:rowOff>28575</xdr:rowOff>
    </xdr:from>
    <xdr:ext cx="619125" cy="552450"/>
    <xdr:pic>
      <xdr:nvPicPr>
        <xdr:cNvPr id="122" name="/xl/media/image11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e2fe65e1ba8413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130</xdr:row>
      <xdr:rowOff>28575</xdr:rowOff>
    </xdr:from>
    <xdr:ext cx="619125" cy="552450"/>
    <xdr:pic>
      <xdr:nvPicPr>
        <xdr:cNvPr id="123" name="/xl/media/image11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1fdb4ae13f64fd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131</xdr:row>
      <xdr:rowOff>28575</xdr:rowOff>
    </xdr:from>
    <xdr:ext cx="619125" cy="552450"/>
    <xdr:pic>
      <xdr:nvPicPr>
        <xdr:cNvPr id="124" name="/xl/media/image11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f0a6928f28447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132</xdr:row>
      <xdr:rowOff>28575</xdr:rowOff>
    </xdr:from>
    <xdr:ext cx="619125" cy="552450"/>
    <xdr:pic>
      <xdr:nvPicPr>
        <xdr:cNvPr id="125" name="/xl/media/image11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16b2e1db8d54cc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133</xdr:row>
      <xdr:rowOff>28575</xdr:rowOff>
    </xdr:from>
    <xdr:ext cx="619125" cy="552450"/>
    <xdr:pic>
      <xdr:nvPicPr>
        <xdr:cNvPr id="126" name="/xl/media/image11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e6fcdcf6dbc47c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134</xdr:row>
      <xdr:rowOff>28575</xdr:rowOff>
    </xdr:from>
    <xdr:ext cx="619125" cy="552450"/>
    <xdr:pic>
      <xdr:nvPicPr>
        <xdr:cNvPr id="127" name="/xl/media/image11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38a054ac47e4c6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135</xdr:row>
      <xdr:rowOff>28575</xdr:rowOff>
    </xdr:from>
    <xdr:ext cx="619125" cy="552450"/>
    <xdr:pic>
      <xdr:nvPicPr>
        <xdr:cNvPr id="128" name="/xl/media/image11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a5eead32ec462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136</xdr:row>
      <xdr:rowOff>28575</xdr:rowOff>
    </xdr:from>
    <xdr:ext cx="619125" cy="552450"/>
    <xdr:pic>
      <xdr:nvPicPr>
        <xdr:cNvPr id="129" name="/xl/media/image12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b2fa71049214b2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137</xdr:row>
      <xdr:rowOff>28575</xdr:rowOff>
    </xdr:from>
    <xdr:ext cx="619125" cy="552450"/>
    <xdr:pic>
      <xdr:nvPicPr>
        <xdr:cNvPr id="130" name="/xl/media/image12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84495ea9674ac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138</xdr:row>
      <xdr:rowOff>28575</xdr:rowOff>
    </xdr:from>
    <xdr:ext cx="619125" cy="552450"/>
    <xdr:pic>
      <xdr:nvPicPr>
        <xdr:cNvPr id="131" name="/xl/media/image12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0f02b5cb20a4c6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139</xdr:row>
      <xdr:rowOff>28575</xdr:rowOff>
    </xdr:from>
    <xdr:ext cx="619125" cy="552450"/>
    <xdr:pic>
      <xdr:nvPicPr>
        <xdr:cNvPr id="132" name="/xl/media/image12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687d5b18693400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140</xdr:row>
      <xdr:rowOff>28575</xdr:rowOff>
    </xdr:from>
    <xdr:ext cx="619125" cy="552450"/>
    <xdr:pic>
      <xdr:nvPicPr>
        <xdr:cNvPr id="133" name="/xl/media/image12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d6b184f0ad2428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141</xdr:row>
      <xdr:rowOff>28575</xdr:rowOff>
    </xdr:from>
    <xdr:ext cx="619125" cy="552450"/>
    <xdr:pic>
      <xdr:nvPicPr>
        <xdr:cNvPr id="134" name="/xl/media/image12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87cee927f341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142</xdr:row>
      <xdr:rowOff>28575</xdr:rowOff>
    </xdr:from>
    <xdr:ext cx="619125" cy="552450"/>
    <xdr:pic>
      <xdr:nvPicPr>
        <xdr:cNvPr id="135" name="/xl/media/image12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93acfe858a4d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143</xdr:row>
      <xdr:rowOff>28575</xdr:rowOff>
    </xdr:from>
    <xdr:ext cx="619125" cy="552450"/>
    <xdr:pic>
      <xdr:nvPicPr>
        <xdr:cNvPr id="136" name="/xl/media/image12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d467bd93f63499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144</xdr:row>
      <xdr:rowOff>28575</xdr:rowOff>
    </xdr:from>
    <xdr:ext cx="619125" cy="552450"/>
    <xdr:pic>
      <xdr:nvPicPr>
        <xdr:cNvPr id="137" name="/xl/media/image12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e2e893e178f4fc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145</xdr:row>
      <xdr:rowOff>28575</xdr:rowOff>
    </xdr:from>
    <xdr:ext cx="619125" cy="552450"/>
    <xdr:pic>
      <xdr:nvPicPr>
        <xdr:cNvPr id="138" name="/xl/media/image12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d15cd9e9819488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146</xdr:row>
      <xdr:rowOff>28575</xdr:rowOff>
    </xdr:from>
    <xdr:ext cx="619125" cy="552450"/>
    <xdr:pic>
      <xdr:nvPicPr>
        <xdr:cNvPr id="139" name="/xl/media/image13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d49d5babd86400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147</xdr:row>
      <xdr:rowOff>28575</xdr:rowOff>
    </xdr:from>
    <xdr:ext cx="619125" cy="552450"/>
    <xdr:pic>
      <xdr:nvPicPr>
        <xdr:cNvPr id="140" name="/xl/media/image13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861ae286f684e7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148</xdr:row>
      <xdr:rowOff>28575</xdr:rowOff>
    </xdr:from>
    <xdr:ext cx="619125" cy="552450"/>
    <xdr:pic>
      <xdr:nvPicPr>
        <xdr:cNvPr id="141" name="/xl/media/image13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a6a39899d8b403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149</xdr:row>
      <xdr:rowOff>28575</xdr:rowOff>
    </xdr:from>
    <xdr:ext cx="619125" cy="552450"/>
    <xdr:pic>
      <xdr:nvPicPr>
        <xdr:cNvPr id="142" name="/xl/media/image13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445e7d05994f4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150</xdr:row>
      <xdr:rowOff>28575</xdr:rowOff>
    </xdr:from>
    <xdr:ext cx="619125" cy="552450"/>
    <xdr:pic>
      <xdr:nvPicPr>
        <xdr:cNvPr id="143" name="/xl/media/image13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bb5584be4f64de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151</xdr:row>
      <xdr:rowOff>28575</xdr:rowOff>
    </xdr:from>
    <xdr:ext cx="619125" cy="552450"/>
    <xdr:pic>
      <xdr:nvPicPr>
        <xdr:cNvPr id="144" name="/xl/media/image13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c64c18849af47a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152</xdr:row>
      <xdr:rowOff>28575</xdr:rowOff>
    </xdr:from>
    <xdr:ext cx="619125" cy="552450"/>
    <xdr:pic>
      <xdr:nvPicPr>
        <xdr:cNvPr id="145" name="/xl/media/image13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f1ab6a4bc94d5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153</xdr:row>
      <xdr:rowOff>28575</xdr:rowOff>
    </xdr:from>
    <xdr:ext cx="619125" cy="552450"/>
    <xdr:pic>
      <xdr:nvPicPr>
        <xdr:cNvPr id="146" name="/xl/media/image13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8456f27309c44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154</xdr:row>
      <xdr:rowOff>28575</xdr:rowOff>
    </xdr:from>
    <xdr:ext cx="619125" cy="552450"/>
    <xdr:pic>
      <xdr:nvPicPr>
        <xdr:cNvPr id="147" name="/xl/media/image13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d9bbee427741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155</xdr:row>
      <xdr:rowOff>28575</xdr:rowOff>
    </xdr:from>
    <xdr:ext cx="619125" cy="552450"/>
    <xdr:pic>
      <xdr:nvPicPr>
        <xdr:cNvPr id="148" name="/xl/media/image13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0a500bd0a14fc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156</xdr:row>
      <xdr:rowOff>28575</xdr:rowOff>
    </xdr:from>
    <xdr:ext cx="619125" cy="552450"/>
    <xdr:pic>
      <xdr:nvPicPr>
        <xdr:cNvPr id="149" name="/xl/media/image14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15c7896905247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157</xdr:row>
      <xdr:rowOff>28575</xdr:rowOff>
    </xdr:from>
    <xdr:ext cx="619125" cy="552450"/>
    <xdr:pic>
      <xdr:nvPicPr>
        <xdr:cNvPr id="150" name="/xl/media/image14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bf20cd5501b457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158</xdr:row>
      <xdr:rowOff>28575</xdr:rowOff>
    </xdr:from>
    <xdr:ext cx="619125" cy="552450"/>
    <xdr:pic>
      <xdr:nvPicPr>
        <xdr:cNvPr id="151" name="/xl/media/image14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d4307b9a7ac4ee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159</xdr:row>
      <xdr:rowOff>28575</xdr:rowOff>
    </xdr:from>
    <xdr:ext cx="619125" cy="552450"/>
    <xdr:pic>
      <xdr:nvPicPr>
        <xdr:cNvPr id="152" name="/xl/media/image14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65d21723a614f4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160</xdr:row>
      <xdr:rowOff>28575</xdr:rowOff>
    </xdr:from>
    <xdr:ext cx="619125" cy="552450"/>
    <xdr:pic>
      <xdr:nvPicPr>
        <xdr:cNvPr id="153" name="/xl/media/image14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8e53481fa6b4d9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161</xdr:row>
      <xdr:rowOff>28575</xdr:rowOff>
    </xdr:from>
    <xdr:ext cx="619125" cy="552450"/>
    <xdr:pic>
      <xdr:nvPicPr>
        <xdr:cNvPr id="154" name="/xl/media/image14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0c3f851d234b3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162</xdr:row>
      <xdr:rowOff>28575</xdr:rowOff>
    </xdr:from>
    <xdr:ext cx="619125" cy="552450"/>
    <xdr:pic>
      <xdr:nvPicPr>
        <xdr:cNvPr id="155" name="/xl/media/image14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4859e20f8ce4cd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163</xdr:row>
      <xdr:rowOff>28575</xdr:rowOff>
    </xdr:from>
    <xdr:ext cx="619125" cy="552450"/>
    <xdr:pic>
      <xdr:nvPicPr>
        <xdr:cNvPr id="156" name="/xl/media/image14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d04dcb4750b470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164</xdr:row>
      <xdr:rowOff>28575</xdr:rowOff>
    </xdr:from>
    <xdr:ext cx="619125" cy="552450"/>
    <xdr:pic>
      <xdr:nvPicPr>
        <xdr:cNvPr id="157" name="/xl/media/image14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fc6bf71cf045b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165</xdr:row>
      <xdr:rowOff>28575</xdr:rowOff>
    </xdr:from>
    <xdr:ext cx="619125" cy="552450"/>
    <xdr:pic>
      <xdr:nvPicPr>
        <xdr:cNvPr id="158" name="/xl/media/image14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733c53874c04cd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166</xdr:row>
      <xdr:rowOff>28575</xdr:rowOff>
    </xdr:from>
    <xdr:ext cx="619125" cy="552450"/>
    <xdr:pic>
      <xdr:nvPicPr>
        <xdr:cNvPr id="159" name="/xl/media/image15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690dce079d748c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167</xdr:row>
      <xdr:rowOff>28575</xdr:rowOff>
    </xdr:from>
    <xdr:ext cx="619125" cy="552450"/>
    <xdr:pic>
      <xdr:nvPicPr>
        <xdr:cNvPr id="160" name="/xl/media/image15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381d6fcc8e34f5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168</xdr:row>
      <xdr:rowOff>28575</xdr:rowOff>
    </xdr:from>
    <xdr:ext cx="619125" cy="552450"/>
    <xdr:pic>
      <xdr:nvPicPr>
        <xdr:cNvPr id="161" name="/xl/media/image15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096d9aac42246c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169</xdr:row>
      <xdr:rowOff>28575</xdr:rowOff>
    </xdr:from>
    <xdr:ext cx="619125" cy="552450"/>
    <xdr:pic>
      <xdr:nvPicPr>
        <xdr:cNvPr id="162" name="/xl/media/image15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541a56cdb424c8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170</xdr:row>
      <xdr:rowOff>28575</xdr:rowOff>
    </xdr:from>
    <xdr:ext cx="619125" cy="552450"/>
    <xdr:pic>
      <xdr:nvPicPr>
        <xdr:cNvPr id="163" name="/xl/media/image15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104ed9d7d6a4c4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171</xdr:row>
      <xdr:rowOff>28575</xdr:rowOff>
    </xdr:from>
    <xdr:ext cx="619125" cy="552450"/>
    <xdr:pic>
      <xdr:nvPicPr>
        <xdr:cNvPr id="164" name="/xl/media/image15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b2e082a8bef4a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172</xdr:row>
      <xdr:rowOff>28575</xdr:rowOff>
    </xdr:from>
    <xdr:ext cx="619125" cy="552450"/>
    <xdr:pic>
      <xdr:nvPicPr>
        <xdr:cNvPr id="165" name="/xl/media/image15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f186a1b6d74bf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173</xdr:row>
      <xdr:rowOff>28575</xdr:rowOff>
    </xdr:from>
    <xdr:ext cx="619125" cy="552450"/>
    <xdr:pic>
      <xdr:nvPicPr>
        <xdr:cNvPr id="166" name="/xl/media/image15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d3c344916454bb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174</xdr:row>
      <xdr:rowOff>28575</xdr:rowOff>
    </xdr:from>
    <xdr:ext cx="619125" cy="552450"/>
    <xdr:pic>
      <xdr:nvPicPr>
        <xdr:cNvPr id="167" name="/xl/media/image15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db7cc2af34c41f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175</xdr:row>
      <xdr:rowOff>28575</xdr:rowOff>
    </xdr:from>
    <xdr:ext cx="619125" cy="552450"/>
    <xdr:pic>
      <xdr:nvPicPr>
        <xdr:cNvPr id="168" name="/xl/media/image15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208f1aed05463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176</xdr:row>
      <xdr:rowOff>28575</xdr:rowOff>
    </xdr:from>
    <xdr:ext cx="619125" cy="552450"/>
    <xdr:pic>
      <xdr:nvPicPr>
        <xdr:cNvPr id="169" name="/xl/media/image16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b1b86847d24b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177</xdr:row>
      <xdr:rowOff>28575</xdr:rowOff>
    </xdr:from>
    <xdr:ext cx="619125" cy="552450"/>
    <xdr:pic>
      <xdr:nvPicPr>
        <xdr:cNvPr id="170" name="/xl/media/image16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9f0b94fc27f488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178</xdr:row>
      <xdr:rowOff>28575</xdr:rowOff>
    </xdr:from>
    <xdr:ext cx="619125" cy="552450"/>
    <xdr:pic>
      <xdr:nvPicPr>
        <xdr:cNvPr id="171" name="/xl/media/image16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dd737f83e7a43e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179</xdr:row>
      <xdr:rowOff>28575</xdr:rowOff>
    </xdr:from>
    <xdr:ext cx="619125" cy="552450"/>
    <xdr:pic>
      <xdr:nvPicPr>
        <xdr:cNvPr id="172" name="/xl/media/image16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2274ad19204fe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180</xdr:row>
      <xdr:rowOff>28575</xdr:rowOff>
    </xdr:from>
    <xdr:ext cx="619125" cy="552450"/>
    <xdr:pic>
      <xdr:nvPicPr>
        <xdr:cNvPr id="173" name="/xl/media/image16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a2337a5c3f4dc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181</xdr:row>
      <xdr:rowOff>28575</xdr:rowOff>
    </xdr:from>
    <xdr:ext cx="619125" cy="552450"/>
    <xdr:pic>
      <xdr:nvPicPr>
        <xdr:cNvPr id="174" name="/xl/media/image16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9c074d752814fd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182</xdr:row>
      <xdr:rowOff>28575</xdr:rowOff>
    </xdr:from>
    <xdr:ext cx="619125" cy="552450"/>
    <xdr:pic>
      <xdr:nvPicPr>
        <xdr:cNvPr id="175" name="/xl/media/image16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316770f225d45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183</xdr:row>
      <xdr:rowOff>28575</xdr:rowOff>
    </xdr:from>
    <xdr:ext cx="619125" cy="552450"/>
    <xdr:pic>
      <xdr:nvPicPr>
        <xdr:cNvPr id="176" name="/xl/media/image16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0583c1d6e3b454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184</xdr:row>
      <xdr:rowOff>28575</xdr:rowOff>
    </xdr:from>
    <xdr:ext cx="619125" cy="552450"/>
    <xdr:pic>
      <xdr:nvPicPr>
        <xdr:cNvPr id="177" name="/xl/media/image16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a5da905d93f40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185</xdr:row>
      <xdr:rowOff>28575</xdr:rowOff>
    </xdr:from>
    <xdr:ext cx="619125" cy="552450"/>
    <xdr:pic>
      <xdr:nvPicPr>
        <xdr:cNvPr id="178" name="/xl/media/image16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6bb9004963b43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186</xdr:row>
      <xdr:rowOff>28575</xdr:rowOff>
    </xdr:from>
    <xdr:ext cx="619125" cy="552450"/>
    <xdr:pic>
      <xdr:nvPicPr>
        <xdr:cNvPr id="179" name="/xl/media/image17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93b65b1662e4c9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187</xdr:row>
      <xdr:rowOff>28575</xdr:rowOff>
    </xdr:from>
    <xdr:ext cx="619125" cy="552450"/>
    <xdr:pic>
      <xdr:nvPicPr>
        <xdr:cNvPr id="180" name="/xl/media/image17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0abe6d801e545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188</xdr:row>
      <xdr:rowOff>28575</xdr:rowOff>
    </xdr:from>
    <xdr:ext cx="619125" cy="552450"/>
    <xdr:pic>
      <xdr:nvPicPr>
        <xdr:cNvPr id="181" name="/xl/media/image17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24740a7e8da46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189</xdr:row>
      <xdr:rowOff>28575</xdr:rowOff>
    </xdr:from>
    <xdr:ext cx="619125" cy="552450"/>
    <xdr:pic>
      <xdr:nvPicPr>
        <xdr:cNvPr id="182" name="/xl/media/image17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46b9d1d13994d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190</xdr:row>
      <xdr:rowOff>28575</xdr:rowOff>
    </xdr:from>
    <xdr:ext cx="619125" cy="552450"/>
    <xdr:pic>
      <xdr:nvPicPr>
        <xdr:cNvPr id="183" name="/xl/media/image17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086c2ac229d4fa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191</xdr:row>
      <xdr:rowOff>28575</xdr:rowOff>
    </xdr:from>
    <xdr:ext cx="619125" cy="552450"/>
    <xdr:pic>
      <xdr:nvPicPr>
        <xdr:cNvPr id="184" name="/xl/media/image17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389d6e748824f3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192</xdr:row>
      <xdr:rowOff>28575</xdr:rowOff>
    </xdr:from>
    <xdr:ext cx="619125" cy="552450"/>
    <xdr:pic>
      <xdr:nvPicPr>
        <xdr:cNvPr id="185" name="/xl/media/image17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fc727dd3f9248d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38100</xdr:colOff>
      <xdr:row>193</xdr:row>
      <xdr:rowOff>28575</xdr:rowOff>
    </xdr:from>
    <xdr:ext cx="619125" cy="552450"/>
    <xdr:pic>
      <xdr:nvPicPr>
        <xdr:cNvPr id="186" name="/xl/media/image17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dc0560ed9aa4b8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2" name="PromotionMatrix" displayName="PromotionMatrix" ref="A8:AA194" headerRowCount="1" totalsRowCount="0" totalsRowShown="0">
  <x:tableColumns count="27">
    <x:tableColumn id="1" name="SPU"/>
    <x:tableColumn id="2" name="运营"/>
    <x:tableColumn id="3" name="颜色"/>
    <x:tableColumn id="4" name="颜色编码"/>
    <x:tableColumn id="5" name="SKU（不含尺码）"/>
    <x:tableColumn id="6" name="图片"/>
    <x:tableColumn id="7" name="5码 / 天"/>
    <x:tableColumn id="8" name="6码 / 天"/>
    <x:tableColumn id="9" name="6.5码 / 天"/>
    <x:tableColumn id="10" name="7码 / 天"/>
    <x:tableColumn id="11" name="7.5码 / 天"/>
    <x:tableColumn id="12" name="8码 / 天"/>
    <x:tableColumn id="13" name="8.5码 / 天"/>
    <x:tableColumn id="14" name="9码 / 天"/>
    <x:tableColumn id="15" name="9.5码 / 天"/>
    <x:tableColumn id="16" name="10码 / 天"/>
    <x:tableColumn id="17" name="10.5码 / 天"/>
    <x:tableColumn id="18" name="11码 / 天"/>
    <x:tableColumn id="19" name="本次可比覆盖 / 天"/>
    <x:tableColumn id="20" name="基准可比覆盖 / 天"/>
    <x:tableColumn id="21" name="覆盖变化 / 天"/>
    <x:tableColumn id="22" name="覆盖变化率"/>
    <x:tableColumn id="23" name="辅助款色库存 / 双"/>
    <x:tableColumn id="24" name="本次分类"/>
    <x:tableColumn id="25" name="比较状态"/>
    <x:tableColumn id="26" name="Listing销售状态"/>
    <x:tableColumn id="27" name="辅助SPU库存 / 双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PromotionDetails" displayName="PromotionDetails" ref="A8:AJ1592" headerRowCount="1" totalsRowCount="0" totalsRowShown="0">
  <x:tableColumns count="36">
    <x:tableColumn id="1" name="SKU"/>
    <x:tableColumn id="2" name="店铺"/>
    <x:tableColumn id="3" name="运营"/>
    <x:tableColumn id="4" name="SPU"/>
    <x:tableColumn id="5" name="本次分类"/>
    <x:tableColumn id="6" name="覆盖 / 天"/>
    <x:tableColumn id="7" name="正常日加权日销 / 双"/>
    <x:tableColumn id="8" name="FBA可售库存 / 双"/>
    <x:tableColumn id="9" name="基准FBA可售库存 / 双"/>
    <x:tableColumn id="10" name="覆盖变化 / 天"/>
    <x:tableColumn id="11" name="覆盖变化率"/>
    <x:tableColumn id="12" name="基准分类"/>
    <x:tableColumn id="13" name="基准覆盖 / 天"/>
    <x:tableColumn id="14" name="辅助库存变化 / 双"/>
    <x:tableColumn id="15" name="国内可用 / 双"/>
    <x:tableColumn id="16" name="近7有效日销量"/>
    <x:tableColumn id="17" name="近14有效日销量"/>
    <x:tableColumn id="18" name="近30有效日销量"/>
    <x:tableColumn id="19" name="FBA原可用"/>
    <x:tableColumn id="20" name="买家待发货"/>
    <x:tableColumn id="21" name="分级FBA可售"/>
    <x:tableColumn id="22" name="入库中"/>
    <x:tableColumn id="23" name="实际在途"/>
    <x:tableColumn id="24" name="FBA可售"/>
    <x:tableColumn id="25" name="库存冲突"/>
    <x:tableColumn id="26" name="比较范围"/>
    <x:tableColumn id="27" name="Listing销售状态"/>
    <x:tableColumn id="28" name="日销变化 / 双"/>
    <x:tableColumn id="29" name="匹配说明"/>
    <x:tableColumn id="30" name="基准日销 / 双"/>
    <x:tableColumn id="31" name="比较键"/>
    <x:tableColumn id="32" name="本期库存有效"/>
    <x:tableColumn id="33" name="基准库存有效"/>
    <x:tableColumn id="34" name="款色分组"/>
    <x:tableColumn id="35" name="本期日销有效"/>
    <x:tableColumn id="36" name="基准日销有效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d3034f621094c1c" /><Relationship Type="http://schemas.openxmlformats.org/officeDocument/2006/relationships/table" Target="/xl/tables/table1.xml" Id="R9201b13f21554b6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d9989f207cd4590" /></Relationships>
</file>

<file path=xl/worksheets/sheet1.xml><?xml version="1.0" encoding="utf-8"?>
<x:worksheet xmlns:x="http://schemas.openxmlformats.org/spreadsheetml/2006/main">
  <x:sheetPr>
    <x:tabColor rgb="FF233F5C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8" hidden="0" customWidth="1"/>
    <x:col min="4" max="4" width="15" hidden="0" customWidth="1"/>
    <x:col min="5" max="5" width="29" hidden="0" customWidth="1"/>
    <x:col min="6" max="6" width="12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23" hidden="0" customWidth="1"/>
    <x:col min="20" max="20" width="23" hidden="0" customWidth="1"/>
    <x:col min="21" max="21" width="23" hidden="0" customWidth="1"/>
    <x:col min="22" max="22" width="23" hidden="0" customWidth="1"/>
    <x:col min="23" max="23" width="23" hidden="0" customWidth="1"/>
    <x:col min="24" max="24" width="23" hidden="0" customWidth="1"/>
    <x:col min="25" max="25" width="23" hidden="0" customWidth="1"/>
    <x:col min="26" max="26" width="23" hidden="0" customWidth="1"/>
    <x:col min="27" max="27" width="23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</x:row>
    <x:row r="2" ht="26" customHeight="1">
      <x:c r="A2" s="5" t="str">
        <x:v>冗余促销款式尺码表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</x:row>
    <x:row r="3" ht="30" customHeight="1">
      <x:c r="A3" s="3" t="str">
        <x:v>全量已知库存 / 双</x:v>
      </x:c>
      <x:c r="B3" s="3"/>
      <x:c r="C3" s="3" t="n">
        <x:f>SUM('SKU明细'!H9:H1592)</x:f>
        <x:v>17780</x:v>
      </x:c>
      <x:c r="D3" s="3"/>
      <x:c r="E3" s="3" t="str">
        <x:v>筛选后已知库存 / 双</x:v>
      </x:c>
      <x:c r="F3" s="3"/>
      <x:c r="G3" s="3" t="n">
        <x:f>SUBTOTAL(109,W9:W194)</x:f>
        <x:v>17780</x:v>
      </x:c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</x:row>
    <x:row r="4" ht="20" customHeight="1">
      <x:c r="A4" s="6" t="str">
        <x:v>尺码格显示覆盖天数；右侧比较共同SKU的两期覆盖天数、变化和变化率。库存列供辅助核对。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</x:row>
    <x:row r="5" ht="20" customHeight="1">
      <x:c r="A5" s="6" t="str">
        <x:v>销量截至 2026-10-21；基准截至 2026-10-07。覆盖天数不是库龄，不能相加。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  <x:c r="V5" s="3"/>
      <x:c r="W5" s="3"/>
      <x:c r="X5" s="3"/>
      <x:c r="Y5" s="3"/>
      <x:c r="Z5" s="3"/>
      <x:c r="AA5" s="3"/>
    </x:row>
    <x:row r="6" ht="20" customHeight="1">
      <x:c r="A6" s="6" t="str">
        <x:v>—：无此SKU；待核：数据缺失或零日销。环比只用两期共同SKU；总日销为0或数据不全时待核。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  <x:c r="Y6" s="3"/>
      <x:c r="Z6" s="3"/>
      <x:c r="AA6" s="3"/>
    </x:row>
    <x:row r="7" ht="20" customHeight="1">
      <x:c r="A7" s="6" t="str">
        <x:v>SPU库存为全量款式合计，逐行重复方便筛选，请勿重复相加。图片为款式代表图。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  <x:c r="V7" s="3"/>
      <x:c r="W7" s="3"/>
      <x:c r="X7" s="3"/>
      <x:c r="Y7" s="3"/>
      <x:c r="Z7" s="3"/>
      <x:c r="AA7" s="3"/>
    </x:row>
    <x:row r="8" ht="42" customHeight="1">
      <x:c r="A8" s="9" t="str">
        <x:v>SPU</x:v>
      </x:c>
      <x:c r="B8" s="9" t="str">
        <x:v>运营</x:v>
      </x:c>
      <x:c r="C8" s="9" t="str">
        <x:v>颜色</x:v>
      </x:c>
      <x:c r="D8" s="9" t="str">
        <x:v>颜色编码</x:v>
      </x:c>
      <x:c r="E8" s="9" t="str">
        <x:v>SKU（不含尺码）</x:v>
      </x:c>
      <x:c r="F8" s="9" t="str">
        <x:v>图片</x:v>
      </x:c>
      <x:c r="G8" s="9" t="str">
        <x:v>5码 / 天</x:v>
      </x:c>
      <x:c r="H8" s="9" t="str">
        <x:v>6码 / 天</x:v>
      </x:c>
      <x:c r="I8" s="9" t="str">
        <x:v>6.5码 / 天</x:v>
      </x:c>
      <x:c r="J8" s="9" t="str">
        <x:v>7码 / 天</x:v>
      </x:c>
      <x:c r="K8" s="9" t="str">
        <x:v>7.5码 / 天</x:v>
      </x:c>
      <x:c r="L8" s="9" t="str">
        <x:v>8码 / 天</x:v>
      </x:c>
      <x:c r="M8" s="9" t="str">
        <x:v>8.5码 / 天</x:v>
      </x:c>
      <x:c r="N8" s="9" t="str">
        <x:v>9码 / 天</x:v>
      </x:c>
      <x:c r="O8" s="9" t="str">
        <x:v>9.5码 / 天</x:v>
      </x:c>
      <x:c r="P8" s="9" t="str">
        <x:v>10码 / 天</x:v>
      </x:c>
      <x:c r="Q8" s="9" t="str">
        <x:v>10.5码 / 天</x:v>
      </x:c>
      <x:c r="R8" s="9" t="str">
        <x:v>11码 / 天</x:v>
      </x:c>
      <x:c r="S8" s="9" t="str">
        <x:v>本次可比覆盖 / 天</x:v>
      </x:c>
      <x:c r="T8" s="9" t="str">
        <x:v>基准可比覆盖 / 天</x:v>
      </x:c>
      <x:c r="U8" s="9" t="str">
        <x:v>覆盖变化 / 天</x:v>
      </x:c>
      <x:c r="V8" s="9" t="str">
        <x:v>覆盖变化率</x:v>
      </x:c>
      <x:c r="W8" s="9" t="str">
        <x:v>辅助款色库存 / 双</x:v>
      </x:c>
      <x:c r="X8" s="9" t="str">
        <x:v>本次分类</x:v>
      </x:c>
      <x:c r="Y8" s="9" t="str">
        <x:v>比较状态</x:v>
      </x:c>
      <x:c r="Z8" s="9" t="str">
        <x:v>Listing销售状态</x:v>
      </x:c>
      <x:c r="AA8" s="9" t="str">
        <x:v>辅助SPU库存 / 双</x:v>
      </x:c>
    </x:row>
    <x:row r="9" ht="54" customHeight="1">
      <x:c r="A9" s="15" t="str">
        <x:v>230918</x:v>
      </x:c>
      <x:c r="B9" s="15" t="str">
        <x:v>艾年</x:v>
      </x:c>
      <x:c r="C9" s="15" t="str">
        <x:v>黑色PU</x:v>
      </x:c>
      <x:c r="D9" s="15" t="str">
        <x:v>BK-P</x:v>
      </x:c>
      <x:c r="E9" s="15" t="str">
        <x:v>230918-BK-P-Z</x:v>
      </x:c>
      <x:c r="F9" s="15"/>
      <x:c r="G9" s="16" t="str">
        <x:f>"—"</x:f>
        <x:v>—</x:v>
      </x:c>
      <x:c r="H9" s="16" t="n">
        <x:f>IF(AND(COUNT(INDEX('SKU明细'!$H$9:$H$1592,MATCH("[13120,""230918-BK-P-Z-6""]",'SKU明细'!$AE$9:$AE$1592,0)))=1,COUNT(INDEX('SKU明细'!$G$9:$G$1592,MATCH("[13120,""230918-BK-P-Z-6""]",'SKU明细'!$AE$9:$AE$1592,0)))=1,SUM(INDEX('SKU明细'!$G$9:$G$1592,MATCH("[13120,""230918-BK-P-Z-6""]",'SKU明细'!$AE$9:$AE$1592,0)))&gt;0),SUM(INDEX('SKU明细'!$H$9:$H$1592,MATCH("[13120,""230918-BK-P-Z-6""]",'SKU明细'!$AE$9:$AE$1592,0)))/SUM(INDEX('SKU明细'!$G$9:$G$1592,MATCH("[13120,""230918-BK-P-Z-6""]",'SKU明细'!$AE$9:$AE$1592,0))),"待核")</x:f>
        <x:v>51.21951219512195</x:v>
      </x:c>
      <x:c r="I9" s="16" t="str">
        <x:f>"—"</x:f>
        <x:v>—</x:v>
      </x:c>
      <x:c r="J9" s="16" t="n">
        <x:f>IF(AND(COUNT(INDEX('SKU明细'!$H$9:$H$1592,MATCH("[13120,""230918-BK-P-Z-7""]",'SKU明细'!$AE$9:$AE$1592,0)))=1,COUNT(INDEX('SKU明细'!$G$9:$G$1592,MATCH("[13120,""230918-BK-P-Z-7""]",'SKU明细'!$AE$9:$AE$1592,0)))=1,SUM(INDEX('SKU明细'!$G$9:$G$1592,MATCH("[13120,""230918-BK-P-Z-7""]",'SKU明细'!$AE$9:$AE$1592,0)))&gt;0),SUM(INDEX('SKU明细'!$H$9:$H$1592,MATCH("[13120,""230918-BK-P-Z-7""]",'SKU明细'!$AE$9:$AE$1592,0)))/SUM(INDEX('SKU明细'!$G$9:$G$1592,MATCH("[13120,""230918-BK-P-Z-7""]",'SKU明细'!$AE$9:$AE$1592,0))),"待核")</x:f>
        <x:v>10.85037674919268</x:v>
      </x:c>
      <x:c r="K9" s="16" t="str">
        <x:f>"—"</x:f>
        <x:v>—</x:v>
      </x:c>
      <x:c r="L9" s="16" t="n">
        <x:f>IF(AND(COUNT(INDEX('SKU明细'!$H$9:$H$1592,MATCH("[13120,""230918-BK-P-Z-8""]",'SKU明细'!$AE$9:$AE$1592,0)))=1,COUNT(INDEX('SKU明细'!$G$9:$G$1592,MATCH("[13120,""230918-BK-P-Z-8""]",'SKU明细'!$AE$9:$AE$1592,0)))=1,SUM(INDEX('SKU明细'!$G$9:$G$1592,MATCH("[13120,""230918-BK-P-Z-8""]",'SKU明细'!$AE$9:$AE$1592,0)))&gt;0),SUM(INDEX('SKU明细'!$H$9:$H$1592,MATCH("[13120,""230918-BK-P-Z-8""]",'SKU明细'!$AE$9:$AE$1592,0)))/SUM(INDEX('SKU明细'!$G$9:$G$1592,MATCH("[13120,""230918-BK-P-Z-8""]",'SKU明细'!$AE$9:$AE$1592,0))),"待核")</x:f>
        <x:v>39.73146170277693</x:v>
      </x:c>
      <x:c r="M9" s="16" t="str">
        <x:f>"—"</x:f>
        <x:v>—</x:v>
      </x:c>
      <x:c r="N9" s="16" t="n">
        <x:f>IF(AND(COUNT(INDEX('SKU明细'!$H$9:$H$1592,MATCH("[13120,""230918-BK-P-Z-9""]",'SKU明细'!$AE$9:$AE$1592,0)))=1,COUNT(INDEX('SKU明细'!$G$9:$G$1592,MATCH("[13120,""230918-BK-P-Z-9""]",'SKU明细'!$AE$9:$AE$1592,0)))=1,SUM(INDEX('SKU明细'!$G$9:$G$1592,MATCH("[13120,""230918-BK-P-Z-9""]",'SKU明细'!$AE$9:$AE$1592,0)))&gt;0),SUM(INDEX('SKU明细'!$H$9:$H$1592,MATCH("[13120,""230918-BK-P-Z-9""]",'SKU明细'!$AE$9:$AE$1592,0)))/SUM(INDEX('SKU明细'!$G$9:$G$1592,MATCH("[13120,""230918-BK-P-Z-9""]",'SKU明细'!$AE$9:$AE$1592,0))),"待核")</x:f>
        <x:v>9.920143965808121</x:v>
      </x:c>
      <x:c r="O9" s="16" t="str">
        <x:f>"—"</x:f>
        <x:v>—</x:v>
      </x:c>
      <x:c r="P9" s="16" t="n">
        <x:f>IF(AND(COUNT(INDEX('SKU明细'!$H$9:$H$1592,MATCH("[13120,""230918-BK-P-Z-10""]",'SKU明细'!$AE$9:$AE$1592,0)))=1,COUNT(INDEX('SKU明细'!$G$9:$G$1592,MATCH("[13120,""230918-BK-P-Z-10""]",'SKU明细'!$AE$9:$AE$1592,0)))=1,SUM(INDEX('SKU明细'!$G$9:$G$1592,MATCH("[13120,""230918-BK-P-Z-10""]",'SKU明细'!$AE$9:$AE$1592,0)))&gt;0),SUM(INDEX('SKU明细'!$H$9:$H$1592,MATCH("[13120,""230918-BK-P-Z-10""]",'SKU明细'!$AE$9:$AE$1592,0)))/SUM(INDEX('SKU明细'!$G$9:$G$1592,MATCH("[13120,""230918-BK-P-Z-10""]",'SKU明细'!$AE$9:$AE$1592,0))),"待核")</x:f>
        <x:v>2.825428859737639</x:v>
      </x:c>
      <x:c r="Q9" s="16" t="str">
        <x:f>"—"</x:f>
        <x:v>—</x:v>
      </x:c>
      <x:c r="R9" s="16" t="n">
        <x:f>IF(AND(COUNT(INDEX('SKU明细'!$H$9:$H$1592,MATCH("[13120,""230918-BK-P-Z-11""]",'SKU明细'!$AE$9:$AE$1592,0)))=1,COUNT(INDEX('SKU明细'!$G$9:$G$1592,MATCH("[13120,""230918-BK-P-Z-11""]",'SKU明细'!$AE$9:$AE$1592,0)))=1,SUM(INDEX('SKU明细'!$G$9:$G$1592,MATCH("[13120,""230918-BK-P-Z-11""]",'SKU明细'!$AE$9:$AE$1592,0)))&gt;0),SUM(INDEX('SKU明细'!$H$9:$H$1592,MATCH("[13120,""230918-BK-P-Z-11""]",'SKU明细'!$AE$9:$AE$1592,0)))/SUM(INDEX('SKU明细'!$G$9:$G$1592,MATCH("[13120,""230918-BK-P-Z-11""]",'SKU明细'!$AE$9:$AE$1592,0))),"待核")</x:f>
        <x:v>27.603640040444894</x:v>
      </x:c>
      <x:c r="S9" s="16" t="n">
        <x:f>IF(AND(COUNT(INDEX('SKU明细'!$H$9:$H$1592,MATCH("[13120,""230918-BK-P-Z-10""]",'SKU明细'!$AE$9:$AE$1592,0)),INDEX('SKU明细'!$H$9:$H$1592,MATCH("[13120,""230918-BK-P-Z-11""]",'SKU明细'!$AE$9:$AE$1592,0)),INDEX('SKU明细'!$H$9:$H$1592,MATCH("[13120,""230918-BK-P-Z-6""]",'SKU明细'!$AE$9:$AE$1592,0)),INDEX('SKU明细'!$H$9:$H$1592,MATCH("[13120,""230918-BK-P-Z-7""]",'SKU明细'!$AE$9:$AE$1592,0)),INDEX('SKU明细'!$H$9:$H$1592,MATCH("[13120,""230918-BK-P-Z-8""]",'SKU明细'!$AE$9:$AE$1592,0)),INDEX('SKU明细'!$H$9:$H$1592,MATCH("[13120,""230918-BK-P-Z-9""]",'SKU明细'!$AE$9:$AE$1592,0)))=6,COUNT(INDEX('SKU明细'!$G$9:$G$1592,MATCH("[13120,""230918-BK-P-Z-10""]",'SKU明细'!$AE$9:$AE$1592,0)),INDEX('SKU明细'!$G$9:$G$1592,MATCH("[13120,""230918-BK-P-Z-11""]",'SKU明细'!$AE$9:$AE$1592,0)),INDEX('SKU明细'!$G$9:$G$1592,MATCH("[13120,""230918-BK-P-Z-6""]",'SKU明细'!$AE$9:$AE$1592,0)),INDEX('SKU明细'!$G$9:$G$1592,MATCH("[13120,""230918-BK-P-Z-7""]",'SKU明细'!$AE$9:$AE$1592,0)),INDEX('SKU明细'!$G$9:$G$1592,MATCH("[13120,""230918-BK-P-Z-8""]",'SKU明细'!$AE$9:$AE$1592,0)),INDEX('SKU明细'!$G$9:$G$1592,MATCH("[13120,""230918-BK-P-Z-9""]",'SKU明细'!$AE$9:$AE$1592,0)))=6,SUM(INDEX('SKU明细'!$G$9:$G$1592,MATCH("[13120,""230918-BK-P-Z-10""]",'SKU明细'!$AE$9:$AE$1592,0)),INDEX('SKU明细'!$G$9:$G$1592,MATCH("[13120,""230918-BK-P-Z-11""]",'SKU明细'!$AE$9:$AE$1592,0)),INDEX('SKU明细'!$G$9:$G$1592,MATCH("[13120,""230918-BK-P-Z-6""]",'SKU明细'!$AE$9:$AE$1592,0)),INDEX('SKU明细'!$G$9:$G$1592,MATCH("[13120,""230918-BK-P-Z-7""]",'SKU明细'!$AE$9:$AE$1592,0)),INDEX('SKU明细'!$G$9:$G$1592,MATCH("[13120,""230918-BK-P-Z-8""]",'SKU明细'!$AE$9:$AE$1592,0)),INDEX('SKU明细'!$G$9:$G$1592,MATCH("[13120,""230918-BK-P-Z-9""]",'SKU明细'!$AE$9:$AE$1592,0)))&gt;0),SUM(INDEX('SKU明细'!$H$9:$H$1592,MATCH("[13120,""230918-BK-P-Z-10""]",'SKU明细'!$AE$9:$AE$1592,0)),INDEX('SKU明细'!$H$9:$H$1592,MATCH("[13120,""230918-BK-P-Z-11""]",'SKU明细'!$AE$9:$AE$1592,0)),INDEX('SKU明细'!$H$9:$H$1592,MATCH("[13120,""230918-BK-P-Z-6""]",'SKU明细'!$AE$9:$AE$1592,0)),INDEX('SKU明细'!$H$9:$H$1592,MATCH("[13120,""230918-BK-P-Z-7""]",'SKU明细'!$AE$9:$AE$1592,0)),INDEX('SKU明细'!$H$9:$H$1592,MATCH("[13120,""230918-BK-P-Z-8""]",'SKU明细'!$AE$9:$AE$1592,0)),INDEX('SKU明细'!$H$9:$H$1592,MATCH("[13120,""230918-BK-P-Z-9""]",'SKU明细'!$AE$9:$AE$1592,0)))/SUM(INDEX('SKU明细'!$G$9:$G$1592,MATCH("[13120,""230918-BK-P-Z-10""]",'SKU明细'!$AE$9:$AE$1592,0)),INDEX('SKU明细'!$G$9:$G$1592,MATCH("[13120,""230918-BK-P-Z-11""]",'SKU明细'!$AE$9:$AE$1592,0)),INDEX('SKU明细'!$G$9:$G$1592,MATCH("[13120,""230918-BK-P-Z-6""]",'SKU明细'!$AE$9:$AE$1592,0)),INDEX('SKU明细'!$G$9:$G$1592,MATCH("[13120,""230918-BK-P-Z-7""]",'SKU明细'!$AE$9:$AE$1592,0)),INDEX('SKU明细'!$G$9:$G$1592,MATCH("[13120,""230918-BK-P-Z-8""]",'SKU明细'!$AE$9:$AE$1592,0)),INDEX('SKU明细'!$G$9:$G$1592,MATCH("[13120,""230918-BK-P-Z-9""]",'SKU明细'!$AE$9:$AE$1592,0))),"待核")</x:f>
        <x:v>19.271459485453235</x:v>
      </x:c>
      <x:c r="T9" s="16" t="n">
        <x:f>IF(AND(COUNT(INDEX('SKU明细'!$I$9:$I$1592,MATCH("[13120,""230918-BK-P-Z-10""]",'SKU明细'!$AE$9:$AE$1592,0)),INDEX('SKU明细'!$I$9:$I$1592,MATCH("[13120,""230918-BK-P-Z-11""]",'SKU明细'!$AE$9:$AE$1592,0)),INDEX('SKU明细'!$I$9:$I$1592,MATCH("[13120,""230918-BK-P-Z-6""]",'SKU明细'!$AE$9:$AE$1592,0)),INDEX('SKU明细'!$I$9:$I$1592,MATCH("[13120,""230918-BK-P-Z-7""]",'SKU明细'!$AE$9:$AE$1592,0)),INDEX('SKU明细'!$I$9:$I$1592,MATCH("[13120,""230918-BK-P-Z-8""]",'SKU明细'!$AE$9:$AE$1592,0)),INDEX('SKU明细'!$I$9:$I$1592,MATCH("[13120,""230918-BK-P-Z-9""]",'SKU明细'!$AE$9:$AE$1592,0)))=6,COUNT(INDEX('SKU明细'!$AD$9:$AD$1592,MATCH("[13120,""230918-BK-P-Z-10""]",'SKU明细'!$AE$9:$AE$1592,0)),INDEX('SKU明细'!$AD$9:$AD$1592,MATCH("[13120,""230918-BK-P-Z-11""]",'SKU明细'!$AE$9:$AE$1592,0)),INDEX('SKU明细'!$AD$9:$AD$1592,MATCH("[13120,""230918-BK-P-Z-6""]",'SKU明细'!$AE$9:$AE$1592,0)),INDEX('SKU明细'!$AD$9:$AD$1592,MATCH("[13120,""230918-BK-P-Z-7""]",'SKU明细'!$AE$9:$AE$1592,0)),INDEX('SKU明细'!$AD$9:$AD$1592,MATCH("[13120,""230918-BK-P-Z-8""]",'SKU明细'!$AE$9:$AE$1592,0)),INDEX('SKU明细'!$AD$9:$AD$1592,MATCH("[13120,""230918-BK-P-Z-9""]",'SKU明细'!$AE$9:$AE$1592,0)))=6,SUM(INDEX('SKU明细'!$AD$9:$AD$1592,MATCH("[13120,""230918-BK-P-Z-10""]",'SKU明细'!$AE$9:$AE$1592,0)),INDEX('SKU明细'!$AD$9:$AD$1592,MATCH("[13120,""230918-BK-P-Z-11""]",'SKU明细'!$AE$9:$AE$1592,0)),INDEX('SKU明细'!$AD$9:$AD$1592,MATCH("[13120,""230918-BK-P-Z-6""]",'SKU明细'!$AE$9:$AE$1592,0)),INDEX('SKU明细'!$AD$9:$AD$1592,MATCH("[13120,""230918-BK-P-Z-7""]",'SKU明细'!$AE$9:$AE$1592,0)),INDEX('SKU明细'!$AD$9:$AD$1592,MATCH("[13120,""230918-BK-P-Z-8""]",'SKU明细'!$AE$9:$AE$1592,0)),INDEX('SKU明细'!$AD$9:$AD$1592,MATCH("[13120,""230918-BK-P-Z-9""]",'SKU明细'!$AE$9:$AE$1592,0)))&gt;0),SUM(INDEX('SKU明细'!$I$9:$I$1592,MATCH("[13120,""230918-BK-P-Z-10""]",'SKU明细'!$AE$9:$AE$1592,0)),INDEX('SKU明细'!$I$9:$I$1592,MATCH("[13120,""230918-BK-P-Z-11""]",'SKU明细'!$AE$9:$AE$1592,0)),INDEX('SKU明细'!$I$9:$I$1592,MATCH("[13120,""230918-BK-P-Z-6""]",'SKU明细'!$AE$9:$AE$1592,0)),INDEX('SKU明细'!$I$9:$I$1592,MATCH("[13120,""230918-BK-P-Z-7""]",'SKU明细'!$AE$9:$AE$1592,0)),INDEX('SKU明细'!$I$9:$I$1592,MATCH("[13120,""230918-BK-P-Z-8""]",'SKU明细'!$AE$9:$AE$1592,0)),INDEX('SKU明细'!$I$9:$I$1592,MATCH("[13120,""230918-BK-P-Z-9""]",'SKU明细'!$AE$9:$AE$1592,0)))/SUM(INDEX('SKU明细'!$AD$9:$AD$1592,MATCH("[13120,""230918-BK-P-Z-10""]",'SKU明细'!$AE$9:$AE$1592,0)),INDEX('SKU明细'!$AD$9:$AD$1592,MATCH("[13120,""230918-BK-P-Z-11""]",'SKU明细'!$AE$9:$AE$1592,0)),INDEX('SKU明细'!$AD$9:$AD$1592,MATCH("[13120,""230918-BK-P-Z-6""]",'SKU明细'!$AE$9:$AE$1592,0)),INDEX('SKU明细'!$AD$9:$AD$1592,MATCH("[13120,""230918-BK-P-Z-7""]",'SKU明细'!$AE$9:$AE$1592,0)),INDEX('SKU明细'!$AD$9:$AD$1592,MATCH("[13120,""230918-BK-P-Z-8""]",'SKU明细'!$AE$9:$AE$1592,0)),INDEX('SKU明细'!$AD$9:$AD$1592,MATCH("[13120,""230918-BK-P-Z-9""]",'SKU明细'!$AE$9:$AE$1592,0))),"待核")</x:f>
        <x:v>34.01523786669866</x:v>
      </x:c>
      <x:c r="U9" s="16" t="n">
        <x:f>IF(COUNT(S9:T9)=2,S9-T9,"待核")</x:f>
        <x:v>-14.743778381245427</x:v>
      </x:c>
      <x:c r="V9" s="17" t="n">
        <x:f>IF(AND(ISNUMBER(U9),ISNUMBER(T9),T9&lt;&gt;0),U9/T9,"")</x:f>
        <x:v>-0.4334462818994357</x:v>
      </x:c>
      <x:c r="W9" s="18" t="n">
        <x:f>IF(COUNT(INDEX('SKU明细'!$H$9:$H$1592,MATCH("[13120,""230918-BK-P-Z-10""]",'SKU明细'!$AE$9:$AE$1592,0)),INDEX('SKU明细'!$H$9:$H$1592,MATCH("[13120,""230918-BK-P-Z-11""]",'SKU明细'!$AE$9:$AE$1592,0)),INDEX('SKU明细'!$H$9:$H$1592,MATCH("[13120,""230918-BK-P-Z-6""]",'SKU明细'!$AE$9:$AE$1592,0)),INDEX('SKU明细'!$H$9:$H$1592,MATCH("[13120,""230918-BK-P-Z-7""]",'SKU明细'!$AE$9:$AE$1592,0)),INDEX('SKU明细'!$H$9:$H$1592,MATCH("[13120,""230918-BK-P-Z-8""]",'SKU明细'!$AE$9:$AE$1592,0)),INDEX('SKU明细'!$H$9:$H$1592,MATCH("[13120,""230918-BK-P-Z-9""]",'SKU明细'!$AE$9:$AE$1592,0)))=0,"待核",SUM(INDEX('SKU明细'!$H$9:$H$1592,MATCH("[13120,""230918-BK-P-Z-10""]",'SKU明细'!$AE$9:$AE$1592,0)),INDEX('SKU明细'!$H$9:$H$1592,MATCH("[13120,""230918-BK-P-Z-11""]",'SKU明细'!$AE$9:$AE$1592,0)),INDEX('SKU明细'!$H$9:$H$1592,MATCH("[13120,""230918-BK-P-Z-6""]",'SKU明细'!$AE$9:$AE$1592,0)),INDEX('SKU明细'!$H$9:$H$1592,MATCH("[13120,""230918-BK-P-Z-7""]",'SKU明细'!$AE$9:$AE$1592,0)),INDEX('SKU明细'!$H$9:$H$1592,MATCH("[13120,""230918-BK-P-Z-8""]",'SKU明细'!$AE$9:$AE$1592,0)),INDEX('SKU明细'!$H$9:$H$1592,MATCH("[13120,""230918-BK-P-Z-9""]",'SKU明细'!$AE$9:$AE$1592,0))))</x:f>
        <x:v>229</x:v>
      </x:c>
      <x:c r="X9" s="19" t="str">
        <x:f>IF(COUNTIFS('SKU明细'!$AH$9:$AH$1592,"[""230918"",""230918-BK-P-Z"",""BK-P"",""黑色PU""]",'SKU明细'!$E$9:$E$1592,"促销")&gt;0,"促销 ","")&amp;IF(COUNTIFS('SKU明细'!$AH$9:$AH$1592,"[""230918"",""230918-BK-P-Z"",""BK-P"",""黑色PU""]",'SKU明细'!$E$9:$E$1592,"红线促销")&gt;0,"红线促销 ","")&amp;IF(COUNTIFS('SKU明细'!$AH$9:$AH$1592,"[""230918"",""230918-BK-P-Z"",""BK-P"",""黑色PU""]",'SKU明细'!$E$9:$E$1592,"考虑清仓")&gt;0,"考虑清仓 ","")&amp;IF(COUNTIFS('SKU明细'!$AH$9:$AH$1592,"[""230918"",""230918-BK-P-Z"",""BK-P"",""黑色PU""]",'SKU明细'!$E$9:$E$1592,"断货")&gt;0,"断货 ","")&amp;IF(COUNTIFS('SKU明细'!$AH$9:$AH$1592,"[""230918"",""230918-BK-P-Z"",""BK-P"",""黑色PU""]",'SKU明细'!$E$9:$E$1592,"零日销待复核")&gt;0,"零日销待复核 ","")&amp;IF(COUNTIFS('SKU明细'!$AH$9:$AH$1592,"[""230918"",""230918-BK-P-Z"",""BK-P"",""黑色PU""]",'SKU明细'!$E$9:$E$1592,"数据待核")&gt;0,"数据待核 ","")&amp;IF(COUNTIFS('SKU明细'!$AH$9:$AH$1592,"[""230918"",""230918-BK-P-Z"",""BK-P"",""黑色PU""]",'SKU明细'!$E$9:$E$1592,"正常库存")&gt;0,"正常库存 ","")&amp;IF(COUNTIFS('SKU明细'!$AH$9:$AH$1592,"[""230918"",""230918-BK-P-Z"",""BK-P"",""黑色PU""]",'SKU明细'!$E$9:$E$1592,"补货提醒")&gt;0,"补货提醒 ","")</x:f>
        <x:v>补货提醒 </x:v>
      </x:c>
      <x:c r="Y9" s="19" t="str">
        <x:f>IF(NOT(ISNUMBER(U9)),"覆盖待核／无可比基准","完整可比")</x:f>
        <x:v>完整可比</x:v>
      </x:c>
      <x:c r="Z9" s="19" t="str">
        <x:v>在售</x:v>
      </x:c>
      <x:c r="AA9" s="19" t="n">
        <x:f>IF(SUMIFS('SKU明细'!$AF$9:$AF$1592,'SKU明细'!$D$9:$D$1592,A9,'SKU明细'!$Z$9:$Z$1592,"&lt;&gt;移出")=0,"待核",SUMIFS('SKU明细'!$H$9:$H$1592,'SKU明细'!$D$9:$D$1592,A9,'SKU明细'!$Z$9:$Z$1592,"&lt;&gt;移出"))</x:f>
        <x:v>2915</x:v>
      </x:c>
    </x:row>
    <x:row r="10" ht="54" customHeight="1">
      <x:c r="A10" s="15" t="str">
        <x:v>230918</x:v>
      </x:c>
      <x:c r="B10" s="15" t="str">
        <x:v>艾年</x:v>
      </x:c>
      <x:c r="C10" s="15" t="str">
        <x:v>黑色</x:v>
      </x:c>
      <x:c r="D10" s="15" t="str">
        <x:v>BK</x:v>
      </x:c>
      <x:c r="E10" s="15" t="str">
        <x:v>230918-BK-S-Z</x:v>
      </x:c>
      <x:c r="F10" s="15"/>
      <x:c r="G10" s="16" t="str">
        <x:f>"—"</x:f>
        <x:v>—</x:v>
      </x:c>
      <x:c r="H10" s="16" t="n">
        <x:f>IF(AND(COUNT(INDEX('SKU明细'!$H$9:$H$1592,MATCH("[13120,""230918-BK-S-Z-6""]",'SKU明细'!$AE$9:$AE$1592,0)))=1,COUNT(INDEX('SKU明细'!$G$9:$G$1592,MATCH("[13120,""230918-BK-S-Z-6""]",'SKU明细'!$AE$9:$AE$1592,0)))=1,SUM(INDEX('SKU明细'!$G$9:$G$1592,MATCH("[13120,""230918-BK-S-Z-6""]",'SKU明细'!$AE$9:$AE$1592,0)))&gt;0),SUM(INDEX('SKU明细'!$H$9:$H$1592,MATCH("[13120,""230918-BK-S-Z-6""]",'SKU明细'!$AE$9:$AE$1592,0)))/SUM(INDEX('SKU明细'!$G$9:$G$1592,MATCH("[13120,""230918-BK-S-Z-6""]",'SKU明细'!$AE$9:$AE$1592,0))),"待核")</x:f>
        <x:v>13.258303595937415</x:v>
      </x:c>
      <x:c r="I10" s="16" t="str">
        <x:f>"—"</x:f>
        <x:v>—</x:v>
      </x:c>
      <x:c r="J10" s="16" t="n">
        <x:f>IF(AND(COUNT(INDEX('SKU明细'!$H$9:$H$1592,MATCH("[13120,""230918-BK-S-Z-7""]",'SKU明细'!$AE$9:$AE$1592,0)))=1,COUNT(INDEX('SKU明细'!$G$9:$G$1592,MATCH("[13120,""230918-BK-S-Z-7""]",'SKU明细'!$AE$9:$AE$1592,0)))=1,SUM(INDEX('SKU明细'!$G$9:$G$1592,MATCH("[13120,""230918-BK-S-Z-7""]",'SKU明细'!$AE$9:$AE$1592,0)))&gt;0),SUM(INDEX('SKU明细'!$H$9:$H$1592,MATCH("[13120,""230918-BK-S-Z-7""]",'SKU明细'!$AE$9:$AE$1592,0)))/SUM(INDEX('SKU明细'!$G$9:$G$1592,MATCH("[13120,""230918-BK-S-Z-7""]",'SKU明细'!$AE$9:$AE$1592,0))),"待核")</x:f>
        <x:v>0</x:v>
      </x:c>
      <x:c r="K10" s="16" t="str">
        <x:f>"—"</x:f>
        <x:v>—</x:v>
      </x:c>
      <x:c r="L10" s="16" t="n">
        <x:f>IF(AND(COUNT(INDEX('SKU明细'!$H$9:$H$1592,MATCH("[13120,""230918-BK-S-Z-8""]",'SKU明细'!$AE$9:$AE$1592,0)))=1,COUNT(INDEX('SKU明细'!$G$9:$G$1592,MATCH("[13120,""230918-BK-S-Z-8""]",'SKU明细'!$AE$9:$AE$1592,0)))=1,SUM(INDEX('SKU明细'!$G$9:$G$1592,MATCH("[13120,""230918-BK-S-Z-8""]",'SKU明细'!$AE$9:$AE$1592,0)))&gt;0),SUM(INDEX('SKU明细'!$H$9:$H$1592,MATCH("[13120,""230918-BK-S-Z-8""]",'SKU明细'!$AE$9:$AE$1592,0)))/SUM(INDEX('SKU明细'!$G$9:$G$1592,MATCH("[13120,""230918-BK-S-Z-8""]",'SKU明细'!$AE$9:$AE$1592,0))),"待核")</x:f>
        <x:v>10.756880733944955</x:v>
      </x:c>
      <x:c r="M10" s="16" t="str">
        <x:f>"—"</x:f>
        <x:v>—</x:v>
      </x:c>
      <x:c r="N10" s="16" t="n">
        <x:f>IF(AND(COUNT(INDEX('SKU明细'!$H$9:$H$1592,MATCH("[13120,""230918-BK-S-Z-9""]",'SKU明细'!$AE$9:$AE$1592,0)))=1,COUNT(INDEX('SKU明细'!$G$9:$G$1592,MATCH("[13120,""230918-BK-S-Z-9""]",'SKU明细'!$AE$9:$AE$1592,0)))=1,SUM(INDEX('SKU明细'!$G$9:$G$1592,MATCH("[13120,""230918-BK-S-Z-9""]",'SKU明细'!$AE$9:$AE$1592,0)))&gt;0),SUM(INDEX('SKU明细'!$H$9:$H$1592,MATCH("[13120,""230918-BK-S-Z-9""]",'SKU明细'!$AE$9:$AE$1592,0)))/SUM(INDEX('SKU明细'!$G$9:$G$1592,MATCH("[13120,""230918-BK-S-Z-9""]",'SKU明细'!$AE$9:$AE$1592,0))),"待核")</x:f>
        <x:v>10.158949550794746</x:v>
      </x:c>
      <x:c r="O10" s="16" t="str">
        <x:f>"—"</x:f>
        <x:v>—</x:v>
      </x:c>
      <x:c r="P10" s="16" t="n">
        <x:f>IF(AND(COUNT(INDEX('SKU明细'!$H$9:$H$1592,MATCH("[13120,""230918-BK-S-Z-10""]",'SKU明细'!$AE$9:$AE$1592,0)))=1,COUNT(INDEX('SKU明细'!$G$9:$G$1592,MATCH("[13120,""230918-BK-S-Z-10""]",'SKU明细'!$AE$9:$AE$1592,0)))=1,SUM(INDEX('SKU明细'!$G$9:$G$1592,MATCH("[13120,""230918-BK-S-Z-10""]",'SKU明细'!$AE$9:$AE$1592,0)))&gt;0),SUM(INDEX('SKU明细'!$H$9:$H$1592,MATCH("[13120,""230918-BK-S-Z-10""]",'SKU明细'!$AE$9:$AE$1592,0)))/SUM(INDEX('SKU明细'!$G$9:$G$1592,MATCH("[13120,""230918-BK-S-Z-10""]",'SKU明细'!$AE$9:$AE$1592,0))),"待核")</x:f>
        <x:v>0</x:v>
      </x:c>
      <x:c r="Q10" s="16" t="str">
        <x:f>"—"</x:f>
        <x:v>—</x:v>
      </x:c>
      <x:c r="R10" s="16" t="n">
        <x:f>IF(AND(COUNT(INDEX('SKU明细'!$H$9:$H$1592,MATCH("[13120,""230918-BK-S-Z-11""]",'SKU明细'!$AE$9:$AE$1592,0)))=1,COUNT(INDEX('SKU明细'!$G$9:$G$1592,MATCH("[13120,""230918-BK-S-Z-11""]",'SKU明细'!$AE$9:$AE$1592,0)))=1,SUM(INDEX('SKU明细'!$G$9:$G$1592,MATCH("[13120,""230918-BK-S-Z-11""]",'SKU明细'!$AE$9:$AE$1592,0)))&gt;0),SUM(INDEX('SKU明细'!$H$9:$H$1592,MATCH("[13120,""230918-BK-S-Z-11""]",'SKU明细'!$AE$9:$AE$1592,0)))/SUM(INDEX('SKU明细'!$G$9:$G$1592,MATCH("[13120,""230918-BK-S-Z-11""]",'SKU明细'!$AE$9:$AE$1592,0))),"待核")</x:f>
        <x:v>33.530183727034114</x:v>
      </x:c>
      <x:c r="S10" s="16" t="n">
        <x:f>IF(AND(COUNT(INDEX('SKU明细'!$H$9:$H$1592,MATCH("[13120,""230918-BK-S-Z-10""]",'SKU明细'!$AE$9:$AE$1592,0)),INDEX('SKU明细'!$H$9:$H$1592,MATCH("[13120,""230918-BK-S-Z-7""]",'SKU明细'!$AE$9:$AE$1592,0)),INDEX('SKU明细'!$H$9:$H$1592,MATCH("[13120,""230918-BK-S-Z-11""]",'SKU明细'!$AE$9:$AE$1592,0)),INDEX('SKU明细'!$H$9:$H$1592,MATCH("[13120,""230918-BK-S-Z-6""]",'SKU明细'!$AE$9:$AE$1592,0)),INDEX('SKU明细'!$H$9:$H$1592,MATCH("[13120,""230918-BK-S-Z-8""]",'SKU明细'!$AE$9:$AE$1592,0)),INDEX('SKU明细'!$H$9:$H$1592,MATCH("[13120,""230918-BK-S-Z-9""]",'SKU明细'!$AE$9:$AE$1592,0)))=6,COUNT(INDEX('SKU明细'!$G$9:$G$1592,MATCH("[13120,""230918-BK-S-Z-10""]",'SKU明细'!$AE$9:$AE$1592,0)),INDEX('SKU明细'!$G$9:$G$1592,MATCH("[13120,""230918-BK-S-Z-7""]",'SKU明细'!$AE$9:$AE$1592,0)),INDEX('SKU明细'!$G$9:$G$1592,MATCH("[13120,""230918-BK-S-Z-11""]",'SKU明细'!$AE$9:$AE$1592,0)),INDEX('SKU明细'!$G$9:$G$1592,MATCH("[13120,""230918-BK-S-Z-6""]",'SKU明细'!$AE$9:$AE$1592,0)),INDEX('SKU明细'!$G$9:$G$1592,MATCH("[13120,""230918-BK-S-Z-8""]",'SKU明细'!$AE$9:$AE$1592,0)),INDEX('SKU明细'!$G$9:$G$1592,MATCH("[13120,""230918-BK-S-Z-9""]",'SKU明细'!$AE$9:$AE$1592,0)))=6,SUM(INDEX('SKU明细'!$G$9:$G$1592,MATCH("[13120,""230918-BK-S-Z-10""]",'SKU明细'!$AE$9:$AE$1592,0)),INDEX('SKU明细'!$G$9:$G$1592,MATCH("[13120,""230918-BK-S-Z-7""]",'SKU明细'!$AE$9:$AE$1592,0)),INDEX('SKU明细'!$G$9:$G$1592,MATCH("[13120,""230918-BK-S-Z-11""]",'SKU明细'!$AE$9:$AE$1592,0)),INDEX('SKU明细'!$G$9:$G$1592,MATCH("[13120,""230918-BK-S-Z-6""]",'SKU明细'!$AE$9:$AE$1592,0)),INDEX('SKU明细'!$G$9:$G$1592,MATCH("[13120,""230918-BK-S-Z-8""]",'SKU明细'!$AE$9:$AE$1592,0)),INDEX('SKU明细'!$G$9:$G$1592,MATCH("[13120,""230918-BK-S-Z-9""]",'SKU明细'!$AE$9:$AE$1592,0)))&gt;0),SUM(INDEX('SKU明细'!$H$9:$H$1592,MATCH("[13120,""230918-BK-S-Z-10""]",'SKU明细'!$AE$9:$AE$1592,0)),INDEX('SKU明细'!$H$9:$H$1592,MATCH("[13120,""230918-BK-S-Z-7""]",'SKU明细'!$AE$9:$AE$1592,0)),INDEX('SKU明细'!$H$9:$H$1592,MATCH("[13120,""230918-BK-S-Z-11""]",'SKU明细'!$AE$9:$AE$1592,0)),INDEX('SKU明细'!$H$9:$H$1592,MATCH("[13120,""230918-BK-S-Z-6""]",'SKU明细'!$AE$9:$AE$1592,0)),INDEX('SKU明细'!$H$9:$H$1592,MATCH("[13120,""230918-BK-S-Z-8""]",'SKU明细'!$AE$9:$AE$1592,0)),INDEX('SKU明细'!$H$9:$H$1592,MATCH("[13120,""230918-BK-S-Z-9""]",'SKU明细'!$AE$9:$AE$1592,0)))/SUM(INDEX('SKU明细'!$G$9:$G$1592,MATCH("[13120,""230918-BK-S-Z-10""]",'SKU明细'!$AE$9:$AE$1592,0)),INDEX('SKU明细'!$G$9:$G$1592,MATCH("[13120,""230918-BK-S-Z-7""]",'SKU明细'!$AE$9:$AE$1592,0)),INDEX('SKU明细'!$G$9:$G$1592,MATCH("[13120,""230918-BK-S-Z-11""]",'SKU明细'!$AE$9:$AE$1592,0)),INDEX('SKU明细'!$G$9:$G$1592,MATCH("[13120,""230918-BK-S-Z-6""]",'SKU明细'!$AE$9:$AE$1592,0)),INDEX('SKU明细'!$G$9:$G$1592,MATCH("[13120,""230918-BK-S-Z-8""]",'SKU明细'!$AE$9:$AE$1592,0)),INDEX('SKU明细'!$G$9:$G$1592,MATCH("[13120,""230918-BK-S-Z-9""]",'SKU明细'!$AE$9:$AE$1592,0))),"待核")</x:f>
        <x:v>10.994984954864593</x:v>
      </x:c>
      <x:c r="T10" s="16" t="n">
        <x:f>IF(AND(COUNT(INDEX('SKU明细'!$I$9:$I$1592,MATCH("[13120,""230918-BK-S-Z-10""]",'SKU明细'!$AE$9:$AE$1592,0)),INDEX('SKU明细'!$I$9:$I$1592,MATCH("[13120,""230918-BK-S-Z-7""]",'SKU明细'!$AE$9:$AE$1592,0)),INDEX('SKU明细'!$I$9:$I$1592,MATCH("[13120,""230918-BK-S-Z-11""]",'SKU明细'!$AE$9:$AE$1592,0)),INDEX('SKU明细'!$I$9:$I$1592,MATCH("[13120,""230918-BK-S-Z-6""]",'SKU明细'!$AE$9:$AE$1592,0)),INDEX('SKU明细'!$I$9:$I$1592,MATCH("[13120,""230918-BK-S-Z-8""]",'SKU明细'!$AE$9:$AE$1592,0)),INDEX('SKU明细'!$I$9:$I$1592,MATCH("[13120,""230918-BK-S-Z-9""]",'SKU明细'!$AE$9:$AE$1592,0)))=6,COUNT(INDEX('SKU明细'!$AD$9:$AD$1592,MATCH("[13120,""230918-BK-S-Z-10""]",'SKU明细'!$AE$9:$AE$1592,0)),INDEX('SKU明细'!$AD$9:$AD$1592,MATCH("[13120,""230918-BK-S-Z-7""]",'SKU明细'!$AE$9:$AE$1592,0)),INDEX('SKU明细'!$AD$9:$AD$1592,MATCH("[13120,""230918-BK-S-Z-11""]",'SKU明细'!$AE$9:$AE$1592,0)),INDEX('SKU明细'!$AD$9:$AD$1592,MATCH("[13120,""230918-BK-S-Z-6""]",'SKU明细'!$AE$9:$AE$1592,0)),INDEX('SKU明细'!$AD$9:$AD$1592,MATCH("[13120,""230918-BK-S-Z-8""]",'SKU明细'!$AE$9:$AE$1592,0)),INDEX('SKU明细'!$AD$9:$AD$1592,MATCH("[13120,""230918-BK-S-Z-9""]",'SKU明细'!$AE$9:$AE$1592,0)))=6,SUM(INDEX('SKU明细'!$AD$9:$AD$1592,MATCH("[13120,""230918-BK-S-Z-10""]",'SKU明细'!$AE$9:$AE$1592,0)),INDEX('SKU明细'!$AD$9:$AD$1592,MATCH("[13120,""230918-BK-S-Z-7""]",'SKU明细'!$AE$9:$AE$1592,0)),INDEX('SKU明细'!$AD$9:$AD$1592,MATCH("[13120,""230918-BK-S-Z-11""]",'SKU明细'!$AE$9:$AE$1592,0)),INDEX('SKU明细'!$AD$9:$AD$1592,MATCH("[13120,""230918-BK-S-Z-6""]",'SKU明细'!$AE$9:$AE$1592,0)),INDEX('SKU明细'!$AD$9:$AD$1592,MATCH("[13120,""230918-BK-S-Z-8""]",'SKU明细'!$AE$9:$AE$1592,0)),INDEX('SKU明细'!$AD$9:$AD$1592,MATCH("[13120,""230918-BK-S-Z-9""]",'SKU明细'!$AE$9:$AE$1592,0)))&gt;0),SUM(INDEX('SKU明细'!$I$9:$I$1592,MATCH("[13120,""230918-BK-S-Z-10""]",'SKU明细'!$AE$9:$AE$1592,0)),INDEX('SKU明细'!$I$9:$I$1592,MATCH("[13120,""230918-BK-S-Z-7""]",'SKU明细'!$AE$9:$AE$1592,0)),INDEX('SKU明细'!$I$9:$I$1592,MATCH("[13120,""230918-BK-S-Z-11""]",'SKU明细'!$AE$9:$AE$1592,0)),INDEX('SKU明细'!$I$9:$I$1592,MATCH("[13120,""230918-BK-S-Z-6""]",'SKU明细'!$AE$9:$AE$1592,0)),INDEX('SKU明细'!$I$9:$I$1592,MATCH("[13120,""230918-BK-S-Z-8""]",'SKU明细'!$AE$9:$AE$1592,0)),INDEX('SKU明细'!$I$9:$I$1592,MATCH("[13120,""230918-BK-S-Z-9""]",'SKU明细'!$AE$9:$AE$1592,0)))/SUM(INDEX('SKU明细'!$AD$9:$AD$1592,MATCH("[13120,""230918-BK-S-Z-10""]",'SKU明细'!$AE$9:$AE$1592,0)),INDEX('SKU明细'!$AD$9:$AD$1592,MATCH("[13120,""230918-BK-S-Z-7""]",'SKU明细'!$AE$9:$AE$1592,0)),INDEX('SKU明细'!$AD$9:$AD$1592,MATCH("[13120,""230918-BK-S-Z-11""]",'SKU明细'!$AE$9:$AE$1592,0)),INDEX('SKU明细'!$AD$9:$AD$1592,MATCH("[13120,""230918-BK-S-Z-6""]",'SKU明细'!$AE$9:$AE$1592,0)),INDEX('SKU明细'!$AD$9:$AD$1592,MATCH("[13120,""230918-BK-S-Z-8""]",'SKU明细'!$AE$9:$AE$1592,0)),INDEX('SKU明细'!$AD$9:$AD$1592,MATCH("[13120,""230918-BK-S-Z-9""]",'SKU明细'!$AE$9:$AE$1592,0))),"待核")</x:f>
        <x:v>28.504563538497543</x:v>
      </x:c>
      <x:c r="U10" s="16" t="n">
        <x:f>IF(COUNT(S10:T10)=2,S10-T10,"待核")</x:f>
        <x:v>-17.50957858363295</x:v>
      </x:c>
      <x:c r="V10" s="17" t="n">
        <x:f>IF(AND(ISNUMBER(U10),ISNUMBER(T10),T10&lt;&gt;0),U10/T10,"")</x:f>
        <x:v>-0.6142728184553662</x:v>
      </x:c>
      <x:c r="W10" s="18" t="n">
        <x:f>IF(COUNT(INDEX('SKU明细'!$H$9:$H$1592,MATCH("[13120,""230918-BK-S-Z-10""]",'SKU明细'!$AE$9:$AE$1592,0)),INDEX('SKU明细'!$H$9:$H$1592,MATCH("[13120,""230918-BK-S-Z-7""]",'SKU明细'!$AE$9:$AE$1592,0)),INDEX('SKU明细'!$H$9:$H$1592,MATCH("[13120,""230918-BK-S-Z-11""]",'SKU明细'!$AE$9:$AE$1592,0)),INDEX('SKU明细'!$H$9:$H$1592,MATCH("[13120,""230918-BK-S-Z-6""]",'SKU明细'!$AE$9:$AE$1592,0)),INDEX('SKU明细'!$H$9:$H$1592,MATCH("[13120,""230918-BK-S-Z-8""]",'SKU明细'!$AE$9:$AE$1592,0)),INDEX('SKU明细'!$H$9:$H$1592,MATCH("[13120,""230918-BK-S-Z-9""]",'SKU明细'!$AE$9:$AE$1592,0)))=0,"待核",SUM(INDEX('SKU明细'!$H$9:$H$1592,MATCH("[13120,""230918-BK-S-Z-10""]",'SKU明细'!$AE$9:$AE$1592,0)),INDEX('SKU明细'!$H$9:$H$1592,MATCH("[13120,""230918-BK-S-Z-7""]",'SKU明细'!$AE$9:$AE$1592,0)),INDEX('SKU明细'!$H$9:$H$1592,MATCH("[13120,""230918-BK-S-Z-11""]",'SKU明细'!$AE$9:$AE$1592,0)),INDEX('SKU明细'!$H$9:$H$1592,MATCH("[13120,""230918-BK-S-Z-6""]",'SKU明细'!$AE$9:$AE$1592,0)),INDEX('SKU明细'!$H$9:$H$1592,MATCH("[13120,""230918-BK-S-Z-8""]",'SKU明细'!$AE$9:$AE$1592,0)),INDEX('SKU明细'!$H$9:$H$1592,MATCH("[13120,""230918-BK-S-Z-9""]",'SKU明细'!$AE$9:$AE$1592,0))))</x:f>
        <x:v>261</x:v>
      </x:c>
      <x:c r="X10" s="19" t="str">
        <x:f>IF(COUNTIFS('SKU明细'!$AH$9:$AH$1592,"[""230918"",""230918-BK-S-Z"",""BK"",""黑色""]",'SKU明细'!$E$9:$E$1592,"促销")&gt;0,"促销 ","")&amp;IF(COUNTIFS('SKU明细'!$AH$9:$AH$1592,"[""230918"",""230918-BK-S-Z"",""BK"",""黑色""]",'SKU明细'!$E$9:$E$1592,"红线促销")&gt;0,"红线促销 ","")&amp;IF(COUNTIFS('SKU明细'!$AH$9:$AH$1592,"[""230918"",""230918-BK-S-Z"",""BK"",""黑色""]",'SKU明细'!$E$9:$E$1592,"考虑清仓")&gt;0,"考虑清仓 ","")&amp;IF(COUNTIFS('SKU明细'!$AH$9:$AH$1592,"[""230918"",""230918-BK-S-Z"",""BK"",""黑色""]",'SKU明细'!$E$9:$E$1592,"断货")&gt;0,"断货 ","")&amp;IF(COUNTIFS('SKU明细'!$AH$9:$AH$1592,"[""230918"",""230918-BK-S-Z"",""BK"",""黑色""]",'SKU明细'!$E$9:$E$1592,"零日销待复核")&gt;0,"零日销待复核 ","")&amp;IF(COUNTIFS('SKU明细'!$AH$9:$AH$1592,"[""230918"",""230918-BK-S-Z"",""BK"",""黑色""]",'SKU明细'!$E$9:$E$1592,"数据待核")&gt;0,"数据待核 ","")&amp;IF(COUNTIFS('SKU明细'!$AH$9:$AH$1592,"[""230918"",""230918-BK-S-Z"",""BK"",""黑色""]",'SKU明细'!$E$9:$E$1592,"正常库存")&gt;0,"正常库存 ","")&amp;IF(COUNTIFS('SKU明细'!$AH$9:$AH$1592,"[""230918"",""230918-BK-S-Z"",""BK"",""黑色""]",'SKU明细'!$E$9:$E$1592,"补货提醒")&gt;0,"补货提醒 ","")</x:f>
        <x:v>断货 补货提醒 </x:v>
      </x:c>
      <x:c r="Y10" s="19" t="str">
        <x:f>IF(NOT(ISNUMBER(U10)),"覆盖待核／无可比基准","完整可比")</x:f>
        <x:v>完整可比</x:v>
      </x:c>
      <x:c r="Z10" s="19" t="str">
        <x:v>在售</x:v>
      </x:c>
      <x:c r="AA10" s="19" t="n">
        <x:f>IF(SUMIFS('SKU明细'!$AF$9:$AF$1592,'SKU明细'!$D$9:$D$1592,A10,'SKU明细'!$Z$9:$Z$1592,"&lt;&gt;移出")=0,"待核",SUMIFS('SKU明细'!$H$9:$H$1592,'SKU明细'!$D$9:$D$1592,A10,'SKU明细'!$Z$9:$Z$1592,"&lt;&gt;移出"))</x:f>
        <x:v>2915</x:v>
      </x:c>
    </x:row>
    <x:row r="11" ht="54" customHeight="1">
      <x:c r="A11" s="15" t="str">
        <x:v>230918</x:v>
      </x:c>
      <x:c r="B11" s="15" t="str">
        <x:v>艾年</x:v>
      </x:c>
      <x:c r="C11" s="15" t="str">
        <x:v>米白色PU</x:v>
      </x:c>
      <x:c r="D11" s="15" t="str">
        <x:v>BW</x:v>
      </x:c>
      <x:c r="E11" s="15" t="str">
        <x:v>230918-BW-S-Z</x:v>
      </x:c>
      <x:c r="F11" s="15"/>
      <x:c r="G11" s="16" t="str">
        <x:f>"—"</x:f>
        <x:v>—</x:v>
      </x:c>
      <x:c r="H11" s="16" t="n">
        <x:f>IF(AND(COUNT(INDEX('SKU明细'!$H$9:$H$1592,MATCH("[13120,""230918-BW-S-Z-6""]",'SKU明细'!$AE$9:$AE$1592,0)))=1,COUNT(INDEX('SKU明细'!$G$9:$G$1592,MATCH("[13120,""230918-BW-S-Z-6""]",'SKU明细'!$AE$9:$AE$1592,0)))=1,SUM(INDEX('SKU明细'!$G$9:$G$1592,MATCH("[13120,""230918-BW-S-Z-6""]",'SKU明细'!$AE$9:$AE$1592,0)))&gt;0),SUM(INDEX('SKU明细'!$H$9:$H$1592,MATCH("[13120,""230918-BW-S-Z-6""]",'SKU明细'!$AE$9:$AE$1592,0)))/SUM(INDEX('SKU明细'!$G$9:$G$1592,MATCH("[13120,""230918-BW-S-Z-6""]",'SKU明细'!$AE$9:$AE$1592,0))),"待核")</x:f>
        <x:v>84.36154949784792</x:v>
      </x:c>
      <x:c r="I11" s="16" t="str">
        <x:f>"—"</x:f>
        <x:v>—</x:v>
      </x:c>
      <x:c r="J11" s="16" t="n">
        <x:f>IF(AND(COUNT(INDEX('SKU明细'!$H$9:$H$1592,MATCH("[13120,""230918-BW-S-Z-7""]",'SKU明细'!$AE$9:$AE$1592,0)))=1,COUNT(INDEX('SKU明细'!$G$9:$G$1592,MATCH("[13120,""230918-BW-S-Z-7""]",'SKU明细'!$AE$9:$AE$1592,0)))=1,SUM(INDEX('SKU明细'!$G$9:$G$1592,MATCH("[13120,""230918-BW-S-Z-7""]",'SKU明细'!$AE$9:$AE$1592,0)))&gt;0),SUM(INDEX('SKU明细'!$H$9:$H$1592,MATCH("[13120,""230918-BW-S-Z-7""]",'SKU明细'!$AE$9:$AE$1592,0)))/SUM(INDEX('SKU明细'!$G$9:$G$1592,MATCH("[13120,""230918-BW-S-Z-7""]",'SKU明细'!$AE$9:$AE$1592,0))),"待核")</x:f>
        <x:v>209.62566844919786</x:v>
      </x:c>
      <x:c r="K11" s="16" t="str">
        <x:f>"—"</x:f>
        <x:v>—</x:v>
      </x:c>
      <x:c r="L11" s="16" t="n">
        <x:f>IF(AND(COUNT(INDEX('SKU明细'!$H$9:$H$1592,MATCH("[13120,""230918-BW-S-Z-8""]",'SKU明细'!$AE$9:$AE$1592,0)))=1,COUNT(INDEX('SKU明细'!$G$9:$G$1592,MATCH("[13120,""230918-BW-S-Z-8""]",'SKU明细'!$AE$9:$AE$1592,0)))=1,SUM(INDEX('SKU明细'!$G$9:$G$1592,MATCH("[13120,""230918-BW-S-Z-8""]",'SKU明细'!$AE$9:$AE$1592,0)))&gt;0),SUM(INDEX('SKU明细'!$H$9:$H$1592,MATCH("[13120,""230918-BW-S-Z-8""]",'SKU明细'!$AE$9:$AE$1592,0)))/SUM(INDEX('SKU明细'!$G$9:$G$1592,MATCH("[13120,""230918-BW-S-Z-8""]",'SKU明细'!$AE$9:$AE$1592,0))),"待核")</x:f>
        <x:v>74.71745500209292</x:v>
      </x:c>
      <x:c r="M11" s="16" t="str">
        <x:f>"—"</x:f>
        <x:v>—</x:v>
      </x:c>
      <x:c r="N11" s="16" t="n">
        <x:f>IF(AND(COUNT(INDEX('SKU明细'!$H$9:$H$1592,MATCH("[13120,""230918-BW-S-Z-9""]",'SKU明细'!$AE$9:$AE$1592,0)))=1,COUNT(INDEX('SKU明细'!$G$9:$G$1592,MATCH("[13120,""230918-BW-S-Z-9""]",'SKU明细'!$AE$9:$AE$1592,0)))=1,SUM(INDEX('SKU明细'!$G$9:$G$1592,MATCH("[13120,""230918-BW-S-Z-9""]",'SKU明细'!$AE$9:$AE$1592,0)))&gt;0),SUM(INDEX('SKU明细'!$H$9:$H$1592,MATCH("[13120,""230918-BW-S-Z-9""]",'SKU明细'!$AE$9:$AE$1592,0)))/SUM(INDEX('SKU明细'!$G$9:$G$1592,MATCH("[13120,""230918-BW-S-Z-9""]",'SKU明细'!$AE$9:$AE$1592,0))),"待核")</x:f>
        <x:v>44.66388150398785</x:v>
      </x:c>
      <x:c r="O11" s="16" t="str">
        <x:f>"—"</x:f>
        <x:v>—</x:v>
      </x:c>
      <x:c r="P11" s="16" t="n">
        <x:f>IF(AND(COUNT(INDEX('SKU明细'!$H$9:$H$1592,MATCH("[13120,""230918-BW-S-Z-10""]",'SKU明细'!$AE$9:$AE$1592,0)))=1,COUNT(INDEX('SKU明细'!$G$9:$G$1592,MATCH("[13120,""230918-BW-S-Z-10""]",'SKU明细'!$AE$9:$AE$1592,0)))=1,SUM(INDEX('SKU明细'!$G$9:$G$1592,MATCH("[13120,""230918-BW-S-Z-10""]",'SKU明细'!$AE$9:$AE$1592,0)))&gt;0),SUM(INDEX('SKU明细'!$H$9:$H$1592,MATCH("[13120,""230918-BW-S-Z-10""]",'SKU明细'!$AE$9:$AE$1592,0)))/SUM(INDEX('SKU明细'!$G$9:$G$1592,MATCH("[13120,""230918-BW-S-Z-10""]",'SKU明细'!$AE$9:$AE$1592,0))),"待核")</x:f>
        <x:v>0</x:v>
      </x:c>
      <x:c r="Q11" s="16" t="str">
        <x:f>"—"</x:f>
        <x:v>—</x:v>
      </x:c>
      <x:c r="R11" s="16" t="n">
        <x:f>IF(AND(COUNT(INDEX('SKU明细'!$H$9:$H$1592,MATCH("[13120,""230918-BW-S-Z-11""]",'SKU明细'!$AE$9:$AE$1592,0)))=1,COUNT(INDEX('SKU明细'!$G$9:$G$1592,MATCH("[13120,""230918-BW-S-Z-11""]",'SKU明细'!$AE$9:$AE$1592,0)))=1,SUM(INDEX('SKU明细'!$G$9:$G$1592,MATCH("[13120,""230918-BW-S-Z-11""]",'SKU明细'!$AE$9:$AE$1592,0)))&gt;0),SUM(INDEX('SKU明细'!$H$9:$H$1592,MATCH("[13120,""230918-BW-S-Z-11""]",'SKU明细'!$AE$9:$AE$1592,0)))/SUM(INDEX('SKU明细'!$G$9:$G$1592,MATCH("[13120,""230918-BW-S-Z-11""]",'SKU明细'!$AE$9:$AE$1592,0))),"待核")</x:f>
        <x:v>112.5</x:v>
      </x:c>
      <x:c r="S11" s="16" t="n">
        <x:f>IF(AND(COUNT(INDEX('SKU明细'!$H$9:$H$1592,MATCH("[13120,""230918-BW-S-Z-7""]",'SKU明细'!$AE$9:$AE$1592,0)),INDEX('SKU明细'!$H$9:$H$1592,MATCH("[13120,""230918-BW-S-Z-11""]",'SKU明细'!$AE$9:$AE$1592,0)),INDEX('SKU明细'!$H$9:$H$1592,MATCH("[13120,""230918-BW-S-Z-10""]",'SKU明细'!$AE$9:$AE$1592,0)),INDEX('SKU明细'!$H$9:$H$1592,MATCH("[13120,""230918-BW-S-Z-6""]",'SKU明细'!$AE$9:$AE$1592,0)),INDEX('SKU明细'!$H$9:$H$1592,MATCH("[13120,""230918-BW-S-Z-8""]",'SKU明细'!$AE$9:$AE$1592,0)),INDEX('SKU明细'!$H$9:$H$1592,MATCH("[13120,""230918-BW-S-Z-9""]",'SKU明细'!$AE$9:$AE$1592,0)))=6,COUNT(INDEX('SKU明细'!$G$9:$G$1592,MATCH("[13120,""230918-BW-S-Z-7""]",'SKU明细'!$AE$9:$AE$1592,0)),INDEX('SKU明细'!$G$9:$G$1592,MATCH("[13120,""230918-BW-S-Z-11""]",'SKU明细'!$AE$9:$AE$1592,0)),INDEX('SKU明细'!$G$9:$G$1592,MATCH("[13120,""230918-BW-S-Z-10""]",'SKU明细'!$AE$9:$AE$1592,0)),INDEX('SKU明细'!$G$9:$G$1592,MATCH("[13120,""230918-BW-S-Z-6""]",'SKU明细'!$AE$9:$AE$1592,0)),INDEX('SKU明细'!$G$9:$G$1592,MATCH("[13120,""230918-BW-S-Z-8""]",'SKU明细'!$AE$9:$AE$1592,0)),INDEX('SKU明细'!$G$9:$G$1592,MATCH("[13120,""230918-BW-S-Z-9""]",'SKU明细'!$AE$9:$AE$1592,0)))=6,SUM(INDEX('SKU明细'!$G$9:$G$1592,MATCH("[13120,""230918-BW-S-Z-7""]",'SKU明细'!$AE$9:$AE$1592,0)),INDEX('SKU明细'!$G$9:$G$1592,MATCH("[13120,""230918-BW-S-Z-11""]",'SKU明细'!$AE$9:$AE$1592,0)),INDEX('SKU明细'!$G$9:$G$1592,MATCH("[13120,""230918-BW-S-Z-10""]",'SKU明细'!$AE$9:$AE$1592,0)),INDEX('SKU明细'!$G$9:$G$1592,MATCH("[13120,""230918-BW-S-Z-6""]",'SKU明细'!$AE$9:$AE$1592,0)),INDEX('SKU明细'!$G$9:$G$1592,MATCH("[13120,""230918-BW-S-Z-8""]",'SKU明细'!$AE$9:$AE$1592,0)),INDEX('SKU明细'!$G$9:$G$1592,MATCH("[13120,""230918-BW-S-Z-9""]",'SKU明细'!$AE$9:$AE$1592,0)))&gt;0),SUM(INDEX('SKU明细'!$H$9:$H$1592,MATCH("[13120,""230918-BW-S-Z-7""]",'SKU明细'!$AE$9:$AE$1592,0)),INDEX('SKU明细'!$H$9:$H$1592,MATCH("[13120,""230918-BW-S-Z-11""]",'SKU明细'!$AE$9:$AE$1592,0)),INDEX('SKU明细'!$H$9:$H$1592,MATCH("[13120,""230918-BW-S-Z-10""]",'SKU明细'!$AE$9:$AE$1592,0)),INDEX('SKU明细'!$H$9:$H$1592,MATCH("[13120,""230918-BW-S-Z-6""]",'SKU明细'!$AE$9:$AE$1592,0)),INDEX('SKU明细'!$H$9:$H$1592,MATCH("[13120,""230918-BW-S-Z-8""]",'SKU明细'!$AE$9:$AE$1592,0)),INDEX('SKU明细'!$H$9:$H$1592,MATCH("[13120,""230918-BW-S-Z-9""]",'SKU明细'!$AE$9:$AE$1592,0)))/SUM(INDEX('SKU明细'!$G$9:$G$1592,MATCH("[13120,""230918-BW-S-Z-7""]",'SKU明细'!$AE$9:$AE$1592,0)),INDEX('SKU明细'!$G$9:$G$1592,MATCH("[13120,""230918-BW-S-Z-11""]",'SKU明细'!$AE$9:$AE$1592,0)),INDEX('SKU明细'!$G$9:$G$1592,MATCH("[13120,""230918-BW-S-Z-10""]",'SKU明细'!$AE$9:$AE$1592,0)),INDEX('SKU明细'!$G$9:$G$1592,MATCH("[13120,""230918-BW-S-Z-6""]",'SKU明细'!$AE$9:$AE$1592,0)),INDEX('SKU明细'!$G$9:$G$1592,MATCH("[13120,""230918-BW-S-Z-8""]",'SKU明细'!$AE$9:$AE$1592,0)),INDEX('SKU明细'!$G$9:$G$1592,MATCH("[13120,""230918-BW-S-Z-9""]",'SKU明细'!$AE$9:$AE$1592,0))),"待核")</x:f>
        <x:v>72.81323877068557</x:v>
      </x:c>
      <x:c r="T11" s="16" t="n">
        <x:f>IF(AND(COUNT(INDEX('SKU明细'!$I$9:$I$1592,MATCH("[13120,""230918-BW-S-Z-7""]",'SKU明细'!$AE$9:$AE$1592,0)),INDEX('SKU明细'!$I$9:$I$1592,MATCH("[13120,""230918-BW-S-Z-11""]",'SKU明细'!$AE$9:$AE$1592,0)),INDEX('SKU明细'!$I$9:$I$1592,MATCH("[13120,""230918-BW-S-Z-10""]",'SKU明细'!$AE$9:$AE$1592,0)),INDEX('SKU明细'!$I$9:$I$1592,MATCH("[13120,""230918-BW-S-Z-6""]",'SKU明细'!$AE$9:$AE$1592,0)),INDEX('SKU明细'!$I$9:$I$1592,MATCH("[13120,""230918-BW-S-Z-8""]",'SKU明细'!$AE$9:$AE$1592,0)),INDEX('SKU明细'!$I$9:$I$1592,MATCH("[13120,""230918-BW-S-Z-9""]",'SKU明细'!$AE$9:$AE$1592,0)))=6,COUNT(INDEX('SKU明细'!$AD$9:$AD$1592,MATCH("[13120,""230918-BW-S-Z-7""]",'SKU明细'!$AE$9:$AE$1592,0)),INDEX('SKU明细'!$AD$9:$AD$1592,MATCH("[13120,""230918-BW-S-Z-11""]",'SKU明细'!$AE$9:$AE$1592,0)),INDEX('SKU明细'!$AD$9:$AD$1592,MATCH("[13120,""230918-BW-S-Z-10""]",'SKU明细'!$AE$9:$AE$1592,0)),INDEX('SKU明细'!$AD$9:$AD$1592,MATCH("[13120,""230918-BW-S-Z-6""]",'SKU明细'!$AE$9:$AE$1592,0)),INDEX('SKU明细'!$AD$9:$AD$1592,MATCH("[13120,""230918-BW-S-Z-8""]",'SKU明细'!$AE$9:$AE$1592,0)),INDEX('SKU明细'!$AD$9:$AD$1592,MATCH("[13120,""230918-BW-S-Z-9""]",'SKU明细'!$AE$9:$AE$1592,0)))=6,SUM(INDEX('SKU明细'!$AD$9:$AD$1592,MATCH("[13120,""230918-BW-S-Z-7""]",'SKU明细'!$AE$9:$AE$1592,0)),INDEX('SKU明细'!$AD$9:$AD$1592,MATCH("[13120,""230918-BW-S-Z-11""]",'SKU明细'!$AE$9:$AE$1592,0)),INDEX('SKU明细'!$AD$9:$AD$1592,MATCH("[13120,""230918-BW-S-Z-10""]",'SKU明细'!$AE$9:$AE$1592,0)),INDEX('SKU明细'!$AD$9:$AD$1592,MATCH("[13120,""230918-BW-S-Z-6""]",'SKU明细'!$AE$9:$AE$1592,0)),INDEX('SKU明细'!$AD$9:$AD$1592,MATCH("[13120,""230918-BW-S-Z-8""]",'SKU明细'!$AE$9:$AE$1592,0)),INDEX('SKU明细'!$AD$9:$AD$1592,MATCH("[13120,""230918-BW-S-Z-9""]",'SKU明细'!$AE$9:$AE$1592,0)))&gt;0),SUM(INDEX('SKU明细'!$I$9:$I$1592,MATCH("[13120,""230918-BW-S-Z-7""]",'SKU明细'!$AE$9:$AE$1592,0)),INDEX('SKU明细'!$I$9:$I$1592,MATCH("[13120,""230918-BW-S-Z-11""]",'SKU明细'!$AE$9:$AE$1592,0)),INDEX('SKU明细'!$I$9:$I$1592,MATCH("[13120,""230918-BW-S-Z-10""]",'SKU明细'!$AE$9:$AE$1592,0)),INDEX('SKU明细'!$I$9:$I$1592,MATCH("[13120,""230918-BW-S-Z-6""]",'SKU明细'!$AE$9:$AE$1592,0)),INDEX('SKU明细'!$I$9:$I$1592,MATCH("[13120,""230918-BW-S-Z-8""]",'SKU明细'!$AE$9:$AE$1592,0)),INDEX('SKU明细'!$I$9:$I$1592,MATCH("[13120,""230918-BW-S-Z-9""]",'SKU明细'!$AE$9:$AE$1592,0)))/SUM(INDEX('SKU明细'!$AD$9:$AD$1592,MATCH("[13120,""230918-BW-S-Z-7""]",'SKU明细'!$AE$9:$AE$1592,0)),INDEX('SKU明细'!$AD$9:$AD$1592,MATCH("[13120,""230918-BW-S-Z-11""]",'SKU明细'!$AE$9:$AE$1592,0)),INDEX('SKU明细'!$AD$9:$AD$1592,MATCH("[13120,""230918-BW-S-Z-10""]",'SKU明细'!$AE$9:$AE$1592,0)),INDEX('SKU明细'!$AD$9:$AD$1592,MATCH("[13120,""230918-BW-S-Z-6""]",'SKU明细'!$AE$9:$AE$1592,0)),INDEX('SKU明细'!$AD$9:$AD$1592,MATCH("[13120,""230918-BW-S-Z-8""]",'SKU明细'!$AE$9:$AE$1592,0)),INDEX('SKU明细'!$AD$9:$AD$1592,MATCH("[13120,""230918-BW-S-Z-9""]",'SKU明细'!$AE$9:$AE$1592,0))),"待核")</x:f>
        <x:v>33.30930064888248</x:v>
      </x:c>
      <x:c r="U11" s="16" t="n">
        <x:f>IF(COUNT(S11:T11)=2,S11-T11,"待核")</x:f>
        <x:v>39.503938121803095</x:v>
      </x:c>
      <x:c r="V11" s="17" t="n">
        <x:f>IF(AND(ISNUMBER(U11),ISNUMBER(T11),T11&lt;&gt;0),U11/T11,"")</x:f>
        <x:v>1.185973207249803</x:v>
      </x:c>
      <x:c r="W11" s="18" t="n">
        <x:f>IF(COUNT(INDEX('SKU明细'!$H$9:$H$1592,MATCH("[13120,""230918-BW-S-Z-7""]",'SKU明细'!$AE$9:$AE$1592,0)),INDEX('SKU明细'!$H$9:$H$1592,MATCH("[13120,""230918-BW-S-Z-11""]",'SKU明细'!$AE$9:$AE$1592,0)),INDEX('SKU明细'!$H$9:$H$1592,MATCH("[13120,""230918-BW-S-Z-10""]",'SKU明细'!$AE$9:$AE$1592,0)),INDEX('SKU明细'!$H$9:$H$1592,MATCH("[13120,""230918-BW-S-Z-6""]",'SKU明细'!$AE$9:$AE$1592,0)),INDEX('SKU明细'!$H$9:$H$1592,MATCH("[13120,""230918-BW-S-Z-8""]",'SKU明细'!$AE$9:$AE$1592,0)),INDEX('SKU明细'!$H$9:$H$1592,MATCH("[13120,""230918-BW-S-Z-9""]",'SKU明细'!$AE$9:$AE$1592,0)))=0,"待核",SUM(INDEX('SKU明细'!$H$9:$H$1592,MATCH("[13120,""230918-BW-S-Z-7""]",'SKU明细'!$AE$9:$AE$1592,0)),INDEX('SKU明细'!$H$9:$H$1592,MATCH("[13120,""230918-BW-S-Z-11""]",'SKU明细'!$AE$9:$AE$1592,0)),INDEX('SKU明细'!$H$9:$H$1592,MATCH("[13120,""230918-BW-S-Z-10""]",'SKU明细'!$AE$9:$AE$1592,0)),INDEX('SKU明细'!$H$9:$H$1592,MATCH("[13120,""230918-BW-S-Z-6""]",'SKU明细'!$AE$9:$AE$1592,0)),INDEX('SKU明细'!$H$9:$H$1592,MATCH("[13120,""230918-BW-S-Z-8""]",'SKU明细'!$AE$9:$AE$1592,0)),INDEX('SKU明细'!$H$9:$H$1592,MATCH("[13120,""230918-BW-S-Z-9""]",'SKU明细'!$AE$9:$AE$1592,0))))</x:f>
        <x:v>264</x:v>
      </x:c>
      <x:c r="X11" s="19" t="str">
        <x:f>IF(COUNTIFS('SKU明细'!$AH$9:$AH$1592,"[""230918"",""230918-BW-S-Z"",""BW"",""米白色PU""]",'SKU明细'!$E$9:$E$1592,"促销")&gt;0,"促销 ","")&amp;IF(COUNTIFS('SKU明细'!$AH$9:$AH$1592,"[""230918"",""230918-BW-S-Z"",""BW"",""米白色PU""]",'SKU明细'!$E$9:$E$1592,"红线促销")&gt;0,"红线促销 ","")&amp;IF(COUNTIFS('SKU明细'!$AH$9:$AH$1592,"[""230918"",""230918-BW-S-Z"",""BW"",""米白色PU""]",'SKU明细'!$E$9:$E$1592,"考虑清仓")&gt;0,"考虑清仓 ","")&amp;IF(COUNTIFS('SKU明细'!$AH$9:$AH$1592,"[""230918"",""230918-BW-S-Z"",""BW"",""米白色PU""]",'SKU明细'!$E$9:$E$1592,"断货")&gt;0,"断货 ","")&amp;IF(COUNTIFS('SKU明细'!$AH$9:$AH$1592,"[""230918"",""230918-BW-S-Z"",""BW"",""米白色PU""]",'SKU明细'!$E$9:$E$1592,"零日销待复核")&gt;0,"零日销待复核 ","")&amp;IF(COUNTIFS('SKU明细'!$AH$9:$AH$1592,"[""230918"",""230918-BW-S-Z"",""BW"",""米白色PU""]",'SKU明细'!$E$9:$E$1592,"数据待核")&gt;0,"数据待核 ","")&amp;IF(COUNTIFS('SKU明细'!$AH$9:$AH$1592,"[""230918"",""230918-BW-S-Z"",""BW"",""米白色PU""]",'SKU明细'!$E$9:$E$1592,"正常库存")&gt;0,"正常库存 ","")&amp;IF(COUNTIFS('SKU明细'!$AH$9:$AH$1592,"[""230918"",""230918-BW-S-Z"",""BW"",""米白色PU""]",'SKU明细'!$E$9:$E$1592,"补货提醒")&gt;0,"补货提醒 ","")</x:f>
        <x:v>促销 红线促销 断货 正常库存 补货提醒 </x:v>
      </x:c>
      <x:c r="Y11" s="19" t="str">
        <x:f>IF(NOT(ISNUMBER(U11)),"覆盖待核／无可比基准","完整可比")</x:f>
        <x:v>完整可比</x:v>
      </x:c>
      <x:c r="Z11" s="19" t="str">
        <x:v>在售</x:v>
      </x:c>
      <x:c r="AA11" s="19" t="n">
        <x:f>IF(SUMIFS('SKU明细'!$AF$9:$AF$1592,'SKU明细'!$D$9:$D$1592,A11,'SKU明细'!$Z$9:$Z$1592,"&lt;&gt;移出")=0,"待核",SUMIFS('SKU明细'!$H$9:$H$1592,'SKU明细'!$D$9:$D$1592,A11,'SKU明细'!$Z$9:$Z$1592,"&lt;&gt;移出"))</x:f>
        <x:v>2915</x:v>
      </x:c>
    </x:row>
    <x:row r="12" ht="54" customHeight="1">
      <x:c r="A12" s="15" t="str">
        <x:v>230918</x:v>
      </x:c>
      <x:c r="B12" s="15" t="str">
        <x:v>艾年</x:v>
      </x:c>
      <x:c r="C12" s="15" t="str">
        <x:v>豹纹</x:v>
      </x:c>
      <x:c r="D12" s="15" t="str">
        <x:v>LP</x:v>
      </x:c>
      <x:c r="E12" s="15" t="str">
        <x:v>230918-LP-S-Z</x:v>
      </x:c>
      <x:c r="F12" s="15"/>
      <x:c r="G12" s="16" t="str">
        <x:f>"—"</x:f>
        <x:v>—</x:v>
      </x:c>
      <x:c r="H12" s="16" t="n">
        <x:f>IF(AND(COUNT(INDEX('SKU明细'!$H$9:$H$1592,MATCH("[13120,""230918-LP-S-Z-6""]",'SKU明细'!$AE$9:$AE$1592,0)))=1,COUNT(INDEX('SKU明细'!$G$9:$G$1592,MATCH("[13120,""230918-LP-S-Z-6""]",'SKU明细'!$AE$9:$AE$1592,0)))=1,SUM(INDEX('SKU明细'!$G$9:$G$1592,MATCH("[13120,""230918-LP-S-Z-6""]",'SKU明细'!$AE$9:$AE$1592,0)))&gt;0),SUM(INDEX('SKU明细'!$H$9:$H$1592,MATCH("[13120,""230918-LP-S-Z-6""]",'SKU明细'!$AE$9:$AE$1592,0)))/SUM(INDEX('SKU明细'!$G$9:$G$1592,MATCH("[13120,""230918-LP-S-Z-6""]",'SKU明细'!$AE$9:$AE$1592,0))),"待核")</x:f>
        <x:v>34.027777777777786</x:v>
      </x:c>
      <x:c r="I12" s="16" t="str">
        <x:f>"—"</x:f>
        <x:v>—</x:v>
      </x:c>
      <x:c r="J12" s="16" t="str">
        <x:f>IF(AND(COUNT(INDEX('SKU明细'!$H$9:$H$1592,MATCH("[13120,""230918-LP-S-Z-7""]",'SKU明细'!$AE$9:$AE$1592,0)))=1,COUNT(INDEX('SKU明细'!$G$9:$G$1592,MATCH("[13120,""230918-LP-S-Z-7""]",'SKU明细'!$AE$9:$AE$1592,0)))=1,SUM(INDEX('SKU明细'!$G$9:$G$1592,MATCH("[13120,""230918-LP-S-Z-7""]",'SKU明细'!$AE$9:$AE$1592,0)))&gt;0),SUM(INDEX('SKU明细'!$H$9:$H$1592,MATCH("[13120,""230918-LP-S-Z-7""]",'SKU明细'!$AE$9:$AE$1592,0)))/SUM(INDEX('SKU明细'!$G$9:$G$1592,MATCH("[13120,""230918-LP-S-Z-7""]",'SKU明细'!$AE$9:$AE$1592,0))),"待核")</x:f>
        <x:v>待核</x:v>
      </x:c>
      <x:c r="K12" s="16" t="str">
        <x:f>"—"</x:f>
        <x:v>—</x:v>
      </x:c>
      <x:c r="L12" s="16" t="n">
        <x:f>IF(AND(COUNT(INDEX('SKU明细'!$H$9:$H$1592,MATCH("[13120,""230918-LP-S-Z-8""]",'SKU明细'!$AE$9:$AE$1592,0)))=1,COUNT(INDEX('SKU明细'!$G$9:$G$1592,MATCH("[13120,""230918-LP-S-Z-8""]",'SKU明细'!$AE$9:$AE$1592,0)))=1,SUM(INDEX('SKU明细'!$G$9:$G$1592,MATCH("[13120,""230918-LP-S-Z-8""]",'SKU明细'!$AE$9:$AE$1592,0)))&gt;0),SUM(INDEX('SKU明细'!$H$9:$H$1592,MATCH("[13120,""230918-LP-S-Z-8""]",'SKU明细'!$AE$9:$AE$1592,0)))/SUM(INDEX('SKU明细'!$G$9:$G$1592,MATCH("[13120,""230918-LP-S-Z-8""]",'SKU明细'!$AE$9:$AE$1592,0))),"待核")</x:f>
        <x:v>0</x:v>
      </x:c>
      <x:c r="M12" s="16" t="str">
        <x:f>"—"</x:f>
        <x:v>—</x:v>
      </x:c>
      <x:c r="N12" s="16" t="n">
        <x:f>IF(AND(COUNT(INDEX('SKU明细'!$H$9:$H$1592,MATCH("[13120,""230918-LP-S-Z-9""]",'SKU明细'!$AE$9:$AE$1592,0)))=1,COUNT(INDEX('SKU明细'!$G$9:$G$1592,MATCH("[13120,""230918-LP-S-Z-9""]",'SKU明细'!$AE$9:$AE$1592,0)))=1,SUM(INDEX('SKU明细'!$G$9:$G$1592,MATCH("[13120,""230918-LP-S-Z-9""]",'SKU明细'!$AE$9:$AE$1592,0)))&gt;0),SUM(INDEX('SKU明细'!$H$9:$H$1592,MATCH("[13120,""230918-LP-S-Z-9""]",'SKU明细'!$AE$9:$AE$1592,0)))/SUM(INDEX('SKU明细'!$G$9:$G$1592,MATCH("[13120,""230918-LP-S-Z-9""]",'SKU明细'!$AE$9:$AE$1592,0))),"待核")</x:f>
        <x:v>0</x:v>
      </x:c>
      <x:c r="O12" s="16" t="str">
        <x:f>"—"</x:f>
        <x:v>—</x:v>
      </x:c>
      <x:c r="P12" s="16" t="str">
        <x:f>IF(AND(COUNT(INDEX('SKU明细'!$H$9:$H$1592,MATCH("[13120,""230918-LP-S-Z-10""]",'SKU明细'!$AE$9:$AE$1592,0)))=1,COUNT(INDEX('SKU明细'!$G$9:$G$1592,MATCH("[13120,""230918-LP-S-Z-10""]",'SKU明细'!$AE$9:$AE$1592,0)))=1,SUM(INDEX('SKU明细'!$G$9:$G$1592,MATCH("[13120,""230918-LP-S-Z-10""]",'SKU明细'!$AE$9:$AE$1592,0)))&gt;0),SUM(INDEX('SKU明细'!$H$9:$H$1592,MATCH("[13120,""230918-LP-S-Z-10""]",'SKU明细'!$AE$9:$AE$1592,0)))/SUM(INDEX('SKU明细'!$G$9:$G$1592,MATCH("[13120,""230918-LP-S-Z-10""]",'SKU明细'!$AE$9:$AE$1592,0))),"待核")</x:f>
        <x:v>待核</x:v>
      </x:c>
      <x:c r="Q12" s="16" t="str">
        <x:f>"—"</x:f>
        <x:v>—</x:v>
      </x:c>
      <x:c r="R12" s="16" t="str">
        <x:f>IF(AND(COUNT(INDEX('SKU明细'!$H$9:$H$1592,MATCH("[13120,""230918-LP-S-Z-11""]",'SKU明细'!$AE$9:$AE$1592,0)))=1,COUNT(INDEX('SKU明细'!$G$9:$G$1592,MATCH("[13120,""230918-LP-S-Z-11""]",'SKU明细'!$AE$9:$AE$1592,0)))=1,SUM(INDEX('SKU明细'!$G$9:$G$1592,MATCH("[13120,""230918-LP-S-Z-11""]",'SKU明细'!$AE$9:$AE$1592,0)))&gt;0),SUM(INDEX('SKU明细'!$H$9:$H$1592,MATCH("[13120,""230918-LP-S-Z-11""]",'SKU明细'!$AE$9:$AE$1592,0)))/SUM(INDEX('SKU明细'!$G$9:$G$1592,MATCH("[13120,""230918-LP-S-Z-11""]",'SKU明细'!$AE$9:$AE$1592,0))),"待核")</x:f>
        <x:v>待核</x:v>
      </x:c>
      <x:c r="S12" s="16" t="n">
        <x:f>IF(AND(COUNT(INDEX('SKU明细'!$H$9:$H$1592,MATCH("[13120,""230918-LP-S-Z-10""]",'SKU明细'!$AE$9:$AE$1592,0)),INDEX('SKU明细'!$H$9:$H$1592,MATCH("[13120,""230918-LP-S-Z-11""]",'SKU明细'!$AE$9:$AE$1592,0)),INDEX('SKU明细'!$H$9:$H$1592,MATCH("[13120,""230918-LP-S-Z-7""]",'SKU明细'!$AE$9:$AE$1592,0)),INDEX('SKU明细'!$H$9:$H$1592,MATCH("[13120,""230918-LP-S-Z-8""]",'SKU明细'!$AE$9:$AE$1592,0)),INDEX('SKU明细'!$H$9:$H$1592,MATCH("[13120,""230918-LP-S-Z-9""]",'SKU明细'!$AE$9:$AE$1592,0)),INDEX('SKU明细'!$H$9:$H$1592,MATCH("[13120,""230918-LP-S-Z-6""]",'SKU明细'!$AE$9:$AE$1592,0)))=6,COUNT(INDEX('SKU明细'!$G$9:$G$1592,MATCH("[13120,""230918-LP-S-Z-10""]",'SKU明细'!$AE$9:$AE$1592,0)),INDEX('SKU明细'!$G$9:$G$1592,MATCH("[13120,""230918-LP-S-Z-11""]",'SKU明细'!$AE$9:$AE$1592,0)),INDEX('SKU明细'!$G$9:$G$1592,MATCH("[13120,""230918-LP-S-Z-7""]",'SKU明细'!$AE$9:$AE$1592,0)),INDEX('SKU明细'!$G$9:$G$1592,MATCH("[13120,""230918-LP-S-Z-8""]",'SKU明细'!$AE$9:$AE$1592,0)),INDEX('SKU明细'!$G$9:$G$1592,MATCH("[13120,""230918-LP-S-Z-9""]",'SKU明细'!$AE$9:$AE$1592,0)),INDEX('SKU明细'!$G$9:$G$1592,MATCH("[13120,""230918-LP-S-Z-6""]",'SKU明细'!$AE$9:$AE$1592,0)))=6,SUM(INDEX('SKU明细'!$G$9:$G$1592,MATCH("[13120,""230918-LP-S-Z-10""]",'SKU明细'!$AE$9:$AE$1592,0)),INDEX('SKU明细'!$G$9:$G$1592,MATCH("[13120,""230918-LP-S-Z-11""]",'SKU明细'!$AE$9:$AE$1592,0)),INDEX('SKU明细'!$G$9:$G$1592,MATCH("[13120,""230918-LP-S-Z-7""]",'SKU明细'!$AE$9:$AE$1592,0)),INDEX('SKU明细'!$G$9:$G$1592,MATCH("[13120,""230918-LP-S-Z-8""]",'SKU明细'!$AE$9:$AE$1592,0)),INDEX('SKU明细'!$G$9:$G$1592,MATCH("[13120,""230918-LP-S-Z-9""]",'SKU明细'!$AE$9:$AE$1592,0)),INDEX('SKU明细'!$G$9:$G$1592,MATCH("[13120,""230918-LP-S-Z-6""]",'SKU明细'!$AE$9:$AE$1592,0)))&gt;0),SUM(INDEX('SKU明细'!$H$9:$H$1592,MATCH("[13120,""230918-LP-S-Z-10""]",'SKU明细'!$AE$9:$AE$1592,0)),INDEX('SKU明细'!$H$9:$H$1592,MATCH("[13120,""230918-LP-S-Z-11""]",'SKU明细'!$AE$9:$AE$1592,0)),INDEX('SKU明细'!$H$9:$H$1592,MATCH("[13120,""230918-LP-S-Z-7""]",'SKU明细'!$AE$9:$AE$1592,0)),INDEX('SKU明细'!$H$9:$H$1592,MATCH("[13120,""230918-LP-S-Z-8""]",'SKU明细'!$AE$9:$AE$1592,0)),INDEX('SKU明细'!$H$9:$H$1592,MATCH("[13120,""230918-LP-S-Z-9""]",'SKU明细'!$AE$9:$AE$1592,0)),INDEX('SKU明细'!$H$9:$H$1592,MATCH("[13120,""230918-LP-S-Z-6""]",'SKU明细'!$AE$9:$AE$1592,0)))/SUM(INDEX('SKU明细'!$G$9:$G$1592,MATCH("[13120,""230918-LP-S-Z-10""]",'SKU明细'!$AE$9:$AE$1592,0)),INDEX('SKU明细'!$G$9:$G$1592,MATCH("[13120,""230918-LP-S-Z-11""]",'SKU明细'!$AE$9:$AE$1592,0)),INDEX('SKU明细'!$G$9:$G$1592,MATCH("[13120,""230918-LP-S-Z-7""]",'SKU明细'!$AE$9:$AE$1592,0)),INDEX('SKU明细'!$G$9:$G$1592,MATCH("[13120,""230918-LP-S-Z-8""]",'SKU明细'!$AE$9:$AE$1592,0)),INDEX('SKU明细'!$G$9:$G$1592,MATCH("[13120,""230918-LP-S-Z-9""]",'SKU明细'!$AE$9:$AE$1592,0)),INDEX('SKU明细'!$G$9:$G$1592,MATCH("[13120,""230918-LP-S-Z-6""]",'SKU明细'!$AE$9:$AE$1592,0))),"待核")</x:f>
        <x:v>4.851485148514851</x:v>
      </x:c>
      <x:c r="T12" s="16" t="str">
        <x:f>IF(AND(COUNT(INDEX('SKU明细'!$I$9:$I$1592,MATCH("[13120,""230918-LP-S-Z-10""]",'SKU明细'!$AE$9:$AE$1592,0)),INDEX('SKU明细'!$I$9:$I$1592,MATCH("[13120,""230918-LP-S-Z-11""]",'SKU明细'!$AE$9:$AE$1592,0)),INDEX('SKU明细'!$I$9:$I$1592,MATCH("[13120,""230918-LP-S-Z-7""]",'SKU明细'!$AE$9:$AE$1592,0)),INDEX('SKU明细'!$I$9:$I$1592,MATCH("[13120,""230918-LP-S-Z-8""]",'SKU明细'!$AE$9:$AE$1592,0)),INDEX('SKU明细'!$I$9:$I$1592,MATCH("[13120,""230918-LP-S-Z-9""]",'SKU明细'!$AE$9:$AE$1592,0)),INDEX('SKU明细'!$I$9:$I$1592,MATCH("[13120,""230918-LP-S-Z-6""]",'SKU明细'!$AE$9:$AE$1592,0)))=6,COUNT(INDEX('SKU明细'!$AD$9:$AD$1592,MATCH("[13120,""230918-LP-S-Z-10""]",'SKU明细'!$AE$9:$AE$1592,0)),INDEX('SKU明细'!$AD$9:$AD$1592,MATCH("[13120,""230918-LP-S-Z-11""]",'SKU明细'!$AE$9:$AE$1592,0)),INDEX('SKU明细'!$AD$9:$AD$1592,MATCH("[13120,""230918-LP-S-Z-7""]",'SKU明细'!$AE$9:$AE$1592,0)),INDEX('SKU明细'!$AD$9:$AD$1592,MATCH("[13120,""230918-LP-S-Z-8""]",'SKU明细'!$AE$9:$AE$1592,0)),INDEX('SKU明细'!$AD$9:$AD$1592,MATCH("[13120,""230918-LP-S-Z-9""]",'SKU明细'!$AE$9:$AE$1592,0)),INDEX('SKU明细'!$AD$9:$AD$1592,MATCH("[13120,""230918-LP-S-Z-6""]",'SKU明细'!$AE$9:$AE$1592,0)))=6,SUM(INDEX('SKU明细'!$AD$9:$AD$1592,MATCH("[13120,""230918-LP-S-Z-10""]",'SKU明细'!$AE$9:$AE$1592,0)),INDEX('SKU明细'!$AD$9:$AD$1592,MATCH("[13120,""230918-LP-S-Z-11""]",'SKU明细'!$AE$9:$AE$1592,0)),INDEX('SKU明细'!$AD$9:$AD$1592,MATCH("[13120,""230918-LP-S-Z-7""]",'SKU明细'!$AE$9:$AE$1592,0)),INDEX('SKU明细'!$AD$9:$AD$1592,MATCH("[13120,""230918-LP-S-Z-8""]",'SKU明细'!$AE$9:$AE$1592,0)),INDEX('SKU明细'!$AD$9:$AD$1592,MATCH("[13120,""230918-LP-S-Z-9""]",'SKU明细'!$AE$9:$AE$1592,0)),INDEX('SKU明细'!$AD$9:$AD$1592,MATCH("[13120,""230918-LP-S-Z-6""]",'SKU明细'!$AE$9:$AE$1592,0)))&gt;0),SUM(INDEX('SKU明细'!$I$9:$I$1592,MATCH("[13120,""230918-LP-S-Z-10""]",'SKU明细'!$AE$9:$AE$1592,0)),INDEX('SKU明细'!$I$9:$I$1592,MATCH("[13120,""230918-LP-S-Z-11""]",'SKU明细'!$AE$9:$AE$1592,0)),INDEX('SKU明细'!$I$9:$I$1592,MATCH("[13120,""230918-LP-S-Z-7""]",'SKU明细'!$AE$9:$AE$1592,0)),INDEX('SKU明细'!$I$9:$I$1592,MATCH("[13120,""230918-LP-S-Z-8""]",'SKU明细'!$AE$9:$AE$1592,0)),INDEX('SKU明细'!$I$9:$I$1592,MATCH("[13120,""230918-LP-S-Z-9""]",'SKU明细'!$AE$9:$AE$1592,0)),INDEX('SKU明细'!$I$9:$I$1592,MATCH("[13120,""230918-LP-S-Z-6""]",'SKU明细'!$AE$9:$AE$1592,0)))/SUM(INDEX('SKU明细'!$AD$9:$AD$1592,MATCH("[13120,""230918-LP-S-Z-10""]",'SKU明细'!$AE$9:$AE$1592,0)),INDEX('SKU明细'!$AD$9:$AD$1592,MATCH("[13120,""230918-LP-S-Z-11""]",'SKU明细'!$AE$9:$AE$1592,0)),INDEX('SKU明细'!$AD$9:$AD$1592,MATCH("[13120,""230918-LP-S-Z-7""]",'SKU明细'!$AE$9:$AE$1592,0)),INDEX('SKU明细'!$AD$9:$AD$1592,MATCH("[13120,""230918-LP-S-Z-8""]",'SKU明细'!$AE$9:$AE$1592,0)),INDEX('SKU明细'!$AD$9:$AD$1592,MATCH("[13120,""230918-LP-S-Z-9""]",'SKU明细'!$AE$9:$AE$1592,0)),INDEX('SKU明细'!$AD$9:$AD$1592,MATCH("[13120,""230918-LP-S-Z-6""]",'SKU明细'!$AE$9:$AE$1592,0))),"待核")</x:f>
        <x:v>待核</x:v>
      </x:c>
      <x:c r="U12" s="16" t="str">
        <x:f>IF(COUNT(S12:T12)=2,S12-T12,"待核")</x:f>
        <x:v>待核</x:v>
      </x:c>
      <x:c r="V12" s="17" t="str">
        <x:f>IF(AND(ISNUMBER(U12),ISNUMBER(T12),T12&lt;&gt;0),U12/T12,"")</x:f>
      </x:c>
      <x:c r="W12" s="18" t="n">
        <x:f>IF(COUNT(INDEX('SKU明细'!$H$9:$H$1592,MATCH("[13120,""230918-LP-S-Z-10""]",'SKU明细'!$AE$9:$AE$1592,0)),INDEX('SKU明细'!$H$9:$H$1592,MATCH("[13120,""230918-LP-S-Z-11""]",'SKU明细'!$AE$9:$AE$1592,0)),INDEX('SKU明细'!$H$9:$H$1592,MATCH("[13120,""230918-LP-S-Z-7""]",'SKU明细'!$AE$9:$AE$1592,0)),INDEX('SKU明细'!$H$9:$H$1592,MATCH("[13120,""230918-LP-S-Z-8""]",'SKU明细'!$AE$9:$AE$1592,0)),INDEX('SKU明细'!$H$9:$H$1592,MATCH("[13120,""230918-LP-S-Z-9""]",'SKU明细'!$AE$9:$AE$1592,0)),INDEX('SKU明细'!$H$9:$H$1592,MATCH("[13120,""230918-LP-S-Z-6""]",'SKU明细'!$AE$9:$AE$1592,0)))=0,"待核",SUM(INDEX('SKU明细'!$H$9:$H$1592,MATCH("[13120,""230918-LP-S-Z-10""]",'SKU明细'!$AE$9:$AE$1592,0)),INDEX('SKU明细'!$H$9:$H$1592,MATCH("[13120,""230918-LP-S-Z-11""]",'SKU明细'!$AE$9:$AE$1592,0)),INDEX('SKU明细'!$H$9:$H$1592,MATCH("[13120,""230918-LP-S-Z-7""]",'SKU明细'!$AE$9:$AE$1592,0)),INDEX('SKU明细'!$H$9:$H$1592,MATCH("[13120,""230918-LP-S-Z-8""]",'SKU明细'!$AE$9:$AE$1592,0)),INDEX('SKU明细'!$H$9:$H$1592,MATCH("[13120,""230918-LP-S-Z-9""]",'SKU明细'!$AE$9:$AE$1592,0)),INDEX('SKU明细'!$H$9:$H$1592,MATCH("[13120,""230918-LP-S-Z-6""]",'SKU明细'!$AE$9:$AE$1592,0))))</x:f>
        <x:v>7</x:v>
      </x:c>
      <x:c r="X12" s="19" t="str">
        <x:f>IF(COUNTIFS('SKU明细'!$AH$9:$AH$1592,"[""230918"",""230918-LP-S-Z"",""LP"",""豹纹""]",'SKU明细'!$E$9:$E$1592,"促销")&gt;0,"促销 ","")&amp;IF(COUNTIFS('SKU明细'!$AH$9:$AH$1592,"[""230918"",""230918-LP-S-Z"",""LP"",""豹纹""]",'SKU明细'!$E$9:$E$1592,"红线促销")&gt;0,"红线促销 ","")&amp;IF(COUNTIFS('SKU明细'!$AH$9:$AH$1592,"[""230918"",""230918-LP-S-Z"",""LP"",""豹纹""]",'SKU明细'!$E$9:$E$1592,"考虑清仓")&gt;0,"考虑清仓 ","")&amp;IF(COUNTIFS('SKU明细'!$AH$9:$AH$1592,"[""230918"",""230918-LP-S-Z"",""LP"",""豹纹""]",'SKU明细'!$E$9:$E$1592,"断货")&gt;0,"断货 ","")&amp;IF(COUNTIFS('SKU明细'!$AH$9:$AH$1592,"[""230918"",""230918-LP-S-Z"",""LP"",""豹纹""]",'SKU明细'!$E$9:$E$1592,"零日销待复核")&gt;0,"零日销待复核 ","")&amp;IF(COUNTIFS('SKU明细'!$AH$9:$AH$1592,"[""230918"",""230918-LP-S-Z"",""LP"",""豹纹""]",'SKU明细'!$E$9:$E$1592,"数据待核")&gt;0,"数据待核 ","")&amp;IF(COUNTIFS('SKU明细'!$AH$9:$AH$1592,"[""230918"",""230918-LP-S-Z"",""LP"",""豹纹""]",'SKU明细'!$E$9:$E$1592,"正常库存")&gt;0,"正常库存 ","")&amp;IF(COUNTIFS('SKU明细'!$AH$9:$AH$1592,"[""230918"",""230918-LP-S-Z"",""LP"",""豹纹""]",'SKU明细'!$E$9:$E$1592,"补货提醒")&gt;0,"补货提醒 ","")</x:f>
        <x:v>断货 补货提醒 </x:v>
      </x:c>
      <x:c r="Y12" s="19" t="str">
        <x:f>IF(NOT(ISNUMBER(U12)),"覆盖待核／无可比基准","完整可比")</x:f>
        <x:v>覆盖待核／无可比基准</x:v>
      </x:c>
      <x:c r="Z12" s="19" t="str">
        <x:v>停售、在售</x:v>
      </x:c>
      <x:c r="AA12" s="19" t="n">
        <x:f>IF(SUMIFS('SKU明细'!$AF$9:$AF$1592,'SKU明细'!$D$9:$D$1592,A12,'SKU明细'!$Z$9:$Z$1592,"&lt;&gt;移出")=0,"待核",SUMIFS('SKU明细'!$H$9:$H$1592,'SKU明细'!$D$9:$D$1592,A12,'SKU明细'!$Z$9:$Z$1592,"&lt;&gt;移出"))</x:f>
        <x:v>2915</x:v>
      </x:c>
    </x:row>
    <x:row r="13" ht="54" customHeight="1">
      <x:c r="A13" s="15" t="str">
        <x:v>230918</x:v>
      </x:c>
      <x:c r="B13" s="15" t="str">
        <x:v>艾年</x:v>
      </x:c>
      <x:c r="C13" s="15" t="str">
        <x:v>裸色</x:v>
      </x:c>
      <x:c r="D13" s="15" t="str">
        <x:v>ND</x:v>
      </x:c>
      <x:c r="E13" s="15" t="str">
        <x:v>230918-ND-S-Z</x:v>
      </x:c>
      <x:c r="F13" s="15"/>
      <x:c r="G13" s="16" t="str">
        <x:f>"—"</x:f>
        <x:v>—</x:v>
      </x:c>
      <x:c r="H13" s="16" t="n">
        <x:f>IF(AND(COUNT(INDEX('SKU明细'!$H$9:$H$1592,MATCH("[13120,""230918-ND-S-Z-6""]",'SKU明细'!$AE$9:$AE$1592,0)))=1,COUNT(INDEX('SKU明细'!$G$9:$G$1592,MATCH("[13120,""230918-ND-S-Z-6""]",'SKU明细'!$AE$9:$AE$1592,0)))=1,SUM(INDEX('SKU明细'!$G$9:$G$1592,MATCH("[13120,""230918-ND-S-Z-6""]",'SKU明细'!$AE$9:$AE$1592,0)))&gt;0),SUM(INDEX('SKU明细'!$H$9:$H$1592,MATCH("[13120,""230918-ND-S-Z-6""]",'SKU明细'!$AE$9:$AE$1592,0)))/SUM(INDEX('SKU明细'!$G$9:$G$1592,MATCH("[13120,""230918-ND-S-Z-6""]",'SKU明细'!$AE$9:$AE$1592,0))),"待核")</x:f>
        <x:v>22.050520059435364</x:v>
      </x:c>
      <x:c r="I13" s="16" t="str">
        <x:f>"—"</x:f>
        <x:v>—</x:v>
      </x:c>
      <x:c r="J13" s="16" t="n">
        <x:f>IF(AND(COUNT(INDEX('SKU明细'!$H$9:$H$1592,MATCH("[13120,""230918-ND-S-Z-7""]",'SKU明细'!$AE$9:$AE$1592,0)))=1,COUNT(INDEX('SKU明细'!$G$9:$G$1592,MATCH("[13120,""230918-ND-S-Z-7""]",'SKU明细'!$AE$9:$AE$1592,0)))=1,SUM(INDEX('SKU明细'!$G$9:$G$1592,MATCH("[13120,""230918-ND-S-Z-7""]",'SKU明细'!$AE$9:$AE$1592,0)))&gt;0),SUM(INDEX('SKU明细'!$H$9:$H$1592,MATCH("[13120,""230918-ND-S-Z-7""]",'SKU明细'!$AE$9:$AE$1592,0)))/SUM(INDEX('SKU明细'!$G$9:$G$1592,MATCH("[13120,""230918-ND-S-Z-7""]",'SKU明细'!$AE$9:$AE$1592,0))),"待核")</x:f>
        <x:v>23.919297154408333</x:v>
      </x:c>
      <x:c r="K13" s="16" t="str">
        <x:f>"—"</x:f>
        <x:v>—</x:v>
      </x:c>
      <x:c r="L13" s="16" t="n">
        <x:f>IF(AND(COUNT(INDEX('SKU明细'!$H$9:$H$1592,MATCH("[13120,""230918-ND-S-Z-8""]",'SKU明细'!$AE$9:$AE$1592,0)))=1,COUNT(INDEX('SKU明细'!$G$9:$G$1592,MATCH("[13120,""230918-ND-S-Z-8""]",'SKU明细'!$AE$9:$AE$1592,0)))=1,SUM(INDEX('SKU明细'!$G$9:$G$1592,MATCH("[13120,""230918-ND-S-Z-8""]",'SKU明细'!$AE$9:$AE$1592,0)))&gt;0),SUM(INDEX('SKU明细'!$H$9:$H$1592,MATCH("[13120,""230918-ND-S-Z-8""]",'SKU明细'!$AE$9:$AE$1592,0)))/SUM(INDEX('SKU明细'!$G$9:$G$1592,MATCH("[13120,""230918-ND-S-Z-8""]",'SKU明细'!$AE$9:$AE$1592,0))),"待核")</x:f>
        <x:v>18.81622300708749</x:v>
      </x:c>
      <x:c r="M13" s="16" t="str">
        <x:f>"—"</x:f>
        <x:v>—</x:v>
      </x:c>
      <x:c r="N13" s="16" t="n">
        <x:f>IF(AND(COUNT(INDEX('SKU明细'!$H$9:$H$1592,MATCH("[13120,""230918-ND-S-Z-9""]",'SKU明细'!$AE$9:$AE$1592,0)))=1,COUNT(INDEX('SKU明细'!$G$9:$G$1592,MATCH("[13120,""230918-ND-S-Z-9""]",'SKU明细'!$AE$9:$AE$1592,0)))=1,SUM(INDEX('SKU明细'!$G$9:$G$1592,MATCH("[13120,""230918-ND-S-Z-9""]",'SKU明细'!$AE$9:$AE$1592,0)))&gt;0),SUM(INDEX('SKU明细'!$H$9:$H$1592,MATCH("[13120,""230918-ND-S-Z-9""]",'SKU明细'!$AE$9:$AE$1592,0)))/SUM(INDEX('SKU明细'!$G$9:$G$1592,MATCH("[13120,""230918-ND-S-Z-9""]",'SKU明细'!$AE$9:$AE$1592,0))),"待核")</x:f>
        <x:v>56.04881974248927</x:v>
      </x:c>
      <x:c r="O13" s="16" t="str">
        <x:f>"—"</x:f>
        <x:v>—</x:v>
      </x:c>
      <x:c r="P13" s="16" t="n">
        <x:f>IF(AND(COUNT(INDEX('SKU明细'!$H$9:$H$1592,MATCH("[13120,""230918-ND-S-Z-10""]",'SKU明细'!$AE$9:$AE$1592,0)))=1,COUNT(INDEX('SKU明细'!$G$9:$G$1592,MATCH("[13120,""230918-ND-S-Z-10""]",'SKU明细'!$AE$9:$AE$1592,0)))=1,SUM(INDEX('SKU明细'!$G$9:$G$1592,MATCH("[13120,""230918-ND-S-Z-10""]",'SKU明细'!$AE$9:$AE$1592,0)))&gt;0),SUM(INDEX('SKU明细'!$H$9:$H$1592,MATCH("[13120,""230918-ND-S-Z-10""]",'SKU明细'!$AE$9:$AE$1592,0)))/SUM(INDEX('SKU明细'!$G$9:$G$1592,MATCH("[13120,""230918-ND-S-Z-10""]",'SKU明细'!$AE$9:$AE$1592,0))),"待核")</x:f>
        <x:v>16.967865293283168</x:v>
      </x:c>
      <x:c r="Q13" s="16" t="str">
        <x:f>"—"</x:f>
        <x:v>—</x:v>
      </x:c>
      <x:c r="R13" s="16" t="n">
        <x:f>IF(AND(COUNT(INDEX('SKU明细'!$H$9:$H$1592,MATCH("[13120,""230918-ND-S-Z-11""]",'SKU明细'!$AE$9:$AE$1592,0)))=1,COUNT(INDEX('SKU明细'!$G$9:$G$1592,MATCH("[13120,""230918-ND-S-Z-11""]",'SKU明细'!$AE$9:$AE$1592,0)))=1,SUM(INDEX('SKU明细'!$G$9:$G$1592,MATCH("[13120,""230918-ND-S-Z-11""]",'SKU明细'!$AE$9:$AE$1592,0)))&gt;0),SUM(INDEX('SKU明细'!$H$9:$H$1592,MATCH("[13120,""230918-ND-S-Z-11""]",'SKU明细'!$AE$9:$AE$1592,0)))/SUM(INDEX('SKU明细'!$G$9:$G$1592,MATCH("[13120,""230918-ND-S-Z-11""]",'SKU明细'!$AE$9:$AE$1592,0))),"待核")</x:f>
        <x:v>17.6399149883615</x:v>
      </x:c>
      <x:c r="S13" s="16" t="n">
        <x:f>IF(AND(COUNT(INDEX('SKU明细'!$H$9:$H$1592,MATCH("[13120,""230918-ND-S-Z-10""]",'SKU明细'!$AE$9:$AE$1592,0)),INDEX('SKU明细'!$H$9:$H$1592,MATCH("[13120,""230918-ND-S-Z-11""]",'SKU明细'!$AE$9:$AE$1592,0)),INDEX('SKU明细'!$H$9:$H$1592,MATCH("[13120,""230918-ND-S-Z-6""]",'SKU明细'!$AE$9:$AE$1592,0)),INDEX('SKU明细'!$H$9:$H$1592,MATCH("[13120,""230918-ND-S-Z-7""]",'SKU明细'!$AE$9:$AE$1592,0)),INDEX('SKU明细'!$H$9:$H$1592,MATCH("[13120,""230918-ND-S-Z-8""]",'SKU明细'!$AE$9:$AE$1592,0)),INDEX('SKU明细'!$H$9:$H$1592,MATCH("[13120,""230918-ND-S-Z-9""]",'SKU明细'!$AE$9:$AE$1592,0)))=6,COUNT(INDEX('SKU明细'!$G$9:$G$1592,MATCH("[13120,""230918-ND-S-Z-10""]",'SKU明细'!$AE$9:$AE$1592,0)),INDEX('SKU明细'!$G$9:$G$1592,MATCH("[13120,""230918-ND-S-Z-11""]",'SKU明细'!$AE$9:$AE$1592,0)),INDEX('SKU明细'!$G$9:$G$1592,MATCH("[13120,""230918-ND-S-Z-6""]",'SKU明细'!$AE$9:$AE$1592,0)),INDEX('SKU明细'!$G$9:$G$1592,MATCH("[13120,""230918-ND-S-Z-7""]",'SKU明细'!$AE$9:$AE$1592,0)),INDEX('SKU明细'!$G$9:$G$1592,MATCH("[13120,""230918-ND-S-Z-8""]",'SKU明细'!$AE$9:$AE$1592,0)),INDEX('SKU明细'!$G$9:$G$1592,MATCH("[13120,""230918-ND-S-Z-9""]",'SKU明细'!$AE$9:$AE$1592,0)))=6,SUM(INDEX('SKU明细'!$G$9:$G$1592,MATCH("[13120,""230918-ND-S-Z-10""]",'SKU明细'!$AE$9:$AE$1592,0)),INDEX('SKU明细'!$G$9:$G$1592,MATCH("[13120,""230918-ND-S-Z-11""]",'SKU明细'!$AE$9:$AE$1592,0)),INDEX('SKU明细'!$G$9:$G$1592,MATCH("[13120,""230918-ND-S-Z-6""]",'SKU明细'!$AE$9:$AE$1592,0)),INDEX('SKU明细'!$G$9:$G$1592,MATCH("[13120,""230918-ND-S-Z-7""]",'SKU明细'!$AE$9:$AE$1592,0)),INDEX('SKU明细'!$G$9:$G$1592,MATCH("[13120,""230918-ND-S-Z-8""]",'SKU明细'!$AE$9:$AE$1592,0)),INDEX('SKU明细'!$G$9:$G$1592,MATCH("[13120,""230918-ND-S-Z-9""]",'SKU明细'!$AE$9:$AE$1592,0)))&gt;0),SUM(INDEX('SKU明细'!$H$9:$H$1592,MATCH("[13120,""230918-ND-S-Z-10""]",'SKU明细'!$AE$9:$AE$1592,0)),INDEX('SKU明细'!$H$9:$H$1592,MATCH("[13120,""230918-ND-S-Z-11""]",'SKU明细'!$AE$9:$AE$1592,0)),INDEX('SKU明细'!$H$9:$H$1592,MATCH("[13120,""230918-ND-S-Z-6""]",'SKU明细'!$AE$9:$AE$1592,0)),INDEX('SKU明细'!$H$9:$H$1592,MATCH("[13120,""230918-ND-S-Z-7""]",'SKU明细'!$AE$9:$AE$1592,0)),INDEX('SKU明细'!$H$9:$H$1592,MATCH("[13120,""230918-ND-S-Z-8""]",'SKU明细'!$AE$9:$AE$1592,0)),INDEX('SKU明细'!$H$9:$H$1592,MATCH("[13120,""230918-ND-S-Z-9""]",'SKU明细'!$AE$9:$AE$1592,0)))/SUM(INDEX('SKU明细'!$G$9:$G$1592,MATCH("[13120,""230918-ND-S-Z-10""]",'SKU明细'!$AE$9:$AE$1592,0)),INDEX('SKU明细'!$G$9:$G$1592,MATCH("[13120,""230918-ND-S-Z-11""]",'SKU明细'!$AE$9:$AE$1592,0)),INDEX('SKU明细'!$G$9:$G$1592,MATCH("[13120,""230918-ND-S-Z-6""]",'SKU明细'!$AE$9:$AE$1592,0)),INDEX('SKU明细'!$G$9:$G$1592,MATCH("[13120,""230918-ND-S-Z-7""]",'SKU明细'!$AE$9:$AE$1592,0)),INDEX('SKU明细'!$G$9:$G$1592,MATCH("[13120,""230918-ND-S-Z-8""]",'SKU明细'!$AE$9:$AE$1592,0)),INDEX('SKU明细'!$G$9:$G$1592,MATCH("[13120,""230918-ND-S-Z-9""]",'SKU明细'!$AE$9:$AE$1592,0))),"待核")</x:f>
        <x:v>28.0211164541083</x:v>
      </x:c>
      <x:c r="T13" s="16" t="n">
        <x:f>IF(AND(COUNT(INDEX('SKU明细'!$I$9:$I$1592,MATCH("[13120,""230918-ND-S-Z-10""]",'SKU明细'!$AE$9:$AE$1592,0)),INDEX('SKU明细'!$I$9:$I$1592,MATCH("[13120,""230918-ND-S-Z-11""]",'SKU明细'!$AE$9:$AE$1592,0)),INDEX('SKU明细'!$I$9:$I$1592,MATCH("[13120,""230918-ND-S-Z-6""]",'SKU明细'!$AE$9:$AE$1592,0)),INDEX('SKU明细'!$I$9:$I$1592,MATCH("[13120,""230918-ND-S-Z-7""]",'SKU明细'!$AE$9:$AE$1592,0)),INDEX('SKU明细'!$I$9:$I$1592,MATCH("[13120,""230918-ND-S-Z-8""]",'SKU明细'!$AE$9:$AE$1592,0)),INDEX('SKU明细'!$I$9:$I$1592,MATCH("[13120,""230918-ND-S-Z-9""]",'SKU明细'!$AE$9:$AE$1592,0)))=6,COUNT(INDEX('SKU明细'!$AD$9:$AD$1592,MATCH("[13120,""230918-ND-S-Z-10""]",'SKU明细'!$AE$9:$AE$1592,0)),INDEX('SKU明细'!$AD$9:$AD$1592,MATCH("[13120,""230918-ND-S-Z-11""]",'SKU明细'!$AE$9:$AE$1592,0)),INDEX('SKU明细'!$AD$9:$AD$1592,MATCH("[13120,""230918-ND-S-Z-6""]",'SKU明细'!$AE$9:$AE$1592,0)),INDEX('SKU明细'!$AD$9:$AD$1592,MATCH("[13120,""230918-ND-S-Z-7""]",'SKU明细'!$AE$9:$AE$1592,0)),INDEX('SKU明细'!$AD$9:$AD$1592,MATCH("[13120,""230918-ND-S-Z-8""]",'SKU明细'!$AE$9:$AE$1592,0)),INDEX('SKU明细'!$AD$9:$AD$1592,MATCH("[13120,""230918-ND-S-Z-9""]",'SKU明细'!$AE$9:$AE$1592,0)))=6,SUM(INDEX('SKU明细'!$AD$9:$AD$1592,MATCH("[13120,""230918-ND-S-Z-10""]",'SKU明细'!$AE$9:$AE$1592,0)),INDEX('SKU明细'!$AD$9:$AD$1592,MATCH("[13120,""230918-ND-S-Z-11""]",'SKU明细'!$AE$9:$AE$1592,0)),INDEX('SKU明细'!$AD$9:$AD$1592,MATCH("[13120,""230918-ND-S-Z-6""]",'SKU明细'!$AE$9:$AE$1592,0)),INDEX('SKU明细'!$AD$9:$AD$1592,MATCH("[13120,""230918-ND-S-Z-7""]",'SKU明细'!$AE$9:$AE$1592,0)),INDEX('SKU明细'!$AD$9:$AD$1592,MATCH("[13120,""230918-ND-S-Z-8""]",'SKU明细'!$AE$9:$AE$1592,0)),INDEX('SKU明细'!$AD$9:$AD$1592,MATCH("[13120,""230918-ND-S-Z-9""]",'SKU明细'!$AE$9:$AE$1592,0)))&gt;0),SUM(INDEX('SKU明细'!$I$9:$I$1592,MATCH("[13120,""230918-ND-S-Z-10""]",'SKU明细'!$AE$9:$AE$1592,0)),INDEX('SKU明细'!$I$9:$I$1592,MATCH("[13120,""230918-ND-S-Z-11""]",'SKU明细'!$AE$9:$AE$1592,0)),INDEX('SKU明细'!$I$9:$I$1592,MATCH("[13120,""230918-ND-S-Z-6""]",'SKU明细'!$AE$9:$AE$1592,0)),INDEX('SKU明细'!$I$9:$I$1592,MATCH("[13120,""230918-ND-S-Z-7""]",'SKU明细'!$AE$9:$AE$1592,0)),INDEX('SKU明细'!$I$9:$I$1592,MATCH("[13120,""230918-ND-S-Z-8""]",'SKU明细'!$AE$9:$AE$1592,0)),INDEX('SKU明细'!$I$9:$I$1592,MATCH("[13120,""230918-ND-S-Z-9""]",'SKU明细'!$AE$9:$AE$1592,0)))/SUM(INDEX('SKU明细'!$AD$9:$AD$1592,MATCH("[13120,""230918-ND-S-Z-10""]",'SKU明细'!$AE$9:$AE$1592,0)),INDEX('SKU明细'!$AD$9:$AD$1592,MATCH("[13120,""230918-ND-S-Z-11""]",'SKU明细'!$AE$9:$AE$1592,0)),INDEX('SKU明细'!$AD$9:$AD$1592,MATCH("[13120,""230918-ND-S-Z-6""]",'SKU明细'!$AE$9:$AE$1592,0)),INDEX('SKU明细'!$AD$9:$AD$1592,MATCH("[13120,""230918-ND-S-Z-7""]",'SKU明细'!$AE$9:$AE$1592,0)),INDEX('SKU明细'!$AD$9:$AD$1592,MATCH("[13120,""230918-ND-S-Z-8""]",'SKU明细'!$AE$9:$AE$1592,0)),INDEX('SKU明细'!$AD$9:$AD$1592,MATCH("[13120,""230918-ND-S-Z-9""]",'SKU明细'!$AE$9:$AE$1592,0))),"待核")</x:f>
        <x:v>62.218836163111305</x:v>
      </x:c>
      <x:c r="U13" s="16" t="n">
        <x:f>IF(COUNT(S13:T13)=2,S13-T13,"待核")</x:f>
        <x:v>-34.19771970900301</x:v>
      </x:c>
      <x:c r="V13" s="17" t="n">
        <x:f>IF(AND(ISNUMBER(U13),ISNUMBER(T13),T13&lt;&gt;0),U13/T13,"")</x:f>
        <x:v>-0.5496361201509965</x:v>
      </x:c>
      <x:c r="W13" s="18" t="n">
        <x:f>IF(COUNT(INDEX('SKU明细'!$H$9:$H$1592,MATCH("[13120,""230918-ND-S-Z-10""]",'SKU明细'!$AE$9:$AE$1592,0)),INDEX('SKU明细'!$H$9:$H$1592,MATCH("[13120,""230918-ND-S-Z-11""]",'SKU明细'!$AE$9:$AE$1592,0)),INDEX('SKU明细'!$H$9:$H$1592,MATCH("[13120,""230918-ND-S-Z-6""]",'SKU明细'!$AE$9:$AE$1592,0)),INDEX('SKU明细'!$H$9:$H$1592,MATCH("[13120,""230918-ND-S-Z-7""]",'SKU明细'!$AE$9:$AE$1592,0)),INDEX('SKU明细'!$H$9:$H$1592,MATCH("[13120,""230918-ND-S-Z-8""]",'SKU明细'!$AE$9:$AE$1592,0)),INDEX('SKU明细'!$H$9:$H$1592,MATCH("[13120,""230918-ND-S-Z-9""]",'SKU明细'!$AE$9:$AE$1592,0)))=0,"待核",SUM(INDEX('SKU明细'!$H$9:$H$1592,MATCH("[13120,""230918-ND-S-Z-10""]",'SKU明细'!$AE$9:$AE$1592,0)),INDEX('SKU明细'!$H$9:$H$1592,MATCH("[13120,""230918-ND-S-Z-11""]",'SKU明细'!$AE$9:$AE$1592,0)),INDEX('SKU明细'!$H$9:$H$1592,MATCH("[13120,""230918-ND-S-Z-6""]",'SKU明细'!$AE$9:$AE$1592,0)),INDEX('SKU明细'!$H$9:$H$1592,MATCH("[13120,""230918-ND-S-Z-7""]",'SKU明细'!$AE$9:$AE$1592,0)),INDEX('SKU明细'!$H$9:$H$1592,MATCH("[13120,""230918-ND-S-Z-8""]",'SKU明细'!$AE$9:$AE$1592,0)),INDEX('SKU明细'!$H$9:$H$1592,MATCH("[13120,""230918-ND-S-Z-9""]",'SKU明细'!$AE$9:$AE$1592,0))))</x:f>
        <x:v>1787</x:v>
      </x:c>
      <x:c r="X13" s="19" t="str">
        <x:f>IF(COUNTIFS('SKU明细'!$AH$9:$AH$1592,"[""230918"",""230918-ND-S-Z"",""ND"",""裸色""]",'SKU明细'!$E$9:$E$1592,"促销")&gt;0,"促销 ","")&amp;IF(COUNTIFS('SKU明细'!$AH$9:$AH$1592,"[""230918"",""230918-ND-S-Z"",""ND"",""裸色""]",'SKU明细'!$E$9:$E$1592,"红线促销")&gt;0,"红线促销 ","")&amp;IF(COUNTIFS('SKU明细'!$AH$9:$AH$1592,"[""230918"",""230918-ND-S-Z"",""ND"",""裸色""]",'SKU明细'!$E$9:$E$1592,"考虑清仓")&gt;0,"考虑清仓 ","")&amp;IF(COUNTIFS('SKU明细'!$AH$9:$AH$1592,"[""230918"",""230918-ND-S-Z"",""ND"",""裸色""]",'SKU明细'!$E$9:$E$1592,"断货")&gt;0,"断货 ","")&amp;IF(COUNTIFS('SKU明细'!$AH$9:$AH$1592,"[""230918"",""230918-ND-S-Z"",""ND"",""裸色""]",'SKU明细'!$E$9:$E$1592,"零日销待复核")&gt;0,"零日销待复核 ","")&amp;IF(COUNTIFS('SKU明细'!$AH$9:$AH$1592,"[""230918"",""230918-ND-S-Z"",""ND"",""裸色""]",'SKU明细'!$E$9:$E$1592,"数据待核")&gt;0,"数据待核 ","")&amp;IF(COUNTIFS('SKU明细'!$AH$9:$AH$1592,"[""230918"",""230918-ND-S-Z"",""ND"",""裸色""]",'SKU明细'!$E$9:$E$1592,"正常库存")&gt;0,"正常库存 ","")&amp;IF(COUNTIFS('SKU明细'!$AH$9:$AH$1592,"[""230918"",""230918-ND-S-Z"",""ND"",""裸色""]",'SKU明细'!$E$9:$E$1592,"补货提醒")&gt;0,"补货提醒 ","")</x:f>
        <x:v>补货提醒 </x:v>
      </x:c>
      <x:c r="Y13" s="19" t="str">
        <x:f>IF(NOT(ISNUMBER(U13)),"覆盖待核／无可比基准","完整可比")</x:f>
        <x:v>完整可比</x:v>
      </x:c>
      <x:c r="Z13" s="19" t="str">
        <x:v>在售</x:v>
      </x:c>
      <x:c r="AA13" s="19" t="n">
        <x:f>IF(SUMIFS('SKU明细'!$AF$9:$AF$1592,'SKU明细'!$D$9:$D$1592,A13,'SKU明细'!$Z$9:$Z$1592,"&lt;&gt;移出")=0,"待核",SUMIFS('SKU明细'!$H$9:$H$1592,'SKU明细'!$D$9:$D$1592,A13,'SKU明细'!$Z$9:$Z$1592,"&lt;&gt;移出"))</x:f>
        <x:v>2915</x:v>
      </x:c>
    </x:row>
    <x:row r="14" ht="54" customHeight="1">
      <x:c r="A14" s="15" t="str">
        <x:v>230918</x:v>
      </x:c>
      <x:c r="B14" s="15" t="str">
        <x:v>艾年</x:v>
      </x:c>
      <x:c r="C14" s="15" t="str">
        <x:v>驼色PU</x:v>
      </x:c>
      <x:c r="D14" s="15" t="str">
        <x:v>TN-P</x:v>
      </x:c>
      <x:c r="E14" s="15" t="str">
        <x:v>230918-TN-P-Z</x:v>
      </x:c>
      <x:c r="F14" s="15"/>
      <x:c r="G14" s="16" t="str">
        <x:f>"—"</x:f>
        <x:v>—</x:v>
      </x:c>
      <x:c r="H14" s="16" t="n">
        <x:f>IF(AND(COUNT(INDEX('SKU明细'!$H$9:$H$1592,MATCH("[13120,""230918-TN-P-Z-6""]",'SKU明细'!$AE$9:$AE$1592,0)))=1,COUNT(INDEX('SKU明细'!$G$9:$G$1592,MATCH("[13120,""230918-TN-P-Z-6""]",'SKU明细'!$AE$9:$AE$1592,0)))=1,SUM(INDEX('SKU明细'!$G$9:$G$1592,MATCH("[13120,""230918-TN-P-Z-6""]",'SKU明细'!$AE$9:$AE$1592,0)))&gt;0),SUM(INDEX('SKU明细'!$H$9:$H$1592,MATCH("[13120,""230918-TN-P-Z-6""]",'SKU明细'!$AE$9:$AE$1592,0)))/SUM(INDEX('SKU明细'!$G$9:$G$1592,MATCH("[13120,""230918-TN-P-Z-6""]",'SKU明细'!$AE$9:$AE$1592,0))),"待核")</x:f>
        <x:v>386.2068965517242</x:v>
      </x:c>
      <x:c r="I14" s="16" t="str">
        <x:f>"—"</x:f>
        <x:v>—</x:v>
      </x:c>
      <x:c r="J14" s="16" t="n">
        <x:f>IF(AND(COUNT(INDEX('SKU明细'!$H$9:$H$1592,MATCH("[13120,""230918-TN-P-Z-7""]",'SKU明细'!$AE$9:$AE$1592,0)))=1,COUNT(INDEX('SKU明细'!$G$9:$G$1592,MATCH("[13120,""230918-TN-P-Z-7""]",'SKU明细'!$AE$9:$AE$1592,0)))=1,SUM(INDEX('SKU明细'!$G$9:$G$1592,MATCH("[13120,""230918-TN-P-Z-7""]",'SKU明细'!$AE$9:$AE$1592,0)))&gt;0),SUM(INDEX('SKU明细'!$H$9:$H$1592,MATCH("[13120,""230918-TN-P-Z-7""]",'SKU明细'!$AE$9:$AE$1592,0)))/SUM(INDEX('SKU明细'!$G$9:$G$1592,MATCH("[13120,""230918-TN-P-Z-7""]",'SKU明细'!$AE$9:$AE$1592,0))),"待核")</x:f>
        <x:v>23.028720626631856</x:v>
      </x:c>
      <x:c r="K14" s="16" t="str">
        <x:f>"—"</x:f>
        <x:v>—</x:v>
      </x:c>
      <x:c r="L14" s="16" t="n">
        <x:f>IF(AND(COUNT(INDEX('SKU明细'!$H$9:$H$1592,MATCH("[13120,""230918-TN-P-Z-8""]",'SKU明细'!$AE$9:$AE$1592,0)))=1,COUNT(INDEX('SKU明细'!$G$9:$G$1592,MATCH("[13120,""230918-TN-P-Z-8""]",'SKU明细'!$AE$9:$AE$1592,0)))=1,SUM(INDEX('SKU明细'!$G$9:$G$1592,MATCH("[13120,""230918-TN-P-Z-8""]",'SKU明细'!$AE$9:$AE$1592,0)))&gt;0),SUM(INDEX('SKU明细'!$H$9:$H$1592,MATCH("[13120,""230918-TN-P-Z-8""]",'SKU明细'!$AE$9:$AE$1592,0)))/SUM(INDEX('SKU明细'!$G$9:$G$1592,MATCH("[13120,""230918-TN-P-Z-8""]",'SKU明细'!$AE$9:$AE$1592,0))),"待核")</x:f>
        <x:v>61.83556405353728</x:v>
      </x:c>
      <x:c r="M14" s="16" t="str">
        <x:f>"—"</x:f>
        <x:v>—</x:v>
      </x:c>
      <x:c r="N14" s="16" t="n">
        <x:f>IF(AND(COUNT(INDEX('SKU明细'!$H$9:$H$1592,MATCH("[13120,""230918-TN-P-Z-9""]",'SKU明细'!$AE$9:$AE$1592,0)))=1,COUNT(INDEX('SKU明细'!$G$9:$G$1592,MATCH("[13120,""230918-TN-P-Z-9""]",'SKU明细'!$AE$9:$AE$1592,0)))=1,SUM(INDEX('SKU明细'!$G$9:$G$1592,MATCH("[13120,""230918-TN-P-Z-9""]",'SKU明细'!$AE$9:$AE$1592,0)))&gt;0),SUM(INDEX('SKU明细'!$H$9:$H$1592,MATCH("[13120,""230918-TN-P-Z-9""]",'SKU明细'!$AE$9:$AE$1592,0)))/SUM(INDEX('SKU明细'!$G$9:$G$1592,MATCH("[13120,""230918-TN-P-Z-9""]",'SKU明细'!$AE$9:$AE$1592,0))),"待核")</x:f>
        <x:v>83.8917525773196</x:v>
      </x:c>
      <x:c r="O14" s="16" t="str">
        <x:f>"—"</x:f>
        <x:v>—</x:v>
      </x:c>
      <x:c r="P14" s="16" t="n">
        <x:f>IF(AND(COUNT(INDEX('SKU明细'!$H$9:$H$1592,MATCH("[13120,""230918-TN-P-Z-10""]",'SKU明细'!$AE$9:$AE$1592,0)))=1,COUNT(INDEX('SKU明细'!$G$9:$G$1592,MATCH("[13120,""230918-TN-P-Z-10""]",'SKU明细'!$AE$9:$AE$1592,0)))=1,SUM(INDEX('SKU明细'!$G$9:$G$1592,MATCH("[13120,""230918-TN-P-Z-10""]",'SKU明细'!$AE$9:$AE$1592,0)))&gt;0),SUM(INDEX('SKU明细'!$H$9:$H$1592,MATCH("[13120,""230918-TN-P-Z-10""]",'SKU明细'!$AE$9:$AE$1592,0)))/SUM(INDEX('SKU明细'!$G$9:$G$1592,MATCH("[13120,""230918-TN-P-Z-10""]",'SKU明细'!$AE$9:$AE$1592,0))),"待核")</x:f>
        <x:v>2.3026315789473686</x:v>
      </x:c>
      <x:c r="Q14" s="16" t="str">
        <x:f>"—"</x:f>
        <x:v>—</x:v>
      </x:c>
      <x:c r="R14" s="16" t="n">
        <x:f>IF(AND(COUNT(INDEX('SKU明细'!$H$9:$H$1592,MATCH("[13120,""230918-TN-P-Z-11""]",'SKU明细'!$AE$9:$AE$1592,0)))=1,COUNT(INDEX('SKU明细'!$G$9:$G$1592,MATCH("[13120,""230918-TN-P-Z-11""]",'SKU明细'!$AE$9:$AE$1592,0)))=1,SUM(INDEX('SKU明细'!$G$9:$G$1592,MATCH("[13120,""230918-TN-P-Z-11""]",'SKU明细'!$AE$9:$AE$1592,0)))&gt;0),SUM(INDEX('SKU明细'!$H$9:$H$1592,MATCH("[13120,""230918-TN-P-Z-11""]",'SKU明细'!$AE$9:$AE$1592,0)))/SUM(INDEX('SKU明细'!$G$9:$G$1592,MATCH("[13120,""230918-TN-P-Z-11""]",'SKU明细'!$AE$9:$AE$1592,0))),"待核")</x:f>
        <x:v>133.95872420262663</x:v>
      </x:c>
      <x:c r="S14" s="16" t="n">
        <x:f>IF(AND(COUNT(INDEX('SKU明细'!$H$9:$H$1592,MATCH("[13120,""230918-TN-P-Z-6""]",'SKU明细'!$AE$9:$AE$1592,0)),INDEX('SKU明细'!$H$9:$H$1592,MATCH("[13120,""230918-TN-P-Z-11""]",'SKU明细'!$AE$9:$AE$1592,0)),INDEX('SKU明细'!$H$9:$H$1592,MATCH("[13120,""230918-TN-P-Z-8""]",'SKU明细'!$AE$9:$AE$1592,0)),INDEX('SKU明细'!$H$9:$H$1592,MATCH("[13120,""230918-TN-P-Z-9""]",'SKU明细'!$AE$9:$AE$1592,0)),INDEX('SKU明细'!$H$9:$H$1592,MATCH("[13120,""230918-TN-P-Z-10""]",'SKU明细'!$AE$9:$AE$1592,0)),INDEX('SKU明细'!$H$9:$H$1592,MATCH("[13120,""230918-TN-P-Z-7""]",'SKU明细'!$AE$9:$AE$1592,0)))=6,COUNT(INDEX('SKU明细'!$G$9:$G$1592,MATCH("[13120,""230918-TN-P-Z-6""]",'SKU明细'!$AE$9:$AE$1592,0)),INDEX('SKU明细'!$G$9:$G$1592,MATCH("[13120,""230918-TN-P-Z-11""]",'SKU明细'!$AE$9:$AE$1592,0)),INDEX('SKU明细'!$G$9:$G$1592,MATCH("[13120,""230918-TN-P-Z-8""]",'SKU明细'!$AE$9:$AE$1592,0)),INDEX('SKU明细'!$G$9:$G$1592,MATCH("[13120,""230918-TN-P-Z-9""]",'SKU明细'!$AE$9:$AE$1592,0)),INDEX('SKU明细'!$G$9:$G$1592,MATCH("[13120,""230918-TN-P-Z-10""]",'SKU明细'!$AE$9:$AE$1592,0)),INDEX('SKU明细'!$G$9:$G$1592,MATCH("[13120,""230918-TN-P-Z-7""]",'SKU明细'!$AE$9:$AE$1592,0)))=6,SUM(INDEX('SKU明细'!$G$9:$G$1592,MATCH("[13120,""230918-TN-P-Z-6""]",'SKU明细'!$AE$9:$AE$1592,0)),INDEX('SKU明细'!$G$9:$G$1592,MATCH("[13120,""230918-TN-P-Z-11""]",'SKU明细'!$AE$9:$AE$1592,0)),INDEX('SKU明细'!$G$9:$G$1592,MATCH("[13120,""230918-TN-P-Z-8""]",'SKU明细'!$AE$9:$AE$1592,0)),INDEX('SKU明细'!$G$9:$G$1592,MATCH("[13120,""230918-TN-P-Z-9""]",'SKU明细'!$AE$9:$AE$1592,0)),INDEX('SKU明细'!$G$9:$G$1592,MATCH("[13120,""230918-TN-P-Z-10""]",'SKU明细'!$AE$9:$AE$1592,0)),INDEX('SKU明细'!$G$9:$G$1592,MATCH("[13120,""230918-TN-P-Z-7""]",'SKU明细'!$AE$9:$AE$1592,0)))&gt;0),SUM(INDEX('SKU明细'!$H$9:$H$1592,MATCH("[13120,""230918-TN-P-Z-6""]",'SKU明细'!$AE$9:$AE$1592,0)),INDEX('SKU明细'!$H$9:$H$1592,MATCH("[13120,""230918-TN-P-Z-11""]",'SKU明细'!$AE$9:$AE$1592,0)),INDEX('SKU明细'!$H$9:$H$1592,MATCH("[13120,""230918-TN-P-Z-8""]",'SKU明细'!$AE$9:$AE$1592,0)),INDEX('SKU明细'!$H$9:$H$1592,MATCH("[13120,""230918-TN-P-Z-9""]",'SKU明细'!$AE$9:$AE$1592,0)),INDEX('SKU明细'!$H$9:$H$1592,MATCH("[13120,""230918-TN-P-Z-10""]",'SKU明细'!$AE$9:$AE$1592,0)),INDEX('SKU明细'!$H$9:$H$1592,MATCH("[13120,""230918-TN-P-Z-7""]",'SKU明细'!$AE$9:$AE$1592,0)))/SUM(INDEX('SKU明细'!$G$9:$G$1592,MATCH("[13120,""230918-TN-P-Z-6""]",'SKU明细'!$AE$9:$AE$1592,0)),INDEX('SKU明细'!$G$9:$G$1592,MATCH("[13120,""230918-TN-P-Z-11""]",'SKU明细'!$AE$9:$AE$1592,0)),INDEX('SKU明细'!$G$9:$G$1592,MATCH("[13120,""230918-TN-P-Z-8""]",'SKU明细'!$AE$9:$AE$1592,0)),INDEX('SKU明细'!$G$9:$G$1592,MATCH("[13120,""230918-TN-P-Z-9""]",'SKU明细'!$AE$9:$AE$1592,0)),INDEX('SKU明细'!$G$9:$G$1592,MATCH("[13120,""230918-TN-P-Z-10""]",'SKU明细'!$AE$9:$AE$1592,0)),INDEX('SKU明细'!$G$9:$G$1592,MATCH("[13120,""230918-TN-P-Z-7""]",'SKU明细'!$AE$9:$AE$1592,0))),"待核")</x:f>
        <x:v>58.19542947202522</x:v>
      </x:c>
      <x:c r="T14" s="16" t="n">
        <x:f>IF(AND(COUNT(INDEX('SKU明细'!$I$9:$I$1592,MATCH("[13120,""230918-TN-P-Z-6""]",'SKU明细'!$AE$9:$AE$1592,0)),INDEX('SKU明细'!$I$9:$I$1592,MATCH("[13120,""230918-TN-P-Z-11""]",'SKU明细'!$AE$9:$AE$1592,0)),INDEX('SKU明细'!$I$9:$I$1592,MATCH("[13120,""230918-TN-P-Z-8""]",'SKU明细'!$AE$9:$AE$1592,0)),INDEX('SKU明细'!$I$9:$I$1592,MATCH("[13120,""230918-TN-P-Z-9""]",'SKU明细'!$AE$9:$AE$1592,0)),INDEX('SKU明细'!$I$9:$I$1592,MATCH("[13120,""230918-TN-P-Z-10""]",'SKU明细'!$AE$9:$AE$1592,0)),INDEX('SKU明细'!$I$9:$I$1592,MATCH("[13120,""230918-TN-P-Z-7""]",'SKU明细'!$AE$9:$AE$1592,0)))=6,COUNT(INDEX('SKU明细'!$AD$9:$AD$1592,MATCH("[13120,""230918-TN-P-Z-6""]",'SKU明细'!$AE$9:$AE$1592,0)),INDEX('SKU明细'!$AD$9:$AD$1592,MATCH("[13120,""230918-TN-P-Z-11""]",'SKU明细'!$AE$9:$AE$1592,0)),INDEX('SKU明细'!$AD$9:$AD$1592,MATCH("[13120,""230918-TN-P-Z-8""]",'SKU明细'!$AE$9:$AE$1592,0)),INDEX('SKU明细'!$AD$9:$AD$1592,MATCH("[13120,""230918-TN-P-Z-9""]",'SKU明细'!$AE$9:$AE$1592,0)),INDEX('SKU明细'!$AD$9:$AD$1592,MATCH("[13120,""230918-TN-P-Z-10""]",'SKU明细'!$AE$9:$AE$1592,0)),INDEX('SKU明细'!$AD$9:$AD$1592,MATCH("[13120,""230918-TN-P-Z-7""]",'SKU明细'!$AE$9:$AE$1592,0)))=6,SUM(INDEX('SKU明细'!$AD$9:$AD$1592,MATCH("[13120,""230918-TN-P-Z-6""]",'SKU明细'!$AE$9:$AE$1592,0)),INDEX('SKU明细'!$AD$9:$AD$1592,MATCH("[13120,""230918-TN-P-Z-11""]",'SKU明细'!$AE$9:$AE$1592,0)),INDEX('SKU明细'!$AD$9:$AD$1592,MATCH("[13120,""230918-TN-P-Z-8""]",'SKU明细'!$AE$9:$AE$1592,0)),INDEX('SKU明细'!$AD$9:$AD$1592,MATCH("[13120,""230918-TN-P-Z-9""]",'SKU明细'!$AE$9:$AE$1592,0)),INDEX('SKU明细'!$AD$9:$AD$1592,MATCH("[13120,""230918-TN-P-Z-10""]",'SKU明细'!$AE$9:$AE$1592,0)),INDEX('SKU明细'!$AD$9:$AD$1592,MATCH("[13120,""230918-TN-P-Z-7""]",'SKU明细'!$AE$9:$AE$1592,0)))&gt;0),SUM(INDEX('SKU明细'!$I$9:$I$1592,MATCH("[13120,""230918-TN-P-Z-6""]",'SKU明细'!$AE$9:$AE$1592,0)),INDEX('SKU明细'!$I$9:$I$1592,MATCH("[13120,""230918-TN-P-Z-11""]",'SKU明细'!$AE$9:$AE$1592,0)),INDEX('SKU明细'!$I$9:$I$1592,MATCH("[13120,""230918-TN-P-Z-8""]",'SKU明细'!$AE$9:$AE$1592,0)),INDEX('SKU明细'!$I$9:$I$1592,MATCH("[13120,""230918-TN-P-Z-9""]",'SKU明细'!$AE$9:$AE$1592,0)),INDEX('SKU明细'!$I$9:$I$1592,MATCH("[13120,""230918-TN-P-Z-10""]",'SKU明细'!$AE$9:$AE$1592,0)),INDEX('SKU明细'!$I$9:$I$1592,MATCH("[13120,""230918-TN-P-Z-7""]",'SKU明细'!$AE$9:$AE$1592,0)))/SUM(INDEX('SKU明细'!$AD$9:$AD$1592,MATCH("[13120,""230918-TN-P-Z-6""]",'SKU明细'!$AE$9:$AE$1592,0)),INDEX('SKU明细'!$AD$9:$AD$1592,MATCH("[13120,""230918-TN-P-Z-11""]",'SKU明细'!$AE$9:$AE$1592,0)),INDEX('SKU明细'!$AD$9:$AD$1592,MATCH("[13120,""230918-TN-P-Z-8""]",'SKU明细'!$AE$9:$AE$1592,0)),INDEX('SKU明细'!$AD$9:$AD$1592,MATCH("[13120,""230918-TN-P-Z-9""]",'SKU明细'!$AE$9:$AE$1592,0)),INDEX('SKU明细'!$AD$9:$AD$1592,MATCH("[13120,""230918-TN-P-Z-10""]",'SKU明细'!$AE$9:$AE$1592,0)),INDEX('SKU明细'!$AD$9:$AD$1592,MATCH("[13120,""230918-TN-P-Z-7""]",'SKU明细'!$AE$9:$AE$1592,0))),"待核")</x:f>
        <x:v>62.60982284315137</x:v>
      </x:c>
      <x:c r="U14" s="16" t="n">
        <x:f>IF(COUNT(S14:T14)=2,S14-T14,"待核")</x:f>
        <x:v>-4.4143933711261525</x:v>
      </x:c>
      <x:c r="V14" s="17" t="n">
        <x:f>IF(AND(ISNUMBER(U14),ISNUMBER(T14),T14&lt;&gt;0),U14/T14,"")</x:f>
        <x:v>-0.07050640252065535</x:v>
      </x:c>
      <x:c r="W14" s="18" t="n">
        <x:f>IF(COUNT(INDEX('SKU明细'!$H$9:$H$1592,MATCH("[13120,""230918-TN-P-Z-6""]",'SKU明细'!$AE$9:$AE$1592,0)),INDEX('SKU明细'!$H$9:$H$1592,MATCH("[13120,""230918-TN-P-Z-11""]",'SKU明细'!$AE$9:$AE$1592,0)),INDEX('SKU明细'!$H$9:$H$1592,MATCH("[13120,""230918-TN-P-Z-8""]",'SKU明细'!$AE$9:$AE$1592,0)),INDEX('SKU明细'!$H$9:$H$1592,MATCH("[13120,""230918-TN-P-Z-9""]",'SKU明细'!$AE$9:$AE$1592,0)),INDEX('SKU明细'!$H$9:$H$1592,MATCH("[13120,""230918-TN-P-Z-10""]",'SKU明细'!$AE$9:$AE$1592,0)),INDEX('SKU明细'!$H$9:$H$1592,MATCH("[13120,""230918-TN-P-Z-7""]",'SKU明细'!$AE$9:$AE$1592,0)))=0,"待核",SUM(INDEX('SKU明细'!$H$9:$H$1592,MATCH("[13120,""230918-TN-P-Z-6""]",'SKU明细'!$AE$9:$AE$1592,0)),INDEX('SKU明细'!$H$9:$H$1592,MATCH("[13120,""230918-TN-P-Z-11""]",'SKU明细'!$AE$9:$AE$1592,0)),INDEX('SKU明细'!$H$9:$H$1592,MATCH("[13120,""230918-TN-P-Z-8""]",'SKU明细'!$AE$9:$AE$1592,0)),INDEX('SKU明细'!$H$9:$H$1592,MATCH("[13120,""230918-TN-P-Z-9""]",'SKU明细'!$AE$9:$AE$1592,0)),INDEX('SKU明细'!$H$9:$H$1592,MATCH("[13120,""230918-TN-P-Z-10""]",'SKU明细'!$AE$9:$AE$1592,0)),INDEX('SKU明细'!$H$9:$H$1592,MATCH("[13120,""230918-TN-P-Z-7""]",'SKU明细'!$AE$9:$AE$1592,0))))</x:f>
        <x:v>211</x:v>
      </x:c>
      <x:c r="X14" s="19" t="str">
        <x:f>IF(COUNTIFS('SKU明细'!$AH$9:$AH$1592,"[""230918"",""230918-TN-P-Z"",""TN-P"",""驼色PU""]",'SKU明细'!$E$9:$E$1592,"促销")&gt;0,"促销 ","")&amp;IF(COUNTIFS('SKU明细'!$AH$9:$AH$1592,"[""230918"",""230918-TN-P-Z"",""TN-P"",""驼色PU""]",'SKU明细'!$E$9:$E$1592,"红线促销")&gt;0,"红线促销 ","")&amp;IF(COUNTIFS('SKU明细'!$AH$9:$AH$1592,"[""230918"",""230918-TN-P-Z"",""TN-P"",""驼色PU""]",'SKU明细'!$E$9:$E$1592,"考虑清仓")&gt;0,"考虑清仓 ","")&amp;IF(COUNTIFS('SKU明细'!$AH$9:$AH$1592,"[""230918"",""230918-TN-P-Z"",""TN-P"",""驼色PU""]",'SKU明细'!$E$9:$E$1592,"断货")&gt;0,"断货 ","")&amp;IF(COUNTIFS('SKU明细'!$AH$9:$AH$1592,"[""230918"",""230918-TN-P-Z"",""TN-P"",""驼色PU""]",'SKU明细'!$E$9:$E$1592,"零日销待复核")&gt;0,"零日销待复核 ","")&amp;IF(COUNTIFS('SKU明细'!$AH$9:$AH$1592,"[""230918"",""230918-TN-P-Z"",""TN-P"",""驼色PU""]",'SKU明细'!$E$9:$E$1592,"数据待核")&gt;0,"数据待核 ","")&amp;IF(COUNTIFS('SKU明细'!$AH$9:$AH$1592,"[""230918"",""230918-TN-P-Z"",""TN-P"",""驼色PU""]",'SKU明细'!$E$9:$E$1592,"正常库存")&gt;0,"正常库存 ","")&amp;IF(COUNTIFS('SKU明细'!$AH$9:$AH$1592,"[""230918"",""230918-TN-P-Z"",""TN-P"",""驼色PU""]",'SKU明细'!$E$9:$E$1592,"补货提醒")&gt;0,"补货提醒 ","")</x:f>
        <x:v>促销 考虑清仓 正常库存 补货提醒 </x:v>
      </x:c>
      <x:c r="Y14" s="19" t="str">
        <x:f>IF(NOT(ISNUMBER(U14)),"覆盖待核／无可比基准","完整可比")</x:f>
        <x:v>完整可比</x:v>
      </x:c>
      <x:c r="Z14" s="19" t="str">
        <x:v>在售</x:v>
      </x:c>
      <x:c r="AA14" s="19" t="n">
        <x:f>IF(SUMIFS('SKU明细'!$AF$9:$AF$1592,'SKU明细'!$D$9:$D$1592,A14,'SKU明细'!$Z$9:$Z$1592,"&lt;&gt;移出")=0,"待核",SUMIFS('SKU明细'!$H$9:$H$1592,'SKU明细'!$D$9:$D$1592,A14,'SKU明细'!$Z$9:$Z$1592,"&lt;&gt;移出"))</x:f>
        <x:v>2915</x:v>
      </x:c>
    </x:row>
    <x:row r="15" ht="54" customHeight="1">
      <x:c r="A15" s="15" t="str">
        <x:v>230918</x:v>
      </x:c>
      <x:c r="B15" s="15" t="str">
        <x:v>艾年</x:v>
      </x:c>
      <x:c r="C15" s="15" t="str">
        <x:v>驼色</x:v>
      </x:c>
      <x:c r="D15" s="15" t="str">
        <x:v>TN</x:v>
      </x:c>
      <x:c r="E15" s="15" t="str">
        <x:v>230918-TN-S-Z</x:v>
      </x:c>
      <x:c r="F15" s="15"/>
      <x:c r="G15" s="16" t="str">
        <x:f>"—"</x:f>
        <x:v>—</x:v>
      </x:c>
      <x:c r="H15" s="16" t="n">
        <x:f>IF(AND(COUNT(INDEX('SKU明细'!$H$9:$H$1592,MATCH("[13120,""230918-TN-S-Z-6""]",'SKU明细'!$AE$9:$AE$1592,0)))=1,COUNT(INDEX('SKU明细'!$G$9:$G$1592,MATCH("[13120,""230918-TN-S-Z-6""]",'SKU明细'!$AE$9:$AE$1592,0)))=1,SUM(INDEX('SKU明细'!$G$9:$G$1592,MATCH("[13120,""230918-TN-S-Z-6""]",'SKU明细'!$AE$9:$AE$1592,0)))&gt;0),SUM(INDEX('SKU明细'!$H$9:$H$1592,MATCH("[13120,""230918-TN-S-Z-6""]",'SKU明细'!$AE$9:$AE$1592,0)))/SUM(INDEX('SKU明细'!$G$9:$G$1592,MATCH("[13120,""230918-TN-S-Z-6""]",'SKU明细'!$AE$9:$AE$1592,0))),"待核")</x:f>
        <x:v>21.384928716904277</x:v>
      </x:c>
      <x:c r="I15" s="16" t="str">
        <x:f>"—"</x:f>
        <x:v>—</x:v>
      </x:c>
      <x:c r="J15" s="16" t="n">
        <x:f>IF(AND(COUNT(INDEX('SKU明细'!$H$9:$H$1592,MATCH("[13120,""230918-TN-S-Z-7""]",'SKU明细'!$AE$9:$AE$1592,0)))=1,COUNT(INDEX('SKU明细'!$G$9:$G$1592,MATCH("[13120,""230918-TN-S-Z-7""]",'SKU明细'!$AE$9:$AE$1592,0)))=1,SUM(INDEX('SKU明细'!$G$9:$G$1592,MATCH("[13120,""230918-TN-S-Z-7""]",'SKU明细'!$AE$9:$AE$1592,0)))&gt;0),SUM(INDEX('SKU明细'!$H$9:$H$1592,MATCH("[13120,""230918-TN-S-Z-7""]",'SKU明细'!$AE$9:$AE$1592,0)))/SUM(INDEX('SKU明细'!$G$9:$G$1592,MATCH("[13120,""230918-TN-S-Z-7""]",'SKU明细'!$AE$9:$AE$1592,0))),"待核")</x:f>
        <x:v>20.20618556701031</x:v>
      </x:c>
      <x:c r="K15" s="16" t="str">
        <x:f>"—"</x:f>
        <x:v>—</x:v>
      </x:c>
      <x:c r="L15" s="16" t="n">
        <x:f>IF(AND(COUNT(INDEX('SKU明细'!$H$9:$H$1592,MATCH("[13120,""230918-TN-S-Z-8""]",'SKU明细'!$AE$9:$AE$1592,0)))=1,COUNT(INDEX('SKU明细'!$G$9:$G$1592,MATCH("[13120,""230918-TN-S-Z-8""]",'SKU明细'!$AE$9:$AE$1592,0)))=1,SUM(INDEX('SKU明细'!$G$9:$G$1592,MATCH("[13120,""230918-TN-S-Z-8""]",'SKU明细'!$AE$9:$AE$1592,0)))&gt;0),SUM(INDEX('SKU明细'!$H$9:$H$1592,MATCH("[13120,""230918-TN-S-Z-8""]",'SKU明细'!$AE$9:$AE$1592,0)))/SUM(INDEX('SKU明细'!$G$9:$G$1592,MATCH("[13120,""230918-TN-S-Z-8""]",'SKU明细'!$AE$9:$AE$1592,0))),"待核")</x:f>
        <x:v>13.991116751269034</x:v>
      </x:c>
      <x:c r="M15" s="16" t="str">
        <x:f>"—"</x:f>
        <x:v>—</x:v>
      </x:c>
      <x:c r="N15" s="16" t="n">
        <x:f>IF(AND(COUNT(INDEX('SKU明细'!$H$9:$H$1592,MATCH("[13120,""230918-TN-S-Z-9""]",'SKU明细'!$AE$9:$AE$1592,0)))=1,COUNT(INDEX('SKU明细'!$G$9:$G$1592,MATCH("[13120,""230918-TN-S-Z-9""]",'SKU明细'!$AE$9:$AE$1592,0)))=1,SUM(INDEX('SKU明细'!$G$9:$G$1592,MATCH("[13120,""230918-TN-S-Z-9""]",'SKU明细'!$AE$9:$AE$1592,0)))&gt;0),SUM(INDEX('SKU明细'!$H$9:$H$1592,MATCH("[13120,""230918-TN-S-Z-9""]",'SKU明细'!$AE$9:$AE$1592,0)))/SUM(INDEX('SKU明细'!$G$9:$G$1592,MATCH("[13120,""230918-TN-S-Z-9""]",'SKU明细'!$AE$9:$AE$1592,0))),"待核")</x:f>
        <x:v>28.091353996737354</x:v>
      </x:c>
      <x:c r="O15" s="16" t="str">
        <x:f>"—"</x:f>
        <x:v>—</x:v>
      </x:c>
      <x:c r="P15" s="16" t="n">
        <x:f>IF(AND(COUNT(INDEX('SKU明细'!$H$9:$H$1592,MATCH("[13120,""230918-TN-S-Z-10""]",'SKU明细'!$AE$9:$AE$1592,0)))=1,COUNT(INDEX('SKU明细'!$G$9:$G$1592,MATCH("[13120,""230918-TN-S-Z-10""]",'SKU明细'!$AE$9:$AE$1592,0)))=1,SUM(INDEX('SKU明细'!$G$9:$G$1592,MATCH("[13120,""230918-TN-S-Z-10""]",'SKU明细'!$AE$9:$AE$1592,0)))&gt;0),SUM(INDEX('SKU明细'!$H$9:$H$1592,MATCH("[13120,""230918-TN-S-Z-10""]",'SKU明细'!$AE$9:$AE$1592,0)))/SUM(INDEX('SKU明细'!$G$9:$G$1592,MATCH("[13120,""230918-TN-S-Z-10""]",'SKU明细'!$AE$9:$AE$1592,0))),"待核")</x:f>
        <x:v>164.9214659685864</x:v>
      </x:c>
      <x:c r="Q15" s="16" t="str">
        <x:f>"—"</x:f>
        <x:v>—</x:v>
      </x:c>
      <x:c r="R15" s="16" t="n">
        <x:f>IF(AND(COUNT(INDEX('SKU明细'!$H$9:$H$1592,MATCH("[13120,""230918-TN-S-Z-11""]",'SKU明细'!$AE$9:$AE$1592,0)))=1,COUNT(INDEX('SKU明细'!$G$9:$G$1592,MATCH("[13120,""230918-TN-S-Z-11""]",'SKU明细'!$AE$9:$AE$1592,0)))=1,SUM(INDEX('SKU明细'!$G$9:$G$1592,MATCH("[13120,""230918-TN-S-Z-11""]",'SKU明细'!$AE$9:$AE$1592,0)))&gt;0),SUM(INDEX('SKU明细'!$H$9:$H$1592,MATCH("[13120,""230918-TN-S-Z-11""]",'SKU明细'!$AE$9:$AE$1592,0)))/SUM(INDEX('SKU明细'!$G$9:$G$1592,MATCH("[13120,""230918-TN-S-Z-11""]",'SKU明细'!$AE$9:$AE$1592,0))),"待核")</x:f>
        <x:v>148.93617021276594</x:v>
      </x:c>
      <x:c r="S15" s="16" t="n">
        <x:f>IF(AND(COUNT(INDEX('SKU明细'!$H$9:$H$1592,MATCH("[13120,""230918-TN-S-Z-10""]",'SKU明细'!$AE$9:$AE$1592,0)),INDEX('SKU明细'!$H$9:$H$1592,MATCH("[13120,""230918-TN-S-Z-11""]",'SKU明细'!$AE$9:$AE$1592,0)),INDEX('SKU明细'!$H$9:$H$1592,MATCH("[13120,""230918-TN-S-Z-6""]",'SKU明细'!$AE$9:$AE$1592,0)),INDEX('SKU明细'!$H$9:$H$1592,MATCH("[13120,""230918-TN-S-Z-7""]",'SKU明细'!$AE$9:$AE$1592,0)),INDEX('SKU明细'!$H$9:$H$1592,MATCH("[13120,""230918-TN-S-Z-8""]",'SKU明细'!$AE$9:$AE$1592,0)),INDEX('SKU明细'!$H$9:$H$1592,MATCH("[13120,""230918-TN-S-Z-9""]",'SKU明细'!$AE$9:$AE$1592,0)))=6,COUNT(INDEX('SKU明细'!$G$9:$G$1592,MATCH("[13120,""230918-TN-S-Z-10""]",'SKU明细'!$AE$9:$AE$1592,0)),INDEX('SKU明细'!$G$9:$G$1592,MATCH("[13120,""230918-TN-S-Z-11""]",'SKU明细'!$AE$9:$AE$1592,0)),INDEX('SKU明细'!$G$9:$G$1592,MATCH("[13120,""230918-TN-S-Z-6""]",'SKU明细'!$AE$9:$AE$1592,0)),INDEX('SKU明细'!$G$9:$G$1592,MATCH("[13120,""230918-TN-S-Z-7""]",'SKU明细'!$AE$9:$AE$1592,0)),INDEX('SKU明细'!$G$9:$G$1592,MATCH("[13120,""230918-TN-S-Z-8""]",'SKU明细'!$AE$9:$AE$1592,0)),INDEX('SKU明细'!$G$9:$G$1592,MATCH("[13120,""230918-TN-S-Z-9""]",'SKU明细'!$AE$9:$AE$1592,0)))=6,SUM(INDEX('SKU明细'!$G$9:$G$1592,MATCH("[13120,""230918-TN-S-Z-10""]",'SKU明细'!$AE$9:$AE$1592,0)),INDEX('SKU明细'!$G$9:$G$1592,MATCH("[13120,""230918-TN-S-Z-11""]",'SKU明细'!$AE$9:$AE$1592,0)),INDEX('SKU明细'!$G$9:$G$1592,MATCH("[13120,""230918-TN-S-Z-6""]",'SKU明细'!$AE$9:$AE$1592,0)),INDEX('SKU明细'!$G$9:$G$1592,MATCH("[13120,""230918-TN-S-Z-7""]",'SKU明细'!$AE$9:$AE$1592,0)),INDEX('SKU明细'!$G$9:$G$1592,MATCH("[13120,""230918-TN-S-Z-8""]",'SKU明细'!$AE$9:$AE$1592,0)),INDEX('SKU明细'!$G$9:$G$1592,MATCH("[13120,""230918-TN-S-Z-9""]",'SKU明细'!$AE$9:$AE$1592,0)))&gt;0),SUM(INDEX('SKU明细'!$H$9:$H$1592,MATCH("[13120,""230918-TN-S-Z-10""]",'SKU明细'!$AE$9:$AE$1592,0)),INDEX('SKU明细'!$H$9:$H$1592,MATCH("[13120,""230918-TN-S-Z-11""]",'SKU明细'!$AE$9:$AE$1592,0)),INDEX('SKU明细'!$H$9:$H$1592,MATCH("[13120,""230918-TN-S-Z-6""]",'SKU明细'!$AE$9:$AE$1592,0)),INDEX('SKU明细'!$H$9:$H$1592,MATCH("[13120,""230918-TN-S-Z-7""]",'SKU明细'!$AE$9:$AE$1592,0)),INDEX('SKU明细'!$H$9:$H$1592,MATCH("[13120,""230918-TN-S-Z-8""]",'SKU明细'!$AE$9:$AE$1592,0)),INDEX('SKU明细'!$H$9:$H$1592,MATCH("[13120,""230918-TN-S-Z-9""]",'SKU明细'!$AE$9:$AE$1592,0)))/SUM(INDEX('SKU明细'!$G$9:$G$1592,MATCH("[13120,""230918-TN-S-Z-10""]",'SKU明细'!$AE$9:$AE$1592,0)),INDEX('SKU明细'!$G$9:$G$1592,MATCH("[13120,""230918-TN-S-Z-11""]",'SKU明细'!$AE$9:$AE$1592,0)),INDEX('SKU明细'!$G$9:$G$1592,MATCH("[13120,""230918-TN-S-Z-6""]",'SKU明细'!$AE$9:$AE$1592,0)),INDEX('SKU明细'!$G$9:$G$1592,MATCH("[13120,""230918-TN-S-Z-7""]",'SKU明细'!$AE$9:$AE$1592,0)),INDEX('SKU明细'!$G$9:$G$1592,MATCH("[13120,""230918-TN-S-Z-8""]",'SKU明细'!$AE$9:$AE$1592,0)),INDEX('SKU明细'!$G$9:$G$1592,MATCH("[13120,""230918-TN-S-Z-9""]",'SKU明细'!$AE$9:$AE$1592,0))),"待核")</x:f>
        <x:v>34.125</x:v>
      </x:c>
      <x:c r="T15" s="16" t="n">
        <x:f>IF(AND(COUNT(INDEX('SKU明细'!$I$9:$I$1592,MATCH("[13120,""230918-TN-S-Z-10""]",'SKU明细'!$AE$9:$AE$1592,0)),INDEX('SKU明细'!$I$9:$I$1592,MATCH("[13120,""230918-TN-S-Z-11""]",'SKU明细'!$AE$9:$AE$1592,0)),INDEX('SKU明细'!$I$9:$I$1592,MATCH("[13120,""230918-TN-S-Z-6""]",'SKU明细'!$AE$9:$AE$1592,0)),INDEX('SKU明细'!$I$9:$I$1592,MATCH("[13120,""230918-TN-S-Z-7""]",'SKU明细'!$AE$9:$AE$1592,0)),INDEX('SKU明细'!$I$9:$I$1592,MATCH("[13120,""230918-TN-S-Z-8""]",'SKU明细'!$AE$9:$AE$1592,0)),INDEX('SKU明细'!$I$9:$I$1592,MATCH("[13120,""230918-TN-S-Z-9""]",'SKU明细'!$AE$9:$AE$1592,0)))=6,COUNT(INDEX('SKU明细'!$AD$9:$AD$1592,MATCH("[13120,""230918-TN-S-Z-10""]",'SKU明细'!$AE$9:$AE$1592,0)),INDEX('SKU明细'!$AD$9:$AD$1592,MATCH("[13120,""230918-TN-S-Z-11""]",'SKU明细'!$AE$9:$AE$1592,0)),INDEX('SKU明细'!$AD$9:$AD$1592,MATCH("[13120,""230918-TN-S-Z-6""]",'SKU明细'!$AE$9:$AE$1592,0)),INDEX('SKU明细'!$AD$9:$AD$1592,MATCH("[13120,""230918-TN-S-Z-7""]",'SKU明细'!$AE$9:$AE$1592,0)),INDEX('SKU明细'!$AD$9:$AD$1592,MATCH("[13120,""230918-TN-S-Z-8""]",'SKU明细'!$AE$9:$AE$1592,0)),INDEX('SKU明细'!$AD$9:$AD$1592,MATCH("[13120,""230918-TN-S-Z-9""]",'SKU明细'!$AE$9:$AE$1592,0)))=6,SUM(INDEX('SKU明细'!$AD$9:$AD$1592,MATCH("[13120,""230918-TN-S-Z-10""]",'SKU明细'!$AE$9:$AE$1592,0)),INDEX('SKU明细'!$AD$9:$AD$1592,MATCH("[13120,""230918-TN-S-Z-11""]",'SKU明细'!$AE$9:$AE$1592,0)),INDEX('SKU明细'!$AD$9:$AD$1592,MATCH("[13120,""230918-TN-S-Z-6""]",'SKU明细'!$AE$9:$AE$1592,0)),INDEX('SKU明细'!$AD$9:$AD$1592,MATCH("[13120,""230918-TN-S-Z-7""]",'SKU明细'!$AE$9:$AE$1592,0)),INDEX('SKU明细'!$AD$9:$AD$1592,MATCH("[13120,""230918-TN-S-Z-8""]",'SKU明细'!$AE$9:$AE$1592,0)),INDEX('SKU明细'!$AD$9:$AD$1592,MATCH("[13120,""230918-TN-S-Z-9""]",'SKU明细'!$AE$9:$AE$1592,0)))&gt;0),SUM(INDEX('SKU明细'!$I$9:$I$1592,MATCH("[13120,""230918-TN-S-Z-10""]",'SKU明细'!$AE$9:$AE$1592,0)),INDEX('SKU明细'!$I$9:$I$1592,MATCH("[13120,""230918-TN-S-Z-11""]",'SKU明细'!$AE$9:$AE$1592,0)),INDEX('SKU明细'!$I$9:$I$1592,MATCH("[13120,""230918-TN-S-Z-6""]",'SKU明细'!$AE$9:$AE$1592,0)),INDEX('SKU明细'!$I$9:$I$1592,MATCH("[13120,""230918-TN-S-Z-7""]",'SKU明细'!$AE$9:$AE$1592,0)),INDEX('SKU明细'!$I$9:$I$1592,MATCH("[13120,""230918-TN-S-Z-8""]",'SKU明细'!$AE$9:$AE$1592,0)),INDEX('SKU明细'!$I$9:$I$1592,MATCH("[13120,""230918-TN-S-Z-9""]",'SKU明细'!$AE$9:$AE$1592,0)))/SUM(INDEX('SKU明细'!$AD$9:$AD$1592,MATCH("[13120,""230918-TN-S-Z-10""]",'SKU明细'!$AE$9:$AE$1592,0)),INDEX('SKU明细'!$AD$9:$AD$1592,MATCH("[13120,""230918-TN-S-Z-11""]",'SKU明细'!$AE$9:$AE$1592,0)),INDEX('SKU明细'!$AD$9:$AD$1592,MATCH("[13120,""230918-TN-S-Z-6""]",'SKU明细'!$AE$9:$AE$1592,0)),INDEX('SKU明细'!$AD$9:$AD$1592,MATCH("[13120,""230918-TN-S-Z-7""]",'SKU明细'!$AE$9:$AE$1592,0)),INDEX('SKU明细'!$AD$9:$AD$1592,MATCH("[13120,""230918-TN-S-Z-8""]",'SKU明细'!$AE$9:$AE$1592,0)),INDEX('SKU明细'!$AD$9:$AD$1592,MATCH("[13120,""230918-TN-S-Z-9""]",'SKU明细'!$AE$9:$AE$1592,0))),"待核")</x:f>
        <x:v>109.1655266757866</x:v>
      </x:c>
      <x:c r="U15" s="16" t="n">
        <x:f>IF(COUNT(S15:T15)=2,S15-T15,"待核")</x:f>
        <x:v>-75.0405266757866</x:v>
      </x:c>
      <x:c r="V15" s="17" t="n">
        <x:f>IF(AND(ISNUMBER(U15),ISNUMBER(T15),T15&lt;&gt;0),U15/T15,"")</x:f>
        <x:v>-0.6874013157894737</x:v>
      </x:c>
      <x:c r="W15" s="18" t="n">
        <x:f>IF(COUNT(INDEX('SKU明细'!$H$9:$H$1592,MATCH("[13120,""230918-TN-S-Z-10""]",'SKU明细'!$AE$9:$AE$1592,0)),INDEX('SKU明细'!$H$9:$H$1592,MATCH("[13120,""230918-TN-S-Z-11""]",'SKU明细'!$AE$9:$AE$1592,0)),INDEX('SKU明细'!$H$9:$H$1592,MATCH("[13120,""230918-TN-S-Z-6""]",'SKU明细'!$AE$9:$AE$1592,0)),INDEX('SKU明细'!$H$9:$H$1592,MATCH("[13120,""230918-TN-S-Z-7""]",'SKU明细'!$AE$9:$AE$1592,0)),INDEX('SKU明细'!$H$9:$H$1592,MATCH("[13120,""230918-TN-S-Z-8""]",'SKU明细'!$AE$9:$AE$1592,0)),INDEX('SKU明细'!$H$9:$H$1592,MATCH("[13120,""230918-TN-S-Z-9""]",'SKU明细'!$AE$9:$AE$1592,0)))=0,"待核",SUM(INDEX('SKU明细'!$H$9:$H$1592,MATCH("[13120,""230918-TN-S-Z-10""]",'SKU明细'!$AE$9:$AE$1592,0)),INDEX('SKU明细'!$H$9:$H$1592,MATCH("[13120,""230918-TN-S-Z-11""]",'SKU明细'!$AE$9:$AE$1592,0)),INDEX('SKU明细'!$H$9:$H$1592,MATCH("[13120,""230918-TN-S-Z-6""]",'SKU明细'!$AE$9:$AE$1592,0)),INDEX('SKU明细'!$H$9:$H$1592,MATCH("[13120,""230918-TN-S-Z-7""]",'SKU明细'!$AE$9:$AE$1592,0)),INDEX('SKU明细'!$H$9:$H$1592,MATCH("[13120,""230918-TN-S-Z-8""]",'SKU明细'!$AE$9:$AE$1592,0)),INDEX('SKU明细'!$H$9:$H$1592,MATCH("[13120,""230918-TN-S-Z-9""]",'SKU明细'!$AE$9:$AE$1592,0))))</x:f>
        <x:v>156</x:v>
      </x:c>
      <x:c r="X15" s="19" t="str">
        <x:f>IF(COUNTIFS('SKU明细'!$AH$9:$AH$1592,"[""230918"",""230918-TN-S-Z"",""TN"",""驼色""]",'SKU明细'!$E$9:$E$1592,"促销")&gt;0,"促销 ","")&amp;IF(COUNTIFS('SKU明细'!$AH$9:$AH$1592,"[""230918"",""230918-TN-S-Z"",""TN"",""驼色""]",'SKU明细'!$E$9:$E$1592,"红线促销")&gt;0,"红线促销 ","")&amp;IF(COUNTIFS('SKU明细'!$AH$9:$AH$1592,"[""230918"",""230918-TN-S-Z"",""TN"",""驼色""]",'SKU明细'!$E$9:$E$1592,"考虑清仓")&gt;0,"考虑清仓 ","")&amp;IF(COUNTIFS('SKU明细'!$AH$9:$AH$1592,"[""230918"",""230918-TN-S-Z"",""TN"",""驼色""]",'SKU明细'!$E$9:$E$1592,"断货")&gt;0,"断货 ","")&amp;IF(COUNTIFS('SKU明细'!$AH$9:$AH$1592,"[""230918"",""230918-TN-S-Z"",""TN"",""驼色""]",'SKU明细'!$E$9:$E$1592,"零日销待复核")&gt;0,"零日销待复核 ","")&amp;IF(COUNTIFS('SKU明细'!$AH$9:$AH$1592,"[""230918"",""230918-TN-S-Z"",""TN"",""驼色""]",'SKU明细'!$E$9:$E$1592,"数据待核")&gt;0,"数据待核 ","")&amp;IF(COUNTIFS('SKU明细'!$AH$9:$AH$1592,"[""230918"",""230918-TN-S-Z"",""TN"",""驼色""]",'SKU明细'!$E$9:$E$1592,"正常库存")&gt;0,"正常库存 ","")&amp;IF(COUNTIFS('SKU明细'!$AH$9:$AH$1592,"[""230918"",""230918-TN-S-Z"",""TN"",""驼色""]",'SKU明细'!$E$9:$E$1592,"补货提醒")&gt;0,"补货提醒 ","")</x:f>
        <x:v>促销 补货提醒 </x:v>
      </x:c>
      <x:c r="Y15" s="19" t="str">
        <x:f>IF(NOT(ISNUMBER(U15)),"覆盖待核／无可比基准","完整可比")</x:f>
        <x:v>完整可比</x:v>
      </x:c>
      <x:c r="Z15" s="19" t="str">
        <x:v>在售</x:v>
      </x:c>
      <x:c r="AA15" s="19" t="n">
        <x:f>IF(SUMIFS('SKU明细'!$AF$9:$AF$1592,'SKU明细'!$D$9:$D$1592,A15,'SKU明细'!$Z$9:$Z$1592,"&lt;&gt;移出")=0,"待核",SUMIFS('SKU明细'!$H$9:$H$1592,'SKU明细'!$D$9:$D$1592,A15,'SKU明细'!$Z$9:$Z$1592,"&lt;&gt;移出"))</x:f>
        <x:v>2915</x:v>
      </x:c>
    </x:row>
    <x:row r="16" ht="54" customHeight="1">
      <x:c r="A16" s="20" t="str">
        <x:v>B07</x:v>
      </x:c>
      <x:c r="B16" s="20" t="str">
        <x:v>艾年</x:v>
      </x:c>
      <x:c r="C16" s="20" t="str">
        <x:v>米色羊京绒</x:v>
      </x:c>
      <x:c r="D16" s="20" t="str">
        <x:v>BG</x:v>
      </x:c>
      <x:c r="E16" s="20" t="str">
        <x:v>B07-BG</x:v>
      </x:c>
      <x:c r="F16" s="20"/>
      <x:c r="G16" s="21" t="str">
        <x:f>"—"</x:f>
        <x:v>—</x:v>
      </x:c>
      <x:c r="H16" s="21" t="n">
        <x:f>IF(AND(COUNT(INDEX('SKU明细'!$H$9:$H$1592,MATCH("[13306,""B07-BG-37-by""]",'SKU明细'!$AE$9:$AE$1592,0)))=1,COUNT(INDEX('SKU明细'!$G$9:$G$1592,MATCH("[13306,""B07-BG-37-by""]",'SKU明细'!$AE$9:$AE$1592,0)))=1,SUM(INDEX('SKU明细'!$G$9:$G$1592,MATCH("[13306,""B07-BG-37-by""]",'SKU明细'!$AE$9:$AE$1592,0)))&gt;0),SUM(INDEX('SKU明细'!$H$9:$H$1592,MATCH("[13306,""B07-BG-37-by""]",'SKU明细'!$AE$9:$AE$1592,0)))/SUM(INDEX('SKU明细'!$G$9:$G$1592,MATCH("[13306,""B07-BG-37-by""]",'SKU明细'!$AE$9:$AE$1592,0))),"待核")</x:f>
        <x:v>23.507462686567166</x:v>
      </x:c>
      <x:c r="I16" s="21" t="n">
        <x:f>IF(AND(COUNT(INDEX('SKU明细'!$H$9:$H$1592,MATCH("[13306,""B07-BG-37.5""]",'SKU明细'!$AE$9:$AE$1592,0)))=1,COUNT(INDEX('SKU明细'!$G$9:$G$1592,MATCH("[13306,""B07-BG-37.5""]",'SKU明细'!$AE$9:$AE$1592,0)))=1,SUM(INDEX('SKU明细'!$G$9:$G$1592,MATCH("[13306,""B07-BG-37.5""]",'SKU明细'!$AE$9:$AE$1592,0)))&gt;0),SUM(INDEX('SKU明细'!$H$9:$H$1592,MATCH("[13306,""B07-BG-37.5""]",'SKU明细'!$AE$9:$AE$1592,0)))/SUM(INDEX('SKU明细'!$G$9:$G$1592,MATCH("[13306,""B07-BG-37.5""]",'SKU明细'!$AE$9:$AE$1592,0))),"待核")</x:f>
        <x:v>96.80851063829788</x:v>
      </x:c>
      <x:c r="J16" s="21" t="str">
        <x:f>IF(AND(COUNT(INDEX('SKU明细'!$H$9:$H$1592,MATCH("[13306,""B07-BG-38-by""]",'SKU明细'!$AE$9:$AE$1592,0)))=1,COUNT(INDEX('SKU明细'!$G$9:$G$1592,MATCH("[13306,""B07-BG-38-by""]",'SKU明细'!$AE$9:$AE$1592,0)))=1,SUM(INDEX('SKU明细'!$G$9:$G$1592,MATCH("[13306,""B07-BG-38-by""]",'SKU明细'!$AE$9:$AE$1592,0)))&gt;0),SUM(INDEX('SKU明细'!$H$9:$H$1592,MATCH("[13306,""B07-BG-38-by""]",'SKU明细'!$AE$9:$AE$1592,0)))/SUM(INDEX('SKU明细'!$G$9:$G$1592,MATCH("[13306,""B07-BG-38-by""]",'SKU明细'!$AE$9:$AE$1592,0))),"待核")</x:f>
        <x:v>待核</x:v>
      </x:c>
      <x:c r="K16" s="21" t="n">
        <x:f>IF(AND(COUNT(INDEX('SKU明细'!$H$9:$H$1592,MATCH("[13306,""B07-BG-38.5""]",'SKU明细'!$AE$9:$AE$1592,0)))=1,COUNT(INDEX('SKU明细'!$G$9:$G$1592,MATCH("[13306,""B07-BG-38.5""]",'SKU明细'!$AE$9:$AE$1592,0)))=1,SUM(INDEX('SKU明细'!$G$9:$G$1592,MATCH("[13306,""B07-BG-38.5""]",'SKU明细'!$AE$9:$AE$1592,0)))&gt;0),SUM(INDEX('SKU明细'!$H$9:$H$1592,MATCH("[13306,""B07-BG-38.5""]",'SKU明细'!$AE$9:$AE$1592,0)))/SUM(INDEX('SKU明细'!$G$9:$G$1592,MATCH("[13306,""B07-BG-38.5""]",'SKU明细'!$AE$9:$AE$1592,0))),"待核")</x:f>
        <x:v>12.883435582822088</x:v>
      </x:c>
      <x:c r="L16" s="21" t="n">
        <x:f>IF(AND(COUNT(INDEX('SKU明细'!$H$9:$H$1592,MATCH("[13306,""B07-BG-39-New""]",'SKU明细'!$AE$9:$AE$1592,0)))=1,COUNT(INDEX('SKU明细'!$G$9:$G$1592,MATCH("[13306,""B07-BG-39-New""]",'SKU明细'!$AE$9:$AE$1592,0)))=1,SUM(INDEX('SKU明细'!$G$9:$G$1592,MATCH("[13306,""B07-BG-39-New""]",'SKU明细'!$AE$9:$AE$1592,0)))&gt;0),SUM(INDEX('SKU明细'!$H$9:$H$1592,MATCH("[13306,""B07-BG-39-New""]",'SKU明细'!$AE$9:$AE$1592,0)))/SUM(INDEX('SKU明细'!$G$9:$G$1592,MATCH("[13306,""B07-BG-39-New""]",'SKU明细'!$AE$9:$AE$1592,0))),"待核")</x:f>
        <x:v>76.70025188916877</x:v>
      </x:c>
      <x:c r="M16" s="21" t="n">
        <x:f>IF(AND(COUNT(INDEX('SKU明细'!$H$9:$H$1592,MATCH("[13306,""B07-BG-39.5""]",'SKU明细'!$AE$9:$AE$1592,0)))=1,COUNT(INDEX('SKU明细'!$G$9:$G$1592,MATCH("[13306,""B07-BG-39.5""]",'SKU明细'!$AE$9:$AE$1592,0)))=1,SUM(INDEX('SKU明细'!$G$9:$G$1592,MATCH("[13306,""B07-BG-39.5""]",'SKU明细'!$AE$9:$AE$1592,0)))&gt;0),SUM(INDEX('SKU明细'!$H$9:$H$1592,MATCH("[13306,""B07-BG-39.5""]",'SKU明细'!$AE$9:$AE$1592,0)))/SUM(INDEX('SKU明细'!$G$9:$G$1592,MATCH("[13306,""B07-BG-39.5""]",'SKU明细'!$AE$9:$AE$1592,0))),"待核")</x:f>
        <x:v>12.27173119065011</x:v>
      </x:c>
      <x:c r="N16" s="21" t="str">
        <x:f>IF(AND(COUNT(INDEX('SKU明细'!$H$9:$H$1592,MATCH("[13306,""B07-BG-40-by""]",'SKU明细'!$AE$9:$AE$1592,0)))=1,COUNT(INDEX('SKU明细'!$G$9:$G$1592,MATCH("[13306,""B07-BG-40-by""]",'SKU明细'!$AE$9:$AE$1592,0)))=1,SUM(INDEX('SKU明细'!$G$9:$G$1592,MATCH("[13306,""B07-BG-40-by""]",'SKU明细'!$AE$9:$AE$1592,0)))&gt;0),SUM(INDEX('SKU明细'!$H$9:$H$1592,MATCH("[13306,""B07-BG-40-by""]",'SKU明细'!$AE$9:$AE$1592,0)))/SUM(INDEX('SKU明细'!$G$9:$G$1592,MATCH("[13306,""B07-BG-40-by""]",'SKU明细'!$AE$9:$AE$1592,0))),"待核")</x:f>
        <x:v>待核</x:v>
      </x:c>
      <x:c r="O16" s="21" t="n">
        <x:f>IF(AND(COUNT(INDEX('SKU明细'!$H$9:$H$1592,MATCH("[13306,""B07-BG-40.5""]",'SKU明细'!$AE$9:$AE$1592,0)))=1,COUNT(INDEX('SKU明细'!$G$9:$G$1592,MATCH("[13306,""B07-BG-40.5""]",'SKU明细'!$AE$9:$AE$1592,0)))=1,SUM(INDEX('SKU明细'!$G$9:$G$1592,MATCH("[13306,""B07-BG-40.5""]",'SKU明细'!$AE$9:$AE$1592,0)))&gt;0),SUM(INDEX('SKU明细'!$H$9:$H$1592,MATCH("[13306,""B07-BG-40.5""]",'SKU明细'!$AE$9:$AE$1592,0)))/SUM(INDEX('SKU明细'!$G$9:$G$1592,MATCH("[13306,""B07-BG-40.5""]",'SKU明细'!$AE$9:$AE$1592,0))),"待核")</x:f>
        <x:v>234.5744680851064</x:v>
      </x:c>
      <x:c r="P16" s="21" t="n">
        <x:f>IF(AND(COUNT(INDEX('SKU明细'!$H$9:$H$1592,MATCH("[13306,""B07-BG-41-by""]",'SKU明细'!$AE$9:$AE$1592,0)))=1,COUNT(INDEX('SKU明细'!$G$9:$G$1592,MATCH("[13306,""B07-BG-41-by""]",'SKU明细'!$AE$9:$AE$1592,0)))=1,SUM(INDEX('SKU明细'!$G$9:$G$1592,MATCH("[13306,""B07-BG-41-by""]",'SKU明细'!$AE$9:$AE$1592,0)))&gt;0),SUM(INDEX('SKU明细'!$H$9:$H$1592,MATCH("[13306,""B07-BG-41-by""]",'SKU明细'!$AE$9:$AE$1592,0)))/SUM(INDEX('SKU明细'!$G$9:$G$1592,MATCH("[13306,""B07-BG-41-by""]",'SKU明细'!$AE$9:$AE$1592,0))),"待核")</x:f>
        <x:v>0</x:v>
      </x:c>
      <x:c r="Q16" s="21" t="str">
        <x:f>IF(AND(COUNT(INDEX('SKU明细'!$H$9:$H$1592,MATCH("[13306,""B07-BG-41.5""]",'SKU明细'!$AE$9:$AE$1592,0)))=1,COUNT(INDEX('SKU明细'!$G$9:$G$1592,MATCH("[13306,""B07-BG-41.5""]",'SKU明细'!$AE$9:$AE$1592,0)))=1,SUM(INDEX('SKU明细'!$G$9:$G$1592,MATCH("[13306,""B07-BG-41.5""]",'SKU明细'!$AE$9:$AE$1592,0)))&gt;0),SUM(INDEX('SKU明细'!$H$9:$H$1592,MATCH("[13306,""B07-BG-41.5""]",'SKU明细'!$AE$9:$AE$1592,0)))/SUM(INDEX('SKU明细'!$G$9:$G$1592,MATCH("[13306,""B07-BG-41.5""]",'SKU明细'!$AE$9:$AE$1592,0))),"待核")</x:f>
        <x:v>待核</x:v>
      </x:c>
      <x:c r="R16" s="21" t="n">
        <x:f>IF(AND(COUNT(INDEX('SKU明细'!$H$9:$H$1592,MATCH("[13306,""B07-BG-42-by""]",'SKU明细'!$AE$9:$AE$1592,0)))=1,COUNT(INDEX('SKU明细'!$G$9:$G$1592,MATCH("[13306,""B07-BG-42-by""]",'SKU明细'!$AE$9:$AE$1592,0)))=1,SUM(INDEX('SKU明细'!$G$9:$G$1592,MATCH("[13306,""B07-BG-42-by""]",'SKU明细'!$AE$9:$AE$1592,0)))&gt;0),SUM(INDEX('SKU明细'!$H$9:$H$1592,MATCH("[13306,""B07-BG-42-by""]",'SKU明细'!$AE$9:$AE$1592,0)))/SUM(INDEX('SKU明细'!$G$9:$G$1592,MATCH("[13306,""B07-BG-42-by""]",'SKU明细'!$AE$9:$AE$1592,0))),"待核")</x:f>
        <x:v>89.36170212765957</x:v>
      </x:c>
      <x:c r="S16" s="21" t="n">
        <x:f>IF(AND(COUNT(INDEX('SKU明细'!$H$9:$H$1592,MATCH("[13306,""B07-BG-40.5""]",'SKU明细'!$AE$9:$AE$1592,0)),INDEX('SKU明细'!$H$9:$H$1592,MATCH("[13306,""B07-BG-37.5""]",'SKU明细'!$AE$9:$AE$1592,0)),INDEX('SKU明细'!$H$9:$H$1592,MATCH("[13306,""B07-BG-38-by""]",'SKU明细'!$AE$9:$AE$1592,0)),INDEX('SKU明细'!$H$9:$H$1592,MATCH("[13306,""B07-BG-40-by""]",'SKU明细'!$AE$9:$AE$1592,0)),INDEX('SKU明细'!$H$9:$H$1592,MATCH("[13306,""B07-BG-41-by""]",'SKU明细'!$AE$9:$AE$1592,0)),INDEX('SKU明细'!$H$9:$H$1592,MATCH("[13306,""B07-BG-41.5""]",'SKU明细'!$AE$9:$AE$1592,0)),INDEX('SKU明细'!$H$9:$H$1592,MATCH("[13306,""B07-BG-39-New""]",'SKU明细'!$AE$9:$AE$1592,0)),INDEX('SKU明细'!$H$9:$H$1592,MATCH("[13306,""B07-BG-42-by""]",'SKU明细'!$AE$9:$AE$1592,0)),INDEX('SKU明细'!$H$9:$H$1592,MATCH("[13306,""B07-BG-37-by""]",'SKU明细'!$AE$9:$AE$1592,0)),INDEX('SKU明细'!$H$9:$H$1592,MATCH("[13306,""B07-BG-38.5""]",'SKU明细'!$AE$9:$AE$1592,0)),INDEX('SKU明细'!$H$9:$H$1592,MATCH("[13306,""B07-BG-39.5""]",'SKU明细'!$AE$9:$AE$1592,0)))=11,COUNT(INDEX('SKU明细'!$G$9:$G$1592,MATCH("[13306,""B07-BG-40.5""]",'SKU明细'!$AE$9:$AE$1592,0)),INDEX('SKU明细'!$G$9:$G$1592,MATCH("[13306,""B07-BG-37.5""]",'SKU明细'!$AE$9:$AE$1592,0)),INDEX('SKU明细'!$G$9:$G$1592,MATCH("[13306,""B07-BG-38-by""]",'SKU明细'!$AE$9:$AE$1592,0)),INDEX('SKU明细'!$G$9:$G$1592,MATCH("[13306,""B07-BG-40-by""]",'SKU明细'!$AE$9:$AE$1592,0)),INDEX('SKU明细'!$G$9:$G$1592,MATCH("[13306,""B07-BG-41-by""]",'SKU明细'!$AE$9:$AE$1592,0)),INDEX('SKU明细'!$G$9:$G$1592,MATCH("[13306,""B07-BG-41.5""]",'SKU明细'!$AE$9:$AE$1592,0)),INDEX('SKU明细'!$G$9:$G$1592,MATCH("[13306,""B07-BG-39-New""]",'SKU明细'!$AE$9:$AE$1592,0)),INDEX('SKU明细'!$G$9:$G$1592,MATCH("[13306,""B07-BG-42-by""]",'SKU明细'!$AE$9:$AE$1592,0)),INDEX('SKU明细'!$G$9:$G$1592,MATCH("[13306,""B07-BG-37-by""]",'SKU明细'!$AE$9:$AE$1592,0)),INDEX('SKU明细'!$G$9:$G$1592,MATCH("[13306,""B07-BG-38.5""]",'SKU明细'!$AE$9:$AE$1592,0)),INDEX('SKU明细'!$G$9:$G$1592,MATCH("[13306,""B07-BG-39.5""]",'SKU明细'!$AE$9:$AE$1592,0)))=11,SUM(INDEX('SKU明细'!$G$9:$G$1592,MATCH("[13306,""B07-BG-40.5""]",'SKU明细'!$AE$9:$AE$1592,0)),INDEX('SKU明细'!$G$9:$G$1592,MATCH("[13306,""B07-BG-37.5""]",'SKU明细'!$AE$9:$AE$1592,0)),INDEX('SKU明细'!$G$9:$G$1592,MATCH("[13306,""B07-BG-38-by""]",'SKU明细'!$AE$9:$AE$1592,0)),INDEX('SKU明细'!$G$9:$G$1592,MATCH("[13306,""B07-BG-40-by""]",'SKU明细'!$AE$9:$AE$1592,0)),INDEX('SKU明细'!$G$9:$G$1592,MATCH("[13306,""B07-BG-41-by""]",'SKU明细'!$AE$9:$AE$1592,0)),INDEX('SKU明细'!$G$9:$G$1592,MATCH("[13306,""B07-BG-41.5""]",'SKU明细'!$AE$9:$AE$1592,0)),INDEX('SKU明细'!$G$9:$G$1592,MATCH("[13306,""B07-BG-39-New""]",'SKU明细'!$AE$9:$AE$1592,0)),INDEX('SKU明细'!$G$9:$G$1592,MATCH("[13306,""B07-BG-42-by""]",'SKU明细'!$AE$9:$AE$1592,0)),INDEX('SKU明细'!$G$9:$G$1592,MATCH("[13306,""B07-BG-37-by""]",'SKU明细'!$AE$9:$AE$1592,0)),INDEX('SKU明细'!$G$9:$G$1592,MATCH("[13306,""B07-BG-38.5""]",'SKU明细'!$AE$9:$AE$1592,0)),INDEX('SKU明细'!$G$9:$G$1592,MATCH("[13306,""B07-BG-39.5""]",'SKU明细'!$AE$9:$AE$1592,0)))&gt;0),SUM(INDEX('SKU明细'!$H$9:$H$1592,MATCH("[13306,""B07-BG-40.5""]",'SKU明细'!$AE$9:$AE$1592,0)),INDEX('SKU明细'!$H$9:$H$1592,MATCH("[13306,""B07-BG-37.5""]",'SKU明细'!$AE$9:$AE$1592,0)),INDEX('SKU明细'!$H$9:$H$1592,MATCH("[13306,""B07-BG-38-by""]",'SKU明细'!$AE$9:$AE$1592,0)),INDEX('SKU明细'!$H$9:$H$1592,MATCH("[13306,""B07-BG-40-by""]",'SKU明细'!$AE$9:$AE$1592,0)),INDEX('SKU明细'!$H$9:$H$1592,MATCH("[13306,""B07-BG-41-by""]",'SKU明细'!$AE$9:$AE$1592,0)),INDEX('SKU明细'!$H$9:$H$1592,MATCH("[13306,""B07-BG-41.5""]",'SKU明细'!$AE$9:$AE$1592,0)),INDEX('SKU明细'!$H$9:$H$1592,MATCH("[13306,""B07-BG-39-New""]",'SKU明细'!$AE$9:$AE$1592,0)),INDEX('SKU明细'!$H$9:$H$1592,MATCH("[13306,""B07-BG-42-by""]",'SKU明细'!$AE$9:$AE$1592,0)),INDEX('SKU明细'!$H$9:$H$1592,MATCH("[13306,""B07-BG-37-by""]",'SKU明细'!$AE$9:$AE$1592,0)),INDEX('SKU明细'!$H$9:$H$1592,MATCH("[13306,""B07-BG-38.5""]",'SKU明细'!$AE$9:$AE$1592,0)),INDEX('SKU明细'!$H$9:$H$1592,MATCH("[13306,""B07-BG-39.5""]",'SKU明细'!$AE$9:$AE$1592,0)))/SUM(INDEX('SKU明细'!$G$9:$G$1592,MATCH("[13306,""B07-BG-40.5""]",'SKU明细'!$AE$9:$AE$1592,0)),INDEX('SKU明细'!$G$9:$G$1592,MATCH("[13306,""B07-BG-37.5""]",'SKU明细'!$AE$9:$AE$1592,0)),INDEX('SKU明细'!$G$9:$G$1592,MATCH("[13306,""B07-BG-38-by""]",'SKU明细'!$AE$9:$AE$1592,0)),INDEX('SKU明细'!$G$9:$G$1592,MATCH("[13306,""B07-BG-40-by""]",'SKU明细'!$AE$9:$AE$1592,0)),INDEX('SKU明细'!$G$9:$G$1592,MATCH("[13306,""B07-BG-41-by""]",'SKU明细'!$AE$9:$AE$1592,0)),INDEX('SKU明细'!$G$9:$G$1592,MATCH("[13306,""B07-BG-41.5""]",'SKU明细'!$AE$9:$AE$1592,0)),INDEX('SKU明细'!$G$9:$G$1592,MATCH("[13306,""B07-BG-39-New""]",'SKU明细'!$AE$9:$AE$1592,0)),INDEX('SKU明细'!$G$9:$G$1592,MATCH("[13306,""B07-BG-42-by""]",'SKU明细'!$AE$9:$AE$1592,0)),INDEX('SKU明细'!$G$9:$G$1592,MATCH("[13306,""B07-BG-37-by""]",'SKU明细'!$AE$9:$AE$1592,0)),INDEX('SKU明细'!$G$9:$G$1592,MATCH("[13306,""B07-BG-38.5""]",'SKU明细'!$AE$9:$AE$1592,0)),INDEX('SKU明细'!$G$9:$G$1592,MATCH("[13306,""B07-BG-39.5""]",'SKU明细'!$AE$9:$AE$1592,0))),"待核")</x:f>
        <x:v>45.4242928452579</x:v>
      </x:c>
      <x:c r="T16" s="21" t="str">
        <x:f>IF(AND(COUNT(INDEX('SKU明细'!$I$9:$I$1592,MATCH("[13306,""B07-BG-40.5""]",'SKU明细'!$AE$9:$AE$1592,0)),INDEX('SKU明细'!$I$9:$I$1592,MATCH("[13306,""B07-BG-37.5""]",'SKU明细'!$AE$9:$AE$1592,0)),INDEX('SKU明细'!$I$9:$I$1592,MATCH("[13306,""B07-BG-38-by""]",'SKU明细'!$AE$9:$AE$1592,0)),INDEX('SKU明细'!$I$9:$I$1592,MATCH("[13306,""B07-BG-40-by""]",'SKU明细'!$AE$9:$AE$1592,0)),INDEX('SKU明细'!$I$9:$I$1592,MATCH("[13306,""B07-BG-41-by""]",'SKU明细'!$AE$9:$AE$1592,0)),INDEX('SKU明细'!$I$9:$I$1592,MATCH("[13306,""B07-BG-41.5""]",'SKU明细'!$AE$9:$AE$1592,0)),INDEX('SKU明细'!$I$9:$I$1592,MATCH("[13306,""B07-BG-39-New""]",'SKU明细'!$AE$9:$AE$1592,0)),INDEX('SKU明细'!$I$9:$I$1592,MATCH("[13306,""B07-BG-42-by""]",'SKU明细'!$AE$9:$AE$1592,0)),INDEX('SKU明细'!$I$9:$I$1592,MATCH("[13306,""B07-BG-37-by""]",'SKU明细'!$AE$9:$AE$1592,0)),INDEX('SKU明细'!$I$9:$I$1592,MATCH("[13306,""B07-BG-38.5""]",'SKU明细'!$AE$9:$AE$1592,0)),INDEX('SKU明细'!$I$9:$I$1592,MATCH("[13306,""B07-BG-39.5""]",'SKU明细'!$AE$9:$AE$1592,0)))=11,COUNT(INDEX('SKU明细'!$AD$9:$AD$1592,MATCH("[13306,""B07-BG-40.5""]",'SKU明细'!$AE$9:$AE$1592,0)),INDEX('SKU明细'!$AD$9:$AD$1592,MATCH("[13306,""B07-BG-37.5""]",'SKU明细'!$AE$9:$AE$1592,0)),INDEX('SKU明细'!$AD$9:$AD$1592,MATCH("[13306,""B07-BG-38-by""]",'SKU明细'!$AE$9:$AE$1592,0)),INDEX('SKU明细'!$AD$9:$AD$1592,MATCH("[13306,""B07-BG-40-by""]",'SKU明细'!$AE$9:$AE$1592,0)),INDEX('SKU明细'!$AD$9:$AD$1592,MATCH("[13306,""B07-BG-41-by""]",'SKU明细'!$AE$9:$AE$1592,0)),INDEX('SKU明细'!$AD$9:$AD$1592,MATCH("[13306,""B07-BG-41.5""]",'SKU明细'!$AE$9:$AE$1592,0)),INDEX('SKU明细'!$AD$9:$AD$1592,MATCH("[13306,""B07-BG-39-New""]",'SKU明细'!$AE$9:$AE$1592,0)),INDEX('SKU明细'!$AD$9:$AD$1592,MATCH("[13306,""B07-BG-42-by""]",'SKU明细'!$AE$9:$AE$1592,0)),INDEX('SKU明细'!$AD$9:$AD$1592,MATCH("[13306,""B07-BG-37-by""]",'SKU明细'!$AE$9:$AE$1592,0)),INDEX('SKU明细'!$AD$9:$AD$1592,MATCH("[13306,""B07-BG-38.5""]",'SKU明细'!$AE$9:$AE$1592,0)),INDEX('SKU明细'!$AD$9:$AD$1592,MATCH("[13306,""B07-BG-39.5""]",'SKU明细'!$AE$9:$AE$1592,0)))=11,SUM(INDEX('SKU明细'!$AD$9:$AD$1592,MATCH("[13306,""B07-BG-40.5""]",'SKU明细'!$AE$9:$AE$1592,0)),INDEX('SKU明细'!$AD$9:$AD$1592,MATCH("[13306,""B07-BG-37.5""]",'SKU明细'!$AE$9:$AE$1592,0)),INDEX('SKU明细'!$AD$9:$AD$1592,MATCH("[13306,""B07-BG-38-by""]",'SKU明细'!$AE$9:$AE$1592,0)),INDEX('SKU明细'!$AD$9:$AD$1592,MATCH("[13306,""B07-BG-40-by""]",'SKU明细'!$AE$9:$AE$1592,0)),INDEX('SKU明细'!$AD$9:$AD$1592,MATCH("[13306,""B07-BG-41-by""]",'SKU明细'!$AE$9:$AE$1592,0)),INDEX('SKU明细'!$AD$9:$AD$1592,MATCH("[13306,""B07-BG-41.5""]",'SKU明细'!$AE$9:$AE$1592,0)),INDEX('SKU明细'!$AD$9:$AD$1592,MATCH("[13306,""B07-BG-39-New""]",'SKU明细'!$AE$9:$AE$1592,0)),INDEX('SKU明细'!$AD$9:$AD$1592,MATCH("[13306,""B07-BG-42-by""]",'SKU明细'!$AE$9:$AE$1592,0)),INDEX('SKU明细'!$AD$9:$AD$1592,MATCH("[13306,""B07-BG-37-by""]",'SKU明细'!$AE$9:$AE$1592,0)),INDEX('SKU明细'!$AD$9:$AD$1592,MATCH("[13306,""B07-BG-38.5""]",'SKU明细'!$AE$9:$AE$1592,0)),INDEX('SKU明细'!$AD$9:$AD$1592,MATCH("[13306,""B07-BG-39.5""]",'SKU明细'!$AE$9:$AE$1592,0)))&gt;0),SUM(INDEX('SKU明细'!$I$9:$I$1592,MATCH("[13306,""B07-BG-40.5""]",'SKU明细'!$AE$9:$AE$1592,0)),INDEX('SKU明细'!$I$9:$I$1592,MATCH("[13306,""B07-BG-37.5""]",'SKU明细'!$AE$9:$AE$1592,0)),INDEX('SKU明细'!$I$9:$I$1592,MATCH("[13306,""B07-BG-38-by""]",'SKU明细'!$AE$9:$AE$1592,0)),INDEX('SKU明细'!$I$9:$I$1592,MATCH("[13306,""B07-BG-40-by""]",'SKU明细'!$AE$9:$AE$1592,0)),INDEX('SKU明细'!$I$9:$I$1592,MATCH("[13306,""B07-BG-41-by""]",'SKU明细'!$AE$9:$AE$1592,0)),INDEX('SKU明细'!$I$9:$I$1592,MATCH("[13306,""B07-BG-41.5""]",'SKU明细'!$AE$9:$AE$1592,0)),INDEX('SKU明细'!$I$9:$I$1592,MATCH("[13306,""B07-BG-39-New""]",'SKU明细'!$AE$9:$AE$1592,0)),INDEX('SKU明细'!$I$9:$I$1592,MATCH("[13306,""B07-BG-42-by""]",'SKU明细'!$AE$9:$AE$1592,0)),INDEX('SKU明细'!$I$9:$I$1592,MATCH("[13306,""B07-BG-37-by""]",'SKU明细'!$AE$9:$AE$1592,0)),INDEX('SKU明细'!$I$9:$I$1592,MATCH("[13306,""B07-BG-38.5""]",'SKU明细'!$AE$9:$AE$1592,0)),INDEX('SKU明细'!$I$9:$I$1592,MATCH("[13306,""B07-BG-39.5""]",'SKU明细'!$AE$9:$AE$1592,0)))/SUM(INDEX('SKU明细'!$AD$9:$AD$1592,MATCH("[13306,""B07-BG-40.5""]",'SKU明细'!$AE$9:$AE$1592,0)),INDEX('SKU明细'!$AD$9:$AD$1592,MATCH("[13306,""B07-BG-37.5""]",'SKU明细'!$AE$9:$AE$1592,0)),INDEX('SKU明细'!$AD$9:$AD$1592,MATCH("[13306,""B07-BG-38-by""]",'SKU明细'!$AE$9:$AE$1592,0)),INDEX('SKU明细'!$AD$9:$AD$1592,MATCH("[13306,""B07-BG-40-by""]",'SKU明细'!$AE$9:$AE$1592,0)),INDEX('SKU明细'!$AD$9:$AD$1592,MATCH("[13306,""B07-BG-41-by""]",'SKU明细'!$AE$9:$AE$1592,0)),INDEX('SKU明细'!$AD$9:$AD$1592,MATCH("[13306,""B07-BG-41.5""]",'SKU明细'!$AE$9:$AE$1592,0)),INDEX('SKU明细'!$AD$9:$AD$1592,MATCH("[13306,""B07-BG-39-New""]",'SKU明细'!$AE$9:$AE$1592,0)),INDEX('SKU明细'!$AD$9:$AD$1592,MATCH("[13306,""B07-BG-42-by""]",'SKU明细'!$AE$9:$AE$1592,0)),INDEX('SKU明细'!$AD$9:$AD$1592,MATCH("[13306,""B07-BG-37-by""]",'SKU明细'!$AE$9:$AE$1592,0)),INDEX('SKU明细'!$AD$9:$AD$1592,MATCH("[13306,""B07-BG-38.5""]",'SKU明细'!$AE$9:$AE$1592,0)),INDEX('SKU明细'!$AD$9:$AD$1592,MATCH("[13306,""B07-BG-39.5""]",'SKU明细'!$AE$9:$AE$1592,0))),"待核")</x:f>
        <x:v>待核</x:v>
      </x:c>
      <x:c r="U16" s="21" t="str">
        <x:f>IF(COUNT(S16:T16)=2,S16-T16,"待核")</x:f>
        <x:v>待核</x:v>
      </x:c>
      <x:c r="V16" s="22" t="str">
        <x:f>IF(AND(ISNUMBER(U16),ISNUMBER(T16),T16&lt;&gt;0),U16/T16,"")</x:f>
      </x:c>
      <x:c r="W16" s="23" t="n">
        <x:f>IF(COUNT(INDEX('SKU明细'!$H$9:$H$1592,MATCH("[13306,""B07-BG-40.5""]",'SKU明细'!$AE$9:$AE$1592,0)),INDEX('SKU明细'!$H$9:$H$1592,MATCH("[13306,""B07-BG-37.5""]",'SKU明细'!$AE$9:$AE$1592,0)),INDEX('SKU明细'!$H$9:$H$1592,MATCH("[13306,""B07-BG-38-by""]",'SKU明细'!$AE$9:$AE$1592,0)),INDEX('SKU明细'!$H$9:$H$1592,MATCH("[13306,""B07-BG-40-by""]",'SKU明细'!$AE$9:$AE$1592,0)),INDEX('SKU明细'!$H$9:$H$1592,MATCH("[13306,""B07-BG-41-by""]",'SKU明细'!$AE$9:$AE$1592,0)),INDEX('SKU明细'!$H$9:$H$1592,MATCH("[13306,""B07-BG-41.5""]",'SKU明细'!$AE$9:$AE$1592,0)),INDEX('SKU明细'!$H$9:$H$1592,MATCH("[13306,""B07-BG-39-New""]",'SKU明细'!$AE$9:$AE$1592,0)),INDEX('SKU明细'!$H$9:$H$1592,MATCH("[13306,""B07-BG-42-by""]",'SKU明细'!$AE$9:$AE$1592,0)),INDEX('SKU明细'!$H$9:$H$1592,MATCH("[13306,""B07-BG-37-by""]",'SKU明细'!$AE$9:$AE$1592,0)),INDEX('SKU明细'!$H$9:$H$1592,MATCH("[13306,""B07-BG-38.5""]",'SKU明细'!$AE$9:$AE$1592,0)),INDEX('SKU明细'!$H$9:$H$1592,MATCH("[13306,""B07-BG-39.5""]",'SKU明细'!$AE$9:$AE$1592,0)))=0,"待核",SUM(INDEX('SKU明细'!$H$9:$H$1592,MATCH("[13306,""B07-BG-40.5""]",'SKU明细'!$AE$9:$AE$1592,0)),INDEX('SKU明细'!$H$9:$H$1592,MATCH("[13306,""B07-BG-37.5""]",'SKU明细'!$AE$9:$AE$1592,0)),INDEX('SKU明细'!$H$9:$H$1592,MATCH("[13306,""B07-BG-38-by""]",'SKU明细'!$AE$9:$AE$1592,0)),INDEX('SKU明细'!$H$9:$H$1592,MATCH("[13306,""B07-BG-40-by""]",'SKU明细'!$AE$9:$AE$1592,0)),INDEX('SKU明细'!$H$9:$H$1592,MATCH("[13306,""B07-BG-41-by""]",'SKU明细'!$AE$9:$AE$1592,0)),INDEX('SKU明细'!$H$9:$H$1592,MATCH("[13306,""B07-BG-41.5""]",'SKU明细'!$AE$9:$AE$1592,0)),INDEX('SKU明细'!$H$9:$H$1592,MATCH("[13306,""B07-BG-39-New""]",'SKU明细'!$AE$9:$AE$1592,0)),INDEX('SKU明细'!$H$9:$H$1592,MATCH("[13306,""B07-BG-42-by""]",'SKU明细'!$AE$9:$AE$1592,0)),INDEX('SKU明细'!$H$9:$H$1592,MATCH("[13306,""B07-BG-37-by""]",'SKU明细'!$AE$9:$AE$1592,0)),INDEX('SKU明细'!$H$9:$H$1592,MATCH("[13306,""B07-BG-38.5""]",'SKU明细'!$AE$9:$AE$1592,0)),INDEX('SKU明细'!$H$9:$H$1592,MATCH("[13306,""B07-BG-39.5""]",'SKU明细'!$AE$9:$AE$1592,0))))</x:f>
        <x:v>91</x:v>
      </x:c>
      <x:c r="X16" s="24" t="str">
        <x:f>IF(COUNTIFS('SKU明细'!$AH$9:$AH$1592,"[""B07"",""B07-BG"",""BG"",""米色羊京绒""]",'SKU明细'!$E$9:$E$1592,"促销")&gt;0,"促销 ","")&amp;IF(COUNTIFS('SKU明细'!$AH$9:$AH$1592,"[""B07"",""B07-BG"",""BG"",""米色羊京绒""]",'SKU明细'!$E$9:$E$1592,"红线促销")&gt;0,"红线促销 ","")&amp;IF(COUNTIFS('SKU明细'!$AH$9:$AH$1592,"[""B07"",""B07-BG"",""BG"",""米色羊京绒""]",'SKU明细'!$E$9:$E$1592,"考虑清仓")&gt;0,"考虑清仓 ","")&amp;IF(COUNTIFS('SKU明细'!$AH$9:$AH$1592,"[""B07"",""B07-BG"",""BG"",""米色羊京绒""]",'SKU明细'!$E$9:$E$1592,"断货")&gt;0,"断货 ","")&amp;IF(COUNTIFS('SKU明细'!$AH$9:$AH$1592,"[""B07"",""B07-BG"",""BG"",""米色羊京绒""]",'SKU明细'!$E$9:$E$1592,"零日销待复核")&gt;0,"零日销待复核 ","")&amp;IF(COUNTIFS('SKU明细'!$AH$9:$AH$1592,"[""B07"",""B07-BG"",""BG"",""米色羊京绒""]",'SKU明细'!$E$9:$E$1592,"数据待核")&gt;0,"数据待核 ","")&amp;IF(COUNTIFS('SKU明细'!$AH$9:$AH$1592,"[""B07"",""B07-BG"",""BG"",""米色羊京绒""]",'SKU明细'!$E$9:$E$1592,"正常库存")&gt;0,"正常库存 ","")&amp;IF(COUNTIFS('SKU明细'!$AH$9:$AH$1592,"[""B07"",""B07-BG"",""BG"",""米色羊京绒""]",'SKU明细'!$E$9:$E$1592,"补货提醒")&gt;0,"补货提醒 ","")</x:f>
        <x:v>促销 红线促销 断货 正常库存 补货提醒 </x:v>
      </x:c>
      <x:c r="Y16" s="24" t="str">
        <x:f>IF(NOT(ISNUMBER(U16)),"覆盖待核／无可比基准","完整可比")</x:f>
        <x:v>覆盖待核／无可比基准</x:v>
      </x:c>
      <x:c r="Z16" s="24" t="str">
        <x:v>在售、停售</x:v>
      </x:c>
      <x:c r="AA16" s="24" t="n">
        <x:f>IF(SUMIFS('SKU明细'!$AF$9:$AF$1592,'SKU明细'!$D$9:$D$1592,A16,'SKU明细'!$Z$9:$Z$1592,"&lt;&gt;移出")=0,"待核",SUMIFS('SKU明细'!$H$9:$H$1592,'SKU明细'!$D$9:$D$1592,A16,'SKU明细'!$Z$9:$Z$1592,"&lt;&gt;移出"))</x:f>
        <x:v>2671</x:v>
      </x:c>
    </x:row>
    <x:row r="17" ht="54" customHeight="1">
      <x:c r="A17" s="20" t="str">
        <x:v>B07</x:v>
      </x:c>
      <x:c r="B17" s="20" t="str">
        <x:v>艾年</x:v>
      </x:c>
      <x:c r="C17" s="20" t="str">
        <x:v>米色PU</x:v>
      </x:c>
      <x:c r="D17" s="20" t="str">
        <x:v>BGP</x:v>
      </x:c>
      <x:c r="E17" s="20" t="str">
        <x:v>B07-BGP</x:v>
      </x:c>
      <x:c r="F17" s="20"/>
      <x:c r="G17" s="21" t="str">
        <x:f>"—"</x:f>
        <x:v>—</x:v>
      </x:c>
      <x:c r="H17" s="21" t="str">
        <x:f>"—"</x:f>
        <x:v>—</x:v>
      </x:c>
      <x:c r="I17" s="21" t="n">
        <x:f>IF(AND(COUNT(INDEX('SKU明细'!$H$9:$H$1592,MATCH("[13306,""B07-BGP-37.5""]",'SKU明细'!$AE$9:$AE$1592,0)))=1,COUNT(INDEX('SKU明细'!$G$9:$G$1592,MATCH("[13306,""B07-BGP-37.5""]",'SKU明细'!$AE$9:$AE$1592,0)))=1,SUM(INDEX('SKU明细'!$G$9:$G$1592,MATCH("[13306,""B07-BGP-37.5""]",'SKU明细'!$AE$9:$AE$1592,0)))&gt;0),SUM(INDEX('SKU明细'!$H$9:$H$1592,MATCH("[13306,""B07-BGP-37.5""]",'SKU明细'!$AE$9:$AE$1592,0)))/SUM(INDEX('SKU明细'!$G$9:$G$1592,MATCH("[13306,""B07-BGP-37.5""]",'SKU明细'!$AE$9:$AE$1592,0))),"待核")</x:f>
        <x:v>399.99999999999994</x:v>
      </x:c>
      <x:c r="J17" s="21" t="n">
        <x:f>IF(AND(COUNT(INDEX('SKU明细'!$H$9:$H$1592,MATCH("[13306,""B07-BGP-38-by""]",'SKU明细'!$AE$9:$AE$1592,0)))=1,COUNT(INDEX('SKU明细'!$G$9:$G$1592,MATCH("[13306,""B07-BGP-38-by""]",'SKU明细'!$AE$9:$AE$1592,0)))=1,SUM(INDEX('SKU明细'!$G$9:$G$1592,MATCH("[13306,""B07-BGP-38-by""]",'SKU明细'!$AE$9:$AE$1592,0)))&gt;0),SUM(INDEX('SKU明细'!$H$9:$H$1592,MATCH("[13306,""B07-BGP-38-by""]",'SKU明细'!$AE$9:$AE$1592,0)))/SUM(INDEX('SKU明细'!$G$9:$G$1592,MATCH("[13306,""B07-BGP-38-by""]",'SKU明细'!$AE$9:$AE$1592,0))),"待核")</x:f>
        <x:v>103.96039603960396</x:v>
      </x:c>
      <x:c r="K17" s="21" t="n">
        <x:f>IF(AND(COUNT(INDEX('SKU明细'!$H$9:$H$1592,MATCH("[13306,""B07-BGP-38.5""]",'SKU明细'!$AE$9:$AE$1592,0)))=1,COUNT(INDEX('SKU明细'!$G$9:$G$1592,MATCH("[13306,""B07-BGP-38.5""]",'SKU明细'!$AE$9:$AE$1592,0)))=1,SUM(INDEX('SKU明细'!$G$9:$G$1592,MATCH("[13306,""B07-BGP-38.5""]",'SKU明细'!$AE$9:$AE$1592,0)))&gt;0),SUM(INDEX('SKU明细'!$H$9:$H$1592,MATCH("[13306,""B07-BGP-38.5""]",'SKU明细'!$AE$9:$AE$1592,0)))/SUM(INDEX('SKU明细'!$G$9:$G$1592,MATCH("[13306,""B07-BGP-38.5""]",'SKU明细'!$AE$9:$AE$1592,0))),"待核")</x:f>
        <x:v>0</x:v>
      </x:c>
      <x:c r="L17" s="21" t="n">
        <x:f>IF(AND(COUNT(INDEX('SKU明细'!$H$9:$H$1592,MATCH("[13306,""B07-BGP-39-by""]",'SKU明细'!$AE$9:$AE$1592,0)))=1,COUNT(INDEX('SKU明细'!$G$9:$G$1592,MATCH("[13306,""B07-BGP-39-by""]",'SKU明细'!$AE$9:$AE$1592,0)))=1,SUM(INDEX('SKU明细'!$G$9:$G$1592,MATCH("[13306,""B07-BGP-39-by""]",'SKU明细'!$AE$9:$AE$1592,0)))&gt;0),SUM(INDEX('SKU明细'!$H$9:$H$1592,MATCH("[13306,""B07-BGP-39-by""]",'SKU明细'!$AE$9:$AE$1592,0)))/SUM(INDEX('SKU明细'!$G$9:$G$1592,MATCH("[13306,""B07-BGP-39-by""]",'SKU明细'!$AE$9:$AE$1592,0))),"待核")</x:f>
        <x:v>68.63957597173146</x:v>
      </x:c>
      <x:c r="M17" s="21" t="n">
        <x:f>IF(AND(COUNT(INDEX('SKU明细'!$H$9:$H$1592,MATCH("[13306,""B07-BGP-39.5""]",'SKU明细'!$AE$9:$AE$1592,0)))=1,COUNT(INDEX('SKU明细'!$G$9:$G$1592,MATCH("[13306,""B07-BGP-39.5""]",'SKU明细'!$AE$9:$AE$1592,0)))=1,SUM(INDEX('SKU明细'!$G$9:$G$1592,MATCH("[13306,""B07-BGP-39.5""]",'SKU明细'!$AE$9:$AE$1592,0)))&gt;0),SUM(INDEX('SKU明细'!$H$9:$H$1592,MATCH("[13306,""B07-BGP-39.5""]",'SKU明细'!$AE$9:$AE$1592,0)))/SUM(INDEX('SKU明细'!$G$9:$G$1592,MATCH("[13306,""B07-BGP-39.5""]",'SKU明细'!$AE$9:$AE$1592,0))),"待核")</x:f>
        <x:v>150</x:v>
      </x:c>
      <x:c r="N17" s="21" t="n">
        <x:f>IF(AND(COUNT(INDEX('SKU明细'!$H$9:$H$1592,MATCH("[13306,""B07-BGP-40-New""]",'SKU明细'!$AE$9:$AE$1592,0)))=1,COUNT(INDEX('SKU明细'!$G$9:$G$1592,MATCH("[13306,""B07-BGP-40-New""]",'SKU明细'!$AE$9:$AE$1592,0)))=1,SUM(INDEX('SKU明细'!$G$9:$G$1592,MATCH("[13306,""B07-BGP-40-New""]",'SKU明细'!$AE$9:$AE$1592,0)))&gt;0),SUM(INDEX('SKU明细'!$H$9:$H$1592,MATCH("[13306,""B07-BGP-40-New""]",'SKU明细'!$AE$9:$AE$1592,0)))/SUM(INDEX('SKU明细'!$G$9:$G$1592,MATCH("[13306,""B07-BGP-40-New""]",'SKU明细'!$AE$9:$AE$1592,0))),"待核")</x:f>
        <x:v>657.3913043478261</x:v>
      </x:c>
      <x:c r="O17" s="21" t="n">
        <x:f>IF(AND(COUNT(INDEX('SKU明细'!$H$9:$H$1592,MATCH("[13306,""B07-BGP-40.5""]",'SKU明细'!$AE$9:$AE$1592,0)))=1,COUNT(INDEX('SKU明细'!$G$9:$G$1592,MATCH("[13306,""B07-BGP-40.5""]",'SKU明细'!$AE$9:$AE$1592,0)))=1,SUM(INDEX('SKU明细'!$G$9:$G$1592,MATCH("[13306,""B07-BGP-40.5""]",'SKU明细'!$AE$9:$AE$1592,0)))&gt;0),SUM(INDEX('SKU明细'!$H$9:$H$1592,MATCH("[13306,""B07-BGP-40.5""]",'SKU明细'!$AE$9:$AE$1592,0)))/SUM(INDEX('SKU明细'!$G$9:$G$1592,MATCH("[13306,""B07-BGP-40.5""]",'SKU明细'!$AE$9:$AE$1592,0))),"待核")</x:f>
        <x:v>47.01492537313433</x:v>
      </x:c>
      <x:c r="P17" s="21" t="str">
        <x:f>"—"</x:f>
        <x:v>—</x:v>
      </x:c>
      <x:c r="Q17" s="21" t="str">
        <x:f>IF(AND(COUNT(INDEX('SKU明细'!$H$9:$H$1592,MATCH("[13306,""B07-BGP-41.5""]",'SKU明细'!$AE$9:$AE$1592,0)))=1,COUNT(INDEX('SKU明细'!$G$9:$G$1592,MATCH("[13306,""B07-BGP-41.5""]",'SKU明细'!$AE$9:$AE$1592,0)))=1,SUM(INDEX('SKU明细'!$G$9:$G$1592,MATCH("[13306,""B07-BGP-41.5""]",'SKU明细'!$AE$9:$AE$1592,0)))&gt;0),SUM(INDEX('SKU明细'!$H$9:$H$1592,MATCH("[13306,""B07-BGP-41.5""]",'SKU明细'!$AE$9:$AE$1592,0)))/SUM(INDEX('SKU明细'!$G$9:$G$1592,MATCH("[13306,""B07-BGP-41.5""]",'SKU明细'!$AE$9:$AE$1592,0))),"待核")</x:f>
        <x:v>待核</x:v>
      </x:c>
      <x:c r="R17" s="21" t="str">
        <x:f>"—"</x:f>
        <x:v>—</x:v>
      </x:c>
      <x:c r="S17" s="21" t="n">
        <x:f>IF(AND(COUNT(INDEX('SKU明细'!$H$9:$H$1592,MATCH("[13306,""B07-BGP-37.5""]",'SKU明细'!$AE$9:$AE$1592,0)),INDEX('SKU明细'!$H$9:$H$1592,MATCH("[13306,""B07-BGP-40-New""]",'SKU明细'!$AE$9:$AE$1592,0)),INDEX('SKU明细'!$H$9:$H$1592,MATCH("[13306,""B07-BGP-38-by""]",'SKU明细'!$AE$9:$AE$1592,0)),INDEX('SKU明细'!$H$9:$H$1592,MATCH("[13306,""B07-BGP-39.5""]",'SKU明细'!$AE$9:$AE$1592,0)),INDEX('SKU明细'!$H$9:$H$1592,MATCH("[13306,""B07-BGP-38.5""]",'SKU明细'!$AE$9:$AE$1592,0)),INDEX('SKU明细'!$H$9:$H$1592,MATCH("[13306,""B07-BGP-41.5""]",'SKU明细'!$AE$9:$AE$1592,0)),INDEX('SKU明细'!$H$9:$H$1592,MATCH("[13306,""B07-BGP-39-by""]",'SKU明细'!$AE$9:$AE$1592,0)),INDEX('SKU明细'!$H$9:$H$1592,MATCH("[13306,""B07-BGP-40.5""]",'SKU明细'!$AE$9:$AE$1592,0)))=8,COUNT(INDEX('SKU明细'!$G$9:$G$1592,MATCH("[13306,""B07-BGP-37.5""]",'SKU明细'!$AE$9:$AE$1592,0)),INDEX('SKU明细'!$G$9:$G$1592,MATCH("[13306,""B07-BGP-40-New""]",'SKU明细'!$AE$9:$AE$1592,0)),INDEX('SKU明细'!$G$9:$G$1592,MATCH("[13306,""B07-BGP-38-by""]",'SKU明细'!$AE$9:$AE$1592,0)),INDEX('SKU明细'!$G$9:$G$1592,MATCH("[13306,""B07-BGP-39.5""]",'SKU明细'!$AE$9:$AE$1592,0)),INDEX('SKU明细'!$G$9:$G$1592,MATCH("[13306,""B07-BGP-38.5""]",'SKU明细'!$AE$9:$AE$1592,0)),INDEX('SKU明细'!$G$9:$G$1592,MATCH("[13306,""B07-BGP-41.5""]",'SKU明细'!$AE$9:$AE$1592,0)),INDEX('SKU明细'!$G$9:$G$1592,MATCH("[13306,""B07-BGP-39-by""]",'SKU明细'!$AE$9:$AE$1592,0)),INDEX('SKU明细'!$G$9:$G$1592,MATCH("[13306,""B07-BGP-40.5""]",'SKU明细'!$AE$9:$AE$1592,0)))=8,SUM(INDEX('SKU明细'!$G$9:$G$1592,MATCH("[13306,""B07-BGP-37.5""]",'SKU明细'!$AE$9:$AE$1592,0)),INDEX('SKU明细'!$G$9:$G$1592,MATCH("[13306,""B07-BGP-40-New""]",'SKU明细'!$AE$9:$AE$1592,0)),INDEX('SKU明细'!$G$9:$G$1592,MATCH("[13306,""B07-BGP-38-by""]",'SKU明细'!$AE$9:$AE$1592,0)),INDEX('SKU明细'!$G$9:$G$1592,MATCH("[13306,""B07-BGP-39.5""]",'SKU明细'!$AE$9:$AE$1592,0)),INDEX('SKU明细'!$G$9:$G$1592,MATCH("[13306,""B07-BGP-38.5""]",'SKU明细'!$AE$9:$AE$1592,0)),INDEX('SKU明细'!$G$9:$G$1592,MATCH("[13306,""B07-BGP-41.5""]",'SKU明细'!$AE$9:$AE$1592,0)),INDEX('SKU明细'!$G$9:$G$1592,MATCH("[13306,""B07-BGP-39-by""]",'SKU明细'!$AE$9:$AE$1592,0)),INDEX('SKU明细'!$G$9:$G$1592,MATCH("[13306,""B07-BGP-40.5""]",'SKU明细'!$AE$9:$AE$1592,0)))&gt;0),SUM(INDEX('SKU明细'!$H$9:$H$1592,MATCH("[13306,""B07-BGP-37.5""]",'SKU明细'!$AE$9:$AE$1592,0)),INDEX('SKU明细'!$H$9:$H$1592,MATCH("[13306,""B07-BGP-40-New""]",'SKU明细'!$AE$9:$AE$1592,0)),INDEX('SKU明细'!$H$9:$H$1592,MATCH("[13306,""B07-BGP-38-by""]",'SKU明细'!$AE$9:$AE$1592,0)),INDEX('SKU明细'!$H$9:$H$1592,MATCH("[13306,""B07-BGP-39.5""]",'SKU明细'!$AE$9:$AE$1592,0)),INDEX('SKU明细'!$H$9:$H$1592,MATCH("[13306,""B07-BGP-38.5""]",'SKU明细'!$AE$9:$AE$1592,0)),INDEX('SKU明细'!$H$9:$H$1592,MATCH("[13306,""B07-BGP-41.5""]",'SKU明细'!$AE$9:$AE$1592,0)),INDEX('SKU明细'!$H$9:$H$1592,MATCH("[13306,""B07-BGP-39-by""]",'SKU明细'!$AE$9:$AE$1592,0)),INDEX('SKU明细'!$H$9:$H$1592,MATCH("[13306,""B07-BGP-40.5""]",'SKU明细'!$AE$9:$AE$1592,0)))/SUM(INDEX('SKU明细'!$G$9:$G$1592,MATCH("[13306,""B07-BGP-37.5""]",'SKU明细'!$AE$9:$AE$1592,0)),INDEX('SKU明细'!$G$9:$G$1592,MATCH("[13306,""B07-BGP-40-New""]",'SKU明细'!$AE$9:$AE$1592,0)),INDEX('SKU明细'!$G$9:$G$1592,MATCH("[13306,""B07-BGP-38-by""]",'SKU明细'!$AE$9:$AE$1592,0)),INDEX('SKU明细'!$G$9:$G$1592,MATCH("[13306,""B07-BGP-39.5""]",'SKU明细'!$AE$9:$AE$1592,0)),INDEX('SKU明细'!$G$9:$G$1592,MATCH("[13306,""B07-BGP-38.5""]",'SKU明细'!$AE$9:$AE$1592,0)),INDEX('SKU明细'!$G$9:$G$1592,MATCH("[13306,""B07-BGP-41.5""]",'SKU明细'!$AE$9:$AE$1592,0)),INDEX('SKU明细'!$G$9:$G$1592,MATCH("[13306,""B07-BGP-39-by""]",'SKU明细'!$AE$9:$AE$1592,0)),INDEX('SKU明细'!$G$9:$G$1592,MATCH("[13306,""B07-BGP-40.5""]",'SKU明细'!$AE$9:$AE$1592,0))),"待核")</x:f>
        <x:v>112.11251435132033</x:v>
      </x:c>
      <x:c r="T17" s="21" t="str">
        <x:f>IF(AND(COUNT(INDEX('SKU明细'!$I$9:$I$1592,MATCH("[13306,""B07-BGP-37.5""]",'SKU明细'!$AE$9:$AE$1592,0)),INDEX('SKU明细'!$I$9:$I$1592,MATCH("[13306,""B07-BGP-40-New""]",'SKU明细'!$AE$9:$AE$1592,0)),INDEX('SKU明细'!$I$9:$I$1592,MATCH("[13306,""B07-BGP-38-by""]",'SKU明细'!$AE$9:$AE$1592,0)),INDEX('SKU明细'!$I$9:$I$1592,MATCH("[13306,""B07-BGP-39.5""]",'SKU明细'!$AE$9:$AE$1592,0)),INDEX('SKU明细'!$I$9:$I$1592,MATCH("[13306,""B07-BGP-38.5""]",'SKU明细'!$AE$9:$AE$1592,0)),INDEX('SKU明细'!$I$9:$I$1592,MATCH("[13306,""B07-BGP-41.5""]",'SKU明细'!$AE$9:$AE$1592,0)),INDEX('SKU明细'!$I$9:$I$1592,MATCH("[13306,""B07-BGP-39-by""]",'SKU明细'!$AE$9:$AE$1592,0)),INDEX('SKU明细'!$I$9:$I$1592,MATCH("[13306,""B07-BGP-40.5""]",'SKU明细'!$AE$9:$AE$1592,0)))=8,COUNT(INDEX('SKU明细'!$AD$9:$AD$1592,MATCH("[13306,""B07-BGP-37.5""]",'SKU明细'!$AE$9:$AE$1592,0)),INDEX('SKU明细'!$AD$9:$AD$1592,MATCH("[13306,""B07-BGP-40-New""]",'SKU明细'!$AE$9:$AE$1592,0)),INDEX('SKU明细'!$AD$9:$AD$1592,MATCH("[13306,""B07-BGP-38-by""]",'SKU明细'!$AE$9:$AE$1592,0)),INDEX('SKU明细'!$AD$9:$AD$1592,MATCH("[13306,""B07-BGP-39.5""]",'SKU明细'!$AE$9:$AE$1592,0)),INDEX('SKU明细'!$AD$9:$AD$1592,MATCH("[13306,""B07-BGP-38.5""]",'SKU明细'!$AE$9:$AE$1592,0)),INDEX('SKU明细'!$AD$9:$AD$1592,MATCH("[13306,""B07-BGP-41.5""]",'SKU明细'!$AE$9:$AE$1592,0)),INDEX('SKU明细'!$AD$9:$AD$1592,MATCH("[13306,""B07-BGP-39-by""]",'SKU明细'!$AE$9:$AE$1592,0)),INDEX('SKU明细'!$AD$9:$AD$1592,MATCH("[13306,""B07-BGP-40.5""]",'SKU明细'!$AE$9:$AE$1592,0)))=8,SUM(INDEX('SKU明细'!$AD$9:$AD$1592,MATCH("[13306,""B07-BGP-37.5""]",'SKU明细'!$AE$9:$AE$1592,0)),INDEX('SKU明细'!$AD$9:$AD$1592,MATCH("[13306,""B07-BGP-40-New""]",'SKU明细'!$AE$9:$AE$1592,0)),INDEX('SKU明细'!$AD$9:$AD$1592,MATCH("[13306,""B07-BGP-38-by""]",'SKU明细'!$AE$9:$AE$1592,0)),INDEX('SKU明细'!$AD$9:$AD$1592,MATCH("[13306,""B07-BGP-39.5""]",'SKU明细'!$AE$9:$AE$1592,0)),INDEX('SKU明细'!$AD$9:$AD$1592,MATCH("[13306,""B07-BGP-38.5""]",'SKU明细'!$AE$9:$AE$1592,0)),INDEX('SKU明细'!$AD$9:$AD$1592,MATCH("[13306,""B07-BGP-41.5""]",'SKU明细'!$AE$9:$AE$1592,0)),INDEX('SKU明细'!$AD$9:$AD$1592,MATCH("[13306,""B07-BGP-39-by""]",'SKU明细'!$AE$9:$AE$1592,0)),INDEX('SKU明细'!$AD$9:$AD$1592,MATCH("[13306,""B07-BGP-40.5""]",'SKU明细'!$AE$9:$AE$1592,0)))&gt;0),SUM(INDEX('SKU明细'!$I$9:$I$1592,MATCH("[13306,""B07-BGP-37.5""]",'SKU明细'!$AE$9:$AE$1592,0)),INDEX('SKU明细'!$I$9:$I$1592,MATCH("[13306,""B07-BGP-40-New""]",'SKU明细'!$AE$9:$AE$1592,0)),INDEX('SKU明细'!$I$9:$I$1592,MATCH("[13306,""B07-BGP-38-by""]",'SKU明细'!$AE$9:$AE$1592,0)),INDEX('SKU明细'!$I$9:$I$1592,MATCH("[13306,""B07-BGP-39.5""]",'SKU明细'!$AE$9:$AE$1592,0)),INDEX('SKU明细'!$I$9:$I$1592,MATCH("[13306,""B07-BGP-38.5""]",'SKU明细'!$AE$9:$AE$1592,0)),INDEX('SKU明细'!$I$9:$I$1592,MATCH("[13306,""B07-BGP-41.5""]",'SKU明细'!$AE$9:$AE$1592,0)),INDEX('SKU明细'!$I$9:$I$1592,MATCH("[13306,""B07-BGP-39-by""]",'SKU明细'!$AE$9:$AE$1592,0)),INDEX('SKU明细'!$I$9:$I$1592,MATCH("[13306,""B07-BGP-40.5""]",'SKU明细'!$AE$9:$AE$1592,0)))/SUM(INDEX('SKU明细'!$AD$9:$AD$1592,MATCH("[13306,""B07-BGP-37.5""]",'SKU明细'!$AE$9:$AE$1592,0)),INDEX('SKU明细'!$AD$9:$AD$1592,MATCH("[13306,""B07-BGP-40-New""]",'SKU明细'!$AE$9:$AE$1592,0)),INDEX('SKU明细'!$AD$9:$AD$1592,MATCH("[13306,""B07-BGP-38-by""]",'SKU明细'!$AE$9:$AE$1592,0)),INDEX('SKU明细'!$AD$9:$AD$1592,MATCH("[13306,""B07-BGP-39.5""]",'SKU明细'!$AE$9:$AE$1592,0)),INDEX('SKU明细'!$AD$9:$AD$1592,MATCH("[13306,""B07-BGP-38.5""]",'SKU明细'!$AE$9:$AE$1592,0)),INDEX('SKU明细'!$AD$9:$AD$1592,MATCH("[13306,""B07-BGP-41.5""]",'SKU明细'!$AE$9:$AE$1592,0)),INDEX('SKU明细'!$AD$9:$AD$1592,MATCH("[13306,""B07-BGP-39-by""]",'SKU明细'!$AE$9:$AE$1592,0)),INDEX('SKU明细'!$AD$9:$AD$1592,MATCH("[13306,""B07-BGP-40.5""]",'SKU明细'!$AE$9:$AE$1592,0))),"待核")</x:f>
        <x:v>待核</x:v>
      </x:c>
      <x:c r="U17" s="21" t="str">
        <x:f>IF(COUNT(S17:T17)=2,S17-T17,"待核")</x:f>
        <x:v>待核</x:v>
      </x:c>
      <x:c r="V17" s="22" t="str">
        <x:f>IF(AND(ISNUMBER(U17),ISNUMBER(T17),T17&lt;&gt;0),U17/T17,"")</x:f>
      </x:c>
      <x:c r="W17" s="23" t="n">
        <x:f>IF(COUNT(INDEX('SKU明细'!$H$9:$H$1592,MATCH("[13306,""B07-BGP-37.5""]",'SKU明细'!$AE$9:$AE$1592,0)),INDEX('SKU明细'!$H$9:$H$1592,MATCH("[13306,""B07-BGP-40-New""]",'SKU明细'!$AE$9:$AE$1592,0)),INDEX('SKU明细'!$H$9:$H$1592,MATCH("[13306,""B07-BGP-38-by""]",'SKU明细'!$AE$9:$AE$1592,0)),INDEX('SKU明细'!$H$9:$H$1592,MATCH("[13306,""B07-BGP-39.5""]",'SKU明细'!$AE$9:$AE$1592,0)),INDEX('SKU明细'!$H$9:$H$1592,MATCH("[13306,""B07-BGP-38.5""]",'SKU明细'!$AE$9:$AE$1592,0)),INDEX('SKU明细'!$H$9:$H$1592,MATCH("[13306,""B07-BGP-41.5""]",'SKU明细'!$AE$9:$AE$1592,0)),INDEX('SKU明细'!$H$9:$H$1592,MATCH("[13306,""B07-BGP-39-by""]",'SKU明细'!$AE$9:$AE$1592,0)),INDEX('SKU明细'!$H$9:$H$1592,MATCH("[13306,""B07-BGP-40.5""]",'SKU明细'!$AE$9:$AE$1592,0)))=0,"待核",SUM(INDEX('SKU明细'!$H$9:$H$1592,MATCH("[13306,""B07-BGP-37.5""]",'SKU明细'!$AE$9:$AE$1592,0)),INDEX('SKU明细'!$H$9:$H$1592,MATCH("[13306,""B07-BGP-40-New""]",'SKU明细'!$AE$9:$AE$1592,0)),INDEX('SKU明细'!$H$9:$H$1592,MATCH("[13306,""B07-BGP-38-by""]",'SKU明细'!$AE$9:$AE$1592,0)),INDEX('SKU明细'!$H$9:$H$1592,MATCH("[13306,""B07-BGP-39.5""]",'SKU明细'!$AE$9:$AE$1592,0)),INDEX('SKU明细'!$H$9:$H$1592,MATCH("[13306,""B07-BGP-38.5""]",'SKU明细'!$AE$9:$AE$1592,0)),INDEX('SKU明细'!$H$9:$H$1592,MATCH("[13306,""B07-BGP-41.5""]",'SKU明细'!$AE$9:$AE$1592,0)),INDEX('SKU明细'!$H$9:$H$1592,MATCH("[13306,""B07-BGP-39-by""]",'SKU明细'!$AE$9:$AE$1592,0)),INDEX('SKU明细'!$H$9:$H$1592,MATCH("[13306,""B07-BGP-40.5""]",'SKU明细'!$AE$9:$AE$1592,0))))</x:f>
        <x:v>93</x:v>
      </x:c>
      <x:c r="X17" s="24" t="str">
        <x:f>IF(COUNTIFS('SKU明细'!$AH$9:$AH$1592,"[""B07"",""B07-BGP"",""BGP"",""米色PU""]",'SKU明细'!$E$9:$E$1592,"促销")&gt;0,"促销 ","")&amp;IF(COUNTIFS('SKU明细'!$AH$9:$AH$1592,"[""B07"",""B07-BGP"",""BGP"",""米色PU""]",'SKU明细'!$E$9:$E$1592,"红线促销")&gt;0,"红线促销 ","")&amp;IF(COUNTIFS('SKU明细'!$AH$9:$AH$1592,"[""B07"",""B07-BGP"",""BGP"",""米色PU""]",'SKU明细'!$E$9:$E$1592,"考虑清仓")&gt;0,"考虑清仓 ","")&amp;IF(COUNTIFS('SKU明细'!$AH$9:$AH$1592,"[""B07"",""B07-BGP"",""BGP"",""米色PU""]",'SKU明细'!$E$9:$E$1592,"断货")&gt;0,"断货 ","")&amp;IF(COUNTIFS('SKU明细'!$AH$9:$AH$1592,"[""B07"",""B07-BGP"",""BGP"",""米色PU""]",'SKU明细'!$E$9:$E$1592,"零日销待复核")&gt;0,"零日销待复核 ","")&amp;IF(COUNTIFS('SKU明细'!$AH$9:$AH$1592,"[""B07"",""B07-BGP"",""BGP"",""米色PU""]",'SKU明细'!$E$9:$E$1592,"数据待核")&gt;0,"数据待核 ","")&amp;IF(COUNTIFS('SKU明细'!$AH$9:$AH$1592,"[""B07"",""B07-BGP"",""BGP"",""米色PU""]",'SKU明细'!$E$9:$E$1592,"正常库存")&gt;0,"正常库存 ","")&amp;IF(COUNTIFS('SKU明细'!$AH$9:$AH$1592,"[""B07"",""B07-BGP"",""BGP"",""米色PU""]",'SKU明细'!$E$9:$E$1592,"补货提醒")&gt;0,"补货提醒 ","")</x:f>
        <x:v>促销 考虑清仓 断货 正常库存 补货提醒 </x:v>
      </x:c>
      <x:c r="Y17" s="24" t="str">
        <x:f>IF(NOT(ISNUMBER(U17)),"覆盖待核／无可比基准","完整可比")</x:f>
        <x:v>覆盖待核／无可比基准</x:v>
      </x:c>
      <x:c r="Z17" s="24" t="str">
        <x:v>在售、停售</x:v>
      </x:c>
      <x:c r="AA17" s="24" t="n">
        <x:f>IF(SUMIFS('SKU明细'!$AF$9:$AF$1592,'SKU明细'!$D$9:$D$1592,A17,'SKU明细'!$Z$9:$Z$1592,"&lt;&gt;移出")=0,"待核",SUMIFS('SKU明细'!$H$9:$H$1592,'SKU明细'!$D$9:$D$1592,A17,'SKU明细'!$Z$9:$Z$1592,"&lt;&gt;移出"))</x:f>
        <x:v>2671</x:v>
      </x:c>
    </x:row>
    <x:row r="18" ht="54" customHeight="1">
      <x:c r="A18" s="20" t="str">
        <x:v>B07</x:v>
      </x:c>
      <x:c r="B18" s="20" t="str">
        <x:v>艾年</x:v>
      </x:c>
      <x:c r="C18" s="20" t="str">
        <x:v>黑色羊京绒</x:v>
      </x:c>
      <x:c r="D18" s="20" t="str">
        <x:v>BK</x:v>
      </x:c>
      <x:c r="E18" s="20" t="str">
        <x:v>B07-BK</x:v>
      </x:c>
      <x:c r="F18" s="20"/>
      <x:c r="G18" s="21" t="str">
        <x:f>"—"</x:f>
        <x:v>—</x:v>
      </x:c>
      <x:c r="H18" s="21" t="n">
        <x:f>IF(AND(COUNT(INDEX('SKU明细'!$H$9:$H$1592,MATCH("[13306,""B07-BK-37-by""]",'SKU明细'!$AE$9:$AE$1592,0)))=1,COUNT(INDEX('SKU明细'!$G$9:$G$1592,MATCH("[13306,""B07-BK-37-by""]",'SKU明细'!$AE$9:$AE$1592,0)))=1,SUM(INDEX('SKU明细'!$G$9:$G$1592,MATCH("[13306,""B07-BK-37-by""]",'SKU明细'!$AE$9:$AE$1592,0)))&gt;0),SUM(INDEX('SKU明细'!$H$9:$H$1592,MATCH("[13306,""B07-BK-37-by""]",'SKU明细'!$AE$9:$AE$1592,0)))/SUM(INDEX('SKU明细'!$G$9:$G$1592,MATCH("[13306,""B07-BK-37-by""]",'SKU明细'!$AE$9:$AE$1592,0))),"待核")</x:f>
        <x:v>29.577464788732396</x:v>
      </x:c>
      <x:c r="I18" s="21" t="n">
        <x:f>IF(AND(COUNT(INDEX('SKU明细'!$H$9:$H$1592,MATCH("[13306,""B07-BK-37.5""]",'SKU明细'!$AE$9:$AE$1592,0)))=1,COUNT(INDEX('SKU明细'!$G$9:$G$1592,MATCH("[13306,""B07-BK-37.5""]",'SKU明细'!$AE$9:$AE$1592,0)))=1,SUM(INDEX('SKU明细'!$G$9:$G$1592,MATCH("[13306,""B07-BK-37.5""]",'SKU明细'!$AE$9:$AE$1592,0)))&gt;0),SUM(INDEX('SKU明细'!$H$9:$H$1592,MATCH("[13306,""B07-BK-37.5""]",'SKU明细'!$AE$9:$AE$1592,0)))/SUM(INDEX('SKU明细'!$G$9:$G$1592,MATCH("[13306,""B07-BK-37.5""]",'SKU明细'!$AE$9:$AE$1592,0))),"待核")</x:f>
        <x:v>0</x:v>
      </x:c>
      <x:c r="J18" s="21" t="n">
        <x:f>IF(AND(COUNT(INDEX('SKU明细'!$H$9:$H$1592,MATCH("[13306,""B07-BK-38-New""]",'SKU明细'!$AE$9:$AE$1592,0)))=1,COUNT(INDEX('SKU明细'!$G$9:$G$1592,MATCH("[13306,""B07-BK-38-New""]",'SKU明细'!$AE$9:$AE$1592,0)))=1,SUM(INDEX('SKU明细'!$G$9:$G$1592,MATCH("[13306,""B07-BK-38-New""]",'SKU明细'!$AE$9:$AE$1592,0)))&gt;0),SUM(INDEX('SKU明细'!$H$9:$H$1592,MATCH("[13306,""B07-BK-38-New""]",'SKU明细'!$AE$9:$AE$1592,0)))/SUM(INDEX('SKU明细'!$G$9:$G$1592,MATCH("[13306,""B07-BK-38-New""]",'SKU明细'!$AE$9:$AE$1592,0))),"待核")</x:f>
        <x:v>97.87798408488062</x:v>
      </x:c>
      <x:c r="K18" s="21" t="n">
        <x:f>IF(AND(COUNT(INDEX('SKU明细'!$H$9:$H$1592,MATCH("[13306,""B07-BK-38.5""]",'SKU明细'!$AE$9:$AE$1592,0)))=1,COUNT(INDEX('SKU明细'!$G$9:$G$1592,MATCH("[13306,""B07-BK-38.5""]",'SKU明细'!$AE$9:$AE$1592,0)))=1,SUM(INDEX('SKU明细'!$G$9:$G$1592,MATCH("[13306,""B07-BK-38.5""]",'SKU明细'!$AE$9:$AE$1592,0)))&gt;0),SUM(INDEX('SKU明细'!$H$9:$H$1592,MATCH("[13306,""B07-BK-38.5""]",'SKU明细'!$AE$9:$AE$1592,0)))/SUM(INDEX('SKU明细'!$G$9:$G$1592,MATCH("[13306,""B07-BK-38.5""]",'SKU明细'!$AE$9:$AE$1592,0))),"待核")</x:f>
        <x:v>305.51612903225805</x:v>
      </x:c>
      <x:c r="L18" s="21" t="n">
        <x:f>IF(AND(COUNT(INDEX('SKU明细'!$H$9:$H$1592,MATCH("[13306,""B07-BK-39-New""]",'SKU明细'!$AE$9:$AE$1592,0)))=1,COUNT(INDEX('SKU明细'!$G$9:$G$1592,MATCH("[13306,""B07-BK-39-New""]",'SKU明细'!$AE$9:$AE$1592,0)))=1,SUM(INDEX('SKU明细'!$G$9:$G$1592,MATCH("[13306,""B07-BK-39-New""]",'SKU明细'!$AE$9:$AE$1592,0)))&gt;0),SUM(INDEX('SKU明细'!$H$9:$H$1592,MATCH("[13306,""B07-BK-39-New""]",'SKU明细'!$AE$9:$AE$1592,0)))/SUM(INDEX('SKU明细'!$G$9:$G$1592,MATCH("[13306,""B07-BK-39-New""]",'SKU明细'!$AE$9:$AE$1592,0))),"待核")</x:f>
        <x:v>85.785744060025</x:v>
      </x:c>
      <x:c r="M18" s="21" t="n">
        <x:f>IF(AND(COUNT(INDEX('SKU明细'!$H$9:$H$1592,MATCH("[13306,""B07-BK-39.5""]",'SKU明细'!$AE$9:$AE$1592,0)))=1,COUNT(INDEX('SKU明细'!$G$9:$G$1592,MATCH("[13306,""B07-BK-39.5""]",'SKU明细'!$AE$9:$AE$1592,0)))=1,SUM(INDEX('SKU明细'!$G$9:$G$1592,MATCH("[13306,""B07-BK-39.5""]",'SKU明细'!$AE$9:$AE$1592,0)))&gt;0),SUM(INDEX('SKU明细'!$H$9:$H$1592,MATCH("[13306,""B07-BK-39.5""]",'SKU明细'!$AE$9:$AE$1592,0)))/SUM(INDEX('SKU明细'!$G$9:$G$1592,MATCH("[13306,""B07-BK-39.5""]",'SKU明细'!$AE$9:$AE$1592,0))),"待核")</x:f>
        <x:v>128.79240162822254</x:v>
      </x:c>
      <x:c r="N18" s="21" t="n">
        <x:f>IF(AND(COUNT(INDEX('SKU明细'!$H$9:$H$1592,MATCH("[13306,""B07-BK-40-New""]",'SKU明细'!$AE$9:$AE$1592,0)))=1,COUNT(INDEX('SKU明细'!$G$9:$G$1592,MATCH("[13306,""B07-BK-40-New""]",'SKU明细'!$AE$9:$AE$1592,0)))=1,SUM(INDEX('SKU明细'!$G$9:$G$1592,MATCH("[13306,""B07-BK-40-New""]",'SKU明细'!$AE$9:$AE$1592,0)))&gt;0),SUM(INDEX('SKU明细'!$H$9:$H$1592,MATCH("[13306,""B07-BK-40-New""]",'SKU明细'!$AE$9:$AE$1592,0)))/SUM(INDEX('SKU明细'!$G$9:$G$1592,MATCH("[13306,""B07-BK-40-New""]",'SKU明细'!$AE$9:$AE$1592,0))),"待核")</x:f>
        <x:v>0</x:v>
      </x:c>
      <x:c r="O18" s="21" t="n">
        <x:f>IF(AND(COUNT(INDEX('SKU明细'!$H$9:$H$1592,MATCH("[13306,""B07-BK-40.5""]",'SKU明细'!$AE$9:$AE$1592,0)))=1,COUNT(INDEX('SKU明细'!$G$9:$G$1592,MATCH("[13306,""B07-BK-40.5""]",'SKU明细'!$AE$9:$AE$1592,0)))=1,SUM(INDEX('SKU明细'!$G$9:$G$1592,MATCH("[13306,""B07-BK-40.5""]",'SKU明细'!$AE$9:$AE$1592,0)))&gt;0),SUM(INDEX('SKU明细'!$H$9:$H$1592,MATCH("[13306,""B07-BK-40.5""]",'SKU明细'!$AE$9:$AE$1592,0)))/SUM(INDEX('SKU明细'!$G$9:$G$1592,MATCH("[13306,""B07-BK-40.5""]",'SKU明细'!$AE$9:$AE$1592,0))),"待核")</x:f>
        <x:v>17.758985200845668</x:v>
      </x:c>
      <x:c r="P18" s="21" t="str">
        <x:f>"—"</x:f>
        <x:v>—</x:v>
      </x:c>
      <x:c r="Q18" s="21" t="n">
        <x:f>IF(AND(COUNT(INDEX('SKU明细'!$H$9:$H$1592,MATCH("[13306,""B07-BK-41.5""]",'SKU明细'!$AE$9:$AE$1592,0)))=1,COUNT(INDEX('SKU明细'!$G$9:$G$1592,MATCH("[13306,""B07-BK-41.5""]",'SKU明细'!$AE$9:$AE$1592,0)))=1,SUM(INDEX('SKU明细'!$G$9:$G$1592,MATCH("[13306,""B07-BK-41.5""]",'SKU明细'!$AE$9:$AE$1592,0)))&gt;0),SUM(INDEX('SKU明细'!$H$9:$H$1592,MATCH("[13306,""B07-BK-41.5""]",'SKU明细'!$AE$9:$AE$1592,0)))/SUM(INDEX('SKU明细'!$G$9:$G$1592,MATCH("[13306,""B07-BK-41.5""]",'SKU明细'!$AE$9:$AE$1592,0))),"待核")</x:f>
        <x:v>0</x:v>
      </x:c>
      <x:c r="R18" s="21" t="str">
        <x:f>"—"</x:f>
        <x:v>—</x:v>
      </x:c>
      <x:c r="S18" s="21" t="n">
        <x:f>IF(AND(COUNT(INDEX('SKU明细'!$H$9:$H$1592,MATCH("[13306,""B07-BK-38.5""]",'SKU明细'!$AE$9:$AE$1592,0)),INDEX('SKU明细'!$H$9:$H$1592,MATCH("[13306,""B07-BK-38-New""]",'SKU明细'!$AE$9:$AE$1592,0)),INDEX('SKU明细'!$H$9:$H$1592,MATCH("[13306,""B07-BK-39.5""]",'SKU明细'!$AE$9:$AE$1592,0)),INDEX('SKU明细'!$H$9:$H$1592,MATCH("[13306,""B07-BK-37.5""]",'SKU明细'!$AE$9:$AE$1592,0)),INDEX('SKU明细'!$H$9:$H$1592,MATCH("[13306,""B07-BK-40-New""]",'SKU明细'!$AE$9:$AE$1592,0)),INDEX('SKU明细'!$H$9:$H$1592,MATCH("[13306,""B07-BK-41.5""]",'SKU明细'!$AE$9:$AE$1592,0)),INDEX('SKU明细'!$H$9:$H$1592,MATCH("[13306,""B07-BK-39-New""]",'SKU明细'!$AE$9:$AE$1592,0)),INDEX('SKU明细'!$H$9:$H$1592,MATCH("[13306,""B07-BK-37-by""]",'SKU明细'!$AE$9:$AE$1592,0)),INDEX('SKU明细'!$H$9:$H$1592,MATCH("[13306,""B07-BK-40.5""]",'SKU明细'!$AE$9:$AE$1592,0)))=9,COUNT(INDEX('SKU明细'!$G$9:$G$1592,MATCH("[13306,""B07-BK-38.5""]",'SKU明细'!$AE$9:$AE$1592,0)),INDEX('SKU明细'!$G$9:$G$1592,MATCH("[13306,""B07-BK-38-New""]",'SKU明细'!$AE$9:$AE$1592,0)),INDEX('SKU明细'!$G$9:$G$1592,MATCH("[13306,""B07-BK-39.5""]",'SKU明细'!$AE$9:$AE$1592,0)),INDEX('SKU明细'!$G$9:$G$1592,MATCH("[13306,""B07-BK-37.5""]",'SKU明细'!$AE$9:$AE$1592,0)),INDEX('SKU明细'!$G$9:$G$1592,MATCH("[13306,""B07-BK-40-New""]",'SKU明细'!$AE$9:$AE$1592,0)),INDEX('SKU明细'!$G$9:$G$1592,MATCH("[13306,""B07-BK-41.5""]",'SKU明细'!$AE$9:$AE$1592,0)),INDEX('SKU明细'!$G$9:$G$1592,MATCH("[13306,""B07-BK-39-New""]",'SKU明细'!$AE$9:$AE$1592,0)),INDEX('SKU明细'!$G$9:$G$1592,MATCH("[13306,""B07-BK-37-by""]",'SKU明细'!$AE$9:$AE$1592,0)),INDEX('SKU明细'!$G$9:$G$1592,MATCH("[13306,""B07-BK-40.5""]",'SKU明细'!$AE$9:$AE$1592,0)))=9,SUM(INDEX('SKU明细'!$G$9:$G$1592,MATCH("[13306,""B07-BK-38.5""]",'SKU明细'!$AE$9:$AE$1592,0)),INDEX('SKU明细'!$G$9:$G$1592,MATCH("[13306,""B07-BK-38-New""]",'SKU明细'!$AE$9:$AE$1592,0)),INDEX('SKU明细'!$G$9:$G$1592,MATCH("[13306,""B07-BK-39.5""]",'SKU明细'!$AE$9:$AE$1592,0)),INDEX('SKU明细'!$G$9:$G$1592,MATCH("[13306,""B07-BK-37.5""]",'SKU明细'!$AE$9:$AE$1592,0)),INDEX('SKU明细'!$G$9:$G$1592,MATCH("[13306,""B07-BK-40-New""]",'SKU明细'!$AE$9:$AE$1592,0)),INDEX('SKU明细'!$G$9:$G$1592,MATCH("[13306,""B07-BK-41.5""]",'SKU明细'!$AE$9:$AE$1592,0)),INDEX('SKU明细'!$G$9:$G$1592,MATCH("[13306,""B07-BK-39-New""]",'SKU明细'!$AE$9:$AE$1592,0)),INDEX('SKU明细'!$G$9:$G$1592,MATCH("[13306,""B07-BK-37-by""]",'SKU明细'!$AE$9:$AE$1592,0)),INDEX('SKU明细'!$G$9:$G$1592,MATCH("[13306,""B07-BK-40.5""]",'SKU明细'!$AE$9:$AE$1592,0)))&gt;0),SUM(INDEX('SKU明细'!$H$9:$H$1592,MATCH("[13306,""B07-BK-38.5""]",'SKU明细'!$AE$9:$AE$1592,0)),INDEX('SKU明细'!$H$9:$H$1592,MATCH("[13306,""B07-BK-38-New""]",'SKU明细'!$AE$9:$AE$1592,0)),INDEX('SKU明细'!$H$9:$H$1592,MATCH("[13306,""B07-BK-39.5""]",'SKU明细'!$AE$9:$AE$1592,0)),INDEX('SKU明细'!$H$9:$H$1592,MATCH("[13306,""B07-BK-37.5""]",'SKU明细'!$AE$9:$AE$1592,0)),INDEX('SKU明细'!$H$9:$H$1592,MATCH("[13306,""B07-BK-40-New""]",'SKU明细'!$AE$9:$AE$1592,0)),INDEX('SKU明细'!$H$9:$H$1592,MATCH("[13306,""B07-BK-41.5""]",'SKU明细'!$AE$9:$AE$1592,0)),INDEX('SKU明细'!$H$9:$H$1592,MATCH("[13306,""B07-BK-39-New""]",'SKU明细'!$AE$9:$AE$1592,0)),INDEX('SKU明细'!$H$9:$H$1592,MATCH("[13306,""B07-BK-37-by""]",'SKU明细'!$AE$9:$AE$1592,0)),INDEX('SKU明细'!$H$9:$H$1592,MATCH("[13306,""B07-BK-40.5""]",'SKU明细'!$AE$9:$AE$1592,0)))/SUM(INDEX('SKU明细'!$G$9:$G$1592,MATCH("[13306,""B07-BK-38.5""]",'SKU明细'!$AE$9:$AE$1592,0)),INDEX('SKU明细'!$G$9:$G$1592,MATCH("[13306,""B07-BK-38-New""]",'SKU明细'!$AE$9:$AE$1592,0)),INDEX('SKU明细'!$G$9:$G$1592,MATCH("[13306,""B07-BK-39.5""]",'SKU明细'!$AE$9:$AE$1592,0)),INDEX('SKU明细'!$G$9:$G$1592,MATCH("[13306,""B07-BK-37.5""]",'SKU明细'!$AE$9:$AE$1592,0)),INDEX('SKU明细'!$G$9:$G$1592,MATCH("[13306,""B07-BK-40-New""]",'SKU明细'!$AE$9:$AE$1592,0)),INDEX('SKU明细'!$G$9:$G$1592,MATCH("[13306,""B07-BK-41.5""]",'SKU明细'!$AE$9:$AE$1592,0)),INDEX('SKU明细'!$G$9:$G$1592,MATCH("[13306,""B07-BK-39-New""]",'SKU明细'!$AE$9:$AE$1592,0)),INDEX('SKU明细'!$G$9:$G$1592,MATCH("[13306,""B07-BK-37-by""]",'SKU明细'!$AE$9:$AE$1592,0)),INDEX('SKU明细'!$G$9:$G$1592,MATCH("[13306,""B07-BK-40.5""]",'SKU明细'!$AE$9:$AE$1592,0))),"待核")</x:f>
        <x:v>128.1073446327684</x:v>
      </x:c>
      <x:c r="T18" s="21" t="n">
        <x:f>IF(AND(COUNT(INDEX('SKU明细'!$I$9:$I$1592,MATCH("[13306,""B07-BK-38.5""]",'SKU明细'!$AE$9:$AE$1592,0)),INDEX('SKU明细'!$I$9:$I$1592,MATCH("[13306,""B07-BK-38-New""]",'SKU明细'!$AE$9:$AE$1592,0)),INDEX('SKU明细'!$I$9:$I$1592,MATCH("[13306,""B07-BK-39.5""]",'SKU明细'!$AE$9:$AE$1592,0)),INDEX('SKU明细'!$I$9:$I$1592,MATCH("[13306,""B07-BK-37.5""]",'SKU明细'!$AE$9:$AE$1592,0)),INDEX('SKU明细'!$I$9:$I$1592,MATCH("[13306,""B07-BK-40-New""]",'SKU明细'!$AE$9:$AE$1592,0)),INDEX('SKU明细'!$I$9:$I$1592,MATCH("[13306,""B07-BK-41.5""]",'SKU明细'!$AE$9:$AE$1592,0)),INDEX('SKU明细'!$I$9:$I$1592,MATCH("[13306,""B07-BK-39-New""]",'SKU明细'!$AE$9:$AE$1592,0)),INDEX('SKU明细'!$I$9:$I$1592,MATCH("[13306,""B07-BK-37-by""]",'SKU明细'!$AE$9:$AE$1592,0)),INDEX('SKU明细'!$I$9:$I$1592,MATCH("[13306,""B07-BK-40.5""]",'SKU明细'!$AE$9:$AE$1592,0)))=9,COUNT(INDEX('SKU明细'!$AD$9:$AD$1592,MATCH("[13306,""B07-BK-38.5""]",'SKU明细'!$AE$9:$AE$1592,0)),INDEX('SKU明细'!$AD$9:$AD$1592,MATCH("[13306,""B07-BK-38-New""]",'SKU明细'!$AE$9:$AE$1592,0)),INDEX('SKU明细'!$AD$9:$AD$1592,MATCH("[13306,""B07-BK-39.5""]",'SKU明细'!$AE$9:$AE$1592,0)),INDEX('SKU明细'!$AD$9:$AD$1592,MATCH("[13306,""B07-BK-37.5""]",'SKU明细'!$AE$9:$AE$1592,0)),INDEX('SKU明细'!$AD$9:$AD$1592,MATCH("[13306,""B07-BK-40-New""]",'SKU明细'!$AE$9:$AE$1592,0)),INDEX('SKU明细'!$AD$9:$AD$1592,MATCH("[13306,""B07-BK-41.5""]",'SKU明细'!$AE$9:$AE$1592,0)),INDEX('SKU明细'!$AD$9:$AD$1592,MATCH("[13306,""B07-BK-39-New""]",'SKU明细'!$AE$9:$AE$1592,0)),INDEX('SKU明细'!$AD$9:$AD$1592,MATCH("[13306,""B07-BK-37-by""]",'SKU明细'!$AE$9:$AE$1592,0)),INDEX('SKU明细'!$AD$9:$AD$1592,MATCH("[13306,""B07-BK-40.5""]",'SKU明细'!$AE$9:$AE$1592,0)))=9,SUM(INDEX('SKU明细'!$AD$9:$AD$1592,MATCH("[13306,""B07-BK-38.5""]",'SKU明细'!$AE$9:$AE$1592,0)),INDEX('SKU明细'!$AD$9:$AD$1592,MATCH("[13306,""B07-BK-38-New""]",'SKU明细'!$AE$9:$AE$1592,0)),INDEX('SKU明细'!$AD$9:$AD$1592,MATCH("[13306,""B07-BK-39.5""]",'SKU明细'!$AE$9:$AE$1592,0)),INDEX('SKU明细'!$AD$9:$AD$1592,MATCH("[13306,""B07-BK-37.5""]",'SKU明细'!$AE$9:$AE$1592,0)),INDEX('SKU明细'!$AD$9:$AD$1592,MATCH("[13306,""B07-BK-40-New""]",'SKU明细'!$AE$9:$AE$1592,0)),INDEX('SKU明细'!$AD$9:$AD$1592,MATCH("[13306,""B07-BK-41.5""]",'SKU明细'!$AE$9:$AE$1592,0)),INDEX('SKU明细'!$AD$9:$AD$1592,MATCH("[13306,""B07-BK-39-New""]",'SKU明细'!$AE$9:$AE$1592,0)),INDEX('SKU明细'!$AD$9:$AD$1592,MATCH("[13306,""B07-BK-37-by""]",'SKU明细'!$AE$9:$AE$1592,0)),INDEX('SKU明细'!$AD$9:$AD$1592,MATCH("[13306,""B07-BK-40.5""]",'SKU明细'!$AE$9:$AE$1592,0)))&gt;0),SUM(INDEX('SKU明细'!$I$9:$I$1592,MATCH("[13306,""B07-BK-38.5""]",'SKU明细'!$AE$9:$AE$1592,0)),INDEX('SKU明细'!$I$9:$I$1592,MATCH("[13306,""B07-BK-38-New""]",'SKU明细'!$AE$9:$AE$1592,0)),INDEX('SKU明细'!$I$9:$I$1592,MATCH("[13306,""B07-BK-39.5""]",'SKU明细'!$AE$9:$AE$1592,0)),INDEX('SKU明细'!$I$9:$I$1592,MATCH("[13306,""B07-BK-37.5""]",'SKU明细'!$AE$9:$AE$1592,0)),INDEX('SKU明细'!$I$9:$I$1592,MATCH("[13306,""B07-BK-40-New""]",'SKU明细'!$AE$9:$AE$1592,0)),INDEX('SKU明细'!$I$9:$I$1592,MATCH("[13306,""B07-BK-41.5""]",'SKU明细'!$AE$9:$AE$1592,0)),INDEX('SKU明细'!$I$9:$I$1592,MATCH("[13306,""B07-BK-39-New""]",'SKU明细'!$AE$9:$AE$1592,0)),INDEX('SKU明细'!$I$9:$I$1592,MATCH("[13306,""B07-BK-37-by""]",'SKU明细'!$AE$9:$AE$1592,0)),INDEX('SKU明细'!$I$9:$I$1592,MATCH("[13306,""B07-BK-40.5""]",'SKU明细'!$AE$9:$AE$1592,0)))/SUM(INDEX('SKU明细'!$AD$9:$AD$1592,MATCH("[13306,""B07-BK-38.5""]",'SKU明细'!$AE$9:$AE$1592,0)),INDEX('SKU明细'!$AD$9:$AD$1592,MATCH("[13306,""B07-BK-38-New""]",'SKU明细'!$AE$9:$AE$1592,0)),INDEX('SKU明细'!$AD$9:$AD$1592,MATCH("[13306,""B07-BK-39.5""]",'SKU明细'!$AE$9:$AE$1592,0)),INDEX('SKU明细'!$AD$9:$AD$1592,MATCH("[13306,""B07-BK-37.5""]",'SKU明细'!$AE$9:$AE$1592,0)),INDEX('SKU明细'!$AD$9:$AD$1592,MATCH("[13306,""B07-BK-40-New""]",'SKU明细'!$AE$9:$AE$1592,0)),INDEX('SKU明细'!$AD$9:$AD$1592,MATCH("[13306,""B07-BK-41.5""]",'SKU明细'!$AE$9:$AE$1592,0)),INDEX('SKU明细'!$AD$9:$AD$1592,MATCH("[13306,""B07-BK-39-New""]",'SKU明细'!$AE$9:$AE$1592,0)),INDEX('SKU明细'!$AD$9:$AD$1592,MATCH("[13306,""B07-BK-37-by""]",'SKU明细'!$AE$9:$AE$1592,0)),INDEX('SKU明细'!$AD$9:$AD$1592,MATCH("[13306,""B07-BK-40.5""]",'SKU明细'!$AE$9:$AE$1592,0))),"待核")</x:f>
        <x:v>207.43876625340187</x:v>
      </x:c>
      <x:c r="U18" s="21" t="n">
        <x:f>IF(COUNT(S18:T18)=2,S18-T18,"待核")</x:f>
        <x:v>-79.33142162063348</x:v>
      </x:c>
      <x:c r="V18" s="22" t="n">
        <x:f>IF(AND(ISNUMBER(U18),ISNUMBER(T18),T18&lt;&gt;0),U18/T18,"")</x:f>
        <x:v>-0.3824329610778935</x:v>
      </x:c>
      <x:c r="W18" s="23" t="n">
        <x:f>IF(COUNT(INDEX('SKU明细'!$H$9:$H$1592,MATCH("[13306,""B07-BK-38.5""]",'SKU明细'!$AE$9:$AE$1592,0)),INDEX('SKU明细'!$H$9:$H$1592,MATCH("[13306,""B07-BK-38-New""]",'SKU明细'!$AE$9:$AE$1592,0)),INDEX('SKU明细'!$H$9:$H$1592,MATCH("[13306,""B07-BK-39.5""]",'SKU明细'!$AE$9:$AE$1592,0)),INDEX('SKU明细'!$H$9:$H$1592,MATCH("[13306,""B07-BK-37.5""]",'SKU明细'!$AE$9:$AE$1592,0)),INDEX('SKU明细'!$H$9:$H$1592,MATCH("[13306,""B07-BK-40-New""]",'SKU明细'!$AE$9:$AE$1592,0)),INDEX('SKU明细'!$H$9:$H$1592,MATCH("[13306,""B07-BK-41.5""]",'SKU明细'!$AE$9:$AE$1592,0)),INDEX('SKU明细'!$H$9:$H$1592,MATCH("[13306,""B07-BK-39-New""]",'SKU明细'!$AE$9:$AE$1592,0)),INDEX('SKU明细'!$H$9:$H$1592,MATCH("[13306,""B07-BK-37-by""]",'SKU明细'!$AE$9:$AE$1592,0)),INDEX('SKU明细'!$H$9:$H$1592,MATCH("[13306,""B07-BK-40.5""]",'SKU明细'!$AE$9:$AE$1592,0)))=0,"待核",SUM(INDEX('SKU明细'!$H$9:$H$1592,MATCH("[13306,""B07-BK-38.5""]",'SKU明细'!$AE$9:$AE$1592,0)),INDEX('SKU明细'!$H$9:$H$1592,MATCH("[13306,""B07-BK-38-New""]",'SKU明细'!$AE$9:$AE$1592,0)),INDEX('SKU明细'!$H$9:$H$1592,MATCH("[13306,""B07-BK-39.5""]",'SKU明细'!$AE$9:$AE$1592,0)),INDEX('SKU明细'!$H$9:$H$1592,MATCH("[13306,""B07-BK-37.5""]",'SKU明细'!$AE$9:$AE$1592,0)),INDEX('SKU明细'!$H$9:$H$1592,MATCH("[13306,""B07-BK-40-New""]",'SKU明细'!$AE$9:$AE$1592,0)),INDEX('SKU明细'!$H$9:$H$1592,MATCH("[13306,""B07-BK-41.5""]",'SKU明细'!$AE$9:$AE$1592,0)),INDEX('SKU明细'!$H$9:$H$1592,MATCH("[13306,""B07-BK-39-New""]",'SKU明细'!$AE$9:$AE$1592,0)),INDEX('SKU明细'!$H$9:$H$1592,MATCH("[13306,""B07-BK-37-by""]",'SKU明细'!$AE$9:$AE$1592,0)),INDEX('SKU明细'!$H$9:$H$1592,MATCH("[13306,""B07-BK-40.5""]",'SKU明细'!$AE$9:$AE$1592,0))))</x:f>
        <x:v>907</x:v>
      </x:c>
      <x:c r="X18" s="24" t="str">
        <x:f>IF(COUNTIFS('SKU明细'!$AH$9:$AH$1592,"[""B07"",""B07-BK"",""BK"",""黑色羊京绒""]",'SKU明细'!$E$9:$E$1592,"促销")&gt;0,"促销 ","")&amp;IF(COUNTIFS('SKU明细'!$AH$9:$AH$1592,"[""B07"",""B07-BK"",""BK"",""黑色羊京绒""]",'SKU明细'!$E$9:$E$1592,"红线促销")&gt;0,"红线促销 ","")&amp;IF(COUNTIFS('SKU明细'!$AH$9:$AH$1592,"[""B07"",""B07-BK"",""BK"",""黑色羊京绒""]",'SKU明细'!$E$9:$E$1592,"考虑清仓")&gt;0,"考虑清仓 ","")&amp;IF(COUNTIFS('SKU明细'!$AH$9:$AH$1592,"[""B07"",""B07-BK"",""BK"",""黑色羊京绒""]",'SKU明细'!$E$9:$E$1592,"断货")&gt;0,"断货 ","")&amp;IF(COUNTIFS('SKU明细'!$AH$9:$AH$1592,"[""B07"",""B07-BK"",""BK"",""黑色羊京绒""]",'SKU明细'!$E$9:$E$1592,"零日销待复核")&gt;0,"零日销待复核 ","")&amp;IF(COUNTIFS('SKU明细'!$AH$9:$AH$1592,"[""B07"",""B07-BK"",""BK"",""黑色羊京绒""]",'SKU明细'!$E$9:$E$1592,"数据待核")&gt;0,"数据待核 ","")&amp;IF(COUNTIFS('SKU明细'!$AH$9:$AH$1592,"[""B07"",""B07-BK"",""BK"",""黑色羊京绒""]",'SKU明细'!$E$9:$E$1592,"正常库存")&gt;0,"正常库存 ","")&amp;IF(COUNTIFS('SKU明细'!$AH$9:$AH$1592,"[""B07"",""B07-BK"",""BK"",""黑色羊京绒""]",'SKU明细'!$E$9:$E$1592,"补货提醒")&gt;0,"补货提醒 ","")</x:f>
        <x:v>促销 红线促销 断货 正常库存 补货提醒 </x:v>
      </x:c>
      <x:c r="Y18" s="24" t="str">
        <x:f>IF(NOT(ISNUMBER(U18)),"覆盖待核／无可比基准","完整可比")</x:f>
        <x:v>完整可比</x:v>
      </x:c>
      <x:c r="Z18" s="24" t="str">
        <x:v>在售</x:v>
      </x:c>
      <x:c r="AA18" s="24" t="n">
        <x:f>IF(SUMIFS('SKU明细'!$AF$9:$AF$1592,'SKU明细'!$D$9:$D$1592,A18,'SKU明细'!$Z$9:$Z$1592,"&lt;&gt;移出")=0,"待核",SUMIFS('SKU明细'!$H$9:$H$1592,'SKU明细'!$D$9:$D$1592,A18,'SKU明细'!$Z$9:$Z$1592,"&lt;&gt;移出"))</x:f>
        <x:v>2671</x:v>
      </x:c>
    </x:row>
    <x:row r="19" ht="54" customHeight="1">
      <x:c r="A19" s="20" t="str">
        <x:v>B07</x:v>
      </x:c>
      <x:c r="B19" s="20" t="str">
        <x:v>艾年</x:v>
      </x:c>
      <x:c r="C19" s="20" t="str">
        <x:v>黑色色织提花</x:v>
      </x:c>
      <x:c r="D19" s="20" t="str">
        <x:v>BK-I</x:v>
      </x:c>
      <x:c r="E19" s="20" t="str">
        <x:v>B07-BK-I-0</x:v>
      </x:c>
      <x:c r="F19" s="20"/>
      <x:c r="G19" s="21" t="str">
        <x:f>"—"</x:f>
        <x:v>—</x:v>
      </x:c>
      <x:c r="H19" s="21" t="str">
        <x:f>"—"</x:f>
        <x:v>—</x:v>
      </x:c>
      <x:c r="I19" s="21" t="n">
        <x:f>IF(AND(COUNT(INDEX('SKU明细'!$H$9:$H$1592,MATCH("[13306,""B07-BK-I-0-37.5""]",'SKU明细'!$AE$9:$AE$1592,0)))=1,COUNT(INDEX('SKU明细'!$G$9:$G$1592,MATCH("[13306,""B07-BK-I-0-37.5""]",'SKU明细'!$AE$9:$AE$1592,0)))=1,SUM(INDEX('SKU明细'!$G$9:$G$1592,MATCH("[13306,""B07-BK-I-0-37.5""]",'SKU明细'!$AE$9:$AE$1592,0)))&gt;0),SUM(INDEX('SKU明细'!$H$9:$H$1592,MATCH("[13306,""B07-BK-I-0-37.5""]",'SKU明细'!$AE$9:$AE$1592,0)))/SUM(INDEX('SKU明细'!$G$9:$G$1592,MATCH("[13306,""B07-BK-I-0-37.5""]",'SKU明细'!$AE$9:$AE$1592,0))),"待核")</x:f>
        <x:v>249.15254237288138</x:v>
      </x:c>
      <x:c r="J19" s="21" t="str">
        <x:f>"—"</x:f>
        <x:v>—</x:v>
      </x:c>
      <x:c r="K19" s="21" t="str">
        <x:f>"—"</x:f>
        <x:v>—</x:v>
      </x:c>
      <x:c r="L19" s="21" t="str">
        <x:f>IF(AND(COUNT(INDEX('SKU明细'!$H$9:$H$1592,MATCH("[13306,""B07-BK-I-0-39""]",'SKU明细'!$AE$9:$AE$1592,0)))=1,COUNT(INDEX('SKU明细'!$G$9:$G$1592,MATCH("[13306,""B07-BK-I-0-39""]",'SKU明细'!$AE$9:$AE$1592,0)))=1,SUM(INDEX('SKU明细'!$G$9:$G$1592,MATCH("[13306,""B07-BK-I-0-39""]",'SKU明细'!$AE$9:$AE$1592,0)))&gt;0),SUM(INDEX('SKU明细'!$H$9:$H$1592,MATCH("[13306,""B07-BK-I-0-39""]",'SKU明细'!$AE$9:$AE$1592,0)))/SUM(INDEX('SKU明细'!$G$9:$G$1592,MATCH("[13306,""B07-BK-I-0-39""]",'SKU明细'!$AE$9:$AE$1592,0))),"待核")</x:f>
        <x:v>待核</x:v>
      </x:c>
      <x:c r="M19" s="21" t="str">
        <x:f>IF(AND(COUNT(INDEX('SKU明细'!$H$9:$H$1592,MATCH("[13306,""B07-BK-I-0-39.5""]",'SKU明细'!$AE$9:$AE$1592,0)))=1,COUNT(INDEX('SKU明细'!$G$9:$G$1592,MATCH("[13306,""B07-BK-I-0-39.5""]",'SKU明细'!$AE$9:$AE$1592,0)))=1,SUM(INDEX('SKU明细'!$G$9:$G$1592,MATCH("[13306,""B07-BK-I-0-39.5""]",'SKU明细'!$AE$9:$AE$1592,0)))&gt;0),SUM(INDEX('SKU明细'!$H$9:$H$1592,MATCH("[13306,""B07-BK-I-0-39.5""]",'SKU明细'!$AE$9:$AE$1592,0)))/SUM(INDEX('SKU明细'!$G$9:$G$1592,MATCH("[13306,""B07-BK-I-0-39.5""]",'SKU明细'!$AE$9:$AE$1592,0))),"待核")</x:f>
        <x:v>待核</x:v>
      </x:c>
      <x:c r="N19" s="21" t="str">
        <x:f>"—"</x:f>
        <x:v>—</x:v>
      </x:c>
      <x:c r="O19" s="21" t="str">
        <x:f>"—"</x:f>
        <x:v>—</x:v>
      </x:c>
      <x:c r="P19" s="21" t="n">
        <x:f>IF(AND(COUNT(INDEX('SKU明细'!$H$9:$H$1592,MATCH("[13306,""B07-BK-I-0-41""]",'SKU明细'!$AE$9:$AE$1592,0)))=1,COUNT(INDEX('SKU明细'!$G$9:$G$1592,MATCH("[13306,""B07-BK-I-0-41""]",'SKU明细'!$AE$9:$AE$1592,0)))=1,SUM(INDEX('SKU明细'!$G$9:$G$1592,MATCH("[13306,""B07-BK-I-0-41""]",'SKU明细'!$AE$9:$AE$1592,0)))&gt;0),SUM(INDEX('SKU明细'!$H$9:$H$1592,MATCH("[13306,""B07-BK-I-0-41""]",'SKU明细'!$AE$9:$AE$1592,0)))/SUM(INDEX('SKU明细'!$G$9:$G$1592,MATCH("[13306,""B07-BK-I-0-41""]",'SKU明细'!$AE$9:$AE$1592,0))),"待核")</x:f>
        <x:v>106.77966101694916</x:v>
      </x:c>
      <x:c r="Q19" s="21" t="str">
        <x:f>IF(AND(COUNT(INDEX('SKU明细'!$H$9:$H$1592,MATCH("[13306,""B07-BK-I-0-41.5""]",'SKU明细'!$AE$9:$AE$1592,0)))=1,COUNT(INDEX('SKU明细'!$G$9:$G$1592,MATCH("[13306,""B07-BK-I-0-41.5""]",'SKU明细'!$AE$9:$AE$1592,0)))=1,SUM(INDEX('SKU明细'!$G$9:$G$1592,MATCH("[13306,""B07-BK-I-0-41.5""]",'SKU明细'!$AE$9:$AE$1592,0)))&gt;0),SUM(INDEX('SKU明细'!$H$9:$H$1592,MATCH("[13306,""B07-BK-I-0-41.5""]",'SKU明细'!$AE$9:$AE$1592,0)))/SUM(INDEX('SKU明细'!$G$9:$G$1592,MATCH("[13306,""B07-BK-I-0-41.5""]",'SKU明细'!$AE$9:$AE$1592,0))),"待核")</x:f>
        <x:v>待核</x:v>
      </x:c>
      <x:c r="R19" s="21" t="str">
        <x:f>"—"</x:f>
        <x:v>—</x:v>
      </x:c>
      <x:c r="S19" s="21" t="n">
        <x:f>IF(AND(COUNT(INDEX('SKU明细'!$H$9:$H$1592,MATCH("[13306,""B07-BK-I-0-37.5""]",'SKU明细'!$AE$9:$AE$1592,0)),INDEX('SKU明细'!$H$9:$H$1592,MATCH("[13306,""B07-BK-I-0-41""]",'SKU明细'!$AE$9:$AE$1592,0)),INDEX('SKU明细'!$H$9:$H$1592,MATCH("[13306,""B07-BK-I-0-39""]",'SKU明细'!$AE$9:$AE$1592,0)),INDEX('SKU明细'!$H$9:$H$1592,MATCH("[13306,""B07-BK-I-0-39.5""]",'SKU明细'!$AE$9:$AE$1592,0)),INDEX('SKU明细'!$H$9:$H$1592,MATCH("[13306,""B07-BK-I-0-41.5""]",'SKU明细'!$AE$9:$AE$1592,0)))=5,COUNT(INDEX('SKU明细'!$G$9:$G$1592,MATCH("[13306,""B07-BK-I-0-37.5""]",'SKU明细'!$AE$9:$AE$1592,0)),INDEX('SKU明细'!$G$9:$G$1592,MATCH("[13306,""B07-BK-I-0-41""]",'SKU明细'!$AE$9:$AE$1592,0)),INDEX('SKU明细'!$G$9:$G$1592,MATCH("[13306,""B07-BK-I-0-39""]",'SKU明细'!$AE$9:$AE$1592,0)),INDEX('SKU明细'!$G$9:$G$1592,MATCH("[13306,""B07-BK-I-0-39.5""]",'SKU明细'!$AE$9:$AE$1592,0)),INDEX('SKU明细'!$G$9:$G$1592,MATCH("[13306,""B07-BK-I-0-41.5""]",'SKU明细'!$AE$9:$AE$1592,0)))=5,SUM(INDEX('SKU明细'!$G$9:$G$1592,MATCH("[13306,""B07-BK-I-0-37.5""]",'SKU明细'!$AE$9:$AE$1592,0)),INDEX('SKU明细'!$G$9:$G$1592,MATCH("[13306,""B07-BK-I-0-41""]",'SKU明细'!$AE$9:$AE$1592,0)),INDEX('SKU明细'!$G$9:$G$1592,MATCH("[13306,""B07-BK-I-0-39""]",'SKU明细'!$AE$9:$AE$1592,0)),INDEX('SKU明细'!$G$9:$G$1592,MATCH("[13306,""B07-BK-I-0-39.5""]",'SKU明细'!$AE$9:$AE$1592,0)),INDEX('SKU明细'!$G$9:$G$1592,MATCH("[13306,""B07-BK-I-0-41.5""]",'SKU明细'!$AE$9:$AE$1592,0)))&gt;0),SUM(INDEX('SKU明细'!$H$9:$H$1592,MATCH("[13306,""B07-BK-I-0-37.5""]",'SKU明细'!$AE$9:$AE$1592,0)),INDEX('SKU明细'!$H$9:$H$1592,MATCH("[13306,""B07-BK-I-0-41""]",'SKU明细'!$AE$9:$AE$1592,0)),INDEX('SKU明细'!$H$9:$H$1592,MATCH("[13306,""B07-BK-I-0-39""]",'SKU明细'!$AE$9:$AE$1592,0)),INDEX('SKU明细'!$H$9:$H$1592,MATCH("[13306,""B07-BK-I-0-39.5""]",'SKU明细'!$AE$9:$AE$1592,0)),INDEX('SKU明细'!$H$9:$H$1592,MATCH("[13306,""B07-BK-I-0-41.5""]",'SKU明细'!$AE$9:$AE$1592,0)))/SUM(INDEX('SKU明细'!$G$9:$G$1592,MATCH("[13306,""B07-BK-I-0-37.5""]",'SKU明细'!$AE$9:$AE$1592,0)),INDEX('SKU明细'!$G$9:$G$1592,MATCH("[13306,""B07-BK-I-0-41""]",'SKU明细'!$AE$9:$AE$1592,0)),INDEX('SKU明细'!$G$9:$G$1592,MATCH("[13306,""B07-BK-I-0-39""]",'SKU明细'!$AE$9:$AE$1592,0)),INDEX('SKU明细'!$G$9:$G$1592,MATCH("[13306,""B07-BK-I-0-39.5""]",'SKU明细'!$AE$9:$AE$1592,0)),INDEX('SKU明细'!$G$9:$G$1592,MATCH("[13306,""B07-BK-I-0-41.5""]",'SKU明细'!$AE$9:$AE$1592,0))),"待核")</x:f>
        <x:v>320.3389830508475</x:v>
      </x:c>
      <x:c r="T19" s="21" t="n">
        <x:f>IF(AND(COUNT(INDEX('SKU明细'!$I$9:$I$1592,MATCH("[13306,""B07-BK-I-0-37.5""]",'SKU明细'!$AE$9:$AE$1592,0)),INDEX('SKU明细'!$I$9:$I$1592,MATCH("[13306,""B07-BK-I-0-41""]",'SKU明细'!$AE$9:$AE$1592,0)),INDEX('SKU明细'!$I$9:$I$1592,MATCH("[13306,""B07-BK-I-0-39""]",'SKU明细'!$AE$9:$AE$1592,0)),INDEX('SKU明细'!$I$9:$I$1592,MATCH("[13306,""B07-BK-I-0-39.5""]",'SKU明细'!$AE$9:$AE$1592,0)),INDEX('SKU明细'!$I$9:$I$1592,MATCH("[13306,""B07-BK-I-0-41.5""]",'SKU明细'!$AE$9:$AE$1592,0)))=5,COUNT(INDEX('SKU明细'!$AD$9:$AD$1592,MATCH("[13306,""B07-BK-I-0-37.5""]",'SKU明细'!$AE$9:$AE$1592,0)),INDEX('SKU明细'!$AD$9:$AD$1592,MATCH("[13306,""B07-BK-I-0-41""]",'SKU明细'!$AE$9:$AE$1592,0)),INDEX('SKU明细'!$AD$9:$AD$1592,MATCH("[13306,""B07-BK-I-0-39""]",'SKU明细'!$AE$9:$AE$1592,0)),INDEX('SKU明细'!$AD$9:$AD$1592,MATCH("[13306,""B07-BK-I-0-39.5""]",'SKU明细'!$AE$9:$AE$1592,0)),INDEX('SKU明细'!$AD$9:$AD$1592,MATCH("[13306,""B07-BK-I-0-41.5""]",'SKU明细'!$AE$9:$AE$1592,0)))=5,SUM(INDEX('SKU明细'!$AD$9:$AD$1592,MATCH("[13306,""B07-BK-I-0-37.5""]",'SKU明细'!$AE$9:$AE$1592,0)),INDEX('SKU明细'!$AD$9:$AD$1592,MATCH("[13306,""B07-BK-I-0-41""]",'SKU明细'!$AE$9:$AE$1592,0)),INDEX('SKU明细'!$AD$9:$AD$1592,MATCH("[13306,""B07-BK-I-0-39""]",'SKU明细'!$AE$9:$AE$1592,0)),INDEX('SKU明细'!$AD$9:$AD$1592,MATCH("[13306,""B07-BK-I-0-39.5""]",'SKU明细'!$AE$9:$AE$1592,0)),INDEX('SKU明细'!$AD$9:$AD$1592,MATCH("[13306,""B07-BK-I-0-41.5""]",'SKU明细'!$AE$9:$AE$1592,0)))&gt;0),SUM(INDEX('SKU明细'!$I$9:$I$1592,MATCH("[13306,""B07-BK-I-0-37.5""]",'SKU明细'!$AE$9:$AE$1592,0)),INDEX('SKU明细'!$I$9:$I$1592,MATCH("[13306,""B07-BK-I-0-41""]",'SKU明细'!$AE$9:$AE$1592,0)),INDEX('SKU明细'!$I$9:$I$1592,MATCH("[13306,""B07-BK-I-0-39""]",'SKU明细'!$AE$9:$AE$1592,0)),INDEX('SKU明细'!$I$9:$I$1592,MATCH("[13306,""B07-BK-I-0-39.5""]",'SKU明细'!$AE$9:$AE$1592,0)),INDEX('SKU明细'!$I$9:$I$1592,MATCH("[13306,""B07-BK-I-0-41.5""]",'SKU明细'!$AE$9:$AE$1592,0)))/SUM(INDEX('SKU明细'!$AD$9:$AD$1592,MATCH("[13306,""B07-BK-I-0-37.5""]",'SKU明细'!$AE$9:$AE$1592,0)),INDEX('SKU明细'!$AD$9:$AD$1592,MATCH("[13306,""B07-BK-I-0-41""]",'SKU明细'!$AE$9:$AE$1592,0)),INDEX('SKU明细'!$AD$9:$AD$1592,MATCH("[13306,""B07-BK-I-0-39""]",'SKU明细'!$AE$9:$AE$1592,0)),INDEX('SKU明细'!$AD$9:$AD$1592,MATCH("[13306,""B07-BK-I-0-39.5""]",'SKU明细'!$AE$9:$AE$1592,0)),INDEX('SKU明细'!$AD$9:$AD$1592,MATCH("[13306,""B07-BK-I-0-41.5""]",'SKU明细'!$AE$9:$AE$1592,0))),"待核")</x:f>
        <x:v>3000</x:v>
      </x:c>
      <x:c r="U19" s="21" t="n">
        <x:f>IF(COUNT(S19:T19)=2,S19-T19,"待核")</x:f>
        <x:v>-2679.6610169491523</x:v>
      </x:c>
      <x:c r="V19" s="22" t="n">
        <x:f>IF(AND(ISNUMBER(U19),ISNUMBER(T19),T19&lt;&gt;0),U19/T19,"")</x:f>
        <x:v>-0.8932203389830508</x:v>
      </x:c>
      <x:c r="W19" s="23" t="n">
        <x:f>IF(COUNT(INDEX('SKU明细'!$H$9:$H$1592,MATCH("[13306,""B07-BK-I-0-37.5""]",'SKU明细'!$AE$9:$AE$1592,0)),INDEX('SKU明细'!$H$9:$H$1592,MATCH("[13306,""B07-BK-I-0-41""]",'SKU明细'!$AE$9:$AE$1592,0)),INDEX('SKU明细'!$H$9:$H$1592,MATCH("[13306,""B07-BK-I-0-39""]",'SKU明细'!$AE$9:$AE$1592,0)),INDEX('SKU明细'!$H$9:$H$1592,MATCH("[13306,""B07-BK-I-0-39.5""]",'SKU明细'!$AE$9:$AE$1592,0)),INDEX('SKU明细'!$H$9:$H$1592,MATCH("[13306,""B07-BK-I-0-41.5""]",'SKU明细'!$AE$9:$AE$1592,0)))=0,"待核",SUM(INDEX('SKU明细'!$H$9:$H$1592,MATCH("[13306,""B07-BK-I-0-37.5""]",'SKU明细'!$AE$9:$AE$1592,0)),INDEX('SKU明细'!$H$9:$H$1592,MATCH("[13306,""B07-BK-I-0-41""]",'SKU明细'!$AE$9:$AE$1592,0)),INDEX('SKU明细'!$H$9:$H$1592,MATCH("[13306,""B07-BK-I-0-39""]",'SKU明细'!$AE$9:$AE$1592,0)),INDEX('SKU明细'!$H$9:$H$1592,MATCH("[13306,""B07-BK-I-0-39.5""]",'SKU明细'!$AE$9:$AE$1592,0)),INDEX('SKU明细'!$H$9:$H$1592,MATCH("[13306,""B07-BK-I-0-41.5""]",'SKU明细'!$AE$9:$AE$1592,0))))</x:f>
        <x:v>18</x:v>
      </x:c>
      <x:c r="X19" s="24" t="str">
        <x:f>IF(COUNTIFS('SKU明细'!$AH$9:$AH$1592,"[""B07"",""B07-BK-I-0"",""BK-I"",""黑色色织提花""]",'SKU明细'!$E$9:$E$1592,"促销")&gt;0,"促销 ","")&amp;IF(COUNTIFS('SKU明细'!$AH$9:$AH$1592,"[""B07"",""B07-BK-I-0"",""BK-I"",""黑色色织提花""]",'SKU明细'!$E$9:$E$1592,"红线促销")&gt;0,"红线促销 ","")&amp;IF(COUNTIFS('SKU明细'!$AH$9:$AH$1592,"[""B07"",""B07-BK-I-0"",""BK-I"",""黑色色织提花""]",'SKU明细'!$E$9:$E$1592,"考虑清仓")&gt;0,"考虑清仓 ","")&amp;IF(COUNTIFS('SKU明细'!$AH$9:$AH$1592,"[""B07"",""B07-BK-I-0"",""BK-I"",""黑色色织提花""]",'SKU明细'!$E$9:$E$1592,"断货")&gt;0,"断货 ","")&amp;IF(COUNTIFS('SKU明细'!$AH$9:$AH$1592,"[""B07"",""B07-BK-I-0"",""BK-I"",""黑色色织提花""]",'SKU明细'!$E$9:$E$1592,"零日销待复核")&gt;0,"零日销待复核 ","")&amp;IF(COUNTIFS('SKU明细'!$AH$9:$AH$1592,"[""B07"",""B07-BK-I-0"",""BK-I"",""黑色色织提花""]",'SKU明细'!$E$9:$E$1592,"数据待核")&gt;0,"数据待核 ","")&amp;IF(COUNTIFS('SKU明细'!$AH$9:$AH$1592,"[""B07"",""B07-BK-I-0"",""BK-I"",""黑色色织提花""]",'SKU明细'!$E$9:$E$1592,"正常库存")&gt;0,"正常库存 ","")&amp;IF(COUNTIFS('SKU明细'!$AH$9:$AH$1592,"[""B07"",""B07-BK-I-0"",""BK-I"",""黑色色织提花""]",'SKU明细'!$E$9:$E$1592,"补货提醒")&gt;0,"补货提醒 ","")</x:f>
        <x:v>促销 红线促销 断货 零日销待复核 </x:v>
      </x:c>
      <x:c r="Y19" s="24" t="str">
        <x:f>IF(NOT(ISNUMBER(U19)),"覆盖待核／无可比基准","完整可比")</x:f>
        <x:v>完整可比</x:v>
      </x:c>
      <x:c r="Z19" s="24" t="str">
        <x:v>在售、停售</x:v>
      </x:c>
      <x:c r="AA19" s="24" t="n">
        <x:f>IF(SUMIFS('SKU明细'!$AF$9:$AF$1592,'SKU明细'!$D$9:$D$1592,A19,'SKU明细'!$Z$9:$Z$1592,"&lt;&gt;移出")=0,"待核",SUMIFS('SKU明细'!$H$9:$H$1592,'SKU明细'!$D$9:$D$1592,A19,'SKU明细'!$Z$9:$Z$1592,"&lt;&gt;移出"))</x:f>
        <x:v>2671</x:v>
      </x:c>
    </x:row>
    <x:row r="20" ht="54" customHeight="1">
      <x:c r="A20" s="20" t="str">
        <x:v>B07</x:v>
      </x:c>
      <x:c r="B20" s="20" t="str">
        <x:v>艾年</x:v>
      </x:c>
      <x:c r="C20" s="20" t="str">
        <x:v>米色PU</x:v>
      </x:c>
      <x:c r="D20" s="20" t="str">
        <x:v>BK-I</x:v>
      </x:c>
      <x:c r="E20" s="20" t="str">
        <x:v>B07-BK-I-0</x:v>
      </x:c>
      <x:c r="F20" s="20"/>
      <x:c r="G20" s="21" t="str">
        <x:f>"—"</x:f>
        <x:v>—</x:v>
      </x:c>
      <x:c r="H20" s="21" t="str">
        <x:f>"—"</x:f>
        <x:v>—</x:v>
      </x:c>
      <x:c r="I20" s="21" t="str">
        <x:f>"—"</x:f>
        <x:v>—</x:v>
      </x:c>
      <x:c r="J20" s="21" t="str">
        <x:f>"—"</x:f>
        <x:v>—</x:v>
      </x:c>
      <x:c r="K20" s="21" t="str">
        <x:f>"—"</x:f>
        <x:v>—</x:v>
      </x:c>
      <x:c r="L20" s="21" t="str">
        <x:f>"—"</x:f>
        <x:v>—</x:v>
      </x:c>
      <x:c r="M20" s="21" t="str">
        <x:f>"—"</x:f>
        <x:v>—</x:v>
      </x:c>
      <x:c r="N20" s="21" t="str">
        <x:f>IF(AND(COUNT(INDEX('SKU明细'!$H$9:$H$1592,MATCH("[13306,""B07-BK-I-0-40""]",'SKU明细'!$AE$9:$AE$1592,0)))=1,COUNT(INDEX('SKU明细'!$G$9:$G$1592,MATCH("[13306,""B07-BK-I-0-40""]",'SKU明细'!$AE$9:$AE$1592,0)))=1,SUM(INDEX('SKU明细'!$G$9:$G$1592,MATCH("[13306,""B07-BK-I-0-40""]",'SKU明细'!$AE$9:$AE$1592,0)))&gt;0),SUM(INDEX('SKU明细'!$H$9:$H$1592,MATCH("[13306,""B07-BK-I-0-40""]",'SKU明细'!$AE$9:$AE$1592,0)))/SUM(INDEX('SKU明细'!$G$9:$G$1592,MATCH("[13306,""B07-BK-I-0-40""]",'SKU明细'!$AE$9:$AE$1592,0))),"待核")</x:f>
        <x:v>待核</x:v>
      </x:c>
      <x:c r="O20" s="21" t="str">
        <x:f>"—"</x:f>
        <x:v>—</x:v>
      </x:c>
      <x:c r="P20" s="21" t="str">
        <x:f>"—"</x:f>
        <x:v>—</x:v>
      </x:c>
      <x:c r="Q20" s="21" t="str">
        <x:f>"—"</x:f>
        <x:v>—</x:v>
      </x:c>
      <x:c r="R20" s="21" t="str">
        <x:f>"—"</x:f>
        <x:v>—</x:v>
      </x:c>
      <x:c r="S20" s="21" t="str">
        <x:f>IF(AND(COUNT(INDEX('SKU明细'!$H$9:$H$1592,MATCH("[13306,""B07-BK-I-0-40""]",'SKU明细'!$AE$9:$AE$1592,0)))=1,COUNT(INDEX('SKU明细'!$G$9:$G$1592,MATCH("[13306,""B07-BK-I-0-40""]",'SKU明细'!$AE$9:$AE$1592,0)))=1,SUM(INDEX('SKU明细'!$G$9:$G$1592,MATCH("[13306,""B07-BK-I-0-40""]",'SKU明细'!$AE$9:$AE$1592,0)))&gt;0),SUM(INDEX('SKU明细'!$H$9:$H$1592,MATCH("[13306,""B07-BK-I-0-40""]",'SKU明细'!$AE$9:$AE$1592,0)))/SUM(INDEX('SKU明细'!$G$9:$G$1592,MATCH("[13306,""B07-BK-I-0-40""]",'SKU明细'!$AE$9:$AE$1592,0))),"待核")</x:f>
        <x:v>待核</x:v>
      </x:c>
      <x:c r="T20" s="21" t="str">
        <x:f>IF(AND(COUNT(INDEX('SKU明细'!$I$9:$I$1592,MATCH("[13306,""B07-BK-I-0-40""]",'SKU明细'!$AE$9:$AE$1592,0)))=1,COUNT(INDEX('SKU明细'!$AD$9:$AD$1592,MATCH("[13306,""B07-BK-I-0-40""]",'SKU明细'!$AE$9:$AE$1592,0)))=1,SUM(INDEX('SKU明细'!$AD$9:$AD$1592,MATCH("[13306,""B07-BK-I-0-40""]",'SKU明细'!$AE$9:$AE$1592,0)))&gt;0),SUM(INDEX('SKU明细'!$I$9:$I$1592,MATCH("[13306,""B07-BK-I-0-40""]",'SKU明细'!$AE$9:$AE$1592,0)))/SUM(INDEX('SKU明细'!$AD$9:$AD$1592,MATCH("[13306,""B07-BK-I-0-40""]",'SKU明细'!$AE$9:$AE$1592,0))),"待核")</x:f>
        <x:v>待核</x:v>
      </x:c>
      <x:c r="U20" s="21" t="str">
        <x:f>IF(COUNT(S20:T20)=2,S20-T20,"待核")</x:f>
        <x:v>待核</x:v>
      </x:c>
      <x:c r="V20" s="22" t="str">
        <x:f>IF(AND(ISNUMBER(U20),ISNUMBER(T20),T20&lt;&gt;0),U20/T20,"")</x:f>
      </x:c>
      <x:c r="W20" s="23" t="n">
        <x:f>IF(COUNT(INDEX('SKU明细'!$H$9:$H$1592,MATCH("[13306,""B07-BK-I-0-40""]",'SKU明细'!$AE$9:$AE$1592,0)))=0,"待核",SUM(INDEX('SKU明细'!$H$9:$H$1592,MATCH("[13306,""B07-BK-I-0-40""]",'SKU明细'!$AE$9:$AE$1592,0))))</x:f>
        <x:v>0</x:v>
      </x:c>
      <x:c r="X20" s="24" t="str">
        <x:f>IF(COUNTIFS('SKU明细'!$AH$9:$AH$1592,"[""B07"",""B07-BK-I-0"",""BK-I"",""米色PU""]",'SKU明细'!$E$9:$E$1592,"促销")&gt;0,"促销 ","")&amp;IF(COUNTIFS('SKU明细'!$AH$9:$AH$1592,"[""B07"",""B07-BK-I-0"",""BK-I"",""米色PU""]",'SKU明细'!$E$9:$E$1592,"红线促销")&gt;0,"红线促销 ","")&amp;IF(COUNTIFS('SKU明细'!$AH$9:$AH$1592,"[""B07"",""B07-BK-I-0"",""BK-I"",""米色PU""]",'SKU明细'!$E$9:$E$1592,"考虑清仓")&gt;0,"考虑清仓 ","")&amp;IF(COUNTIFS('SKU明细'!$AH$9:$AH$1592,"[""B07"",""B07-BK-I-0"",""BK-I"",""米色PU""]",'SKU明细'!$E$9:$E$1592,"断货")&gt;0,"断货 ","")&amp;IF(COUNTIFS('SKU明细'!$AH$9:$AH$1592,"[""B07"",""B07-BK-I-0"",""BK-I"",""米色PU""]",'SKU明细'!$E$9:$E$1592,"零日销待复核")&gt;0,"零日销待复核 ","")&amp;IF(COUNTIFS('SKU明细'!$AH$9:$AH$1592,"[""B07"",""B07-BK-I-0"",""BK-I"",""米色PU""]",'SKU明细'!$E$9:$E$1592,"数据待核")&gt;0,"数据待核 ","")&amp;IF(COUNTIFS('SKU明细'!$AH$9:$AH$1592,"[""B07"",""B07-BK-I-0"",""BK-I"",""米色PU""]",'SKU明细'!$E$9:$E$1592,"正常库存")&gt;0,"正常库存 ","")&amp;IF(COUNTIFS('SKU明细'!$AH$9:$AH$1592,"[""B07"",""B07-BK-I-0"",""BK-I"",""米色PU""]",'SKU明细'!$E$9:$E$1592,"补货提醒")&gt;0,"补货提醒 ","")</x:f>
        <x:v>断货 </x:v>
      </x:c>
      <x:c r="Y20" s="24" t="str">
        <x:f>IF(NOT(ISNUMBER(U20)),"覆盖待核／无可比基准","完整可比")</x:f>
        <x:v>覆盖待核／无可比基准</x:v>
      </x:c>
      <x:c r="Z20" s="24" t="str">
        <x:v>在售</x:v>
      </x:c>
      <x:c r="AA20" s="24" t="n">
        <x:f>IF(SUMIFS('SKU明细'!$AF$9:$AF$1592,'SKU明细'!$D$9:$D$1592,A20,'SKU明细'!$Z$9:$Z$1592,"&lt;&gt;移出")=0,"待核",SUMIFS('SKU明细'!$H$9:$H$1592,'SKU明细'!$D$9:$D$1592,A20,'SKU明细'!$Z$9:$Z$1592,"&lt;&gt;移出"))</x:f>
        <x:v>2671</x:v>
      </x:c>
    </x:row>
    <x:row r="21" ht="54" customHeight="1">
      <x:c r="A21" s="20" t="str">
        <x:v>B07</x:v>
      </x:c>
      <x:c r="B21" s="20" t="str">
        <x:v>艾年</x:v>
      </x:c>
      <x:c r="C21" s="20" t="str">
        <x:v>黑色天鹅绒</x:v>
      </x:c>
      <x:c r="D21" s="20" t="str">
        <x:v>BK-V</x:v>
      </x:c>
      <x:c r="E21" s="20" t="str">
        <x:v>B07-BK-V-0</x:v>
      </x:c>
      <x:c r="F21" s="20"/>
      <x:c r="G21" s="21" t="str">
        <x:f>"—"</x:f>
        <x:v>—</x:v>
      </x:c>
      <x:c r="H21" s="21" t="str">
        <x:f>IF(AND(COUNT(INDEX('SKU明细'!$H$9:$H$1592,MATCH("[13306,""B07-BK-V-0-37""]",'SKU明细'!$AE$9:$AE$1592,0)))=1,COUNT(INDEX('SKU明细'!$G$9:$G$1592,MATCH("[13306,""B07-BK-V-0-37""]",'SKU明细'!$AE$9:$AE$1592,0)))=1,SUM(INDEX('SKU明细'!$G$9:$G$1592,MATCH("[13306,""B07-BK-V-0-37""]",'SKU明细'!$AE$9:$AE$1592,0)))&gt;0),SUM(INDEX('SKU明细'!$H$9:$H$1592,MATCH("[13306,""B07-BK-V-0-37""]",'SKU明细'!$AE$9:$AE$1592,0)))/SUM(INDEX('SKU明细'!$G$9:$G$1592,MATCH("[13306,""B07-BK-V-0-37""]",'SKU明细'!$AE$9:$AE$1592,0))),"待核")</x:f>
        <x:v>待核</x:v>
      </x:c>
      <x:c r="I21" s="21" t="n">
        <x:f>IF(AND(COUNT(INDEX('SKU明细'!$H$9:$H$1592,MATCH("[13306,""B07-BK-V-0-37.5""]",'SKU明细'!$AE$9:$AE$1592,0)))=1,COUNT(INDEX('SKU明细'!$G$9:$G$1592,MATCH("[13306,""B07-BK-V-0-37.5""]",'SKU明细'!$AE$9:$AE$1592,0)))=1,SUM(INDEX('SKU明细'!$G$9:$G$1592,MATCH("[13306,""B07-BK-V-0-37.5""]",'SKU明细'!$AE$9:$AE$1592,0)))&gt;0),SUM(INDEX('SKU明细'!$H$9:$H$1592,MATCH("[13306,""B07-BK-V-0-37.5""]",'SKU明细'!$AE$9:$AE$1592,0)))/SUM(INDEX('SKU明细'!$G$9:$G$1592,MATCH("[13306,""B07-BK-V-0-37.5""]",'SKU明细'!$AE$9:$AE$1592,0))),"待核")</x:f>
        <x:v>156.71641791044777</x:v>
      </x:c>
      <x:c r="J21" s="21" t="n">
        <x:f>IF(AND(COUNT(INDEX('SKU明细'!$H$9:$H$1592,MATCH("[13306,""B07-BK-V-0-38""]",'SKU明细'!$AE$9:$AE$1592,0)))=1,COUNT(INDEX('SKU明细'!$G$9:$G$1592,MATCH("[13306,""B07-BK-V-0-38""]",'SKU明细'!$AE$9:$AE$1592,0)))=1,SUM(INDEX('SKU明细'!$G$9:$G$1592,MATCH("[13306,""B07-BK-V-0-38""]",'SKU明细'!$AE$9:$AE$1592,0)))&gt;0),SUM(INDEX('SKU明细'!$H$9:$H$1592,MATCH("[13306,""B07-BK-V-0-38""]",'SKU明细'!$AE$9:$AE$1592,0)))/SUM(INDEX('SKU明细'!$G$9:$G$1592,MATCH("[13306,""B07-BK-V-0-38""]",'SKU明细'!$AE$9:$AE$1592,0))),"待核")</x:f>
        <x:v>99.32432432432434</x:v>
      </x:c>
      <x:c r="K21" s="21" t="n">
        <x:f>IF(AND(COUNT(INDEX('SKU明细'!$H$9:$H$1592,MATCH("[13306,""B07-BK-V-0-38.5""]",'SKU明细'!$AE$9:$AE$1592,0)))=1,COUNT(INDEX('SKU明细'!$G$9:$G$1592,MATCH("[13306,""B07-BK-V-0-38.5""]",'SKU明细'!$AE$9:$AE$1592,0)))=1,SUM(INDEX('SKU明细'!$G$9:$G$1592,MATCH("[13306,""B07-BK-V-0-38.5""]",'SKU明细'!$AE$9:$AE$1592,0)))&gt;0),SUM(INDEX('SKU明细'!$H$9:$H$1592,MATCH("[13306,""B07-BK-V-0-38.5""]",'SKU明细'!$AE$9:$AE$1592,0)))/SUM(INDEX('SKU明细'!$G$9:$G$1592,MATCH("[13306,""B07-BK-V-0-38.5""]",'SKU明细'!$AE$9:$AE$1592,0))),"待核")</x:f>
        <x:v>7.835820895522389</x:v>
      </x:c>
      <x:c r="L21" s="21" t="n">
        <x:f>IF(AND(COUNT(INDEX('SKU明细'!$H$9:$H$1592,MATCH("[13306,""B07-BK-V-0-39""]",'SKU明细'!$AE$9:$AE$1592,0)))=1,COUNT(INDEX('SKU明细'!$G$9:$G$1592,MATCH("[13306,""B07-BK-V-0-39""]",'SKU明细'!$AE$9:$AE$1592,0)))=1,SUM(INDEX('SKU明细'!$G$9:$G$1592,MATCH("[13306,""B07-BK-V-0-39""]",'SKU明细'!$AE$9:$AE$1592,0)))&gt;0),SUM(INDEX('SKU明细'!$H$9:$H$1592,MATCH("[13306,""B07-BK-V-0-39""]",'SKU明细'!$AE$9:$AE$1592,0)))/SUM(INDEX('SKU明细'!$G$9:$G$1592,MATCH("[13306,""B07-BK-V-0-39""]",'SKU明细'!$AE$9:$AE$1592,0))),"待核")</x:f>
        <x:v>331.9354838709678</x:v>
      </x:c>
      <x:c r="M21" s="21" t="n">
        <x:f>IF(AND(COUNT(INDEX('SKU明细'!$H$9:$H$1592,MATCH("[13306,""B07-BK-V-0-39.5""]",'SKU明细'!$AE$9:$AE$1592,0)))=1,COUNT(INDEX('SKU明细'!$G$9:$G$1592,MATCH("[13306,""B07-BK-V-0-39.5""]",'SKU明细'!$AE$9:$AE$1592,0)))=1,SUM(INDEX('SKU明细'!$G$9:$G$1592,MATCH("[13306,""B07-BK-V-0-39.5""]",'SKU明细'!$AE$9:$AE$1592,0)))&gt;0),SUM(INDEX('SKU明细'!$H$9:$H$1592,MATCH("[13306,""B07-BK-V-0-39.5""]",'SKU明细'!$AE$9:$AE$1592,0)))/SUM(INDEX('SKU明细'!$G$9:$G$1592,MATCH("[13306,""B07-BK-V-0-39.5""]",'SKU明细'!$AE$9:$AE$1592,0))),"待核")</x:f>
        <x:v>20.792079207920793</x:v>
      </x:c>
      <x:c r="N21" s="21" t="n">
        <x:f>IF(AND(COUNT(INDEX('SKU明细'!$H$9:$H$1592,MATCH("[13306,""B07-BK-V-0-40""]",'SKU明细'!$AE$9:$AE$1592,0)))=1,COUNT(INDEX('SKU明细'!$G$9:$G$1592,MATCH("[13306,""B07-BK-V-0-40""]",'SKU明细'!$AE$9:$AE$1592,0)))=1,SUM(INDEX('SKU明细'!$G$9:$G$1592,MATCH("[13306,""B07-BK-V-0-40""]",'SKU明细'!$AE$9:$AE$1592,0)))&gt;0),SUM(INDEX('SKU明细'!$H$9:$H$1592,MATCH("[13306,""B07-BK-V-0-40""]",'SKU明细'!$AE$9:$AE$1592,0)))/SUM(INDEX('SKU明细'!$G$9:$G$1592,MATCH("[13306,""B07-BK-V-0-40""]",'SKU明细'!$AE$9:$AE$1592,0))),"待核")</x:f>
        <x:v>49.99999999999999</x:v>
      </x:c>
      <x:c r="O21" s="21" t="n">
        <x:f>IF(AND(COUNT(INDEX('SKU明细'!$H$9:$H$1592,MATCH("[13306,""B07-BK-V-0-40.5""]",'SKU明细'!$AE$9:$AE$1592,0)))=1,COUNT(INDEX('SKU明细'!$G$9:$G$1592,MATCH("[13306,""B07-BK-V-0-40.5""]",'SKU明细'!$AE$9:$AE$1592,0)))=1,SUM(INDEX('SKU明细'!$G$9:$G$1592,MATCH("[13306,""B07-BK-V-0-40.5""]",'SKU明细'!$AE$9:$AE$1592,0)))&gt;0),SUM(INDEX('SKU明细'!$H$9:$H$1592,MATCH("[13306,""B07-BK-V-0-40.5""]",'SKU明细'!$AE$9:$AE$1592,0)))/SUM(INDEX('SKU明细'!$G$9:$G$1592,MATCH("[13306,""B07-BK-V-0-40.5""]",'SKU明细'!$AE$9:$AE$1592,0))),"待核")</x:f>
        <x:v>750</x:v>
      </x:c>
      <x:c r="P21" s="21" t="n">
        <x:f>IF(AND(COUNT(INDEX('SKU明细'!$H$9:$H$1592,MATCH("[13306,""B07-BK-V-0-41""]",'SKU明细'!$AE$9:$AE$1592,0)))=1,COUNT(INDEX('SKU明细'!$G$9:$G$1592,MATCH("[13306,""B07-BK-V-0-41""]",'SKU明细'!$AE$9:$AE$1592,0)))=1,SUM(INDEX('SKU明细'!$G$9:$G$1592,MATCH("[13306,""B07-BK-V-0-41""]",'SKU明细'!$AE$9:$AE$1592,0)))&gt;0),SUM(INDEX('SKU明细'!$H$9:$H$1592,MATCH("[13306,""B07-BK-V-0-41""]",'SKU明细'!$AE$9:$AE$1592,0)))/SUM(INDEX('SKU明细'!$G$9:$G$1592,MATCH("[13306,""B07-BK-V-0-41""]",'SKU明细'!$AE$9:$AE$1592,0))),"待核")</x:f>
        <x:v>0</x:v>
      </x:c>
      <x:c r="Q21" s="21" t="n">
        <x:f>IF(AND(COUNT(INDEX('SKU明细'!$H$9:$H$1592,MATCH("[13306,""B07-BK-V-0-41.5""]",'SKU明细'!$AE$9:$AE$1592,0)))=1,COUNT(INDEX('SKU明细'!$G$9:$G$1592,MATCH("[13306,""B07-BK-V-0-41.5""]",'SKU明细'!$AE$9:$AE$1592,0)))=1,SUM(INDEX('SKU明细'!$G$9:$G$1592,MATCH("[13306,""B07-BK-V-0-41.5""]",'SKU明细'!$AE$9:$AE$1592,0)))&gt;0),SUM(INDEX('SKU明细'!$H$9:$H$1592,MATCH("[13306,""B07-BK-V-0-41.5""]",'SKU明细'!$AE$9:$AE$1592,0)))/SUM(INDEX('SKU明细'!$G$9:$G$1592,MATCH("[13306,""B07-BK-V-0-41.5""]",'SKU明细'!$AE$9:$AE$1592,0))),"待核")</x:f>
        <x:v>53.58851674641148</x:v>
      </x:c>
      <x:c r="R21" s="21" t="n">
        <x:f>IF(AND(COUNT(INDEX('SKU明细'!$H$9:$H$1592,MATCH("[13306,""B07-BK-V-0-42""]",'SKU明细'!$AE$9:$AE$1592,0)))=1,COUNT(INDEX('SKU明细'!$G$9:$G$1592,MATCH("[13306,""B07-BK-V-0-42""]",'SKU明细'!$AE$9:$AE$1592,0)))=1,SUM(INDEX('SKU明细'!$G$9:$G$1592,MATCH("[13306,""B07-BK-V-0-42""]",'SKU明细'!$AE$9:$AE$1592,0)))&gt;0),SUM(INDEX('SKU明细'!$H$9:$H$1592,MATCH("[13306,""B07-BK-V-0-42""]",'SKU明细'!$AE$9:$AE$1592,0)))/SUM(INDEX('SKU明细'!$G$9:$G$1592,MATCH("[13306,""B07-BK-V-0-42""]",'SKU明细'!$AE$9:$AE$1592,0))),"待核")</x:f>
        <x:v>24.45019404915912</x:v>
      </x:c>
      <x:c r="S21" s="21" t="n">
        <x:f>IF(AND(COUNT(INDEX('SKU明细'!$H$9:$H$1592,MATCH("[13306,""B07-BK-V-0-40.5""]",'SKU明细'!$AE$9:$AE$1592,0)),INDEX('SKU明细'!$H$9:$H$1592,MATCH("[13306,""B07-BK-V-0-39""]",'SKU明细'!$AE$9:$AE$1592,0)),INDEX('SKU明细'!$H$9:$H$1592,MATCH("[13306,""B07-BK-V-0-37.5""]",'SKU明细'!$AE$9:$AE$1592,0)),INDEX('SKU明细'!$H$9:$H$1592,MATCH("[13306,""B07-BK-V-0-38""]",'SKU明细'!$AE$9:$AE$1592,0)),INDEX('SKU明细'!$H$9:$H$1592,MATCH("[13306,""B07-BK-V-0-41""]",'SKU明细'!$AE$9:$AE$1592,0)),INDEX('SKU明细'!$H$9:$H$1592,MATCH("[13306,""B07-BK-V-0-37""]",'SKU明细'!$AE$9:$AE$1592,0)),INDEX('SKU明细'!$H$9:$H$1592,MATCH("[13306,""B07-BK-V-0-38.5""]",'SKU明细'!$AE$9:$AE$1592,0)),INDEX('SKU明细'!$H$9:$H$1592,MATCH("[13306,""B07-BK-V-0-39.5""]",'SKU明细'!$AE$9:$AE$1592,0)),INDEX('SKU明细'!$H$9:$H$1592,MATCH("[13306,""B07-BK-V-0-40""]",'SKU明细'!$AE$9:$AE$1592,0)),INDEX('SKU明细'!$H$9:$H$1592,MATCH("[13306,""B07-BK-V-0-41.5""]",'SKU明细'!$AE$9:$AE$1592,0)),INDEX('SKU明细'!$H$9:$H$1592,MATCH("[13306,""B07-BK-V-0-42""]",'SKU明细'!$AE$9:$AE$1592,0)))=11,COUNT(INDEX('SKU明细'!$G$9:$G$1592,MATCH("[13306,""B07-BK-V-0-40.5""]",'SKU明细'!$AE$9:$AE$1592,0)),INDEX('SKU明细'!$G$9:$G$1592,MATCH("[13306,""B07-BK-V-0-39""]",'SKU明细'!$AE$9:$AE$1592,0)),INDEX('SKU明细'!$G$9:$G$1592,MATCH("[13306,""B07-BK-V-0-37.5""]",'SKU明细'!$AE$9:$AE$1592,0)),INDEX('SKU明细'!$G$9:$G$1592,MATCH("[13306,""B07-BK-V-0-38""]",'SKU明细'!$AE$9:$AE$1592,0)),INDEX('SKU明细'!$G$9:$G$1592,MATCH("[13306,""B07-BK-V-0-41""]",'SKU明细'!$AE$9:$AE$1592,0)),INDEX('SKU明细'!$G$9:$G$1592,MATCH("[13306,""B07-BK-V-0-37""]",'SKU明细'!$AE$9:$AE$1592,0)),INDEX('SKU明细'!$G$9:$G$1592,MATCH("[13306,""B07-BK-V-0-38.5""]",'SKU明细'!$AE$9:$AE$1592,0)),INDEX('SKU明细'!$G$9:$G$1592,MATCH("[13306,""B07-BK-V-0-39.5""]",'SKU明细'!$AE$9:$AE$1592,0)),INDEX('SKU明细'!$G$9:$G$1592,MATCH("[13306,""B07-BK-V-0-40""]",'SKU明细'!$AE$9:$AE$1592,0)),INDEX('SKU明细'!$G$9:$G$1592,MATCH("[13306,""B07-BK-V-0-41.5""]",'SKU明细'!$AE$9:$AE$1592,0)),INDEX('SKU明细'!$G$9:$G$1592,MATCH("[13306,""B07-BK-V-0-42""]",'SKU明细'!$AE$9:$AE$1592,0)))=11,SUM(INDEX('SKU明细'!$G$9:$G$1592,MATCH("[13306,""B07-BK-V-0-40.5""]",'SKU明细'!$AE$9:$AE$1592,0)),INDEX('SKU明细'!$G$9:$G$1592,MATCH("[13306,""B07-BK-V-0-39""]",'SKU明细'!$AE$9:$AE$1592,0)),INDEX('SKU明细'!$G$9:$G$1592,MATCH("[13306,""B07-BK-V-0-37.5""]",'SKU明细'!$AE$9:$AE$1592,0)),INDEX('SKU明细'!$G$9:$G$1592,MATCH("[13306,""B07-BK-V-0-38""]",'SKU明细'!$AE$9:$AE$1592,0)),INDEX('SKU明细'!$G$9:$G$1592,MATCH("[13306,""B07-BK-V-0-41""]",'SKU明细'!$AE$9:$AE$1592,0)),INDEX('SKU明细'!$G$9:$G$1592,MATCH("[13306,""B07-BK-V-0-37""]",'SKU明细'!$AE$9:$AE$1592,0)),INDEX('SKU明细'!$G$9:$G$1592,MATCH("[13306,""B07-BK-V-0-38.5""]",'SKU明细'!$AE$9:$AE$1592,0)),INDEX('SKU明细'!$G$9:$G$1592,MATCH("[13306,""B07-BK-V-0-39.5""]",'SKU明细'!$AE$9:$AE$1592,0)),INDEX('SKU明细'!$G$9:$G$1592,MATCH("[13306,""B07-BK-V-0-40""]",'SKU明细'!$AE$9:$AE$1592,0)),INDEX('SKU明细'!$G$9:$G$1592,MATCH("[13306,""B07-BK-V-0-41.5""]",'SKU明细'!$AE$9:$AE$1592,0)),INDEX('SKU明细'!$G$9:$G$1592,MATCH("[13306,""B07-BK-V-0-42""]",'SKU明细'!$AE$9:$AE$1592,0)))&gt;0),SUM(INDEX('SKU明细'!$H$9:$H$1592,MATCH("[13306,""B07-BK-V-0-40.5""]",'SKU明细'!$AE$9:$AE$1592,0)),INDEX('SKU明细'!$H$9:$H$1592,MATCH("[13306,""B07-BK-V-0-39""]",'SKU明细'!$AE$9:$AE$1592,0)),INDEX('SKU明细'!$H$9:$H$1592,MATCH("[13306,""B07-BK-V-0-37.5""]",'SKU明细'!$AE$9:$AE$1592,0)),INDEX('SKU明细'!$H$9:$H$1592,MATCH("[13306,""B07-BK-V-0-38""]",'SKU明细'!$AE$9:$AE$1592,0)),INDEX('SKU明细'!$H$9:$H$1592,MATCH("[13306,""B07-BK-V-0-41""]",'SKU明细'!$AE$9:$AE$1592,0)),INDEX('SKU明细'!$H$9:$H$1592,MATCH("[13306,""B07-BK-V-0-37""]",'SKU明细'!$AE$9:$AE$1592,0)),INDEX('SKU明细'!$H$9:$H$1592,MATCH("[13306,""B07-BK-V-0-38.5""]",'SKU明细'!$AE$9:$AE$1592,0)),INDEX('SKU明细'!$H$9:$H$1592,MATCH("[13306,""B07-BK-V-0-39.5""]",'SKU明细'!$AE$9:$AE$1592,0)),INDEX('SKU明细'!$H$9:$H$1592,MATCH("[13306,""B07-BK-V-0-40""]",'SKU明细'!$AE$9:$AE$1592,0)),INDEX('SKU明细'!$H$9:$H$1592,MATCH("[13306,""B07-BK-V-0-41.5""]",'SKU明细'!$AE$9:$AE$1592,0)),INDEX('SKU明细'!$H$9:$H$1592,MATCH("[13306,""B07-BK-V-0-42""]",'SKU明细'!$AE$9:$AE$1592,0)))/SUM(INDEX('SKU明细'!$G$9:$G$1592,MATCH("[13306,""B07-BK-V-0-40.5""]",'SKU明细'!$AE$9:$AE$1592,0)),INDEX('SKU明细'!$G$9:$G$1592,MATCH("[13306,""B07-BK-V-0-39""]",'SKU明细'!$AE$9:$AE$1592,0)),INDEX('SKU明细'!$G$9:$G$1592,MATCH("[13306,""B07-BK-V-0-37.5""]",'SKU明细'!$AE$9:$AE$1592,0)),INDEX('SKU明细'!$G$9:$G$1592,MATCH("[13306,""B07-BK-V-0-38""]",'SKU明细'!$AE$9:$AE$1592,0)),INDEX('SKU明细'!$G$9:$G$1592,MATCH("[13306,""B07-BK-V-0-41""]",'SKU明细'!$AE$9:$AE$1592,0)),INDEX('SKU明细'!$G$9:$G$1592,MATCH("[13306,""B07-BK-V-0-37""]",'SKU明细'!$AE$9:$AE$1592,0)),INDEX('SKU明细'!$G$9:$G$1592,MATCH("[13306,""B07-BK-V-0-38.5""]",'SKU明细'!$AE$9:$AE$1592,0)),INDEX('SKU明细'!$G$9:$G$1592,MATCH("[13306,""B07-BK-V-0-39.5""]",'SKU明细'!$AE$9:$AE$1592,0)),INDEX('SKU明细'!$G$9:$G$1592,MATCH("[13306,""B07-BK-V-0-40""]",'SKU明细'!$AE$9:$AE$1592,0)),INDEX('SKU明细'!$G$9:$G$1592,MATCH("[13306,""B07-BK-V-0-41.5""]",'SKU明细'!$AE$9:$AE$1592,0)),INDEX('SKU明细'!$G$9:$G$1592,MATCH("[13306,""B07-BK-V-0-42""]",'SKU明细'!$AE$9:$AE$1592,0))),"待核")</x:f>
        <x:v>93.46953666545058</x:v>
      </x:c>
      <x:c r="T21" s="21" t="str">
        <x:f>IF(AND(COUNT(INDEX('SKU明细'!$I$9:$I$1592,MATCH("[13306,""B07-BK-V-0-40.5""]",'SKU明细'!$AE$9:$AE$1592,0)),INDEX('SKU明细'!$I$9:$I$1592,MATCH("[13306,""B07-BK-V-0-39""]",'SKU明细'!$AE$9:$AE$1592,0)),INDEX('SKU明细'!$I$9:$I$1592,MATCH("[13306,""B07-BK-V-0-37.5""]",'SKU明细'!$AE$9:$AE$1592,0)),INDEX('SKU明细'!$I$9:$I$1592,MATCH("[13306,""B07-BK-V-0-38""]",'SKU明细'!$AE$9:$AE$1592,0)),INDEX('SKU明细'!$I$9:$I$1592,MATCH("[13306,""B07-BK-V-0-41""]",'SKU明细'!$AE$9:$AE$1592,0)),INDEX('SKU明细'!$I$9:$I$1592,MATCH("[13306,""B07-BK-V-0-37""]",'SKU明细'!$AE$9:$AE$1592,0)),INDEX('SKU明细'!$I$9:$I$1592,MATCH("[13306,""B07-BK-V-0-38.5""]",'SKU明细'!$AE$9:$AE$1592,0)),INDEX('SKU明细'!$I$9:$I$1592,MATCH("[13306,""B07-BK-V-0-39.5""]",'SKU明细'!$AE$9:$AE$1592,0)),INDEX('SKU明细'!$I$9:$I$1592,MATCH("[13306,""B07-BK-V-0-40""]",'SKU明细'!$AE$9:$AE$1592,0)),INDEX('SKU明细'!$I$9:$I$1592,MATCH("[13306,""B07-BK-V-0-41.5""]",'SKU明细'!$AE$9:$AE$1592,0)),INDEX('SKU明细'!$I$9:$I$1592,MATCH("[13306,""B07-BK-V-0-42""]",'SKU明细'!$AE$9:$AE$1592,0)))=11,COUNT(INDEX('SKU明细'!$AD$9:$AD$1592,MATCH("[13306,""B07-BK-V-0-40.5""]",'SKU明细'!$AE$9:$AE$1592,0)),INDEX('SKU明细'!$AD$9:$AD$1592,MATCH("[13306,""B07-BK-V-0-39""]",'SKU明细'!$AE$9:$AE$1592,0)),INDEX('SKU明细'!$AD$9:$AD$1592,MATCH("[13306,""B07-BK-V-0-37.5""]",'SKU明细'!$AE$9:$AE$1592,0)),INDEX('SKU明细'!$AD$9:$AD$1592,MATCH("[13306,""B07-BK-V-0-38""]",'SKU明细'!$AE$9:$AE$1592,0)),INDEX('SKU明细'!$AD$9:$AD$1592,MATCH("[13306,""B07-BK-V-0-41""]",'SKU明细'!$AE$9:$AE$1592,0)),INDEX('SKU明细'!$AD$9:$AD$1592,MATCH("[13306,""B07-BK-V-0-37""]",'SKU明细'!$AE$9:$AE$1592,0)),INDEX('SKU明细'!$AD$9:$AD$1592,MATCH("[13306,""B07-BK-V-0-38.5""]",'SKU明细'!$AE$9:$AE$1592,0)),INDEX('SKU明细'!$AD$9:$AD$1592,MATCH("[13306,""B07-BK-V-0-39.5""]",'SKU明细'!$AE$9:$AE$1592,0)),INDEX('SKU明细'!$AD$9:$AD$1592,MATCH("[13306,""B07-BK-V-0-40""]",'SKU明细'!$AE$9:$AE$1592,0)),INDEX('SKU明细'!$AD$9:$AD$1592,MATCH("[13306,""B07-BK-V-0-41.5""]",'SKU明细'!$AE$9:$AE$1592,0)),INDEX('SKU明细'!$AD$9:$AD$1592,MATCH("[13306,""B07-BK-V-0-42""]",'SKU明细'!$AE$9:$AE$1592,0)))=11,SUM(INDEX('SKU明细'!$AD$9:$AD$1592,MATCH("[13306,""B07-BK-V-0-40.5""]",'SKU明细'!$AE$9:$AE$1592,0)),INDEX('SKU明细'!$AD$9:$AD$1592,MATCH("[13306,""B07-BK-V-0-39""]",'SKU明细'!$AE$9:$AE$1592,0)),INDEX('SKU明细'!$AD$9:$AD$1592,MATCH("[13306,""B07-BK-V-0-37.5""]",'SKU明细'!$AE$9:$AE$1592,0)),INDEX('SKU明细'!$AD$9:$AD$1592,MATCH("[13306,""B07-BK-V-0-38""]",'SKU明细'!$AE$9:$AE$1592,0)),INDEX('SKU明细'!$AD$9:$AD$1592,MATCH("[13306,""B07-BK-V-0-41""]",'SKU明细'!$AE$9:$AE$1592,0)),INDEX('SKU明细'!$AD$9:$AD$1592,MATCH("[13306,""B07-BK-V-0-37""]",'SKU明细'!$AE$9:$AE$1592,0)),INDEX('SKU明细'!$AD$9:$AD$1592,MATCH("[13306,""B07-BK-V-0-38.5""]",'SKU明细'!$AE$9:$AE$1592,0)),INDEX('SKU明细'!$AD$9:$AD$1592,MATCH("[13306,""B07-BK-V-0-39.5""]",'SKU明细'!$AE$9:$AE$1592,0)),INDEX('SKU明细'!$AD$9:$AD$1592,MATCH("[13306,""B07-BK-V-0-40""]",'SKU明细'!$AE$9:$AE$1592,0)),INDEX('SKU明细'!$AD$9:$AD$1592,MATCH("[13306,""B07-BK-V-0-41.5""]",'SKU明细'!$AE$9:$AE$1592,0)),INDEX('SKU明细'!$AD$9:$AD$1592,MATCH("[13306,""B07-BK-V-0-42""]",'SKU明细'!$AE$9:$AE$1592,0)))&gt;0),SUM(INDEX('SKU明细'!$I$9:$I$1592,MATCH("[13306,""B07-BK-V-0-40.5""]",'SKU明细'!$AE$9:$AE$1592,0)),INDEX('SKU明细'!$I$9:$I$1592,MATCH("[13306,""B07-BK-V-0-39""]",'SKU明细'!$AE$9:$AE$1592,0)),INDEX('SKU明细'!$I$9:$I$1592,MATCH("[13306,""B07-BK-V-0-37.5""]",'SKU明细'!$AE$9:$AE$1592,0)),INDEX('SKU明细'!$I$9:$I$1592,MATCH("[13306,""B07-BK-V-0-38""]",'SKU明细'!$AE$9:$AE$1592,0)),INDEX('SKU明细'!$I$9:$I$1592,MATCH("[13306,""B07-BK-V-0-41""]",'SKU明细'!$AE$9:$AE$1592,0)),INDEX('SKU明细'!$I$9:$I$1592,MATCH("[13306,""B07-BK-V-0-37""]",'SKU明细'!$AE$9:$AE$1592,0)),INDEX('SKU明细'!$I$9:$I$1592,MATCH("[13306,""B07-BK-V-0-38.5""]",'SKU明细'!$AE$9:$AE$1592,0)),INDEX('SKU明细'!$I$9:$I$1592,MATCH("[13306,""B07-BK-V-0-39.5""]",'SKU明细'!$AE$9:$AE$1592,0)),INDEX('SKU明细'!$I$9:$I$1592,MATCH("[13306,""B07-BK-V-0-40""]",'SKU明细'!$AE$9:$AE$1592,0)),INDEX('SKU明细'!$I$9:$I$1592,MATCH("[13306,""B07-BK-V-0-41.5""]",'SKU明细'!$AE$9:$AE$1592,0)),INDEX('SKU明细'!$I$9:$I$1592,MATCH("[13306,""B07-BK-V-0-42""]",'SKU明细'!$AE$9:$AE$1592,0)))/SUM(INDEX('SKU明细'!$AD$9:$AD$1592,MATCH("[13306,""B07-BK-V-0-40.5""]",'SKU明细'!$AE$9:$AE$1592,0)),INDEX('SKU明细'!$AD$9:$AD$1592,MATCH("[13306,""B07-BK-V-0-39""]",'SKU明细'!$AE$9:$AE$1592,0)),INDEX('SKU明细'!$AD$9:$AD$1592,MATCH("[13306,""B07-BK-V-0-37.5""]",'SKU明细'!$AE$9:$AE$1592,0)),INDEX('SKU明细'!$AD$9:$AD$1592,MATCH("[13306,""B07-BK-V-0-38""]",'SKU明细'!$AE$9:$AE$1592,0)),INDEX('SKU明细'!$AD$9:$AD$1592,MATCH("[13306,""B07-BK-V-0-41""]",'SKU明细'!$AE$9:$AE$1592,0)),INDEX('SKU明细'!$AD$9:$AD$1592,MATCH("[13306,""B07-BK-V-0-37""]",'SKU明细'!$AE$9:$AE$1592,0)),INDEX('SKU明细'!$AD$9:$AD$1592,MATCH("[13306,""B07-BK-V-0-38.5""]",'SKU明细'!$AE$9:$AE$1592,0)),INDEX('SKU明细'!$AD$9:$AD$1592,MATCH("[13306,""B07-BK-V-0-39.5""]",'SKU明细'!$AE$9:$AE$1592,0)),INDEX('SKU明细'!$AD$9:$AD$1592,MATCH("[13306,""B07-BK-V-0-40""]",'SKU明细'!$AE$9:$AE$1592,0)),INDEX('SKU明细'!$AD$9:$AD$1592,MATCH("[13306,""B07-BK-V-0-41.5""]",'SKU明细'!$AE$9:$AE$1592,0)),INDEX('SKU明细'!$AD$9:$AD$1592,MATCH("[13306,""B07-BK-V-0-42""]",'SKU明细'!$AE$9:$AE$1592,0))),"待核")</x:f>
        <x:v>待核</x:v>
      </x:c>
      <x:c r="U21" s="21" t="str">
        <x:f>IF(COUNT(S21:T21)=2,S21-T21,"待核")</x:f>
        <x:v>待核</x:v>
      </x:c>
      <x:c r="V21" s="22" t="str">
        <x:f>IF(AND(ISNUMBER(U21),ISNUMBER(T21),T21&lt;&gt;0),U21/T21,"")</x:f>
      </x:c>
      <x:c r="W21" s="23" t="n">
        <x:f>IF(COUNT(INDEX('SKU明细'!$H$9:$H$1592,MATCH("[13306,""B07-BK-V-0-40.5""]",'SKU明细'!$AE$9:$AE$1592,0)),INDEX('SKU明细'!$H$9:$H$1592,MATCH("[13306,""B07-BK-V-0-39""]",'SKU明细'!$AE$9:$AE$1592,0)),INDEX('SKU明细'!$H$9:$H$1592,MATCH("[13306,""B07-BK-V-0-37.5""]",'SKU明细'!$AE$9:$AE$1592,0)),INDEX('SKU明细'!$H$9:$H$1592,MATCH("[13306,""B07-BK-V-0-38""]",'SKU明细'!$AE$9:$AE$1592,0)),INDEX('SKU明细'!$H$9:$H$1592,MATCH("[13306,""B07-BK-V-0-41""]",'SKU明细'!$AE$9:$AE$1592,0)),INDEX('SKU明细'!$H$9:$H$1592,MATCH("[13306,""B07-BK-V-0-37""]",'SKU明细'!$AE$9:$AE$1592,0)),INDEX('SKU明细'!$H$9:$H$1592,MATCH("[13306,""B07-BK-V-0-38.5""]",'SKU明细'!$AE$9:$AE$1592,0)),INDEX('SKU明细'!$H$9:$H$1592,MATCH("[13306,""B07-BK-V-0-39.5""]",'SKU明细'!$AE$9:$AE$1592,0)),INDEX('SKU明细'!$H$9:$H$1592,MATCH("[13306,""B07-BK-V-0-40""]",'SKU明细'!$AE$9:$AE$1592,0)),INDEX('SKU明细'!$H$9:$H$1592,MATCH("[13306,""B07-BK-V-0-41.5""]",'SKU明细'!$AE$9:$AE$1592,0)),INDEX('SKU明细'!$H$9:$H$1592,MATCH("[13306,""B07-BK-V-0-42""]",'SKU明细'!$AE$9:$AE$1592,0)))=0,"待核",SUM(INDEX('SKU明细'!$H$9:$H$1592,MATCH("[13306,""B07-BK-V-0-40.5""]",'SKU明细'!$AE$9:$AE$1592,0)),INDEX('SKU明细'!$H$9:$H$1592,MATCH("[13306,""B07-BK-V-0-39""]",'SKU明细'!$AE$9:$AE$1592,0)),INDEX('SKU明细'!$H$9:$H$1592,MATCH("[13306,""B07-BK-V-0-37.5""]",'SKU明细'!$AE$9:$AE$1592,0)),INDEX('SKU明细'!$H$9:$H$1592,MATCH("[13306,""B07-BK-V-0-38""]",'SKU明细'!$AE$9:$AE$1592,0)),INDEX('SKU明细'!$H$9:$H$1592,MATCH("[13306,""B07-BK-V-0-41""]",'SKU明细'!$AE$9:$AE$1592,0)),INDEX('SKU明细'!$H$9:$H$1592,MATCH("[13306,""B07-BK-V-0-37""]",'SKU明细'!$AE$9:$AE$1592,0)),INDEX('SKU明细'!$H$9:$H$1592,MATCH("[13306,""B07-BK-V-0-38.5""]",'SKU明细'!$AE$9:$AE$1592,0)),INDEX('SKU明细'!$H$9:$H$1592,MATCH("[13306,""B07-BK-V-0-39.5""]",'SKU明细'!$AE$9:$AE$1592,0)),INDEX('SKU明细'!$H$9:$H$1592,MATCH("[13306,""B07-BK-V-0-40""]",'SKU明细'!$AE$9:$AE$1592,0)),INDEX('SKU明细'!$H$9:$H$1592,MATCH("[13306,""B07-BK-V-0-41.5""]",'SKU明细'!$AE$9:$AE$1592,0)),INDEX('SKU明细'!$H$9:$H$1592,MATCH("[13306,""B07-BK-V-0-42""]",'SKU明细'!$AE$9:$AE$1592,0))))</x:f>
        <x:v>122</x:v>
      </x:c>
      <x:c r="X21" s="24" t="str">
        <x:f>IF(COUNTIFS('SKU明细'!$AH$9:$AH$1592,"[""B07"",""B07-BK-V-0"",""BK-V"",""黑色天鹅绒""]",'SKU明细'!$E$9:$E$1592,"促销")&gt;0,"促销 ","")&amp;IF(COUNTIFS('SKU明细'!$AH$9:$AH$1592,"[""B07"",""B07-BK-V-0"",""BK-V"",""黑色天鹅绒""]",'SKU明细'!$E$9:$E$1592,"红线促销")&gt;0,"红线促销 ","")&amp;IF(COUNTIFS('SKU明细'!$AH$9:$AH$1592,"[""B07"",""B07-BK-V-0"",""BK-V"",""黑色天鹅绒""]",'SKU明细'!$E$9:$E$1592,"考虑清仓")&gt;0,"考虑清仓 ","")&amp;IF(COUNTIFS('SKU明细'!$AH$9:$AH$1592,"[""B07"",""B07-BK-V-0"",""BK-V"",""黑色天鹅绒""]",'SKU明细'!$E$9:$E$1592,"断货")&gt;0,"断货 ","")&amp;IF(COUNTIFS('SKU明细'!$AH$9:$AH$1592,"[""B07"",""B07-BK-V-0"",""BK-V"",""黑色天鹅绒""]",'SKU明细'!$E$9:$E$1592,"零日销待复核")&gt;0,"零日销待复核 ","")&amp;IF(COUNTIFS('SKU明细'!$AH$9:$AH$1592,"[""B07"",""B07-BK-V-0"",""BK-V"",""黑色天鹅绒""]",'SKU明细'!$E$9:$E$1592,"数据待核")&gt;0,"数据待核 ","")&amp;IF(COUNTIFS('SKU明细'!$AH$9:$AH$1592,"[""B07"",""B07-BK-V-0"",""BK-V"",""黑色天鹅绒""]",'SKU明细'!$E$9:$E$1592,"正常库存")&gt;0,"正常库存 ","")&amp;IF(COUNTIFS('SKU明细'!$AH$9:$AH$1592,"[""B07"",""B07-BK-V-0"",""BK-V"",""黑色天鹅绒""]",'SKU明细'!$E$9:$E$1592,"补货提醒")&gt;0,"补货提醒 ","")</x:f>
        <x:v>促销 红线促销 考虑清仓 断货 零日销待复核 补货提醒 </x:v>
      </x:c>
      <x:c r="Y21" s="24" t="str">
        <x:f>IF(NOT(ISNUMBER(U21)),"覆盖待核／无可比基准","完整可比")</x:f>
        <x:v>覆盖待核／无可比基准</x:v>
      </x:c>
      <x:c r="Z21" s="24" t="str">
        <x:v>在售、停售</x:v>
      </x:c>
      <x:c r="AA21" s="24" t="n">
        <x:f>IF(SUMIFS('SKU明细'!$AF$9:$AF$1592,'SKU明细'!$D$9:$D$1592,A21,'SKU明细'!$Z$9:$Z$1592,"&lt;&gt;移出")=0,"待核",SUMIFS('SKU明细'!$H$9:$H$1592,'SKU明细'!$D$9:$D$1592,A21,'SKU明细'!$Z$9:$Z$1592,"&lt;&gt;移出"))</x:f>
        <x:v>2671</x:v>
      </x:c>
    </x:row>
    <x:row r="22" ht="54" customHeight="1">
      <x:c r="A22" s="20" t="str">
        <x:v>B07</x:v>
      </x:c>
      <x:c r="B22" s="20" t="str">
        <x:v>艾年</x:v>
      </x:c>
      <x:c r="C22" s="20" t="str">
        <x:v>黑色镜面PU</x:v>
      </x:c>
      <x:c r="D22" s="20" t="str">
        <x:v>BK-Z</x:v>
      </x:c>
      <x:c r="E22" s="20" t="str">
        <x:v>B07-BK-Z-0</x:v>
      </x:c>
      <x:c r="F22" s="20"/>
      <x:c r="G22" s="21" t="str">
        <x:f>"—"</x:f>
        <x:v>—</x:v>
      </x:c>
      <x:c r="H22" s="21" t="str">
        <x:f>IF(AND(COUNT(INDEX('SKU明细'!$H$9:$H$1592,MATCH("[13306,""B07-BK-Z-0-37""]",'SKU明细'!$AE$9:$AE$1592,0)))=1,COUNT(INDEX('SKU明细'!$G$9:$G$1592,MATCH("[13306,""B07-BK-Z-0-37""]",'SKU明细'!$AE$9:$AE$1592,0)))=1,SUM(INDEX('SKU明细'!$G$9:$G$1592,MATCH("[13306,""B07-BK-Z-0-37""]",'SKU明细'!$AE$9:$AE$1592,0)))&gt;0),SUM(INDEX('SKU明细'!$H$9:$H$1592,MATCH("[13306,""B07-BK-Z-0-37""]",'SKU明细'!$AE$9:$AE$1592,0)))/SUM(INDEX('SKU明细'!$G$9:$G$1592,MATCH("[13306,""B07-BK-Z-0-37""]",'SKU明细'!$AE$9:$AE$1592,0))),"待核")</x:f>
        <x:v>待核</x:v>
      </x:c>
      <x:c r="I22" s="21" t="str">
        <x:f>IF(AND(COUNT(INDEX('SKU明细'!$H$9:$H$1592,MATCH("[13306,""B07-BK-Z-0-37.5""]",'SKU明细'!$AE$9:$AE$1592,0)))=1,COUNT(INDEX('SKU明细'!$G$9:$G$1592,MATCH("[13306,""B07-BK-Z-0-37.5""]",'SKU明细'!$AE$9:$AE$1592,0)))=1,SUM(INDEX('SKU明细'!$G$9:$G$1592,MATCH("[13306,""B07-BK-Z-0-37.5""]",'SKU明细'!$AE$9:$AE$1592,0)))&gt;0),SUM(INDEX('SKU明细'!$H$9:$H$1592,MATCH("[13306,""B07-BK-Z-0-37.5""]",'SKU明细'!$AE$9:$AE$1592,0)))/SUM(INDEX('SKU明细'!$G$9:$G$1592,MATCH("[13306,""B07-BK-Z-0-37.5""]",'SKU明细'!$AE$9:$AE$1592,0))),"待核")</x:f>
        <x:v>待核</x:v>
      </x:c>
      <x:c r="J22" s="21" t="n">
        <x:f>IF(AND(COUNT(INDEX('SKU明细'!$H$9:$H$1592,MATCH("[13306,""B07-BK-Z-0-38""]",'SKU明细'!$AE$9:$AE$1592,0)))=1,COUNT(INDEX('SKU明细'!$G$9:$G$1592,MATCH("[13306,""B07-BK-Z-0-38""]",'SKU明细'!$AE$9:$AE$1592,0)))=1,SUM(INDEX('SKU明细'!$G$9:$G$1592,MATCH("[13306,""B07-BK-Z-0-38""]",'SKU明细'!$AE$9:$AE$1592,0)))&gt;0),SUM(INDEX('SKU明细'!$H$9:$H$1592,MATCH("[13306,""B07-BK-Z-0-38""]",'SKU明细'!$AE$9:$AE$1592,0)))/SUM(INDEX('SKU明细'!$G$9:$G$1592,MATCH("[13306,""B07-BK-Z-0-38""]",'SKU明细'!$AE$9:$AE$1592,0))),"待核")</x:f>
        <x:v>30.143540669856463</x:v>
      </x:c>
      <x:c r="K22" s="21" t="n">
        <x:f>IF(AND(COUNT(INDEX('SKU明细'!$H$9:$H$1592,MATCH("[13306,""B07-BK-Z-0-38.5""]",'SKU明细'!$AE$9:$AE$1592,0)))=1,COUNT(INDEX('SKU明细'!$G$9:$G$1592,MATCH("[13306,""B07-BK-Z-0-38.5""]",'SKU明细'!$AE$9:$AE$1592,0)))=1,SUM(INDEX('SKU明细'!$G$9:$G$1592,MATCH("[13306,""B07-BK-Z-0-38.5""]",'SKU明细'!$AE$9:$AE$1592,0)))&gt;0),SUM(INDEX('SKU明细'!$H$9:$H$1592,MATCH("[13306,""B07-BK-Z-0-38.5""]",'SKU明细'!$AE$9:$AE$1592,0)))/SUM(INDEX('SKU明细'!$G$9:$G$1592,MATCH("[13306,""B07-BK-Z-0-38.5""]",'SKU明细'!$AE$9:$AE$1592,0))),"待核")</x:f>
        <x:v>391.52542372881356</x:v>
      </x:c>
      <x:c r="L22" s="21" t="n">
        <x:f>IF(AND(COUNT(INDEX('SKU明细'!$H$9:$H$1592,MATCH("[13306,""B07-BK-Z-0-39""]",'SKU明细'!$AE$9:$AE$1592,0)))=1,COUNT(INDEX('SKU明细'!$G$9:$G$1592,MATCH("[13306,""B07-BK-Z-0-39""]",'SKU明细'!$AE$9:$AE$1592,0)))=1,SUM(INDEX('SKU明细'!$G$9:$G$1592,MATCH("[13306,""B07-BK-Z-0-39""]",'SKU明细'!$AE$9:$AE$1592,0)))&gt;0),SUM(INDEX('SKU明细'!$H$9:$H$1592,MATCH("[13306,""B07-BK-Z-0-39""]",'SKU明细'!$AE$9:$AE$1592,0)))/SUM(INDEX('SKU明细'!$G$9:$G$1592,MATCH("[13306,""B07-BK-Z-0-39""]",'SKU明细'!$AE$9:$AE$1592,0))),"待核")</x:f>
        <x:v>289.65517241379314</x:v>
      </x:c>
      <x:c r="M22" s="21" t="str">
        <x:f>IF(AND(COUNT(INDEX('SKU明细'!$H$9:$H$1592,MATCH("[13306,""B07-BK-Z-0-39.5""]",'SKU明细'!$AE$9:$AE$1592,0)))=1,COUNT(INDEX('SKU明细'!$G$9:$G$1592,MATCH("[13306,""B07-BK-Z-0-39.5""]",'SKU明细'!$AE$9:$AE$1592,0)))=1,SUM(INDEX('SKU明细'!$G$9:$G$1592,MATCH("[13306,""B07-BK-Z-0-39.5""]",'SKU明细'!$AE$9:$AE$1592,0)))&gt;0),SUM(INDEX('SKU明细'!$H$9:$H$1592,MATCH("[13306,""B07-BK-Z-0-39.5""]",'SKU明细'!$AE$9:$AE$1592,0)))/SUM(INDEX('SKU明细'!$G$9:$G$1592,MATCH("[13306,""B07-BK-Z-0-39.5""]",'SKU明细'!$AE$9:$AE$1592,0))),"待核")</x:f>
        <x:v>待核</x:v>
      </x:c>
      <x:c r="N22" s="21" t="n">
        <x:f>IF(AND(COUNT(INDEX('SKU明细'!$H$9:$H$1592,MATCH("[13306,""B07-BK-Z-0-40""]",'SKU明细'!$AE$9:$AE$1592,0)))=1,COUNT(INDEX('SKU明细'!$G$9:$G$1592,MATCH("[13306,""B07-BK-Z-0-40""]",'SKU明细'!$AE$9:$AE$1592,0)))=1,SUM(INDEX('SKU明细'!$G$9:$G$1592,MATCH("[13306,""B07-BK-Z-0-40""]",'SKU明细'!$AE$9:$AE$1592,0)))&gt;0),SUM(INDEX('SKU明细'!$H$9:$H$1592,MATCH("[13306,""B07-BK-Z-0-40""]",'SKU明细'!$AE$9:$AE$1592,0)))/SUM(INDEX('SKU明细'!$G$9:$G$1592,MATCH("[13306,""B07-BK-Z-0-40""]",'SKU明细'!$AE$9:$AE$1592,0))),"待核")</x:f>
        <x:v>0</x:v>
      </x:c>
      <x:c r="O22" s="21" t="n">
        <x:f>IF(AND(COUNT(INDEX('SKU明细'!$H$9:$H$1592,MATCH("[13306,""B07-BK-Z-0-40.5""]",'SKU明细'!$AE$9:$AE$1592,0)))=1,COUNT(INDEX('SKU明细'!$G$9:$G$1592,MATCH("[13306,""B07-BK-Z-0-40.5""]",'SKU明细'!$AE$9:$AE$1592,0)))=1,SUM(INDEX('SKU明细'!$G$9:$G$1592,MATCH("[13306,""B07-BK-Z-0-40.5""]",'SKU明细'!$AE$9:$AE$1592,0)))&gt;0),SUM(INDEX('SKU明细'!$H$9:$H$1592,MATCH("[13306,""B07-BK-Z-0-40.5""]",'SKU明细'!$AE$9:$AE$1592,0)))/SUM(INDEX('SKU明细'!$G$9:$G$1592,MATCH("[13306,""B07-BK-Z-0-40.5""]",'SKU明细'!$AE$9:$AE$1592,0))),"待核")</x:f>
        <x:v>67.74193548387098</x:v>
      </x:c>
      <x:c r="P22" s="21" t="n">
        <x:f>IF(AND(COUNT(INDEX('SKU明细'!$H$9:$H$1592,MATCH("[13306,""B07-BK-Z-0-41""]",'SKU明细'!$AE$9:$AE$1592,0)))=1,COUNT(INDEX('SKU明细'!$G$9:$G$1592,MATCH("[13306,""B07-BK-Z-0-41""]",'SKU明细'!$AE$9:$AE$1592,0)))=1,SUM(INDEX('SKU明细'!$G$9:$G$1592,MATCH("[13306,""B07-BK-Z-0-41""]",'SKU明细'!$AE$9:$AE$1592,0)))&gt;0),SUM(INDEX('SKU明细'!$H$9:$H$1592,MATCH("[13306,""B07-BK-Z-0-41""]",'SKU明细'!$AE$9:$AE$1592,0)))/SUM(INDEX('SKU明细'!$G$9:$G$1592,MATCH("[13306,""B07-BK-Z-0-41""]",'SKU明细'!$AE$9:$AE$1592,0))),"待核")</x:f>
        <x:v>313.7931034482759</x:v>
      </x:c>
      <x:c r="Q22" s="21" t="n">
        <x:f>IF(AND(COUNT(INDEX('SKU明细'!$H$9:$H$1592,MATCH("[13306,""B07-BK-Z-0-41.5""]",'SKU明细'!$AE$9:$AE$1592,0)))=1,COUNT(INDEX('SKU明细'!$G$9:$G$1592,MATCH("[13306,""B07-BK-Z-0-41.5""]",'SKU明细'!$AE$9:$AE$1592,0)))=1,SUM(INDEX('SKU明细'!$G$9:$G$1592,MATCH("[13306,""B07-BK-Z-0-41.5""]",'SKU明细'!$AE$9:$AE$1592,0)))&gt;0),SUM(INDEX('SKU明细'!$H$9:$H$1592,MATCH("[13306,""B07-BK-Z-0-41.5""]",'SKU明细'!$AE$9:$AE$1592,0)))/SUM(INDEX('SKU明细'!$G$9:$G$1592,MATCH("[13306,""B07-BK-Z-0-41.5""]",'SKU明细'!$AE$9:$AE$1592,0))),"待核")</x:f>
        <x:v>23.507462686567166</x:v>
      </x:c>
      <x:c r="R22" s="21" t="n">
        <x:f>IF(AND(COUNT(INDEX('SKU明细'!$H$9:$H$1592,MATCH("[13306,""B07-BK-Z-0-42""]",'SKU明细'!$AE$9:$AE$1592,0)))=1,COUNT(INDEX('SKU明细'!$G$9:$G$1592,MATCH("[13306,""B07-BK-Z-0-42""]",'SKU明细'!$AE$9:$AE$1592,0)))=1,SUM(INDEX('SKU明细'!$G$9:$G$1592,MATCH("[13306,""B07-BK-Z-0-42""]",'SKU明细'!$AE$9:$AE$1592,0)))&gt;0),SUM(INDEX('SKU明细'!$H$9:$H$1592,MATCH("[13306,""B07-BK-Z-0-42""]",'SKU明细'!$AE$9:$AE$1592,0)))/SUM(INDEX('SKU明细'!$G$9:$G$1592,MATCH("[13306,""B07-BK-Z-0-42""]",'SKU明细'!$AE$9:$AE$1592,0))),"待核")</x:f>
        <x:v>0</x:v>
      </x:c>
      <x:c r="S22" s="21" t="n">
        <x:f>IF(AND(COUNT(INDEX('SKU明细'!$H$9:$H$1592,MATCH("[13306,""B07-BK-Z-0-38.5""]",'SKU明细'!$AE$9:$AE$1592,0)),INDEX('SKU明细'!$H$9:$H$1592,MATCH("[13306,""B07-BK-Z-0-39""]",'SKU明细'!$AE$9:$AE$1592,0)),INDEX('SKU明细'!$H$9:$H$1592,MATCH("[13306,""B07-BK-Z-0-41""]",'SKU明细'!$AE$9:$AE$1592,0)),INDEX('SKU明细'!$H$9:$H$1592,MATCH("[13306,""B07-BK-Z-0-39.5""]",'SKU明细'!$AE$9:$AE$1592,0)),INDEX('SKU明细'!$H$9:$H$1592,MATCH("[13306,""B07-BK-Z-0-40""]",'SKU明细'!$AE$9:$AE$1592,0)),INDEX('SKU明细'!$H$9:$H$1592,MATCH("[13306,""B07-BK-Z-0-42""]",'SKU明细'!$AE$9:$AE$1592,0)),INDEX('SKU明细'!$H$9:$H$1592,MATCH("[13306,""B07-BK-Z-0-37""]",'SKU明细'!$AE$9:$AE$1592,0)),INDEX('SKU明细'!$H$9:$H$1592,MATCH("[13306,""B07-BK-Z-0-37.5""]",'SKU明细'!$AE$9:$AE$1592,0)),INDEX('SKU明细'!$H$9:$H$1592,MATCH("[13306,""B07-BK-Z-0-40.5""]",'SKU明细'!$AE$9:$AE$1592,0)),INDEX('SKU明细'!$H$9:$H$1592,MATCH("[13306,""B07-BK-Z-0-38""]",'SKU明细'!$AE$9:$AE$1592,0)),INDEX('SKU明细'!$H$9:$H$1592,MATCH("[13306,""B07-BK-Z-0-41.5""]",'SKU明细'!$AE$9:$AE$1592,0)))=11,COUNT(INDEX('SKU明细'!$G$9:$G$1592,MATCH("[13306,""B07-BK-Z-0-38.5""]",'SKU明细'!$AE$9:$AE$1592,0)),INDEX('SKU明细'!$G$9:$G$1592,MATCH("[13306,""B07-BK-Z-0-39""]",'SKU明细'!$AE$9:$AE$1592,0)),INDEX('SKU明细'!$G$9:$G$1592,MATCH("[13306,""B07-BK-Z-0-41""]",'SKU明细'!$AE$9:$AE$1592,0)),INDEX('SKU明细'!$G$9:$G$1592,MATCH("[13306,""B07-BK-Z-0-39.5""]",'SKU明细'!$AE$9:$AE$1592,0)),INDEX('SKU明细'!$G$9:$G$1592,MATCH("[13306,""B07-BK-Z-0-40""]",'SKU明细'!$AE$9:$AE$1592,0)),INDEX('SKU明细'!$G$9:$G$1592,MATCH("[13306,""B07-BK-Z-0-42""]",'SKU明细'!$AE$9:$AE$1592,0)),INDEX('SKU明细'!$G$9:$G$1592,MATCH("[13306,""B07-BK-Z-0-37""]",'SKU明细'!$AE$9:$AE$1592,0)),INDEX('SKU明细'!$G$9:$G$1592,MATCH("[13306,""B07-BK-Z-0-37.5""]",'SKU明细'!$AE$9:$AE$1592,0)),INDEX('SKU明细'!$G$9:$G$1592,MATCH("[13306,""B07-BK-Z-0-40.5""]",'SKU明细'!$AE$9:$AE$1592,0)),INDEX('SKU明细'!$G$9:$G$1592,MATCH("[13306,""B07-BK-Z-0-38""]",'SKU明细'!$AE$9:$AE$1592,0)),INDEX('SKU明细'!$G$9:$G$1592,MATCH("[13306,""B07-BK-Z-0-41.5""]",'SKU明细'!$AE$9:$AE$1592,0)))=11,SUM(INDEX('SKU明细'!$G$9:$G$1592,MATCH("[13306,""B07-BK-Z-0-38.5""]",'SKU明细'!$AE$9:$AE$1592,0)),INDEX('SKU明细'!$G$9:$G$1592,MATCH("[13306,""B07-BK-Z-0-39""]",'SKU明细'!$AE$9:$AE$1592,0)),INDEX('SKU明细'!$G$9:$G$1592,MATCH("[13306,""B07-BK-Z-0-41""]",'SKU明细'!$AE$9:$AE$1592,0)),INDEX('SKU明细'!$G$9:$G$1592,MATCH("[13306,""B07-BK-Z-0-39.5""]",'SKU明细'!$AE$9:$AE$1592,0)),INDEX('SKU明细'!$G$9:$G$1592,MATCH("[13306,""B07-BK-Z-0-40""]",'SKU明细'!$AE$9:$AE$1592,0)),INDEX('SKU明细'!$G$9:$G$1592,MATCH("[13306,""B07-BK-Z-0-42""]",'SKU明细'!$AE$9:$AE$1592,0)),INDEX('SKU明细'!$G$9:$G$1592,MATCH("[13306,""B07-BK-Z-0-37""]",'SKU明细'!$AE$9:$AE$1592,0)),INDEX('SKU明细'!$G$9:$G$1592,MATCH("[13306,""B07-BK-Z-0-37.5""]",'SKU明细'!$AE$9:$AE$1592,0)),INDEX('SKU明细'!$G$9:$G$1592,MATCH("[13306,""B07-BK-Z-0-40.5""]",'SKU明细'!$AE$9:$AE$1592,0)),INDEX('SKU明细'!$G$9:$G$1592,MATCH("[13306,""B07-BK-Z-0-38""]",'SKU明细'!$AE$9:$AE$1592,0)),INDEX('SKU明细'!$G$9:$G$1592,MATCH("[13306,""B07-BK-Z-0-41.5""]",'SKU明细'!$AE$9:$AE$1592,0)))&gt;0),SUM(INDEX('SKU明细'!$H$9:$H$1592,MATCH("[13306,""B07-BK-Z-0-38.5""]",'SKU明细'!$AE$9:$AE$1592,0)),INDEX('SKU明细'!$H$9:$H$1592,MATCH("[13306,""B07-BK-Z-0-39""]",'SKU明细'!$AE$9:$AE$1592,0)),INDEX('SKU明细'!$H$9:$H$1592,MATCH("[13306,""B07-BK-Z-0-41""]",'SKU明细'!$AE$9:$AE$1592,0)),INDEX('SKU明细'!$H$9:$H$1592,MATCH("[13306,""B07-BK-Z-0-39.5""]",'SKU明细'!$AE$9:$AE$1592,0)),INDEX('SKU明细'!$H$9:$H$1592,MATCH("[13306,""B07-BK-Z-0-40""]",'SKU明细'!$AE$9:$AE$1592,0)),INDEX('SKU明细'!$H$9:$H$1592,MATCH("[13306,""B07-BK-Z-0-42""]",'SKU明细'!$AE$9:$AE$1592,0)),INDEX('SKU明细'!$H$9:$H$1592,MATCH("[13306,""B07-BK-Z-0-37""]",'SKU明细'!$AE$9:$AE$1592,0)),INDEX('SKU明细'!$H$9:$H$1592,MATCH("[13306,""B07-BK-Z-0-37.5""]",'SKU明细'!$AE$9:$AE$1592,0)),INDEX('SKU明细'!$H$9:$H$1592,MATCH("[13306,""B07-BK-Z-0-40.5""]",'SKU明细'!$AE$9:$AE$1592,0)),INDEX('SKU明细'!$H$9:$H$1592,MATCH("[13306,""B07-BK-Z-0-38""]",'SKU明细'!$AE$9:$AE$1592,0)),INDEX('SKU明细'!$H$9:$H$1592,MATCH("[13306,""B07-BK-Z-0-41.5""]",'SKU明细'!$AE$9:$AE$1592,0)))/SUM(INDEX('SKU明细'!$G$9:$G$1592,MATCH("[13306,""B07-BK-Z-0-38.5""]",'SKU明细'!$AE$9:$AE$1592,0)),INDEX('SKU明细'!$G$9:$G$1592,MATCH("[13306,""B07-BK-Z-0-39""]",'SKU明细'!$AE$9:$AE$1592,0)),INDEX('SKU明细'!$G$9:$G$1592,MATCH("[13306,""B07-BK-Z-0-41""]",'SKU明细'!$AE$9:$AE$1592,0)),INDEX('SKU明细'!$G$9:$G$1592,MATCH("[13306,""B07-BK-Z-0-39.5""]",'SKU明细'!$AE$9:$AE$1592,0)),INDEX('SKU明细'!$G$9:$G$1592,MATCH("[13306,""B07-BK-Z-0-40""]",'SKU明细'!$AE$9:$AE$1592,0)),INDEX('SKU明细'!$G$9:$G$1592,MATCH("[13306,""B07-BK-Z-0-42""]",'SKU明细'!$AE$9:$AE$1592,0)),INDEX('SKU明细'!$G$9:$G$1592,MATCH("[13306,""B07-BK-Z-0-37""]",'SKU明细'!$AE$9:$AE$1592,0)),INDEX('SKU明细'!$G$9:$G$1592,MATCH("[13306,""B07-BK-Z-0-37.5""]",'SKU明细'!$AE$9:$AE$1592,0)),INDEX('SKU明细'!$G$9:$G$1592,MATCH("[13306,""B07-BK-Z-0-40.5""]",'SKU明细'!$AE$9:$AE$1592,0)),INDEX('SKU明细'!$G$9:$G$1592,MATCH("[13306,""B07-BK-Z-0-38""]",'SKU明细'!$AE$9:$AE$1592,0)),INDEX('SKU明细'!$G$9:$G$1592,MATCH("[13306,""B07-BK-Z-0-41.5""]",'SKU明细'!$AE$9:$AE$1592,0))),"待核")</x:f>
        <x:v>150.27881040892197</x:v>
      </x:c>
      <x:c r="T22" s="21" t="n">
        <x:f>IF(AND(COUNT(INDEX('SKU明细'!$I$9:$I$1592,MATCH("[13306,""B07-BK-Z-0-38.5""]",'SKU明细'!$AE$9:$AE$1592,0)),INDEX('SKU明细'!$I$9:$I$1592,MATCH("[13306,""B07-BK-Z-0-39""]",'SKU明细'!$AE$9:$AE$1592,0)),INDEX('SKU明细'!$I$9:$I$1592,MATCH("[13306,""B07-BK-Z-0-41""]",'SKU明细'!$AE$9:$AE$1592,0)),INDEX('SKU明细'!$I$9:$I$1592,MATCH("[13306,""B07-BK-Z-0-39.5""]",'SKU明细'!$AE$9:$AE$1592,0)),INDEX('SKU明细'!$I$9:$I$1592,MATCH("[13306,""B07-BK-Z-0-40""]",'SKU明细'!$AE$9:$AE$1592,0)),INDEX('SKU明细'!$I$9:$I$1592,MATCH("[13306,""B07-BK-Z-0-42""]",'SKU明细'!$AE$9:$AE$1592,0)),INDEX('SKU明细'!$I$9:$I$1592,MATCH("[13306,""B07-BK-Z-0-37""]",'SKU明细'!$AE$9:$AE$1592,0)),INDEX('SKU明细'!$I$9:$I$1592,MATCH("[13306,""B07-BK-Z-0-37.5""]",'SKU明细'!$AE$9:$AE$1592,0)),INDEX('SKU明细'!$I$9:$I$1592,MATCH("[13306,""B07-BK-Z-0-40.5""]",'SKU明细'!$AE$9:$AE$1592,0)),INDEX('SKU明细'!$I$9:$I$1592,MATCH("[13306,""B07-BK-Z-0-38""]",'SKU明细'!$AE$9:$AE$1592,0)),INDEX('SKU明细'!$I$9:$I$1592,MATCH("[13306,""B07-BK-Z-0-41.5""]",'SKU明细'!$AE$9:$AE$1592,0)))=11,COUNT(INDEX('SKU明细'!$AD$9:$AD$1592,MATCH("[13306,""B07-BK-Z-0-38.5""]",'SKU明细'!$AE$9:$AE$1592,0)),INDEX('SKU明细'!$AD$9:$AD$1592,MATCH("[13306,""B07-BK-Z-0-39""]",'SKU明细'!$AE$9:$AE$1592,0)),INDEX('SKU明细'!$AD$9:$AD$1592,MATCH("[13306,""B07-BK-Z-0-41""]",'SKU明细'!$AE$9:$AE$1592,0)),INDEX('SKU明细'!$AD$9:$AD$1592,MATCH("[13306,""B07-BK-Z-0-39.5""]",'SKU明细'!$AE$9:$AE$1592,0)),INDEX('SKU明细'!$AD$9:$AD$1592,MATCH("[13306,""B07-BK-Z-0-40""]",'SKU明细'!$AE$9:$AE$1592,0)),INDEX('SKU明细'!$AD$9:$AD$1592,MATCH("[13306,""B07-BK-Z-0-42""]",'SKU明细'!$AE$9:$AE$1592,0)),INDEX('SKU明细'!$AD$9:$AD$1592,MATCH("[13306,""B07-BK-Z-0-37""]",'SKU明细'!$AE$9:$AE$1592,0)),INDEX('SKU明细'!$AD$9:$AD$1592,MATCH("[13306,""B07-BK-Z-0-37.5""]",'SKU明细'!$AE$9:$AE$1592,0)),INDEX('SKU明细'!$AD$9:$AD$1592,MATCH("[13306,""B07-BK-Z-0-40.5""]",'SKU明细'!$AE$9:$AE$1592,0)),INDEX('SKU明细'!$AD$9:$AD$1592,MATCH("[13306,""B07-BK-Z-0-38""]",'SKU明细'!$AE$9:$AE$1592,0)),INDEX('SKU明细'!$AD$9:$AD$1592,MATCH("[13306,""B07-BK-Z-0-41.5""]",'SKU明细'!$AE$9:$AE$1592,0)))=11,SUM(INDEX('SKU明细'!$AD$9:$AD$1592,MATCH("[13306,""B07-BK-Z-0-38.5""]",'SKU明细'!$AE$9:$AE$1592,0)),INDEX('SKU明细'!$AD$9:$AD$1592,MATCH("[13306,""B07-BK-Z-0-39""]",'SKU明细'!$AE$9:$AE$1592,0)),INDEX('SKU明细'!$AD$9:$AD$1592,MATCH("[13306,""B07-BK-Z-0-41""]",'SKU明细'!$AE$9:$AE$1592,0)),INDEX('SKU明细'!$AD$9:$AD$1592,MATCH("[13306,""B07-BK-Z-0-39.5""]",'SKU明细'!$AE$9:$AE$1592,0)),INDEX('SKU明细'!$AD$9:$AD$1592,MATCH("[13306,""B07-BK-Z-0-40""]",'SKU明细'!$AE$9:$AE$1592,0)),INDEX('SKU明细'!$AD$9:$AD$1592,MATCH("[13306,""B07-BK-Z-0-42""]",'SKU明细'!$AE$9:$AE$1592,0)),INDEX('SKU明细'!$AD$9:$AD$1592,MATCH("[13306,""B07-BK-Z-0-37""]",'SKU明细'!$AE$9:$AE$1592,0)),INDEX('SKU明细'!$AD$9:$AD$1592,MATCH("[13306,""B07-BK-Z-0-37.5""]",'SKU明细'!$AE$9:$AE$1592,0)),INDEX('SKU明细'!$AD$9:$AD$1592,MATCH("[13306,""B07-BK-Z-0-40.5""]",'SKU明细'!$AE$9:$AE$1592,0)),INDEX('SKU明细'!$AD$9:$AD$1592,MATCH("[13306,""B07-BK-Z-0-38""]",'SKU明细'!$AE$9:$AE$1592,0)),INDEX('SKU明细'!$AD$9:$AD$1592,MATCH("[13306,""B07-BK-Z-0-41.5""]",'SKU明细'!$AE$9:$AE$1592,0)))&gt;0),SUM(INDEX('SKU明细'!$I$9:$I$1592,MATCH("[13306,""B07-BK-Z-0-38.5""]",'SKU明细'!$AE$9:$AE$1592,0)),INDEX('SKU明细'!$I$9:$I$1592,MATCH("[13306,""B07-BK-Z-0-39""]",'SKU明细'!$AE$9:$AE$1592,0)),INDEX('SKU明细'!$I$9:$I$1592,MATCH("[13306,""B07-BK-Z-0-41""]",'SKU明细'!$AE$9:$AE$1592,0)),INDEX('SKU明细'!$I$9:$I$1592,MATCH("[13306,""B07-BK-Z-0-39.5""]",'SKU明细'!$AE$9:$AE$1592,0)),INDEX('SKU明细'!$I$9:$I$1592,MATCH("[13306,""B07-BK-Z-0-40""]",'SKU明细'!$AE$9:$AE$1592,0)),INDEX('SKU明细'!$I$9:$I$1592,MATCH("[13306,""B07-BK-Z-0-42""]",'SKU明细'!$AE$9:$AE$1592,0)),INDEX('SKU明细'!$I$9:$I$1592,MATCH("[13306,""B07-BK-Z-0-37""]",'SKU明细'!$AE$9:$AE$1592,0)),INDEX('SKU明细'!$I$9:$I$1592,MATCH("[13306,""B07-BK-Z-0-37.5""]",'SKU明细'!$AE$9:$AE$1592,0)),INDEX('SKU明细'!$I$9:$I$1592,MATCH("[13306,""B07-BK-Z-0-40.5""]",'SKU明细'!$AE$9:$AE$1592,0)),INDEX('SKU明细'!$I$9:$I$1592,MATCH("[13306,""B07-BK-Z-0-38""]",'SKU明细'!$AE$9:$AE$1592,0)),INDEX('SKU明细'!$I$9:$I$1592,MATCH("[13306,""B07-BK-Z-0-41.5""]",'SKU明细'!$AE$9:$AE$1592,0)))/SUM(INDEX('SKU明细'!$AD$9:$AD$1592,MATCH("[13306,""B07-BK-Z-0-38.5""]",'SKU明细'!$AE$9:$AE$1592,0)),INDEX('SKU明细'!$AD$9:$AD$1592,MATCH("[13306,""B07-BK-Z-0-39""]",'SKU明细'!$AE$9:$AE$1592,0)),INDEX('SKU明细'!$AD$9:$AD$1592,MATCH("[13306,""B07-BK-Z-0-41""]",'SKU明细'!$AE$9:$AE$1592,0)),INDEX('SKU明细'!$AD$9:$AD$1592,MATCH("[13306,""B07-BK-Z-0-39.5""]",'SKU明细'!$AE$9:$AE$1592,0)),INDEX('SKU明细'!$AD$9:$AD$1592,MATCH("[13306,""B07-BK-Z-0-40""]",'SKU明细'!$AE$9:$AE$1592,0)),INDEX('SKU明细'!$AD$9:$AD$1592,MATCH("[13306,""B07-BK-Z-0-42""]",'SKU明细'!$AE$9:$AE$1592,0)),INDEX('SKU明细'!$AD$9:$AD$1592,MATCH("[13306,""B07-BK-Z-0-37""]",'SKU明细'!$AE$9:$AE$1592,0)),INDEX('SKU明细'!$AD$9:$AD$1592,MATCH("[13306,""B07-BK-Z-0-37.5""]",'SKU明细'!$AE$9:$AE$1592,0)),INDEX('SKU明细'!$AD$9:$AD$1592,MATCH("[13306,""B07-BK-Z-0-40.5""]",'SKU明细'!$AE$9:$AE$1592,0)),INDEX('SKU明细'!$AD$9:$AD$1592,MATCH("[13306,""B07-BK-Z-0-38""]",'SKU明细'!$AE$9:$AE$1592,0)),INDEX('SKU明细'!$AD$9:$AD$1592,MATCH("[13306,""B07-BK-Z-0-41.5""]",'SKU明细'!$AE$9:$AE$1592,0))),"待核")</x:f>
        <x:v>100.85763293310464</x:v>
      </x:c>
      <x:c r="U22" s="21" t="n">
        <x:f>IF(COUNT(S22:T22)=2,S22-T22,"待核")</x:f>
        <x:v>49.42117747581733</x:v>
      </x:c>
      <x:c r="V22" s="22" t="n">
        <x:f>IF(AND(ISNUMBER(U22),ISNUMBER(T22),T22&lt;&gt;0),U22/T22,"")</x:f>
        <x:v>0.49000929368029766</x:v>
      </x:c>
      <x:c r="W22" s="23" t="n">
        <x:f>IF(COUNT(INDEX('SKU明细'!$H$9:$H$1592,MATCH("[13306,""B07-BK-Z-0-38.5""]",'SKU明细'!$AE$9:$AE$1592,0)),INDEX('SKU明细'!$H$9:$H$1592,MATCH("[13306,""B07-BK-Z-0-39""]",'SKU明细'!$AE$9:$AE$1592,0)),INDEX('SKU明细'!$H$9:$H$1592,MATCH("[13306,""B07-BK-Z-0-41""]",'SKU明细'!$AE$9:$AE$1592,0)),INDEX('SKU明细'!$H$9:$H$1592,MATCH("[13306,""B07-BK-Z-0-39.5""]",'SKU明细'!$AE$9:$AE$1592,0)),INDEX('SKU明细'!$H$9:$H$1592,MATCH("[13306,""B07-BK-Z-0-40""]",'SKU明细'!$AE$9:$AE$1592,0)),INDEX('SKU明细'!$H$9:$H$1592,MATCH("[13306,""B07-BK-Z-0-42""]",'SKU明细'!$AE$9:$AE$1592,0)),INDEX('SKU明细'!$H$9:$H$1592,MATCH("[13306,""B07-BK-Z-0-37""]",'SKU明细'!$AE$9:$AE$1592,0)),INDEX('SKU明细'!$H$9:$H$1592,MATCH("[13306,""B07-BK-Z-0-37.5""]",'SKU明细'!$AE$9:$AE$1592,0)),INDEX('SKU明细'!$H$9:$H$1592,MATCH("[13306,""B07-BK-Z-0-40.5""]",'SKU明细'!$AE$9:$AE$1592,0)),INDEX('SKU明细'!$H$9:$H$1592,MATCH("[13306,""B07-BK-Z-0-38""]",'SKU明细'!$AE$9:$AE$1592,0)),INDEX('SKU明细'!$H$9:$H$1592,MATCH("[13306,""B07-BK-Z-0-41.5""]",'SKU明细'!$AE$9:$AE$1592,0)))=0,"待核",SUM(INDEX('SKU明细'!$H$9:$H$1592,MATCH("[13306,""B07-BK-Z-0-38.5""]",'SKU明细'!$AE$9:$AE$1592,0)),INDEX('SKU明细'!$H$9:$H$1592,MATCH("[13306,""B07-BK-Z-0-39""]",'SKU明细'!$AE$9:$AE$1592,0)),INDEX('SKU明细'!$H$9:$H$1592,MATCH("[13306,""B07-BK-Z-0-41""]",'SKU明细'!$AE$9:$AE$1592,0)),INDEX('SKU明细'!$H$9:$H$1592,MATCH("[13306,""B07-BK-Z-0-39.5""]",'SKU明细'!$AE$9:$AE$1592,0)),INDEX('SKU明细'!$H$9:$H$1592,MATCH("[13306,""B07-BK-Z-0-40""]",'SKU明细'!$AE$9:$AE$1592,0)),INDEX('SKU明细'!$H$9:$H$1592,MATCH("[13306,""B07-BK-Z-0-42""]",'SKU明细'!$AE$9:$AE$1592,0)),INDEX('SKU明细'!$H$9:$H$1592,MATCH("[13306,""B07-BK-Z-0-37""]",'SKU明细'!$AE$9:$AE$1592,0)),INDEX('SKU明细'!$H$9:$H$1592,MATCH("[13306,""B07-BK-Z-0-37.5""]",'SKU明细'!$AE$9:$AE$1592,0)),INDEX('SKU明细'!$H$9:$H$1592,MATCH("[13306,""B07-BK-Z-0-40.5""]",'SKU明细'!$AE$9:$AE$1592,0)),INDEX('SKU明细'!$H$9:$H$1592,MATCH("[13306,""B07-BK-Z-0-38""]",'SKU明细'!$AE$9:$AE$1592,0)),INDEX('SKU明细'!$H$9:$H$1592,MATCH("[13306,""B07-BK-Z-0-41.5""]",'SKU明细'!$AE$9:$AE$1592,0))))</x:f>
        <x:v>77</x:v>
      </x:c>
      <x:c r="X22" s="24" t="str">
        <x:f>IF(COUNTIFS('SKU明细'!$AH$9:$AH$1592,"[""B07"",""B07-BK-Z-0"",""BK-Z"",""黑色镜面PU""]",'SKU明细'!$E$9:$E$1592,"促销")&gt;0,"促销 ","")&amp;IF(COUNTIFS('SKU明细'!$AH$9:$AH$1592,"[""B07"",""B07-BK-Z-0"",""BK-Z"",""黑色镜面PU""]",'SKU明细'!$E$9:$E$1592,"红线促销")&gt;0,"红线促销 ","")&amp;IF(COUNTIFS('SKU明细'!$AH$9:$AH$1592,"[""B07"",""B07-BK-Z-0"",""BK-Z"",""黑色镜面PU""]",'SKU明细'!$E$9:$E$1592,"考虑清仓")&gt;0,"考虑清仓 ","")&amp;IF(COUNTIFS('SKU明细'!$AH$9:$AH$1592,"[""B07"",""B07-BK-Z-0"",""BK-Z"",""黑色镜面PU""]",'SKU明细'!$E$9:$E$1592,"断货")&gt;0,"断货 ","")&amp;IF(COUNTIFS('SKU明细'!$AH$9:$AH$1592,"[""B07"",""B07-BK-Z-0"",""BK-Z"",""黑色镜面PU""]",'SKU明细'!$E$9:$E$1592,"零日销待复核")&gt;0,"零日销待复核 ","")&amp;IF(COUNTIFS('SKU明细'!$AH$9:$AH$1592,"[""B07"",""B07-BK-Z-0"",""BK-Z"",""黑色镜面PU""]",'SKU明细'!$E$9:$E$1592,"数据待核")&gt;0,"数据待核 ","")&amp;IF(COUNTIFS('SKU明细'!$AH$9:$AH$1592,"[""B07"",""B07-BK-Z-0"",""BK-Z"",""黑色镜面PU""]",'SKU明细'!$E$9:$E$1592,"正常库存")&gt;0,"正常库存 ","")&amp;IF(COUNTIFS('SKU明细'!$AH$9:$AH$1592,"[""B07"",""B07-BK-Z-0"",""BK-Z"",""黑色镜面PU""]",'SKU明细'!$E$9:$E$1592,"补货提醒")&gt;0,"补货提醒 ","")</x:f>
        <x:v>红线促销 考虑清仓 断货 零日销待复核 正常库存 补货提醒 </x:v>
      </x:c>
      <x:c r="Y22" s="24" t="str">
        <x:f>IF(NOT(ISNUMBER(U22)),"覆盖待核／无可比基准","完整可比")</x:f>
        <x:v>完整可比</x:v>
      </x:c>
      <x:c r="Z22" s="24" t="str">
        <x:v>在售、停售</x:v>
      </x:c>
      <x:c r="AA22" s="24" t="n">
        <x:f>IF(SUMIFS('SKU明细'!$AF$9:$AF$1592,'SKU明细'!$D$9:$D$1592,A22,'SKU明细'!$Z$9:$Z$1592,"&lt;&gt;移出")=0,"待核",SUMIFS('SKU明细'!$H$9:$H$1592,'SKU明细'!$D$9:$D$1592,A22,'SKU明细'!$Z$9:$Z$1592,"&lt;&gt;移出"))</x:f>
        <x:v>2671</x:v>
      </x:c>
    </x:row>
    <x:row r="23" ht="54" customHeight="1">
      <x:c r="A23" s="20" t="str">
        <x:v>B07</x:v>
      </x:c>
      <x:c r="B23" s="20" t="str">
        <x:v>艾年</x:v>
      </x:c>
      <x:c r="C23" s="20" t="str">
        <x:v>黑色PU</x:v>
      </x:c>
      <x:c r="D23" s="20" t="str">
        <x:v>BKP</x:v>
      </x:c>
      <x:c r="E23" s="20" t="str">
        <x:v>B07-BKP</x:v>
      </x:c>
      <x:c r="F23" s="20"/>
      <x:c r="G23" s="21" t="str">
        <x:f>"—"</x:f>
        <x:v>—</x:v>
      </x:c>
      <x:c r="H23" s="21" t="n">
        <x:f>IF(AND(COUNT(INDEX('SKU明细'!$H$9:$H$1592,MATCH("[13306,""B07-BKP-37-New""]",'SKU明细'!$AE$9:$AE$1592,0)))=1,COUNT(INDEX('SKU明细'!$G$9:$G$1592,MATCH("[13306,""B07-BKP-37-New""]",'SKU明细'!$AE$9:$AE$1592,0)))=1,SUM(INDEX('SKU明细'!$G$9:$G$1592,MATCH("[13306,""B07-BKP-37-New""]",'SKU明细'!$AE$9:$AE$1592,0)))&gt;0),SUM(INDEX('SKU明细'!$H$9:$H$1592,MATCH("[13306,""B07-BKP-37-New""]",'SKU明细'!$AE$9:$AE$1592,0)))/SUM(INDEX('SKU明细'!$G$9:$G$1592,MATCH("[13306,""B07-BKP-37-New""]",'SKU明细'!$AE$9:$AE$1592,0))),"待核")</x:f>
        <x:v>104.06607369758578</x:v>
      </x:c>
      <x:c r="I23" s="21" t="n">
        <x:f>IF(AND(COUNT(INDEX('SKU明细'!$H$9:$H$1592,MATCH("[13306,""B07-BKP-37.5""]",'SKU明细'!$AE$9:$AE$1592,0)))=1,COUNT(INDEX('SKU明细'!$G$9:$G$1592,MATCH("[13306,""B07-BKP-37.5""]",'SKU明细'!$AE$9:$AE$1592,0)))=1,SUM(INDEX('SKU明细'!$G$9:$G$1592,MATCH("[13306,""B07-BKP-37.5""]",'SKU明细'!$AE$9:$AE$1592,0)))&gt;0),SUM(INDEX('SKU明细'!$H$9:$H$1592,MATCH("[13306,""B07-BKP-37.5""]",'SKU明细'!$AE$9:$AE$1592,0)))/SUM(INDEX('SKU明细'!$G$9:$G$1592,MATCH("[13306,""B07-BKP-37.5""]",'SKU明细'!$AE$9:$AE$1592,0))),"待核")</x:f>
        <x:v>267.05202312138726</x:v>
      </x:c>
      <x:c r="J23" s="21" t="n">
        <x:f>IF(AND(COUNT(INDEX('SKU明细'!$H$9:$H$1592,MATCH("[13306,""B07-BKP-38-by""]",'SKU明细'!$AE$9:$AE$1592,0)))=1,COUNT(INDEX('SKU明细'!$G$9:$G$1592,MATCH("[13306,""B07-BKP-38-by""]",'SKU明细'!$AE$9:$AE$1592,0)))=1,SUM(INDEX('SKU明细'!$G$9:$G$1592,MATCH("[13306,""B07-BKP-38-by""]",'SKU明细'!$AE$9:$AE$1592,0)))&gt;0),SUM(INDEX('SKU明细'!$H$9:$H$1592,MATCH("[13306,""B07-BKP-38-by""]",'SKU明细'!$AE$9:$AE$1592,0)))/SUM(INDEX('SKU明细'!$G$9:$G$1592,MATCH("[13306,""B07-BKP-38-by""]",'SKU明细'!$AE$9:$AE$1592,0))),"待核")</x:f>
        <x:v>517.9372197309417</x:v>
      </x:c>
      <x:c r="K23" s="21" t="str">
        <x:f>"—"</x:f>
        <x:v>—</x:v>
      </x:c>
      <x:c r="L23" s="21" t="n">
        <x:f>IF(AND(COUNT(INDEX('SKU明细'!$H$9:$H$1592,MATCH("[13306,""B07-BKP-39-New""]",'SKU明细'!$AE$9:$AE$1592,0)))=1,COUNT(INDEX('SKU明细'!$G$9:$G$1592,MATCH("[13306,""B07-BKP-39-New""]",'SKU明细'!$AE$9:$AE$1592,0)))=1,SUM(INDEX('SKU明细'!$G$9:$G$1592,MATCH("[13306,""B07-BKP-39-New""]",'SKU明细'!$AE$9:$AE$1592,0)))&gt;0),SUM(INDEX('SKU明细'!$H$9:$H$1592,MATCH("[13306,""B07-BKP-39-New""]",'SKU明细'!$AE$9:$AE$1592,0)))/SUM(INDEX('SKU明细'!$G$9:$G$1592,MATCH("[13306,""B07-BKP-39-New""]",'SKU明细'!$AE$9:$AE$1592,0))),"待核")</x:f>
        <x:v>16.369710467706014</x:v>
      </x:c>
      <x:c r="M23" s="21" t="n">
        <x:f>IF(AND(COUNT(INDEX('SKU明细'!$H$9:$H$1592,MATCH("[13306,""B07-BKP-39.5""]",'SKU明细'!$AE$9:$AE$1592,0)))=1,COUNT(INDEX('SKU明细'!$G$9:$G$1592,MATCH("[13306,""B07-BKP-39.5""]",'SKU明细'!$AE$9:$AE$1592,0)))=1,SUM(INDEX('SKU明细'!$G$9:$G$1592,MATCH("[13306,""B07-BKP-39.5""]",'SKU明细'!$AE$9:$AE$1592,0)))&gt;0),SUM(INDEX('SKU明细'!$H$9:$H$1592,MATCH("[13306,""B07-BKP-39.5""]",'SKU明细'!$AE$9:$AE$1592,0)))/SUM(INDEX('SKU明细'!$G$9:$G$1592,MATCH("[13306,""B07-BKP-39.5""]",'SKU明细'!$AE$9:$AE$1592,0))),"待核")</x:f>
        <x:v>0</x:v>
      </x:c>
      <x:c r="N23" s="21" t="str">
        <x:f>IF(AND(COUNT(INDEX('SKU明细'!$H$9:$H$1592,MATCH("[13306,""B07-BKP-40-New""]",'SKU明细'!$AE$9:$AE$1592,0)))=1,COUNT(INDEX('SKU明细'!$G$9:$G$1592,MATCH("[13306,""B07-BKP-40-New""]",'SKU明细'!$AE$9:$AE$1592,0)))=1,SUM(INDEX('SKU明细'!$G$9:$G$1592,MATCH("[13306,""B07-BKP-40-New""]",'SKU明细'!$AE$9:$AE$1592,0)))&gt;0),SUM(INDEX('SKU明细'!$H$9:$H$1592,MATCH("[13306,""B07-BKP-40-New""]",'SKU明细'!$AE$9:$AE$1592,0)))/SUM(INDEX('SKU明细'!$G$9:$G$1592,MATCH("[13306,""B07-BKP-40-New""]",'SKU明细'!$AE$9:$AE$1592,0))),"待核")</x:f>
        <x:v>待核</x:v>
      </x:c>
      <x:c r="O23" s="21" t="str">
        <x:f>"—"</x:f>
        <x:v>—</x:v>
      </x:c>
      <x:c r="P23" s="21" t="str">
        <x:f>IF(AND(COUNT(INDEX('SKU明细'!$H$9:$H$1592,MATCH("[13306,""B07-BKP-41-by""]",'SKU明细'!$AE$9:$AE$1592,0)))=1,COUNT(INDEX('SKU明细'!$G$9:$G$1592,MATCH("[13306,""B07-BKP-41-by""]",'SKU明细'!$AE$9:$AE$1592,0)))=1,SUM(INDEX('SKU明细'!$G$9:$G$1592,MATCH("[13306,""B07-BKP-41-by""]",'SKU明细'!$AE$9:$AE$1592,0)))&gt;0),SUM(INDEX('SKU明细'!$H$9:$H$1592,MATCH("[13306,""B07-BKP-41-by""]",'SKU明细'!$AE$9:$AE$1592,0)))/SUM(INDEX('SKU明细'!$G$9:$G$1592,MATCH("[13306,""B07-BKP-41-by""]",'SKU明细'!$AE$9:$AE$1592,0))),"待核")</x:f>
        <x:v>待核</x:v>
      </x:c>
      <x:c r="Q23" s="21" t="n">
        <x:f>IF(AND(COUNT(INDEX('SKU明细'!$H$9:$H$1592,MATCH("[13306,""B07-BKP-41.5""]",'SKU明细'!$AE$9:$AE$1592,0)))=1,COUNT(INDEX('SKU明细'!$G$9:$G$1592,MATCH("[13306,""B07-BKP-41.5""]",'SKU明细'!$AE$9:$AE$1592,0)))=1,SUM(INDEX('SKU明细'!$G$9:$G$1592,MATCH("[13306,""B07-BKP-41.5""]",'SKU明细'!$AE$9:$AE$1592,0)))&gt;0),SUM(INDEX('SKU明细'!$H$9:$H$1592,MATCH("[13306,""B07-BKP-41.5""]",'SKU明细'!$AE$9:$AE$1592,0)))/SUM(INDEX('SKU明细'!$G$9:$G$1592,MATCH("[13306,""B07-BKP-41.5""]",'SKU明细'!$AE$9:$AE$1592,0))),"待核")</x:f>
        <x:v>222.72727272727272</x:v>
      </x:c>
      <x:c r="R23" s="21" t="n">
        <x:f>IF(AND(COUNT(INDEX('SKU明细'!$H$9:$H$1592,MATCH("[13306,""B07-BKP-42-New""]",'SKU明细'!$AE$9:$AE$1592,0)))=1,COUNT(INDEX('SKU明细'!$G$9:$G$1592,MATCH("[13306,""B07-BKP-42-New""]",'SKU明细'!$AE$9:$AE$1592,0)))=1,SUM(INDEX('SKU明细'!$G$9:$G$1592,MATCH("[13306,""B07-BKP-42-New""]",'SKU明细'!$AE$9:$AE$1592,0)))&gt;0),SUM(INDEX('SKU明细'!$H$9:$H$1592,MATCH("[13306,""B07-BKP-42-New""]",'SKU明细'!$AE$9:$AE$1592,0)))/SUM(INDEX('SKU明细'!$G$9:$G$1592,MATCH("[13306,""B07-BKP-42-New""]",'SKU明细'!$AE$9:$AE$1592,0))),"待核")</x:f>
        <x:v>80.38277511961724</x:v>
      </x:c>
      <x:c r="S23" s="21" t="n">
        <x:f>IF(AND(COUNT(INDEX('SKU明细'!$H$9:$H$1592,MATCH("[13306,""B07-BKP-38-by""]",'SKU明细'!$AE$9:$AE$1592,0)),INDEX('SKU明细'!$H$9:$H$1592,MATCH("[13306,""B07-BKP-37.5""]",'SKU明细'!$AE$9:$AE$1592,0)),INDEX('SKU明细'!$H$9:$H$1592,MATCH("[13306,""B07-BKP-41.5""]",'SKU明细'!$AE$9:$AE$1592,0)),INDEX('SKU明细'!$H$9:$H$1592,MATCH("[13306,""B07-BKP-37-New""]",'SKU明细'!$AE$9:$AE$1592,0)),INDEX('SKU明细'!$H$9:$H$1592,MATCH("[13306,""B07-BKP-39.5""]",'SKU明细'!$AE$9:$AE$1592,0)),INDEX('SKU明细'!$H$9:$H$1592,MATCH("[13306,""B07-BKP-40-New""]",'SKU明细'!$AE$9:$AE$1592,0)),INDEX('SKU明细'!$H$9:$H$1592,MATCH("[13306,""B07-BKP-41-by""]",'SKU明细'!$AE$9:$AE$1592,0)),INDEX('SKU明细'!$H$9:$H$1592,MATCH("[13306,""B07-BKP-42-New""]",'SKU明细'!$AE$9:$AE$1592,0)),INDEX('SKU明细'!$H$9:$H$1592,MATCH("[13306,""B07-BKP-39-New""]",'SKU明细'!$AE$9:$AE$1592,0)))=9,COUNT(INDEX('SKU明细'!$G$9:$G$1592,MATCH("[13306,""B07-BKP-38-by""]",'SKU明细'!$AE$9:$AE$1592,0)),INDEX('SKU明细'!$G$9:$G$1592,MATCH("[13306,""B07-BKP-37.5""]",'SKU明细'!$AE$9:$AE$1592,0)),INDEX('SKU明细'!$G$9:$G$1592,MATCH("[13306,""B07-BKP-41.5""]",'SKU明细'!$AE$9:$AE$1592,0)),INDEX('SKU明细'!$G$9:$G$1592,MATCH("[13306,""B07-BKP-37-New""]",'SKU明细'!$AE$9:$AE$1592,0)),INDEX('SKU明细'!$G$9:$G$1592,MATCH("[13306,""B07-BKP-39.5""]",'SKU明细'!$AE$9:$AE$1592,0)),INDEX('SKU明细'!$G$9:$G$1592,MATCH("[13306,""B07-BKP-40-New""]",'SKU明细'!$AE$9:$AE$1592,0)),INDEX('SKU明细'!$G$9:$G$1592,MATCH("[13306,""B07-BKP-41-by""]",'SKU明细'!$AE$9:$AE$1592,0)),INDEX('SKU明细'!$G$9:$G$1592,MATCH("[13306,""B07-BKP-42-New""]",'SKU明细'!$AE$9:$AE$1592,0)),INDEX('SKU明细'!$G$9:$G$1592,MATCH("[13306,""B07-BKP-39-New""]",'SKU明细'!$AE$9:$AE$1592,0)))=9,SUM(INDEX('SKU明细'!$G$9:$G$1592,MATCH("[13306,""B07-BKP-38-by""]",'SKU明细'!$AE$9:$AE$1592,0)),INDEX('SKU明细'!$G$9:$G$1592,MATCH("[13306,""B07-BKP-37.5""]",'SKU明细'!$AE$9:$AE$1592,0)),INDEX('SKU明细'!$G$9:$G$1592,MATCH("[13306,""B07-BKP-41.5""]",'SKU明细'!$AE$9:$AE$1592,0)),INDEX('SKU明细'!$G$9:$G$1592,MATCH("[13306,""B07-BKP-37-New""]",'SKU明细'!$AE$9:$AE$1592,0)),INDEX('SKU明细'!$G$9:$G$1592,MATCH("[13306,""B07-BKP-39.5""]",'SKU明细'!$AE$9:$AE$1592,0)),INDEX('SKU明细'!$G$9:$G$1592,MATCH("[13306,""B07-BKP-40-New""]",'SKU明细'!$AE$9:$AE$1592,0)),INDEX('SKU明细'!$G$9:$G$1592,MATCH("[13306,""B07-BKP-41-by""]",'SKU明细'!$AE$9:$AE$1592,0)),INDEX('SKU明细'!$G$9:$G$1592,MATCH("[13306,""B07-BKP-42-New""]",'SKU明细'!$AE$9:$AE$1592,0)),INDEX('SKU明细'!$G$9:$G$1592,MATCH("[13306,""B07-BKP-39-New""]",'SKU明细'!$AE$9:$AE$1592,0)))&gt;0),SUM(INDEX('SKU明细'!$H$9:$H$1592,MATCH("[13306,""B07-BKP-38-by""]",'SKU明细'!$AE$9:$AE$1592,0)),INDEX('SKU明细'!$H$9:$H$1592,MATCH("[13306,""B07-BKP-37.5""]",'SKU明细'!$AE$9:$AE$1592,0)),INDEX('SKU明细'!$H$9:$H$1592,MATCH("[13306,""B07-BKP-41.5""]",'SKU明细'!$AE$9:$AE$1592,0)),INDEX('SKU明细'!$H$9:$H$1592,MATCH("[13306,""B07-BKP-37-New""]",'SKU明细'!$AE$9:$AE$1592,0)),INDEX('SKU明细'!$H$9:$H$1592,MATCH("[13306,""B07-BKP-39.5""]",'SKU明细'!$AE$9:$AE$1592,0)),INDEX('SKU明细'!$H$9:$H$1592,MATCH("[13306,""B07-BKP-40-New""]",'SKU明细'!$AE$9:$AE$1592,0)),INDEX('SKU明细'!$H$9:$H$1592,MATCH("[13306,""B07-BKP-41-by""]",'SKU明细'!$AE$9:$AE$1592,0)),INDEX('SKU明细'!$H$9:$H$1592,MATCH("[13306,""B07-BKP-42-New""]",'SKU明细'!$AE$9:$AE$1592,0)),INDEX('SKU明细'!$H$9:$H$1592,MATCH("[13306,""B07-BKP-39-New""]",'SKU明细'!$AE$9:$AE$1592,0)))/SUM(INDEX('SKU明细'!$G$9:$G$1592,MATCH("[13306,""B07-BKP-38-by""]",'SKU明细'!$AE$9:$AE$1592,0)),INDEX('SKU明细'!$G$9:$G$1592,MATCH("[13306,""B07-BKP-37.5""]",'SKU明细'!$AE$9:$AE$1592,0)),INDEX('SKU明细'!$G$9:$G$1592,MATCH("[13306,""B07-BKP-41.5""]",'SKU明细'!$AE$9:$AE$1592,0)),INDEX('SKU明细'!$G$9:$G$1592,MATCH("[13306,""B07-BKP-37-New""]",'SKU明细'!$AE$9:$AE$1592,0)),INDEX('SKU明细'!$G$9:$G$1592,MATCH("[13306,""B07-BKP-39.5""]",'SKU明细'!$AE$9:$AE$1592,0)),INDEX('SKU明细'!$G$9:$G$1592,MATCH("[13306,""B07-BKP-40-New""]",'SKU明细'!$AE$9:$AE$1592,0)),INDEX('SKU明细'!$G$9:$G$1592,MATCH("[13306,""B07-BKP-41-by""]",'SKU明细'!$AE$9:$AE$1592,0)),INDEX('SKU明细'!$G$9:$G$1592,MATCH("[13306,""B07-BKP-42-New""]",'SKU明细'!$AE$9:$AE$1592,0)),INDEX('SKU明细'!$G$9:$G$1592,MATCH("[13306,""B07-BKP-39-New""]",'SKU明细'!$AE$9:$AE$1592,0))),"待核")</x:f>
        <x:v>139.70432946145723</x:v>
      </x:c>
      <x:c r="T23" s="21" t="str">
        <x:f>IF(AND(COUNT(INDEX('SKU明细'!$I$9:$I$1592,MATCH("[13306,""B07-BKP-38-by""]",'SKU明细'!$AE$9:$AE$1592,0)),INDEX('SKU明细'!$I$9:$I$1592,MATCH("[13306,""B07-BKP-37.5""]",'SKU明细'!$AE$9:$AE$1592,0)),INDEX('SKU明细'!$I$9:$I$1592,MATCH("[13306,""B07-BKP-41.5""]",'SKU明细'!$AE$9:$AE$1592,0)),INDEX('SKU明细'!$I$9:$I$1592,MATCH("[13306,""B07-BKP-37-New""]",'SKU明细'!$AE$9:$AE$1592,0)),INDEX('SKU明细'!$I$9:$I$1592,MATCH("[13306,""B07-BKP-39.5""]",'SKU明细'!$AE$9:$AE$1592,0)),INDEX('SKU明细'!$I$9:$I$1592,MATCH("[13306,""B07-BKP-40-New""]",'SKU明细'!$AE$9:$AE$1592,0)),INDEX('SKU明细'!$I$9:$I$1592,MATCH("[13306,""B07-BKP-41-by""]",'SKU明细'!$AE$9:$AE$1592,0)),INDEX('SKU明细'!$I$9:$I$1592,MATCH("[13306,""B07-BKP-42-New""]",'SKU明细'!$AE$9:$AE$1592,0)),INDEX('SKU明细'!$I$9:$I$1592,MATCH("[13306,""B07-BKP-39-New""]",'SKU明细'!$AE$9:$AE$1592,0)))=9,COUNT(INDEX('SKU明细'!$AD$9:$AD$1592,MATCH("[13306,""B07-BKP-38-by""]",'SKU明细'!$AE$9:$AE$1592,0)),INDEX('SKU明细'!$AD$9:$AD$1592,MATCH("[13306,""B07-BKP-37.5""]",'SKU明细'!$AE$9:$AE$1592,0)),INDEX('SKU明细'!$AD$9:$AD$1592,MATCH("[13306,""B07-BKP-41.5""]",'SKU明细'!$AE$9:$AE$1592,0)),INDEX('SKU明细'!$AD$9:$AD$1592,MATCH("[13306,""B07-BKP-37-New""]",'SKU明细'!$AE$9:$AE$1592,0)),INDEX('SKU明细'!$AD$9:$AD$1592,MATCH("[13306,""B07-BKP-39.5""]",'SKU明细'!$AE$9:$AE$1592,0)),INDEX('SKU明细'!$AD$9:$AD$1592,MATCH("[13306,""B07-BKP-40-New""]",'SKU明细'!$AE$9:$AE$1592,0)),INDEX('SKU明细'!$AD$9:$AD$1592,MATCH("[13306,""B07-BKP-41-by""]",'SKU明细'!$AE$9:$AE$1592,0)),INDEX('SKU明细'!$AD$9:$AD$1592,MATCH("[13306,""B07-BKP-42-New""]",'SKU明细'!$AE$9:$AE$1592,0)),INDEX('SKU明细'!$AD$9:$AD$1592,MATCH("[13306,""B07-BKP-39-New""]",'SKU明细'!$AE$9:$AE$1592,0)))=9,SUM(INDEX('SKU明细'!$AD$9:$AD$1592,MATCH("[13306,""B07-BKP-38-by""]",'SKU明细'!$AE$9:$AE$1592,0)),INDEX('SKU明细'!$AD$9:$AD$1592,MATCH("[13306,""B07-BKP-37.5""]",'SKU明细'!$AE$9:$AE$1592,0)),INDEX('SKU明细'!$AD$9:$AD$1592,MATCH("[13306,""B07-BKP-41.5""]",'SKU明细'!$AE$9:$AE$1592,0)),INDEX('SKU明细'!$AD$9:$AD$1592,MATCH("[13306,""B07-BKP-37-New""]",'SKU明细'!$AE$9:$AE$1592,0)),INDEX('SKU明细'!$AD$9:$AD$1592,MATCH("[13306,""B07-BKP-39.5""]",'SKU明细'!$AE$9:$AE$1592,0)),INDEX('SKU明细'!$AD$9:$AD$1592,MATCH("[13306,""B07-BKP-40-New""]",'SKU明细'!$AE$9:$AE$1592,0)),INDEX('SKU明细'!$AD$9:$AD$1592,MATCH("[13306,""B07-BKP-41-by""]",'SKU明细'!$AE$9:$AE$1592,0)),INDEX('SKU明细'!$AD$9:$AD$1592,MATCH("[13306,""B07-BKP-42-New""]",'SKU明细'!$AE$9:$AE$1592,0)),INDEX('SKU明细'!$AD$9:$AD$1592,MATCH("[13306,""B07-BKP-39-New""]",'SKU明细'!$AE$9:$AE$1592,0)))&gt;0),SUM(INDEX('SKU明细'!$I$9:$I$1592,MATCH("[13306,""B07-BKP-38-by""]",'SKU明细'!$AE$9:$AE$1592,0)),INDEX('SKU明细'!$I$9:$I$1592,MATCH("[13306,""B07-BKP-37.5""]",'SKU明细'!$AE$9:$AE$1592,0)),INDEX('SKU明细'!$I$9:$I$1592,MATCH("[13306,""B07-BKP-41.5""]",'SKU明细'!$AE$9:$AE$1592,0)),INDEX('SKU明细'!$I$9:$I$1592,MATCH("[13306,""B07-BKP-37-New""]",'SKU明细'!$AE$9:$AE$1592,0)),INDEX('SKU明细'!$I$9:$I$1592,MATCH("[13306,""B07-BKP-39.5""]",'SKU明细'!$AE$9:$AE$1592,0)),INDEX('SKU明细'!$I$9:$I$1592,MATCH("[13306,""B07-BKP-40-New""]",'SKU明细'!$AE$9:$AE$1592,0)),INDEX('SKU明细'!$I$9:$I$1592,MATCH("[13306,""B07-BKP-41-by""]",'SKU明细'!$AE$9:$AE$1592,0)),INDEX('SKU明细'!$I$9:$I$1592,MATCH("[13306,""B07-BKP-42-New""]",'SKU明细'!$AE$9:$AE$1592,0)),INDEX('SKU明细'!$I$9:$I$1592,MATCH("[13306,""B07-BKP-39-New""]",'SKU明细'!$AE$9:$AE$1592,0)))/SUM(INDEX('SKU明细'!$AD$9:$AD$1592,MATCH("[13306,""B07-BKP-38-by""]",'SKU明细'!$AE$9:$AE$1592,0)),INDEX('SKU明细'!$AD$9:$AD$1592,MATCH("[13306,""B07-BKP-37.5""]",'SKU明细'!$AE$9:$AE$1592,0)),INDEX('SKU明细'!$AD$9:$AD$1592,MATCH("[13306,""B07-BKP-41.5""]",'SKU明细'!$AE$9:$AE$1592,0)),INDEX('SKU明细'!$AD$9:$AD$1592,MATCH("[13306,""B07-BKP-37-New""]",'SKU明细'!$AE$9:$AE$1592,0)),INDEX('SKU明细'!$AD$9:$AD$1592,MATCH("[13306,""B07-BKP-39.5""]",'SKU明细'!$AE$9:$AE$1592,0)),INDEX('SKU明细'!$AD$9:$AD$1592,MATCH("[13306,""B07-BKP-40-New""]",'SKU明细'!$AE$9:$AE$1592,0)),INDEX('SKU明细'!$AD$9:$AD$1592,MATCH("[13306,""B07-BKP-41-by""]",'SKU明细'!$AE$9:$AE$1592,0)),INDEX('SKU明细'!$AD$9:$AD$1592,MATCH("[13306,""B07-BKP-42-New""]",'SKU明细'!$AE$9:$AE$1592,0)),INDEX('SKU明细'!$AD$9:$AD$1592,MATCH("[13306,""B07-BKP-39-New""]",'SKU明细'!$AE$9:$AE$1592,0))),"待核")</x:f>
        <x:v>待核</x:v>
      </x:c>
      <x:c r="U23" s="21" t="str">
        <x:f>IF(COUNT(S23:T23)=2,S23-T23,"待核")</x:f>
        <x:v>待核</x:v>
      </x:c>
      <x:c r="V23" s="22" t="str">
        <x:f>IF(AND(ISNUMBER(U23),ISNUMBER(T23),T23&lt;&gt;0),U23/T23,"")</x:f>
      </x:c>
      <x:c r="W23" s="23" t="n">
        <x:f>IF(COUNT(INDEX('SKU明细'!$H$9:$H$1592,MATCH("[13306,""B07-BKP-38-by""]",'SKU明细'!$AE$9:$AE$1592,0)),INDEX('SKU明细'!$H$9:$H$1592,MATCH("[13306,""B07-BKP-37.5""]",'SKU明细'!$AE$9:$AE$1592,0)),INDEX('SKU明细'!$H$9:$H$1592,MATCH("[13306,""B07-BKP-41.5""]",'SKU明细'!$AE$9:$AE$1592,0)),INDEX('SKU明细'!$H$9:$H$1592,MATCH("[13306,""B07-BKP-37-New""]",'SKU明细'!$AE$9:$AE$1592,0)),INDEX('SKU明细'!$H$9:$H$1592,MATCH("[13306,""B07-BKP-39.5""]",'SKU明细'!$AE$9:$AE$1592,0)),INDEX('SKU明细'!$H$9:$H$1592,MATCH("[13306,""B07-BKP-40-New""]",'SKU明细'!$AE$9:$AE$1592,0)),INDEX('SKU明细'!$H$9:$H$1592,MATCH("[13306,""B07-BKP-41-by""]",'SKU明细'!$AE$9:$AE$1592,0)),INDEX('SKU明细'!$H$9:$H$1592,MATCH("[13306,""B07-BKP-42-New""]",'SKU明细'!$AE$9:$AE$1592,0)),INDEX('SKU明细'!$H$9:$H$1592,MATCH("[13306,""B07-BKP-39-New""]",'SKU明细'!$AE$9:$AE$1592,0)))=0,"待核",SUM(INDEX('SKU明细'!$H$9:$H$1592,MATCH("[13306,""B07-BKP-38-by""]",'SKU明细'!$AE$9:$AE$1592,0)),INDEX('SKU明细'!$H$9:$H$1592,MATCH("[13306,""B07-BKP-37.5""]",'SKU明细'!$AE$9:$AE$1592,0)),INDEX('SKU明细'!$H$9:$H$1592,MATCH("[13306,""B07-BKP-41.5""]",'SKU明细'!$AE$9:$AE$1592,0)),INDEX('SKU明细'!$H$9:$H$1592,MATCH("[13306,""B07-BKP-37-New""]",'SKU明细'!$AE$9:$AE$1592,0)),INDEX('SKU明细'!$H$9:$H$1592,MATCH("[13306,""B07-BKP-39.5""]",'SKU明细'!$AE$9:$AE$1592,0)),INDEX('SKU明细'!$H$9:$H$1592,MATCH("[13306,""B07-BKP-40-New""]",'SKU明细'!$AE$9:$AE$1592,0)),INDEX('SKU明细'!$H$9:$H$1592,MATCH("[13306,""B07-BKP-41-by""]",'SKU明细'!$AE$9:$AE$1592,0)),INDEX('SKU明细'!$H$9:$H$1592,MATCH("[13306,""B07-BKP-42-New""]",'SKU明细'!$AE$9:$AE$1592,0)),INDEX('SKU明细'!$H$9:$H$1592,MATCH("[13306,""B07-BKP-39-New""]",'SKU明细'!$AE$9:$AE$1592,0))))</x:f>
        <x:v>189</x:v>
      </x:c>
      <x:c r="X23" s="24" t="str">
        <x:f>IF(COUNTIFS('SKU明细'!$AH$9:$AH$1592,"[""B07"",""B07-BKP"",""BKP"",""黑色PU""]",'SKU明细'!$E$9:$E$1592,"促销")&gt;0,"促销 ","")&amp;IF(COUNTIFS('SKU明细'!$AH$9:$AH$1592,"[""B07"",""B07-BKP"",""BKP"",""黑色PU""]",'SKU明细'!$E$9:$E$1592,"红线促销")&gt;0,"红线促销 ","")&amp;IF(COUNTIFS('SKU明细'!$AH$9:$AH$1592,"[""B07"",""B07-BKP"",""BKP"",""黑色PU""]",'SKU明细'!$E$9:$E$1592,"考虑清仓")&gt;0,"考虑清仓 ","")&amp;IF(COUNTIFS('SKU明细'!$AH$9:$AH$1592,"[""B07"",""B07-BKP"",""BKP"",""黑色PU""]",'SKU明细'!$E$9:$E$1592,"断货")&gt;0,"断货 ","")&amp;IF(COUNTIFS('SKU明细'!$AH$9:$AH$1592,"[""B07"",""B07-BKP"",""BKP"",""黑色PU""]",'SKU明细'!$E$9:$E$1592,"零日销待复核")&gt;0,"零日销待复核 ","")&amp;IF(COUNTIFS('SKU明细'!$AH$9:$AH$1592,"[""B07"",""B07-BKP"",""BKP"",""黑色PU""]",'SKU明细'!$E$9:$E$1592,"数据待核")&gt;0,"数据待核 ","")&amp;IF(COUNTIFS('SKU明细'!$AH$9:$AH$1592,"[""B07"",""B07-BKP"",""BKP"",""黑色PU""]",'SKU明细'!$E$9:$E$1592,"正常库存")&gt;0,"正常库存 ","")&amp;IF(COUNTIFS('SKU明细'!$AH$9:$AH$1592,"[""B07"",""B07-BKP"",""BKP"",""黑色PU""]",'SKU明细'!$E$9:$E$1592,"补货提醒")&gt;0,"补货提醒 ","")</x:f>
        <x:v>促销 红线促销 考虑清仓 断货 正常库存 补货提醒 </x:v>
      </x:c>
      <x:c r="Y23" s="24" t="str">
        <x:f>IF(NOT(ISNUMBER(U23)),"覆盖待核／无可比基准","完整可比")</x:f>
        <x:v>覆盖待核／无可比基准</x:v>
      </x:c>
      <x:c r="Z23" s="24" t="str">
        <x:v>在售、停售</x:v>
      </x:c>
      <x:c r="AA23" s="24" t="n">
        <x:f>IF(SUMIFS('SKU明细'!$AF$9:$AF$1592,'SKU明细'!$D$9:$D$1592,A23,'SKU明细'!$Z$9:$Z$1592,"&lt;&gt;移出")=0,"待核",SUMIFS('SKU明细'!$H$9:$H$1592,'SKU明细'!$D$9:$D$1592,A23,'SKU明细'!$Z$9:$Z$1592,"&lt;&gt;移出"))</x:f>
        <x:v>2671</x:v>
      </x:c>
    </x:row>
    <x:row r="24" ht="54" customHeight="1">
      <x:c r="A24" s="20" t="str">
        <x:v>B07</x:v>
      </x:c>
      <x:c r="B24" s="20" t="str">
        <x:v>艾年</x:v>
      </x:c>
      <x:c r="C24" s="20" t="str">
        <x:v>咖色PU</x:v>
      </x:c>
      <x:c r="D24" s="20" t="str">
        <x:v>CF</x:v>
      </x:c>
      <x:c r="E24" s="20" t="str">
        <x:v>B07-CF</x:v>
      </x:c>
      <x:c r="F24" s="20"/>
      <x:c r="G24" s="21" t="str">
        <x:f>"—"</x:f>
        <x:v>—</x:v>
      </x:c>
      <x:c r="H24" s="21" t="n">
        <x:f>IF(AND(COUNT(INDEX('SKU明细'!$H$9:$H$1592,MATCH("[13306,""B07-CF-37""]",'SKU明细'!$AE$9:$AE$1592,0)))=1,COUNT(INDEX('SKU明细'!$G$9:$G$1592,MATCH("[13306,""B07-CF-37""]",'SKU明细'!$AE$9:$AE$1592,0)))=1,SUM(INDEX('SKU明细'!$G$9:$G$1592,MATCH("[13306,""B07-CF-37""]",'SKU明细'!$AE$9:$AE$1592,0)))&gt;0),SUM(INDEX('SKU明细'!$H$9:$H$1592,MATCH("[13306,""B07-CF-37""]",'SKU明细'!$AE$9:$AE$1592,0)))/SUM(INDEX('SKU明细'!$G$9:$G$1592,MATCH("[13306,""B07-CF-37""]",'SKU明细'!$AE$9:$AE$1592,0))),"待核")</x:f>
        <x:v>205.74324324324326</x:v>
      </x:c>
      <x:c r="I24" s="21" t="n">
        <x:f>IF(AND(COUNT(INDEX('SKU明细'!$H$9:$H$1592,MATCH("[13306,""B07-CF-37.5""]",'SKU明细'!$AE$9:$AE$1592,0)))=1,COUNT(INDEX('SKU明细'!$G$9:$G$1592,MATCH("[13306,""B07-CF-37.5""]",'SKU明细'!$AE$9:$AE$1592,0)))=1,SUM(INDEX('SKU明细'!$G$9:$G$1592,MATCH("[13306,""B07-CF-37.5""]",'SKU明细'!$AE$9:$AE$1592,0)))&gt;0),SUM(INDEX('SKU明细'!$H$9:$H$1592,MATCH("[13306,""B07-CF-37.5""]",'SKU明细'!$AE$9:$AE$1592,0)))/SUM(INDEX('SKU明细'!$G$9:$G$1592,MATCH("[13306,""B07-CF-37.5""]",'SKU明细'!$AE$9:$AE$1592,0))),"待核")</x:f>
        <x:v>150</x:v>
      </x:c>
      <x:c r="J24" s="21" t="str">
        <x:f>IF(AND(COUNT(INDEX('SKU明细'!$H$9:$H$1592,MATCH("[13306,""B07-CF-38""]",'SKU明细'!$AE$9:$AE$1592,0)))=1,COUNT(INDEX('SKU明细'!$G$9:$G$1592,MATCH("[13306,""B07-CF-38""]",'SKU明细'!$AE$9:$AE$1592,0)))=1,SUM(INDEX('SKU明细'!$G$9:$G$1592,MATCH("[13306,""B07-CF-38""]",'SKU明细'!$AE$9:$AE$1592,0)))&gt;0),SUM(INDEX('SKU明细'!$H$9:$H$1592,MATCH("[13306,""B07-CF-38""]",'SKU明细'!$AE$9:$AE$1592,0)))/SUM(INDEX('SKU明细'!$G$9:$G$1592,MATCH("[13306,""B07-CF-38""]",'SKU明细'!$AE$9:$AE$1592,0))),"待核")</x:f>
        <x:v>待核</x:v>
      </x:c>
      <x:c r="K24" s="21" t="str">
        <x:f>"—"</x:f>
        <x:v>—</x:v>
      </x:c>
      <x:c r="L24" s="21" t="n">
        <x:f>IF(AND(COUNT(INDEX('SKU明细'!$H$9:$H$1592,MATCH("[13306,""B07-CF-39""]",'SKU明细'!$AE$9:$AE$1592,0)))=1,COUNT(INDEX('SKU明细'!$G$9:$G$1592,MATCH("[13306,""B07-CF-39""]",'SKU明细'!$AE$9:$AE$1592,0)))=1,SUM(INDEX('SKU明细'!$G$9:$G$1592,MATCH("[13306,""B07-CF-39""]",'SKU明细'!$AE$9:$AE$1592,0)))&gt;0),SUM(INDEX('SKU明细'!$H$9:$H$1592,MATCH("[13306,""B07-CF-39""]",'SKU明细'!$AE$9:$AE$1592,0)))/SUM(INDEX('SKU明细'!$G$9:$G$1592,MATCH("[13306,""B07-CF-39""]",'SKU明细'!$AE$9:$AE$1592,0))),"待核")</x:f>
        <x:v>0</x:v>
      </x:c>
      <x:c r="M24" s="21" t="n">
        <x:f>IF(AND(COUNT(INDEX('SKU明细'!$H$9:$H$1592,MATCH("[13306,""B07-CF-39.5""]",'SKU明细'!$AE$9:$AE$1592,0)))=1,COUNT(INDEX('SKU明细'!$G$9:$G$1592,MATCH("[13306,""B07-CF-39.5""]",'SKU明细'!$AE$9:$AE$1592,0)))=1,SUM(INDEX('SKU明细'!$G$9:$G$1592,MATCH("[13306,""B07-CF-39.5""]",'SKU明细'!$AE$9:$AE$1592,0)))&gt;0),SUM(INDEX('SKU明细'!$H$9:$H$1592,MATCH("[13306,""B07-CF-39.5""]",'SKU明细'!$AE$9:$AE$1592,0)))/SUM(INDEX('SKU明细'!$G$9:$G$1592,MATCH("[13306,""B07-CF-39.5""]",'SKU明细'!$AE$9:$AE$1592,0))),"待核")</x:f>
        <x:v>0</x:v>
      </x:c>
      <x:c r="N24" s="21" t="n">
        <x:f>IF(AND(COUNT(INDEX('SKU明细'!$H$9:$H$1592,MATCH("[13306,""B07-CF-40""]",'SKU明细'!$AE$9:$AE$1592,0)))=1,COUNT(INDEX('SKU明细'!$G$9:$G$1592,MATCH("[13306,""B07-CF-40""]",'SKU明细'!$AE$9:$AE$1592,0)))=1,SUM(INDEX('SKU明细'!$G$9:$G$1592,MATCH("[13306,""B07-CF-40""]",'SKU明细'!$AE$9:$AE$1592,0)))&gt;0),SUM(INDEX('SKU明细'!$H$9:$H$1592,MATCH("[13306,""B07-CF-40""]",'SKU明细'!$AE$9:$AE$1592,0)))/SUM(INDEX('SKU明细'!$G$9:$G$1592,MATCH("[13306,""B07-CF-40""]",'SKU明细'!$AE$9:$AE$1592,0))),"待核")</x:f>
        <x:v>0</x:v>
      </x:c>
      <x:c r="O24" s="21" t="n">
        <x:f>IF(AND(COUNT(INDEX('SKU明细'!$H$9:$H$1592,MATCH("[13306,""B07-CF-40.5""]",'SKU明细'!$AE$9:$AE$1592,0)))=1,COUNT(INDEX('SKU明细'!$G$9:$G$1592,MATCH("[13306,""B07-CF-40.5""]",'SKU明细'!$AE$9:$AE$1592,0)))=1,SUM(INDEX('SKU明细'!$G$9:$G$1592,MATCH("[13306,""B07-CF-40.5""]",'SKU明细'!$AE$9:$AE$1592,0)))&gt;0),SUM(INDEX('SKU明细'!$H$9:$H$1592,MATCH("[13306,""B07-CF-40.5""]",'SKU明细'!$AE$9:$AE$1592,0)))/SUM(INDEX('SKU明细'!$G$9:$G$1592,MATCH("[13306,""B07-CF-40.5""]",'SKU明细'!$AE$9:$AE$1592,0))),"待核")</x:f>
        <x:v>224.99999999999997</x:v>
      </x:c>
      <x:c r="P24" s="21" t="n">
        <x:f>IF(AND(COUNT(INDEX('SKU明细'!$H$9:$H$1592,MATCH("[13306,""B07-CF-41""]",'SKU明细'!$AE$9:$AE$1592,0)))=1,COUNT(INDEX('SKU明细'!$G$9:$G$1592,MATCH("[13306,""B07-CF-41""]",'SKU明细'!$AE$9:$AE$1592,0)))=1,SUM(INDEX('SKU明细'!$G$9:$G$1592,MATCH("[13306,""B07-CF-41""]",'SKU明细'!$AE$9:$AE$1592,0)))&gt;0),SUM(INDEX('SKU明细'!$H$9:$H$1592,MATCH("[13306,""B07-CF-41""]",'SKU明细'!$AE$9:$AE$1592,0)))/SUM(INDEX('SKU明细'!$G$9:$G$1592,MATCH("[13306,""B07-CF-41""]",'SKU明细'!$AE$9:$AE$1592,0))),"待核")</x:f>
        <x:v>10.047846889952154</x:v>
      </x:c>
      <x:c r="Q24" s="21" t="n">
        <x:f>IF(AND(COUNT(INDEX('SKU明细'!$H$9:$H$1592,MATCH("[13306,""B07-CF-41.5""]",'SKU明细'!$AE$9:$AE$1592,0)))=1,COUNT(INDEX('SKU明细'!$G$9:$G$1592,MATCH("[13306,""B07-CF-41.5""]",'SKU明细'!$AE$9:$AE$1592,0)))=1,SUM(INDEX('SKU明细'!$G$9:$G$1592,MATCH("[13306,""B07-CF-41.5""]",'SKU明细'!$AE$9:$AE$1592,0)))&gt;0),SUM(INDEX('SKU明细'!$H$9:$H$1592,MATCH("[13306,""B07-CF-41.5""]",'SKU明细'!$AE$9:$AE$1592,0)))/SUM(INDEX('SKU明细'!$G$9:$G$1592,MATCH("[13306,""B07-CF-41.5""]",'SKU明细'!$AE$9:$AE$1592,0))),"待核")</x:f>
        <x:v>5700</x:v>
      </x:c>
      <x:c r="R24" s="21" t="str">
        <x:f>IF(AND(COUNT(INDEX('SKU明细'!$H$9:$H$1592,MATCH("[13306,""B07-CF-42""]",'SKU明细'!$AE$9:$AE$1592,0)))=1,COUNT(INDEX('SKU明细'!$G$9:$G$1592,MATCH("[13306,""B07-CF-42""]",'SKU明细'!$AE$9:$AE$1592,0)))=1,SUM(INDEX('SKU明细'!$G$9:$G$1592,MATCH("[13306,""B07-CF-42""]",'SKU明细'!$AE$9:$AE$1592,0)))&gt;0),SUM(INDEX('SKU明细'!$H$9:$H$1592,MATCH("[13306,""B07-CF-42""]",'SKU明细'!$AE$9:$AE$1592,0)))/SUM(INDEX('SKU明细'!$G$9:$G$1592,MATCH("[13306,""B07-CF-42""]",'SKU明细'!$AE$9:$AE$1592,0))),"待核")</x:f>
        <x:v>待核</x:v>
      </x:c>
      <x:c r="S24" s="21" t="n">
        <x:f>IF(AND(COUNT(INDEX('SKU明细'!$H$9:$H$1592,MATCH("[13306,""B07-CF-41.5""]",'SKU明细'!$AE$9:$AE$1592,0)),INDEX('SKU明细'!$H$9:$H$1592,MATCH("[13306,""B07-CF-37""]",'SKU明细'!$AE$9:$AE$1592,0)),INDEX('SKU明细'!$H$9:$H$1592,MATCH("[13306,""B07-CF-40.5""]",'SKU明细'!$AE$9:$AE$1592,0)),INDEX('SKU明细'!$H$9:$H$1592,MATCH("[13306,""B07-CF-37.5""]",'SKU明细'!$AE$9:$AE$1592,0)),INDEX('SKU明细'!$H$9:$H$1592,MATCH("[13306,""B07-CF-38""]",'SKU明细'!$AE$9:$AE$1592,0)),INDEX('SKU明细'!$H$9:$H$1592,MATCH("[13306,""B07-CF-39""]",'SKU明细'!$AE$9:$AE$1592,0)),INDEX('SKU明细'!$H$9:$H$1592,MATCH("[13306,""B07-CF-39.5""]",'SKU明细'!$AE$9:$AE$1592,0)),INDEX('SKU明细'!$H$9:$H$1592,MATCH("[13306,""B07-CF-40""]",'SKU明细'!$AE$9:$AE$1592,0)),INDEX('SKU明细'!$H$9:$H$1592,MATCH("[13306,""B07-CF-42""]",'SKU明细'!$AE$9:$AE$1592,0)),INDEX('SKU明细'!$H$9:$H$1592,MATCH("[13306,""B07-CF-41""]",'SKU明细'!$AE$9:$AE$1592,0)))=10,COUNT(INDEX('SKU明细'!$G$9:$G$1592,MATCH("[13306,""B07-CF-41.5""]",'SKU明细'!$AE$9:$AE$1592,0)),INDEX('SKU明细'!$G$9:$G$1592,MATCH("[13306,""B07-CF-37""]",'SKU明细'!$AE$9:$AE$1592,0)),INDEX('SKU明细'!$G$9:$G$1592,MATCH("[13306,""B07-CF-40.5""]",'SKU明细'!$AE$9:$AE$1592,0)),INDEX('SKU明细'!$G$9:$G$1592,MATCH("[13306,""B07-CF-37.5""]",'SKU明细'!$AE$9:$AE$1592,0)),INDEX('SKU明细'!$G$9:$G$1592,MATCH("[13306,""B07-CF-38""]",'SKU明细'!$AE$9:$AE$1592,0)),INDEX('SKU明细'!$G$9:$G$1592,MATCH("[13306,""B07-CF-39""]",'SKU明细'!$AE$9:$AE$1592,0)),INDEX('SKU明细'!$G$9:$G$1592,MATCH("[13306,""B07-CF-39.5""]",'SKU明细'!$AE$9:$AE$1592,0)),INDEX('SKU明细'!$G$9:$G$1592,MATCH("[13306,""B07-CF-40""]",'SKU明细'!$AE$9:$AE$1592,0)),INDEX('SKU明细'!$G$9:$G$1592,MATCH("[13306,""B07-CF-42""]",'SKU明细'!$AE$9:$AE$1592,0)),INDEX('SKU明细'!$G$9:$G$1592,MATCH("[13306,""B07-CF-41""]",'SKU明细'!$AE$9:$AE$1592,0)))=10,SUM(INDEX('SKU明细'!$G$9:$G$1592,MATCH("[13306,""B07-CF-41.5""]",'SKU明细'!$AE$9:$AE$1592,0)),INDEX('SKU明细'!$G$9:$G$1592,MATCH("[13306,""B07-CF-37""]",'SKU明细'!$AE$9:$AE$1592,0)),INDEX('SKU明细'!$G$9:$G$1592,MATCH("[13306,""B07-CF-40.5""]",'SKU明细'!$AE$9:$AE$1592,0)),INDEX('SKU明细'!$G$9:$G$1592,MATCH("[13306,""B07-CF-37.5""]",'SKU明细'!$AE$9:$AE$1592,0)),INDEX('SKU明细'!$G$9:$G$1592,MATCH("[13306,""B07-CF-38""]",'SKU明细'!$AE$9:$AE$1592,0)),INDEX('SKU明细'!$G$9:$G$1592,MATCH("[13306,""B07-CF-39""]",'SKU明细'!$AE$9:$AE$1592,0)),INDEX('SKU明细'!$G$9:$G$1592,MATCH("[13306,""B07-CF-39.5""]",'SKU明细'!$AE$9:$AE$1592,0)),INDEX('SKU明细'!$G$9:$G$1592,MATCH("[13306,""B07-CF-40""]",'SKU明细'!$AE$9:$AE$1592,0)),INDEX('SKU明细'!$G$9:$G$1592,MATCH("[13306,""B07-CF-42""]",'SKU明细'!$AE$9:$AE$1592,0)),INDEX('SKU明细'!$G$9:$G$1592,MATCH("[13306,""B07-CF-41""]",'SKU明细'!$AE$9:$AE$1592,0)))&gt;0),SUM(INDEX('SKU明细'!$H$9:$H$1592,MATCH("[13306,""B07-CF-41.5""]",'SKU明细'!$AE$9:$AE$1592,0)),INDEX('SKU明细'!$H$9:$H$1592,MATCH("[13306,""B07-CF-37""]",'SKU明细'!$AE$9:$AE$1592,0)),INDEX('SKU明细'!$H$9:$H$1592,MATCH("[13306,""B07-CF-40.5""]",'SKU明细'!$AE$9:$AE$1592,0)),INDEX('SKU明细'!$H$9:$H$1592,MATCH("[13306,""B07-CF-37.5""]",'SKU明细'!$AE$9:$AE$1592,0)),INDEX('SKU明细'!$H$9:$H$1592,MATCH("[13306,""B07-CF-38""]",'SKU明细'!$AE$9:$AE$1592,0)),INDEX('SKU明细'!$H$9:$H$1592,MATCH("[13306,""B07-CF-39""]",'SKU明细'!$AE$9:$AE$1592,0)),INDEX('SKU明细'!$H$9:$H$1592,MATCH("[13306,""B07-CF-39.5""]",'SKU明细'!$AE$9:$AE$1592,0)),INDEX('SKU明细'!$H$9:$H$1592,MATCH("[13306,""B07-CF-40""]",'SKU明细'!$AE$9:$AE$1592,0)),INDEX('SKU明细'!$H$9:$H$1592,MATCH("[13306,""B07-CF-42""]",'SKU明细'!$AE$9:$AE$1592,0)),INDEX('SKU明细'!$H$9:$H$1592,MATCH("[13306,""B07-CF-41""]",'SKU明细'!$AE$9:$AE$1592,0)))/SUM(INDEX('SKU明细'!$G$9:$G$1592,MATCH("[13306,""B07-CF-41.5""]",'SKU明细'!$AE$9:$AE$1592,0)),INDEX('SKU明细'!$G$9:$G$1592,MATCH("[13306,""B07-CF-37""]",'SKU明细'!$AE$9:$AE$1592,0)),INDEX('SKU明细'!$G$9:$G$1592,MATCH("[13306,""B07-CF-40.5""]",'SKU明细'!$AE$9:$AE$1592,0)),INDEX('SKU明细'!$G$9:$G$1592,MATCH("[13306,""B07-CF-37.5""]",'SKU明细'!$AE$9:$AE$1592,0)),INDEX('SKU明细'!$G$9:$G$1592,MATCH("[13306,""B07-CF-38""]",'SKU明细'!$AE$9:$AE$1592,0)),INDEX('SKU明细'!$G$9:$G$1592,MATCH("[13306,""B07-CF-39""]",'SKU明细'!$AE$9:$AE$1592,0)),INDEX('SKU明细'!$G$9:$G$1592,MATCH("[13306,""B07-CF-39.5""]",'SKU明细'!$AE$9:$AE$1592,0)),INDEX('SKU明细'!$G$9:$G$1592,MATCH("[13306,""B07-CF-40""]",'SKU明细'!$AE$9:$AE$1592,0)),INDEX('SKU明细'!$G$9:$G$1592,MATCH("[13306,""B07-CF-42""]",'SKU明细'!$AE$9:$AE$1592,0)),INDEX('SKU明细'!$G$9:$G$1592,MATCH("[13306,""B07-CF-41""]",'SKU明细'!$AE$9:$AE$1592,0))),"待核")</x:f>
        <x:v>150.13748854262147</x:v>
      </x:c>
      <x:c r="T24" s="21" t="n">
        <x:f>IF(AND(COUNT(INDEX('SKU明细'!$I$9:$I$1592,MATCH("[13306,""B07-CF-41.5""]",'SKU明细'!$AE$9:$AE$1592,0)),INDEX('SKU明细'!$I$9:$I$1592,MATCH("[13306,""B07-CF-37""]",'SKU明细'!$AE$9:$AE$1592,0)),INDEX('SKU明细'!$I$9:$I$1592,MATCH("[13306,""B07-CF-40.5""]",'SKU明细'!$AE$9:$AE$1592,0)),INDEX('SKU明细'!$I$9:$I$1592,MATCH("[13306,""B07-CF-37.5""]",'SKU明细'!$AE$9:$AE$1592,0)),INDEX('SKU明细'!$I$9:$I$1592,MATCH("[13306,""B07-CF-38""]",'SKU明细'!$AE$9:$AE$1592,0)),INDEX('SKU明细'!$I$9:$I$1592,MATCH("[13306,""B07-CF-39""]",'SKU明细'!$AE$9:$AE$1592,0)),INDEX('SKU明细'!$I$9:$I$1592,MATCH("[13306,""B07-CF-39.5""]",'SKU明细'!$AE$9:$AE$1592,0)),INDEX('SKU明细'!$I$9:$I$1592,MATCH("[13306,""B07-CF-40""]",'SKU明细'!$AE$9:$AE$1592,0)),INDEX('SKU明细'!$I$9:$I$1592,MATCH("[13306,""B07-CF-42""]",'SKU明细'!$AE$9:$AE$1592,0)),INDEX('SKU明细'!$I$9:$I$1592,MATCH("[13306,""B07-CF-41""]",'SKU明细'!$AE$9:$AE$1592,0)))=10,COUNT(INDEX('SKU明细'!$AD$9:$AD$1592,MATCH("[13306,""B07-CF-41.5""]",'SKU明细'!$AE$9:$AE$1592,0)),INDEX('SKU明细'!$AD$9:$AD$1592,MATCH("[13306,""B07-CF-37""]",'SKU明细'!$AE$9:$AE$1592,0)),INDEX('SKU明细'!$AD$9:$AD$1592,MATCH("[13306,""B07-CF-40.5""]",'SKU明细'!$AE$9:$AE$1592,0)),INDEX('SKU明细'!$AD$9:$AD$1592,MATCH("[13306,""B07-CF-37.5""]",'SKU明细'!$AE$9:$AE$1592,0)),INDEX('SKU明细'!$AD$9:$AD$1592,MATCH("[13306,""B07-CF-38""]",'SKU明细'!$AE$9:$AE$1592,0)),INDEX('SKU明细'!$AD$9:$AD$1592,MATCH("[13306,""B07-CF-39""]",'SKU明细'!$AE$9:$AE$1592,0)),INDEX('SKU明细'!$AD$9:$AD$1592,MATCH("[13306,""B07-CF-39.5""]",'SKU明细'!$AE$9:$AE$1592,0)),INDEX('SKU明细'!$AD$9:$AD$1592,MATCH("[13306,""B07-CF-40""]",'SKU明细'!$AE$9:$AE$1592,0)),INDEX('SKU明细'!$AD$9:$AD$1592,MATCH("[13306,""B07-CF-42""]",'SKU明细'!$AE$9:$AE$1592,0)),INDEX('SKU明细'!$AD$9:$AD$1592,MATCH("[13306,""B07-CF-41""]",'SKU明细'!$AE$9:$AE$1592,0)))=10,SUM(INDEX('SKU明细'!$AD$9:$AD$1592,MATCH("[13306,""B07-CF-41.5""]",'SKU明细'!$AE$9:$AE$1592,0)),INDEX('SKU明细'!$AD$9:$AD$1592,MATCH("[13306,""B07-CF-37""]",'SKU明细'!$AE$9:$AE$1592,0)),INDEX('SKU明细'!$AD$9:$AD$1592,MATCH("[13306,""B07-CF-40.5""]",'SKU明细'!$AE$9:$AE$1592,0)),INDEX('SKU明细'!$AD$9:$AD$1592,MATCH("[13306,""B07-CF-37.5""]",'SKU明细'!$AE$9:$AE$1592,0)),INDEX('SKU明细'!$AD$9:$AD$1592,MATCH("[13306,""B07-CF-38""]",'SKU明细'!$AE$9:$AE$1592,0)),INDEX('SKU明细'!$AD$9:$AD$1592,MATCH("[13306,""B07-CF-39""]",'SKU明细'!$AE$9:$AE$1592,0)),INDEX('SKU明细'!$AD$9:$AD$1592,MATCH("[13306,""B07-CF-39.5""]",'SKU明细'!$AE$9:$AE$1592,0)),INDEX('SKU明细'!$AD$9:$AD$1592,MATCH("[13306,""B07-CF-40""]",'SKU明细'!$AE$9:$AE$1592,0)),INDEX('SKU明细'!$AD$9:$AD$1592,MATCH("[13306,""B07-CF-42""]",'SKU明细'!$AE$9:$AE$1592,0)),INDEX('SKU明细'!$AD$9:$AD$1592,MATCH("[13306,""B07-CF-41""]",'SKU明细'!$AE$9:$AE$1592,0)))&gt;0),SUM(INDEX('SKU明细'!$I$9:$I$1592,MATCH("[13306,""B07-CF-41.5""]",'SKU明细'!$AE$9:$AE$1592,0)),INDEX('SKU明细'!$I$9:$I$1592,MATCH("[13306,""B07-CF-37""]",'SKU明细'!$AE$9:$AE$1592,0)),INDEX('SKU明细'!$I$9:$I$1592,MATCH("[13306,""B07-CF-40.5""]",'SKU明细'!$AE$9:$AE$1592,0)),INDEX('SKU明细'!$I$9:$I$1592,MATCH("[13306,""B07-CF-37.5""]",'SKU明细'!$AE$9:$AE$1592,0)),INDEX('SKU明细'!$I$9:$I$1592,MATCH("[13306,""B07-CF-38""]",'SKU明细'!$AE$9:$AE$1592,0)),INDEX('SKU明细'!$I$9:$I$1592,MATCH("[13306,""B07-CF-39""]",'SKU明细'!$AE$9:$AE$1592,0)),INDEX('SKU明细'!$I$9:$I$1592,MATCH("[13306,""B07-CF-39.5""]",'SKU明细'!$AE$9:$AE$1592,0)),INDEX('SKU明细'!$I$9:$I$1592,MATCH("[13306,""B07-CF-40""]",'SKU明细'!$AE$9:$AE$1592,0)),INDEX('SKU明细'!$I$9:$I$1592,MATCH("[13306,""B07-CF-42""]",'SKU明细'!$AE$9:$AE$1592,0)),INDEX('SKU明细'!$I$9:$I$1592,MATCH("[13306,""B07-CF-41""]",'SKU明细'!$AE$9:$AE$1592,0)))/SUM(INDEX('SKU明细'!$AD$9:$AD$1592,MATCH("[13306,""B07-CF-41.5""]",'SKU明细'!$AE$9:$AE$1592,0)),INDEX('SKU明细'!$AD$9:$AD$1592,MATCH("[13306,""B07-CF-37""]",'SKU明细'!$AE$9:$AE$1592,0)),INDEX('SKU明细'!$AD$9:$AD$1592,MATCH("[13306,""B07-CF-40.5""]",'SKU明细'!$AE$9:$AE$1592,0)),INDEX('SKU明细'!$AD$9:$AD$1592,MATCH("[13306,""B07-CF-37.5""]",'SKU明细'!$AE$9:$AE$1592,0)),INDEX('SKU明细'!$AD$9:$AD$1592,MATCH("[13306,""B07-CF-38""]",'SKU明细'!$AE$9:$AE$1592,0)),INDEX('SKU明细'!$AD$9:$AD$1592,MATCH("[13306,""B07-CF-39""]",'SKU明细'!$AE$9:$AE$1592,0)),INDEX('SKU明细'!$AD$9:$AD$1592,MATCH("[13306,""B07-CF-39.5""]",'SKU明细'!$AE$9:$AE$1592,0)),INDEX('SKU明细'!$AD$9:$AD$1592,MATCH("[13306,""B07-CF-40""]",'SKU明细'!$AE$9:$AE$1592,0)),INDEX('SKU明细'!$AD$9:$AD$1592,MATCH("[13306,""B07-CF-42""]",'SKU明细'!$AE$9:$AE$1592,0)),INDEX('SKU明细'!$AD$9:$AD$1592,MATCH("[13306,""B07-CF-41""]",'SKU明细'!$AE$9:$AE$1592,0))),"待核")</x:f>
        <x:v>27.313656828414207</x:v>
      </x:c>
      <x:c r="U24" s="21" t="n">
        <x:f>IF(COUNT(S24:T24)=2,S24-T24,"待核")</x:f>
        <x:v>122.82383171420726</x:v>
      </x:c>
      <x:c r="V24" s="22" t="n">
        <x:f>IF(AND(ISNUMBER(U24),ISNUMBER(T24),T24&lt;&gt;0),U24/T24,"")</x:f>
        <x:v>4.4967919340055005</x:v>
      </x:c>
      <x:c r="W24" s="23" t="n">
        <x:f>IF(COUNT(INDEX('SKU明细'!$H$9:$H$1592,MATCH("[13306,""B07-CF-41.5""]",'SKU明细'!$AE$9:$AE$1592,0)),INDEX('SKU明细'!$H$9:$H$1592,MATCH("[13306,""B07-CF-37""]",'SKU明细'!$AE$9:$AE$1592,0)),INDEX('SKU明细'!$H$9:$H$1592,MATCH("[13306,""B07-CF-40.5""]",'SKU明细'!$AE$9:$AE$1592,0)),INDEX('SKU明细'!$H$9:$H$1592,MATCH("[13306,""B07-CF-37.5""]",'SKU明细'!$AE$9:$AE$1592,0)),INDEX('SKU明细'!$H$9:$H$1592,MATCH("[13306,""B07-CF-38""]",'SKU明细'!$AE$9:$AE$1592,0)),INDEX('SKU明细'!$H$9:$H$1592,MATCH("[13306,""B07-CF-39""]",'SKU明细'!$AE$9:$AE$1592,0)),INDEX('SKU明细'!$H$9:$H$1592,MATCH("[13306,""B07-CF-39.5""]",'SKU明细'!$AE$9:$AE$1592,0)),INDEX('SKU明细'!$H$9:$H$1592,MATCH("[13306,""B07-CF-40""]",'SKU明细'!$AE$9:$AE$1592,0)),INDEX('SKU明细'!$H$9:$H$1592,MATCH("[13306,""B07-CF-42""]",'SKU明细'!$AE$9:$AE$1592,0)),INDEX('SKU明细'!$H$9:$H$1592,MATCH("[13306,""B07-CF-41""]",'SKU明细'!$AE$9:$AE$1592,0)))=0,"待核",SUM(INDEX('SKU明细'!$H$9:$H$1592,MATCH("[13306,""B07-CF-41.5""]",'SKU明细'!$AE$9:$AE$1592,0)),INDEX('SKU明细'!$H$9:$H$1592,MATCH("[13306,""B07-CF-37""]",'SKU明细'!$AE$9:$AE$1592,0)),INDEX('SKU明细'!$H$9:$H$1592,MATCH("[13306,""B07-CF-40.5""]",'SKU明细'!$AE$9:$AE$1592,0)),INDEX('SKU明细'!$H$9:$H$1592,MATCH("[13306,""B07-CF-37.5""]",'SKU明细'!$AE$9:$AE$1592,0)),INDEX('SKU明细'!$H$9:$H$1592,MATCH("[13306,""B07-CF-38""]",'SKU明细'!$AE$9:$AE$1592,0)),INDEX('SKU明细'!$H$9:$H$1592,MATCH("[13306,""B07-CF-39""]",'SKU明细'!$AE$9:$AE$1592,0)),INDEX('SKU明细'!$H$9:$H$1592,MATCH("[13306,""B07-CF-39.5""]",'SKU明细'!$AE$9:$AE$1592,0)),INDEX('SKU明细'!$H$9:$H$1592,MATCH("[13306,""B07-CF-40""]",'SKU明细'!$AE$9:$AE$1592,0)),INDEX('SKU明细'!$H$9:$H$1592,MATCH("[13306,""B07-CF-42""]",'SKU明细'!$AE$9:$AE$1592,0)),INDEX('SKU明细'!$H$9:$H$1592,MATCH("[13306,""B07-CF-41""]",'SKU明细'!$AE$9:$AE$1592,0))))</x:f>
        <x:v>78</x:v>
      </x:c>
      <x:c r="X24" s="24" t="str">
        <x:f>IF(COUNTIFS('SKU明细'!$AH$9:$AH$1592,"[""B07"",""B07-CF"",""CF"",""咖色PU""]",'SKU明细'!$E$9:$E$1592,"促销")&gt;0,"促销 ","")&amp;IF(COUNTIFS('SKU明细'!$AH$9:$AH$1592,"[""B07"",""B07-CF"",""CF"",""咖色PU""]",'SKU明细'!$E$9:$E$1592,"红线促销")&gt;0,"红线促销 ","")&amp;IF(COUNTIFS('SKU明细'!$AH$9:$AH$1592,"[""B07"",""B07-CF"",""CF"",""咖色PU""]",'SKU明细'!$E$9:$E$1592,"考虑清仓")&gt;0,"考虑清仓 ","")&amp;IF(COUNTIFS('SKU明细'!$AH$9:$AH$1592,"[""B07"",""B07-CF"",""CF"",""咖色PU""]",'SKU明细'!$E$9:$E$1592,"断货")&gt;0,"断货 ","")&amp;IF(COUNTIFS('SKU明细'!$AH$9:$AH$1592,"[""B07"",""B07-CF"",""CF"",""咖色PU""]",'SKU明细'!$E$9:$E$1592,"零日销待复核")&gt;0,"零日销待复核 ","")&amp;IF(COUNTIFS('SKU明细'!$AH$9:$AH$1592,"[""B07"",""B07-CF"",""CF"",""咖色PU""]",'SKU明细'!$E$9:$E$1592,"数据待核")&gt;0,"数据待核 ","")&amp;IF(COUNTIFS('SKU明细'!$AH$9:$AH$1592,"[""B07"",""B07-CF"",""CF"",""咖色PU""]",'SKU明细'!$E$9:$E$1592,"正常库存")&gt;0,"正常库存 ","")&amp;IF(COUNTIFS('SKU明细'!$AH$9:$AH$1592,"[""B07"",""B07-CF"",""CF"",""咖色PU""]",'SKU明细'!$E$9:$E$1592,"补货提醒")&gt;0,"补货提醒 ","")</x:f>
        <x:v>促销 红线促销 考虑清仓 断货 零日销待复核 补货提醒 </x:v>
      </x:c>
      <x:c r="Y24" s="24" t="str">
        <x:f>IF(NOT(ISNUMBER(U24)),"覆盖待核／无可比基准","完整可比")</x:f>
        <x:v>完整可比</x:v>
      </x:c>
      <x:c r="Z24" s="24" t="str">
        <x:v>在售</x:v>
      </x:c>
      <x:c r="AA24" s="24" t="n">
        <x:f>IF(SUMIFS('SKU明细'!$AF$9:$AF$1592,'SKU明细'!$D$9:$D$1592,A24,'SKU明细'!$Z$9:$Z$1592,"&lt;&gt;移出")=0,"待核",SUMIFS('SKU明细'!$H$9:$H$1592,'SKU明细'!$D$9:$D$1592,A24,'SKU明细'!$Z$9:$Z$1592,"&lt;&gt;移出"))</x:f>
        <x:v>2671</x:v>
      </x:c>
    </x:row>
    <x:row r="25" ht="54" customHeight="1">
      <x:c r="A25" s="20" t="str">
        <x:v>B07</x:v>
      </x:c>
      <x:c r="B25" s="20" t="str">
        <x:v>艾年</x:v>
      </x:c>
      <x:c r="C25" s="20" t="str">
        <x:v>灰色羊京绒</x:v>
      </x:c>
      <x:c r="D25" s="20" t="str">
        <x:v>GY</x:v>
      </x:c>
      <x:c r="E25" s="20" t="str">
        <x:v>B07-GY</x:v>
      </x:c>
      <x:c r="F25" s="20"/>
      <x:c r="G25" s="21" t="str">
        <x:f>"—"</x:f>
        <x:v>—</x:v>
      </x:c>
      <x:c r="H25" s="21" t="n">
        <x:f>IF(AND(COUNT(INDEX('SKU明细'!$H$9:$H$1592,MATCH("[13306,""B07-GY-37-by""]",'SKU明细'!$AE$9:$AE$1592,0)))=1,COUNT(INDEX('SKU明细'!$G$9:$G$1592,MATCH("[13306,""B07-GY-37-by""]",'SKU明细'!$AE$9:$AE$1592,0)))=1,SUM(INDEX('SKU明细'!$G$9:$G$1592,MATCH("[13306,""B07-GY-37-by""]",'SKU明细'!$AE$9:$AE$1592,0)))&gt;0),SUM(INDEX('SKU明细'!$H$9:$H$1592,MATCH("[13306,""B07-GY-37-by""]",'SKU明细'!$AE$9:$AE$1592,0)))/SUM(INDEX('SKU明细'!$G$9:$G$1592,MATCH("[13306,""B07-GY-37-by""]",'SKU明细'!$AE$9:$AE$1592,0))),"待核")</x:f>
        <x:v>0</x:v>
      </x:c>
      <x:c r="I25" s="21" t="str">
        <x:f>"—"</x:f>
        <x:v>—</x:v>
      </x:c>
      <x:c r="J25" s="21" t="str">
        <x:f>"—"</x:f>
        <x:v>—</x:v>
      </x:c>
      <x:c r="K25" s="21" t="str">
        <x:f>IF(AND(COUNT(INDEX('SKU明细'!$H$9:$H$1592,MATCH("[13306,""B07-GY-38.5""]",'SKU明细'!$AE$9:$AE$1592,0)))=1,COUNT(INDEX('SKU明细'!$G$9:$G$1592,MATCH("[13306,""B07-GY-38.5""]",'SKU明细'!$AE$9:$AE$1592,0)))=1,SUM(INDEX('SKU明细'!$G$9:$G$1592,MATCH("[13306,""B07-GY-38.5""]",'SKU明细'!$AE$9:$AE$1592,0)))&gt;0),SUM(INDEX('SKU明细'!$H$9:$H$1592,MATCH("[13306,""B07-GY-38.5""]",'SKU明细'!$AE$9:$AE$1592,0)))/SUM(INDEX('SKU明细'!$G$9:$G$1592,MATCH("[13306,""B07-GY-38.5""]",'SKU明细'!$AE$9:$AE$1592,0))),"待核")</x:f>
        <x:v>待核</x:v>
      </x:c>
      <x:c r="L25" s="21" t="str">
        <x:f>IF(AND(COUNT(INDEX('SKU明细'!$H$9:$H$1592,MATCH("[13306,""B07-GY-39-New""]",'SKU明细'!$AE$9:$AE$1592,0)))=1,COUNT(INDEX('SKU明细'!$G$9:$G$1592,MATCH("[13306,""B07-GY-39-New""]",'SKU明细'!$AE$9:$AE$1592,0)))=1,SUM(INDEX('SKU明细'!$G$9:$G$1592,MATCH("[13306,""B07-GY-39-New""]",'SKU明细'!$AE$9:$AE$1592,0)))&gt;0),SUM(INDEX('SKU明细'!$H$9:$H$1592,MATCH("[13306,""B07-GY-39-New""]",'SKU明细'!$AE$9:$AE$1592,0)))/SUM(INDEX('SKU明细'!$G$9:$G$1592,MATCH("[13306,""B07-GY-39-New""]",'SKU明细'!$AE$9:$AE$1592,0))),"待核")</x:f>
        <x:v>待核</x:v>
      </x:c>
      <x:c r="M25" s="21" t="str">
        <x:f>IF(AND(COUNT(INDEX('SKU明细'!$H$9:$H$1592,MATCH("[13306,""B07-GY-39.5""]",'SKU明细'!$AE$9:$AE$1592,0)))=1,COUNT(INDEX('SKU明细'!$G$9:$G$1592,MATCH("[13306,""B07-GY-39.5""]",'SKU明细'!$AE$9:$AE$1592,0)))=1,SUM(INDEX('SKU明细'!$G$9:$G$1592,MATCH("[13306,""B07-GY-39.5""]",'SKU明细'!$AE$9:$AE$1592,0)))&gt;0),SUM(INDEX('SKU明细'!$H$9:$H$1592,MATCH("[13306,""B07-GY-39.5""]",'SKU明细'!$AE$9:$AE$1592,0)))/SUM(INDEX('SKU明细'!$G$9:$G$1592,MATCH("[13306,""B07-GY-39.5""]",'SKU明细'!$AE$9:$AE$1592,0))),"待核")</x:f>
        <x:v>待核</x:v>
      </x:c>
      <x:c r="N25" s="21" t="str">
        <x:f>"—"</x:f>
        <x:v>—</x:v>
      </x:c>
      <x:c r="O25" s="21" t="str">
        <x:f>IF(AND(COUNT(INDEX('SKU明细'!$H$9:$H$1592,MATCH("[13306,""B07-GY-40.5""]",'SKU明细'!$AE$9:$AE$1592,0)))=1,COUNT(INDEX('SKU明细'!$G$9:$G$1592,MATCH("[13306,""B07-GY-40.5""]",'SKU明细'!$AE$9:$AE$1592,0)))=1,SUM(INDEX('SKU明细'!$G$9:$G$1592,MATCH("[13306,""B07-GY-40.5""]",'SKU明细'!$AE$9:$AE$1592,0)))&gt;0),SUM(INDEX('SKU明细'!$H$9:$H$1592,MATCH("[13306,""B07-GY-40.5""]",'SKU明细'!$AE$9:$AE$1592,0)))/SUM(INDEX('SKU明细'!$G$9:$G$1592,MATCH("[13306,""B07-GY-40.5""]",'SKU明细'!$AE$9:$AE$1592,0))),"待核")</x:f>
        <x:v>待核</x:v>
      </x:c>
      <x:c r="P25" s="21" t="str">
        <x:f>"—"</x:f>
        <x:v>—</x:v>
      </x:c>
      <x:c r="Q25" s="21" t="str">
        <x:f>IF(AND(COUNT(INDEX('SKU明细'!$H$9:$H$1592,MATCH("[13306,""B07-GY-41.5""]",'SKU明细'!$AE$9:$AE$1592,0)))=1,COUNT(INDEX('SKU明细'!$G$9:$G$1592,MATCH("[13306,""B07-GY-41.5""]",'SKU明细'!$AE$9:$AE$1592,0)))=1,SUM(INDEX('SKU明细'!$G$9:$G$1592,MATCH("[13306,""B07-GY-41.5""]",'SKU明细'!$AE$9:$AE$1592,0)))&gt;0),SUM(INDEX('SKU明细'!$H$9:$H$1592,MATCH("[13306,""B07-GY-41.5""]",'SKU明细'!$AE$9:$AE$1592,0)))/SUM(INDEX('SKU明细'!$G$9:$G$1592,MATCH("[13306,""B07-GY-41.5""]",'SKU明细'!$AE$9:$AE$1592,0))),"待核")</x:f>
        <x:v>待核</x:v>
      </x:c>
      <x:c r="R25" s="21" t="str">
        <x:f>"—"</x:f>
        <x:v>—</x:v>
      </x:c>
      <x:c r="S25" s="21" t="n">
        <x:f>IF(AND(COUNT(INDEX('SKU明细'!$H$9:$H$1592,MATCH("[13306,""B07-GY-37-by""]",'SKU明细'!$AE$9:$AE$1592,0)),INDEX('SKU明细'!$H$9:$H$1592,MATCH("[13306,""B07-GY-38.5""]",'SKU明细'!$AE$9:$AE$1592,0)),INDEX('SKU明细'!$H$9:$H$1592,MATCH("[13306,""B07-GY-39-New""]",'SKU明细'!$AE$9:$AE$1592,0)),INDEX('SKU明细'!$H$9:$H$1592,MATCH("[13306,""B07-GY-39.5""]",'SKU明细'!$AE$9:$AE$1592,0)),INDEX('SKU明细'!$H$9:$H$1592,MATCH("[13306,""B07-GY-40.5""]",'SKU明细'!$AE$9:$AE$1592,0)),INDEX('SKU明细'!$H$9:$H$1592,MATCH("[13306,""B07-GY-41.5""]",'SKU明细'!$AE$9:$AE$1592,0)))=6,COUNT(INDEX('SKU明细'!$G$9:$G$1592,MATCH("[13306,""B07-GY-37-by""]",'SKU明细'!$AE$9:$AE$1592,0)),INDEX('SKU明细'!$G$9:$G$1592,MATCH("[13306,""B07-GY-38.5""]",'SKU明细'!$AE$9:$AE$1592,0)),INDEX('SKU明细'!$G$9:$G$1592,MATCH("[13306,""B07-GY-39-New""]",'SKU明细'!$AE$9:$AE$1592,0)),INDEX('SKU明细'!$G$9:$G$1592,MATCH("[13306,""B07-GY-39.5""]",'SKU明细'!$AE$9:$AE$1592,0)),INDEX('SKU明细'!$G$9:$G$1592,MATCH("[13306,""B07-GY-40.5""]",'SKU明细'!$AE$9:$AE$1592,0)),INDEX('SKU明细'!$G$9:$G$1592,MATCH("[13306,""B07-GY-41.5""]",'SKU明细'!$AE$9:$AE$1592,0)))=6,SUM(INDEX('SKU明细'!$G$9:$G$1592,MATCH("[13306,""B07-GY-37-by""]",'SKU明细'!$AE$9:$AE$1592,0)),INDEX('SKU明细'!$G$9:$G$1592,MATCH("[13306,""B07-GY-38.5""]",'SKU明细'!$AE$9:$AE$1592,0)),INDEX('SKU明细'!$G$9:$G$1592,MATCH("[13306,""B07-GY-39-New""]",'SKU明细'!$AE$9:$AE$1592,0)),INDEX('SKU明细'!$G$9:$G$1592,MATCH("[13306,""B07-GY-39.5""]",'SKU明细'!$AE$9:$AE$1592,0)),INDEX('SKU明细'!$G$9:$G$1592,MATCH("[13306,""B07-GY-40.5""]",'SKU明细'!$AE$9:$AE$1592,0)),INDEX('SKU明细'!$G$9:$G$1592,MATCH("[13306,""B07-GY-41.5""]",'SKU明细'!$AE$9:$AE$1592,0)))&gt;0),SUM(INDEX('SKU明细'!$H$9:$H$1592,MATCH("[13306,""B07-GY-37-by""]",'SKU明细'!$AE$9:$AE$1592,0)),INDEX('SKU明细'!$H$9:$H$1592,MATCH("[13306,""B07-GY-38.5""]",'SKU明细'!$AE$9:$AE$1592,0)),INDEX('SKU明细'!$H$9:$H$1592,MATCH("[13306,""B07-GY-39-New""]",'SKU明细'!$AE$9:$AE$1592,0)),INDEX('SKU明细'!$H$9:$H$1592,MATCH("[13306,""B07-GY-39.5""]",'SKU明细'!$AE$9:$AE$1592,0)),INDEX('SKU明细'!$H$9:$H$1592,MATCH("[13306,""B07-GY-40.5""]",'SKU明细'!$AE$9:$AE$1592,0)),INDEX('SKU明细'!$H$9:$H$1592,MATCH("[13306,""B07-GY-41.5""]",'SKU明细'!$AE$9:$AE$1592,0)))/SUM(INDEX('SKU明细'!$G$9:$G$1592,MATCH("[13306,""B07-GY-37-by""]",'SKU明细'!$AE$9:$AE$1592,0)),INDEX('SKU明细'!$G$9:$G$1592,MATCH("[13306,""B07-GY-38.5""]",'SKU明细'!$AE$9:$AE$1592,0)),INDEX('SKU明细'!$G$9:$G$1592,MATCH("[13306,""B07-GY-39-New""]",'SKU明细'!$AE$9:$AE$1592,0)),INDEX('SKU明细'!$G$9:$G$1592,MATCH("[13306,""B07-GY-39.5""]",'SKU明细'!$AE$9:$AE$1592,0)),INDEX('SKU明细'!$G$9:$G$1592,MATCH("[13306,""B07-GY-40.5""]",'SKU明细'!$AE$9:$AE$1592,0)),INDEX('SKU明细'!$G$9:$G$1592,MATCH("[13306,""B07-GY-41.5""]",'SKU明细'!$AE$9:$AE$1592,0))),"待核")</x:f>
        <x:v>0</x:v>
      </x:c>
      <x:c r="T25" s="21" t="str">
        <x:f>IF(AND(COUNT(INDEX('SKU明细'!$I$9:$I$1592,MATCH("[13306,""B07-GY-37-by""]",'SKU明细'!$AE$9:$AE$1592,0)),INDEX('SKU明细'!$I$9:$I$1592,MATCH("[13306,""B07-GY-38.5""]",'SKU明细'!$AE$9:$AE$1592,0)),INDEX('SKU明细'!$I$9:$I$1592,MATCH("[13306,""B07-GY-39-New""]",'SKU明细'!$AE$9:$AE$1592,0)),INDEX('SKU明细'!$I$9:$I$1592,MATCH("[13306,""B07-GY-39.5""]",'SKU明细'!$AE$9:$AE$1592,0)),INDEX('SKU明细'!$I$9:$I$1592,MATCH("[13306,""B07-GY-40.5""]",'SKU明细'!$AE$9:$AE$1592,0)),INDEX('SKU明细'!$I$9:$I$1592,MATCH("[13306,""B07-GY-41.5""]",'SKU明细'!$AE$9:$AE$1592,0)))=6,COUNT(INDEX('SKU明细'!$AD$9:$AD$1592,MATCH("[13306,""B07-GY-37-by""]",'SKU明细'!$AE$9:$AE$1592,0)),INDEX('SKU明细'!$AD$9:$AD$1592,MATCH("[13306,""B07-GY-38.5""]",'SKU明细'!$AE$9:$AE$1592,0)),INDEX('SKU明细'!$AD$9:$AD$1592,MATCH("[13306,""B07-GY-39-New""]",'SKU明细'!$AE$9:$AE$1592,0)),INDEX('SKU明细'!$AD$9:$AD$1592,MATCH("[13306,""B07-GY-39.5""]",'SKU明细'!$AE$9:$AE$1592,0)),INDEX('SKU明细'!$AD$9:$AD$1592,MATCH("[13306,""B07-GY-40.5""]",'SKU明细'!$AE$9:$AE$1592,0)),INDEX('SKU明细'!$AD$9:$AD$1592,MATCH("[13306,""B07-GY-41.5""]",'SKU明细'!$AE$9:$AE$1592,0)))=6,SUM(INDEX('SKU明细'!$AD$9:$AD$1592,MATCH("[13306,""B07-GY-37-by""]",'SKU明细'!$AE$9:$AE$1592,0)),INDEX('SKU明细'!$AD$9:$AD$1592,MATCH("[13306,""B07-GY-38.5""]",'SKU明细'!$AE$9:$AE$1592,0)),INDEX('SKU明细'!$AD$9:$AD$1592,MATCH("[13306,""B07-GY-39-New""]",'SKU明细'!$AE$9:$AE$1592,0)),INDEX('SKU明细'!$AD$9:$AD$1592,MATCH("[13306,""B07-GY-39.5""]",'SKU明细'!$AE$9:$AE$1592,0)),INDEX('SKU明细'!$AD$9:$AD$1592,MATCH("[13306,""B07-GY-40.5""]",'SKU明细'!$AE$9:$AE$1592,0)),INDEX('SKU明细'!$AD$9:$AD$1592,MATCH("[13306,""B07-GY-41.5""]",'SKU明细'!$AE$9:$AE$1592,0)))&gt;0),SUM(INDEX('SKU明细'!$I$9:$I$1592,MATCH("[13306,""B07-GY-37-by""]",'SKU明细'!$AE$9:$AE$1592,0)),INDEX('SKU明细'!$I$9:$I$1592,MATCH("[13306,""B07-GY-38.5""]",'SKU明细'!$AE$9:$AE$1592,0)),INDEX('SKU明细'!$I$9:$I$1592,MATCH("[13306,""B07-GY-39-New""]",'SKU明细'!$AE$9:$AE$1592,0)),INDEX('SKU明细'!$I$9:$I$1592,MATCH("[13306,""B07-GY-39.5""]",'SKU明细'!$AE$9:$AE$1592,0)),INDEX('SKU明细'!$I$9:$I$1592,MATCH("[13306,""B07-GY-40.5""]",'SKU明细'!$AE$9:$AE$1592,0)),INDEX('SKU明细'!$I$9:$I$1592,MATCH("[13306,""B07-GY-41.5""]",'SKU明细'!$AE$9:$AE$1592,0)))/SUM(INDEX('SKU明细'!$AD$9:$AD$1592,MATCH("[13306,""B07-GY-37-by""]",'SKU明细'!$AE$9:$AE$1592,0)),INDEX('SKU明细'!$AD$9:$AD$1592,MATCH("[13306,""B07-GY-38.5""]",'SKU明细'!$AE$9:$AE$1592,0)),INDEX('SKU明细'!$AD$9:$AD$1592,MATCH("[13306,""B07-GY-39-New""]",'SKU明细'!$AE$9:$AE$1592,0)),INDEX('SKU明细'!$AD$9:$AD$1592,MATCH("[13306,""B07-GY-39.5""]",'SKU明细'!$AE$9:$AE$1592,0)),INDEX('SKU明细'!$AD$9:$AD$1592,MATCH("[13306,""B07-GY-40.5""]",'SKU明细'!$AE$9:$AE$1592,0)),INDEX('SKU明细'!$AD$9:$AD$1592,MATCH("[13306,""B07-GY-41.5""]",'SKU明细'!$AE$9:$AE$1592,0))),"待核")</x:f>
        <x:v>待核</x:v>
      </x:c>
      <x:c r="U25" s="21" t="str">
        <x:f>IF(COUNT(S25:T25)=2,S25-T25,"待核")</x:f>
        <x:v>待核</x:v>
      </x:c>
      <x:c r="V25" s="22" t="str">
        <x:f>IF(AND(ISNUMBER(U25),ISNUMBER(T25),T25&lt;&gt;0),U25/T25,"")</x:f>
      </x:c>
      <x:c r="W25" s="23" t="n">
        <x:f>IF(COUNT(INDEX('SKU明细'!$H$9:$H$1592,MATCH("[13306,""B07-GY-37-by""]",'SKU明细'!$AE$9:$AE$1592,0)),INDEX('SKU明细'!$H$9:$H$1592,MATCH("[13306,""B07-GY-38.5""]",'SKU明细'!$AE$9:$AE$1592,0)),INDEX('SKU明细'!$H$9:$H$1592,MATCH("[13306,""B07-GY-39-New""]",'SKU明细'!$AE$9:$AE$1592,0)),INDEX('SKU明细'!$H$9:$H$1592,MATCH("[13306,""B07-GY-39.5""]",'SKU明细'!$AE$9:$AE$1592,0)),INDEX('SKU明细'!$H$9:$H$1592,MATCH("[13306,""B07-GY-40.5""]",'SKU明细'!$AE$9:$AE$1592,0)),INDEX('SKU明细'!$H$9:$H$1592,MATCH("[13306,""B07-GY-41.5""]",'SKU明细'!$AE$9:$AE$1592,0)))=0,"待核",SUM(INDEX('SKU明细'!$H$9:$H$1592,MATCH("[13306,""B07-GY-37-by""]",'SKU明细'!$AE$9:$AE$1592,0)),INDEX('SKU明细'!$H$9:$H$1592,MATCH("[13306,""B07-GY-38.5""]",'SKU明细'!$AE$9:$AE$1592,0)),INDEX('SKU明细'!$H$9:$H$1592,MATCH("[13306,""B07-GY-39-New""]",'SKU明细'!$AE$9:$AE$1592,0)),INDEX('SKU明细'!$H$9:$H$1592,MATCH("[13306,""B07-GY-39.5""]",'SKU明细'!$AE$9:$AE$1592,0)),INDEX('SKU明细'!$H$9:$H$1592,MATCH("[13306,""B07-GY-40.5""]",'SKU明细'!$AE$9:$AE$1592,0)),INDEX('SKU明细'!$H$9:$H$1592,MATCH("[13306,""B07-GY-41.5""]",'SKU明细'!$AE$9:$AE$1592,0))))</x:f>
        <x:v>0</x:v>
      </x:c>
      <x:c r="X25" s="24" t="str">
        <x:f>IF(COUNTIFS('SKU明细'!$AH$9:$AH$1592,"[""B07"",""B07-GY"",""GY"",""灰色羊京绒""]",'SKU明细'!$E$9:$E$1592,"促销")&gt;0,"促销 ","")&amp;IF(COUNTIFS('SKU明细'!$AH$9:$AH$1592,"[""B07"",""B07-GY"",""GY"",""灰色羊京绒""]",'SKU明细'!$E$9:$E$1592,"红线促销")&gt;0,"红线促销 ","")&amp;IF(COUNTIFS('SKU明细'!$AH$9:$AH$1592,"[""B07"",""B07-GY"",""GY"",""灰色羊京绒""]",'SKU明细'!$E$9:$E$1592,"考虑清仓")&gt;0,"考虑清仓 ","")&amp;IF(COUNTIFS('SKU明细'!$AH$9:$AH$1592,"[""B07"",""B07-GY"",""GY"",""灰色羊京绒""]",'SKU明细'!$E$9:$E$1592,"断货")&gt;0,"断货 ","")&amp;IF(COUNTIFS('SKU明细'!$AH$9:$AH$1592,"[""B07"",""B07-GY"",""GY"",""灰色羊京绒""]",'SKU明细'!$E$9:$E$1592,"零日销待复核")&gt;0,"零日销待复核 ","")&amp;IF(COUNTIFS('SKU明细'!$AH$9:$AH$1592,"[""B07"",""B07-GY"",""GY"",""灰色羊京绒""]",'SKU明细'!$E$9:$E$1592,"数据待核")&gt;0,"数据待核 ","")&amp;IF(COUNTIFS('SKU明细'!$AH$9:$AH$1592,"[""B07"",""B07-GY"",""GY"",""灰色羊京绒""]",'SKU明细'!$E$9:$E$1592,"正常库存")&gt;0,"正常库存 ","")&amp;IF(COUNTIFS('SKU明细'!$AH$9:$AH$1592,"[""B07"",""B07-GY"",""GY"",""灰色羊京绒""]",'SKU明细'!$E$9:$E$1592,"补货提醒")&gt;0,"补货提醒 ","")</x:f>
        <x:v>断货 </x:v>
      </x:c>
      <x:c r="Y25" s="24" t="str">
        <x:f>IF(NOT(ISNUMBER(U25)),"覆盖待核／无可比基准","完整可比")</x:f>
        <x:v>覆盖待核／无可比基准</x:v>
      </x:c>
      <x:c r="Z25" s="24" t="str">
        <x:v>在售、停售</x:v>
      </x:c>
      <x:c r="AA25" s="24" t="n">
        <x:f>IF(SUMIFS('SKU明细'!$AF$9:$AF$1592,'SKU明细'!$D$9:$D$1592,A25,'SKU明细'!$Z$9:$Z$1592,"&lt;&gt;移出")=0,"待核",SUMIFS('SKU明细'!$H$9:$H$1592,'SKU明细'!$D$9:$D$1592,A25,'SKU明细'!$Z$9:$Z$1592,"&lt;&gt;移出"))</x:f>
        <x:v>2671</x:v>
      </x:c>
    </x:row>
    <x:row r="26" ht="54" customHeight="1">
      <x:c r="A26" s="20" t="str">
        <x:v>B07</x:v>
      </x:c>
      <x:c r="B26" s="20" t="str">
        <x:v>艾年</x:v>
      </x:c>
      <x:c r="C26" s="20" t="str">
        <x:v>米白色PU</x:v>
      </x:c>
      <x:c r="D26" s="20" t="str">
        <x:v>IV-P</x:v>
      </x:c>
      <x:c r="E26" s="20" t="str">
        <x:v>B07-IV-P</x:v>
      </x:c>
      <x:c r="F26" s="20"/>
      <x:c r="G26" s="21" t="str">
        <x:f>"—"</x:f>
        <x:v>—</x:v>
      </x:c>
      <x:c r="H26" s="21" t="str">
        <x:f>IF(AND(COUNT(INDEX('SKU明细'!$H$9:$H$1592,MATCH("[13306,""B07-IV-P-37""]",'SKU明细'!$AE$9:$AE$1592,0)))=1,COUNT(INDEX('SKU明细'!$G$9:$G$1592,MATCH("[13306,""B07-IV-P-37""]",'SKU明细'!$AE$9:$AE$1592,0)))=1,SUM(INDEX('SKU明细'!$G$9:$G$1592,MATCH("[13306,""B07-IV-P-37""]",'SKU明细'!$AE$9:$AE$1592,0)))&gt;0),SUM(INDEX('SKU明细'!$H$9:$H$1592,MATCH("[13306,""B07-IV-P-37""]",'SKU明细'!$AE$9:$AE$1592,0)))/SUM(INDEX('SKU明细'!$G$9:$G$1592,MATCH("[13306,""B07-IV-P-37""]",'SKU明细'!$AE$9:$AE$1592,0))),"待核")</x:f>
        <x:v>待核</x:v>
      </x:c>
      <x:c r="I26" s="21" t="str">
        <x:f>IF(AND(COUNT(INDEX('SKU明细'!$H$9:$H$1592,MATCH("[13306,""B07-IV-P-37.5""]",'SKU明细'!$AE$9:$AE$1592,0)))=1,COUNT(INDEX('SKU明细'!$G$9:$G$1592,MATCH("[13306,""B07-IV-P-37.5""]",'SKU明细'!$AE$9:$AE$1592,0)))=1,SUM(INDEX('SKU明细'!$G$9:$G$1592,MATCH("[13306,""B07-IV-P-37.5""]",'SKU明细'!$AE$9:$AE$1592,0)))&gt;0),SUM(INDEX('SKU明细'!$H$9:$H$1592,MATCH("[13306,""B07-IV-P-37.5""]",'SKU明细'!$AE$9:$AE$1592,0)))/SUM(INDEX('SKU明细'!$G$9:$G$1592,MATCH("[13306,""B07-IV-P-37.5""]",'SKU明细'!$AE$9:$AE$1592,0))),"待核")</x:f>
        <x:v>待核</x:v>
      </x:c>
      <x:c r="J26" s="21" t="n">
        <x:f>IF(AND(COUNT(INDEX('SKU明细'!$H$9:$H$1592,MATCH("[13306,""B07-IV-P-38""]",'SKU明细'!$AE$9:$AE$1592,0)))=1,COUNT(INDEX('SKU明细'!$G$9:$G$1592,MATCH("[13306,""B07-IV-P-38""]",'SKU明细'!$AE$9:$AE$1592,0)))=1,SUM(INDEX('SKU明细'!$G$9:$G$1592,MATCH("[13306,""B07-IV-P-38""]",'SKU明细'!$AE$9:$AE$1592,0)))&gt;0),SUM(INDEX('SKU明细'!$H$9:$H$1592,MATCH("[13306,""B07-IV-P-38""]",'SKU明细'!$AE$9:$AE$1592,0)))/SUM(INDEX('SKU明细'!$G$9:$G$1592,MATCH("[13306,""B07-IV-P-38""]",'SKU明细'!$AE$9:$AE$1592,0))),"待核")</x:f>
        <x:v>150</x:v>
      </x:c>
      <x:c r="K26" s="21" t="str">
        <x:f>"—"</x:f>
        <x:v>—</x:v>
      </x:c>
      <x:c r="L26" s="21" t="n">
        <x:f>IF(AND(COUNT(INDEX('SKU明细'!$H$9:$H$1592,MATCH("[13306,""B07-IV-P-39""]",'SKU明细'!$AE$9:$AE$1592,0)))=1,COUNT(INDEX('SKU明细'!$G$9:$G$1592,MATCH("[13306,""B07-IV-P-39""]",'SKU明细'!$AE$9:$AE$1592,0)))=1,SUM(INDEX('SKU明细'!$G$9:$G$1592,MATCH("[13306,""B07-IV-P-39""]",'SKU明细'!$AE$9:$AE$1592,0)))&gt;0),SUM(INDEX('SKU明细'!$H$9:$H$1592,MATCH("[13306,""B07-IV-P-39""]",'SKU明细'!$AE$9:$AE$1592,0)))/SUM(INDEX('SKU明细'!$G$9:$G$1592,MATCH("[13306,""B07-IV-P-39""]",'SKU明细'!$AE$9:$AE$1592,0))),"待核")</x:f>
        <x:v>1275</x:v>
      </x:c>
      <x:c r="M26" s="21" t="n">
        <x:f>IF(AND(COUNT(INDEX('SKU明细'!$H$9:$H$1592,MATCH("[13306,""B07-IV-P-39.5""]",'SKU明细'!$AE$9:$AE$1592,0)))=1,COUNT(INDEX('SKU明细'!$G$9:$G$1592,MATCH("[13306,""B07-IV-P-39.5""]",'SKU明细'!$AE$9:$AE$1592,0)))=1,SUM(INDEX('SKU明细'!$G$9:$G$1592,MATCH("[13306,""B07-IV-P-39.5""]",'SKU明细'!$AE$9:$AE$1592,0)))&gt;0),SUM(INDEX('SKU明细'!$H$9:$H$1592,MATCH("[13306,""B07-IV-P-39.5""]",'SKU明细'!$AE$9:$AE$1592,0)))/SUM(INDEX('SKU明细'!$G$9:$G$1592,MATCH("[13306,""B07-IV-P-39.5""]",'SKU明细'!$AE$9:$AE$1592,0))),"待核")</x:f>
        <x:v>1725</x:v>
      </x:c>
      <x:c r="N26" s="21" t="n">
        <x:f>IF(AND(COUNT(INDEX('SKU明细'!$H$9:$H$1592,MATCH("[13306,""B07-IV-P-40""]",'SKU明细'!$AE$9:$AE$1592,0)))=1,COUNT(INDEX('SKU明细'!$G$9:$G$1592,MATCH("[13306,""B07-IV-P-40""]",'SKU明细'!$AE$9:$AE$1592,0)))=1,SUM(INDEX('SKU明细'!$G$9:$G$1592,MATCH("[13306,""B07-IV-P-40""]",'SKU明细'!$AE$9:$AE$1592,0)))&gt;0),SUM(INDEX('SKU明细'!$H$9:$H$1592,MATCH("[13306,""B07-IV-P-40""]",'SKU明细'!$AE$9:$AE$1592,0)))/SUM(INDEX('SKU明细'!$G$9:$G$1592,MATCH("[13306,""B07-IV-P-40""]",'SKU明细'!$AE$9:$AE$1592,0))),"待核")</x:f>
        <x:v>75</x:v>
      </x:c>
      <x:c r="O26" s="21" t="n">
        <x:f>IF(AND(COUNT(INDEX('SKU明细'!$H$9:$H$1592,MATCH("[13306,""B07-IV-P-40.5""]",'SKU明细'!$AE$9:$AE$1592,0)))=1,COUNT(INDEX('SKU明细'!$G$9:$G$1592,MATCH("[13306,""B07-IV-P-40.5""]",'SKU明细'!$AE$9:$AE$1592,0)))=1,SUM(INDEX('SKU明细'!$G$9:$G$1592,MATCH("[13306,""B07-IV-P-40.5""]",'SKU明细'!$AE$9:$AE$1592,0)))&gt;0),SUM(INDEX('SKU明细'!$H$9:$H$1592,MATCH("[13306,""B07-IV-P-40.5""]",'SKU明细'!$AE$9:$AE$1592,0)))/SUM(INDEX('SKU明细'!$G$9:$G$1592,MATCH("[13306,""B07-IV-P-40.5""]",'SKU明细'!$AE$9:$AE$1592,0))),"待核")</x:f>
        <x:v>348.43049327354265</x:v>
      </x:c>
      <x:c r="P26" s="21" t="n">
        <x:f>IF(AND(COUNT(INDEX('SKU明细'!$H$9:$H$1592,MATCH("[13306,""B07-IV-P-41""]",'SKU明细'!$AE$9:$AE$1592,0)))=1,COUNT(INDEX('SKU明细'!$G$9:$G$1592,MATCH("[13306,""B07-IV-P-41""]",'SKU明细'!$AE$9:$AE$1592,0)))=1,SUM(INDEX('SKU明细'!$G$9:$G$1592,MATCH("[13306,""B07-IV-P-41""]",'SKU明细'!$AE$9:$AE$1592,0)))&gt;0),SUM(INDEX('SKU明细'!$H$9:$H$1592,MATCH("[13306,""B07-IV-P-41""]",'SKU明细'!$AE$9:$AE$1592,0)))/SUM(INDEX('SKU明细'!$G$9:$G$1592,MATCH("[13306,""B07-IV-P-41""]",'SKU明细'!$AE$9:$AE$1592,0))),"待核")</x:f>
        <x:v>150</x:v>
      </x:c>
      <x:c r="Q26" s="21" t="str">
        <x:f>IF(AND(COUNT(INDEX('SKU明细'!$H$9:$H$1592,MATCH("[13306,""B07-IV-P-41.5""]",'SKU明细'!$AE$9:$AE$1592,0)))=1,COUNT(INDEX('SKU明细'!$G$9:$G$1592,MATCH("[13306,""B07-IV-P-41.5""]",'SKU明细'!$AE$9:$AE$1592,0)))=1,SUM(INDEX('SKU明细'!$G$9:$G$1592,MATCH("[13306,""B07-IV-P-41.5""]",'SKU明细'!$AE$9:$AE$1592,0)))&gt;0),SUM(INDEX('SKU明细'!$H$9:$H$1592,MATCH("[13306,""B07-IV-P-41.5""]",'SKU明细'!$AE$9:$AE$1592,0)))/SUM(INDEX('SKU明细'!$G$9:$G$1592,MATCH("[13306,""B07-IV-P-41.5""]",'SKU明细'!$AE$9:$AE$1592,0))),"待核")</x:f>
        <x:v>待核</x:v>
      </x:c>
      <x:c r="R26" s="21" t="str">
        <x:f>IF(AND(COUNT(INDEX('SKU明细'!$H$9:$H$1592,MATCH("[13306,""B07-IV-P-42""]",'SKU明细'!$AE$9:$AE$1592,0)))=1,COUNT(INDEX('SKU明细'!$G$9:$G$1592,MATCH("[13306,""B07-IV-P-42""]",'SKU明细'!$AE$9:$AE$1592,0)))=1,SUM(INDEX('SKU明细'!$G$9:$G$1592,MATCH("[13306,""B07-IV-P-42""]",'SKU明细'!$AE$9:$AE$1592,0)))&gt;0),SUM(INDEX('SKU明细'!$H$9:$H$1592,MATCH("[13306,""B07-IV-P-42""]",'SKU明细'!$AE$9:$AE$1592,0)))/SUM(INDEX('SKU明细'!$G$9:$G$1592,MATCH("[13306,""B07-IV-P-42""]",'SKU明细'!$AE$9:$AE$1592,0))),"待核")</x:f>
        <x:v>待核</x:v>
      </x:c>
      <x:c r="S26" s="21" t="n">
        <x:f>IF(AND(COUNT(INDEX('SKU明细'!$H$9:$H$1592,MATCH("[13306,""B07-IV-P-39""]",'SKU明细'!$AE$9:$AE$1592,0)),INDEX('SKU明细'!$H$9:$H$1592,MATCH("[13306,""B07-IV-P-39.5""]",'SKU明细'!$AE$9:$AE$1592,0)),INDEX('SKU明细'!$H$9:$H$1592,MATCH("[13306,""B07-IV-P-40.5""]",'SKU明细'!$AE$9:$AE$1592,0)),INDEX('SKU明细'!$H$9:$H$1592,MATCH("[13306,""B07-IV-P-38""]",'SKU明细'!$AE$9:$AE$1592,0)),INDEX('SKU明细'!$H$9:$H$1592,MATCH("[13306,""B07-IV-P-41""]",'SKU明细'!$AE$9:$AE$1592,0)),INDEX('SKU明细'!$H$9:$H$1592,MATCH("[13306,""B07-IV-P-42""]",'SKU明细'!$AE$9:$AE$1592,0)),INDEX('SKU明细'!$H$9:$H$1592,MATCH("[13306,""B07-IV-P-37""]",'SKU明细'!$AE$9:$AE$1592,0)),INDEX('SKU明细'!$H$9:$H$1592,MATCH("[13306,""B07-IV-P-37.5""]",'SKU明细'!$AE$9:$AE$1592,0)),INDEX('SKU明细'!$H$9:$H$1592,MATCH("[13306,""B07-IV-P-41.5""]",'SKU明细'!$AE$9:$AE$1592,0)),INDEX('SKU明细'!$H$9:$H$1592,MATCH("[13306,""B07-IV-P-40""]",'SKU明细'!$AE$9:$AE$1592,0)))=10,COUNT(INDEX('SKU明细'!$G$9:$G$1592,MATCH("[13306,""B07-IV-P-39""]",'SKU明细'!$AE$9:$AE$1592,0)),INDEX('SKU明细'!$G$9:$G$1592,MATCH("[13306,""B07-IV-P-39.5""]",'SKU明细'!$AE$9:$AE$1592,0)),INDEX('SKU明细'!$G$9:$G$1592,MATCH("[13306,""B07-IV-P-40.5""]",'SKU明细'!$AE$9:$AE$1592,0)),INDEX('SKU明细'!$G$9:$G$1592,MATCH("[13306,""B07-IV-P-38""]",'SKU明细'!$AE$9:$AE$1592,0)),INDEX('SKU明细'!$G$9:$G$1592,MATCH("[13306,""B07-IV-P-41""]",'SKU明细'!$AE$9:$AE$1592,0)),INDEX('SKU明细'!$G$9:$G$1592,MATCH("[13306,""B07-IV-P-42""]",'SKU明细'!$AE$9:$AE$1592,0)),INDEX('SKU明细'!$G$9:$G$1592,MATCH("[13306,""B07-IV-P-37""]",'SKU明细'!$AE$9:$AE$1592,0)),INDEX('SKU明细'!$G$9:$G$1592,MATCH("[13306,""B07-IV-P-37.5""]",'SKU明细'!$AE$9:$AE$1592,0)),INDEX('SKU明细'!$G$9:$G$1592,MATCH("[13306,""B07-IV-P-41.5""]",'SKU明细'!$AE$9:$AE$1592,0)),INDEX('SKU明细'!$G$9:$G$1592,MATCH("[13306,""B07-IV-P-40""]",'SKU明细'!$AE$9:$AE$1592,0)))=10,SUM(INDEX('SKU明细'!$G$9:$G$1592,MATCH("[13306,""B07-IV-P-39""]",'SKU明细'!$AE$9:$AE$1592,0)),INDEX('SKU明细'!$G$9:$G$1592,MATCH("[13306,""B07-IV-P-39.5""]",'SKU明细'!$AE$9:$AE$1592,0)),INDEX('SKU明细'!$G$9:$G$1592,MATCH("[13306,""B07-IV-P-40.5""]",'SKU明细'!$AE$9:$AE$1592,0)),INDEX('SKU明细'!$G$9:$G$1592,MATCH("[13306,""B07-IV-P-38""]",'SKU明细'!$AE$9:$AE$1592,0)),INDEX('SKU明细'!$G$9:$G$1592,MATCH("[13306,""B07-IV-P-41""]",'SKU明细'!$AE$9:$AE$1592,0)),INDEX('SKU明细'!$G$9:$G$1592,MATCH("[13306,""B07-IV-P-42""]",'SKU明细'!$AE$9:$AE$1592,0)),INDEX('SKU明细'!$G$9:$G$1592,MATCH("[13306,""B07-IV-P-37""]",'SKU明细'!$AE$9:$AE$1592,0)),INDEX('SKU明细'!$G$9:$G$1592,MATCH("[13306,""B07-IV-P-37.5""]",'SKU明细'!$AE$9:$AE$1592,0)),INDEX('SKU明细'!$G$9:$G$1592,MATCH("[13306,""B07-IV-P-41.5""]",'SKU明细'!$AE$9:$AE$1592,0)),INDEX('SKU明细'!$G$9:$G$1592,MATCH("[13306,""B07-IV-P-40""]",'SKU明细'!$AE$9:$AE$1592,0)))&gt;0),SUM(INDEX('SKU明细'!$H$9:$H$1592,MATCH("[13306,""B07-IV-P-39""]",'SKU明细'!$AE$9:$AE$1592,0)),INDEX('SKU明细'!$H$9:$H$1592,MATCH("[13306,""B07-IV-P-39.5""]",'SKU明细'!$AE$9:$AE$1592,0)),INDEX('SKU明细'!$H$9:$H$1592,MATCH("[13306,""B07-IV-P-40.5""]",'SKU明细'!$AE$9:$AE$1592,0)),INDEX('SKU明细'!$H$9:$H$1592,MATCH("[13306,""B07-IV-P-38""]",'SKU明细'!$AE$9:$AE$1592,0)),INDEX('SKU明细'!$H$9:$H$1592,MATCH("[13306,""B07-IV-P-41""]",'SKU明细'!$AE$9:$AE$1592,0)),INDEX('SKU明细'!$H$9:$H$1592,MATCH("[13306,""B07-IV-P-42""]",'SKU明细'!$AE$9:$AE$1592,0)),INDEX('SKU明细'!$H$9:$H$1592,MATCH("[13306,""B07-IV-P-37""]",'SKU明细'!$AE$9:$AE$1592,0)),INDEX('SKU明细'!$H$9:$H$1592,MATCH("[13306,""B07-IV-P-37.5""]",'SKU明细'!$AE$9:$AE$1592,0)),INDEX('SKU明细'!$H$9:$H$1592,MATCH("[13306,""B07-IV-P-41.5""]",'SKU明细'!$AE$9:$AE$1592,0)),INDEX('SKU明细'!$H$9:$H$1592,MATCH("[13306,""B07-IV-P-40""]",'SKU明细'!$AE$9:$AE$1592,0)))/SUM(INDEX('SKU明细'!$G$9:$G$1592,MATCH("[13306,""B07-IV-P-39""]",'SKU明细'!$AE$9:$AE$1592,0)),INDEX('SKU明细'!$G$9:$G$1592,MATCH("[13306,""B07-IV-P-39.5""]",'SKU明细'!$AE$9:$AE$1592,0)),INDEX('SKU明细'!$G$9:$G$1592,MATCH("[13306,""B07-IV-P-40.5""]",'SKU明细'!$AE$9:$AE$1592,0)),INDEX('SKU明细'!$G$9:$G$1592,MATCH("[13306,""B07-IV-P-38""]",'SKU明细'!$AE$9:$AE$1592,0)),INDEX('SKU明细'!$G$9:$G$1592,MATCH("[13306,""B07-IV-P-41""]",'SKU明细'!$AE$9:$AE$1592,0)),INDEX('SKU明细'!$G$9:$G$1592,MATCH("[13306,""B07-IV-P-42""]",'SKU明细'!$AE$9:$AE$1592,0)),INDEX('SKU明细'!$G$9:$G$1592,MATCH("[13306,""B07-IV-P-37""]",'SKU明细'!$AE$9:$AE$1592,0)),INDEX('SKU明细'!$G$9:$G$1592,MATCH("[13306,""B07-IV-P-37.5""]",'SKU明细'!$AE$9:$AE$1592,0)),INDEX('SKU明细'!$G$9:$G$1592,MATCH("[13306,""B07-IV-P-41.5""]",'SKU明细'!$AE$9:$AE$1592,0)),INDEX('SKU明细'!$G$9:$G$1592,MATCH("[13306,""B07-IV-P-40""]",'SKU明细'!$AE$9:$AE$1592,0))),"待核")</x:f>
        <x:v>739.7014925373136</x:v>
      </x:c>
      <x:c r="T26" s="21" t="str">
        <x:f>IF(AND(COUNT(INDEX('SKU明细'!$I$9:$I$1592,MATCH("[13306,""B07-IV-P-39""]",'SKU明细'!$AE$9:$AE$1592,0)),INDEX('SKU明细'!$I$9:$I$1592,MATCH("[13306,""B07-IV-P-39.5""]",'SKU明细'!$AE$9:$AE$1592,0)),INDEX('SKU明细'!$I$9:$I$1592,MATCH("[13306,""B07-IV-P-40.5""]",'SKU明细'!$AE$9:$AE$1592,0)),INDEX('SKU明细'!$I$9:$I$1592,MATCH("[13306,""B07-IV-P-38""]",'SKU明细'!$AE$9:$AE$1592,0)),INDEX('SKU明细'!$I$9:$I$1592,MATCH("[13306,""B07-IV-P-41""]",'SKU明细'!$AE$9:$AE$1592,0)),INDEX('SKU明细'!$I$9:$I$1592,MATCH("[13306,""B07-IV-P-42""]",'SKU明细'!$AE$9:$AE$1592,0)),INDEX('SKU明细'!$I$9:$I$1592,MATCH("[13306,""B07-IV-P-37""]",'SKU明细'!$AE$9:$AE$1592,0)),INDEX('SKU明细'!$I$9:$I$1592,MATCH("[13306,""B07-IV-P-37.5""]",'SKU明细'!$AE$9:$AE$1592,0)),INDEX('SKU明细'!$I$9:$I$1592,MATCH("[13306,""B07-IV-P-41.5""]",'SKU明细'!$AE$9:$AE$1592,0)),INDEX('SKU明细'!$I$9:$I$1592,MATCH("[13306,""B07-IV-P-40""]",'SKU明细'!$AE$9:$AE$1592,0)))=10,COUNT(INDEX('SKU明细'!$AD$9:$AD$1592,MATCH("[13306,""B07-IV-P-39""]",'SKU明细'!$AE$9:$AE$1592,0)),INDEX('SKU明细'!$AD$9:$AD$1592,MATCH("[13306,""B07-IV-P-39.5""]",'SKU明细'!$AE$9:$AE$1592,0)),INDEX('SKU明细'!$AD$9:$AD$1592,MATCH("[13306,""B07-IV-P-40.5""]",'SKU明细'!$AE$9:$AE$1592,0)),INDEX('SKU明细'!$AD$9:$AD$1592,MATCH("[13306,""B07-IV-P-38""]",'SKU明细'!$AE$9:$AE$1592,0)),INDEX('SKU明细'!$AD$9:$AD$1592,MATCH("[13306,""B07-IV-P-41""]",'SKU明细'!$AE$9:$AE$1592,0)),INDEX('SKU明细'!$AD$9:$AD$1592,MATCH("[13306,""B07-IV-P-42""]",'SKU明细'!$AE$9:$AE$1592,0)),INDEX('SKU明细'!$AD$9:$AD$1592,MATCH("[13306,""B07-IV-P-37""]",'SKU明细'!$AE$9:$AE$1592,0)),INDEX('SKU明细'!$AD$9:$AD$1592,MATCH("[13306,""B07-IV-P-37.5""]",'SKU明细'!$AE$9:$AE$1592,0)),INDEX('SKU明细'!$AD$9:$AD$1592,MATCH("[13306,""B07-IV-P-41.5""]",'SKU明细'!$AE$9:$AE$1592,0)),INDEX('SKU明细'!$AD$9:$AD$1592,MATCH("[13306,""B07-IV-P-40""]",'SKU明细'!$AE$9:$AE$1592,0)))=10,SUM(INDEX('SKU明细'!$AD$9:$AD$1592,MATCH("[13306,""B07-IV-P-39""]",'SKU明细'!$AE$9:$AE$1592,0)),INDEX('SKU明细'!$AD$9:$AD$1592,MATCH("[13306,""B07-IV-P-39.5""]",'SKU明细'!$AE$9:$AE$1592,0)),INDEX('SKU明细'!$AD$9:$AD$1592,MATCH("[13306,""B07-IV-P-40.5""]",'SKU明细'!$AE$9:$AE$1592,0)),INDEX('SKU明细'!$AD$9:$AD$1592,MATCH("[13306,""B07-IV-P-38""]",'SKU明细'!$AE$9:$AE$1592,0)),INDEX('SKU明细'!$AD$9:$AD$1592,MATCH("[13306,""B07-IV-P-41""]",'SKU明细'!$AE$9:$AE$1592,0)),INDEX('SKU明细'!$AD$9:$AD$1592,MATCH("[13306,""B07-IV-P-42""]",'SKU明细'!$AE$9:$AE$1592,0)),INDEX('SKU明细'!$AD$9:$AD$1592,MATCH("[13306,""B07-IV-P-37""]",'SKU明细'!$AE$9:$AE$1592,0)),INDEX('SKU明细'!$AD$9:$AD$1592,MATCH("[13306,""B07-IV-P-37.5""]",'SKU明细'!$AE$9:$AE$1592,0)),INDEX('SKU明细'!$AD$9:$AD$1592,MATCH("[13306,""B07-IV-P-41.5""]",'SKU明细'!$AE$9:$AE$1592,0)),INDEX('SKU明细'!$AD$9:$AD$1592,MATCH("[13306,""B07-IV-P-40""]",'SKU明细'!$AE$9:$AE$1592,0)))&gt;0),SUM(INDEX('SKU明细'!$I$9:$I$1592,MATCH("[13306,""B07-IV-P-39""]",'SKU明细'!$AE$9:$AE$1592,0)),INDEX('SKU明细'!$I$9:$I$1592,MATCH("[13306,""B07-IV-P-39.5""]",'SKU明细'!$AE$9:$AE$1592,0)),INDEX('SKU明细'!$I$9:$I$1592,MATCH("[13306,""B07-IV-P-40.5""]",'SKU明细'!$AE$9:$AE$1592,0)),INDEX('SKU明细'!$I$9:$I$1592,MATCH("[13306,""B07-IV-P-38""]",'SKU明细'!$AE$9:$AE$1592,0)),INDEX('SKU明细'!$I$9:$I$1592,MATCH("[13306,""B07-IV-P-41""]",'SKU明细'!$AE$9:$AE$1592,0)),INDEX('SKU明细'!$I$9:$I$1592,MATCH("[13306,""B07-IV-P-42""]",'SKU明细'!$AE$9:$AE$1592,0)),INDEX('SKU明细'!$I$9:$I$1592,MATCH("[13306,""B07-IV-P-37""]",'SKU明细'!$AE$9:$AE$1592,0)),INDEX('SKU明细'!$I$9:$I$1592,MATCH("[13306,""B07-IV-P-37.5""]",'SKU明细'!$AE$9:$AE$1592,0)),INDEX('SKU明细'!$I$9:$I$1592,MATCH("[13306,""B07-IV-P-41.5""]",'SKU明细'!$AE$9:$AE$1592,0)),INDEX('SKU明细'!$I$9:$I$1592,MATCH("[13306,""B07-IV-P-40""]",'SKU明细'!$AE$9:$AE$1592,0)))/SUM(INDEX('SKU明细'!$AD$9:$AD$1592,MATCH("[13306,""B07-IV-P-39""]",'SKU明细'!$AE$9:$AE$1592,0)),INDEX('SKU明细'!$AD$9:$AD$1592,MATCH("[13306,""B07-IV-P-39.5""]",'SKU明细'!$AE$9:$AE$1592,0)),INDEX('SKU明细'!$AD$9:$AD$1592,MATCH("[13306,""B07-IV-P-40.5""]",'SKU明细'!$AE$9:$AE$1592,0)),INDEX('SKU明细'!$AD$9:$AD$1592,MATCH("[13306,""B07-IV-P-38""]",'SKU明细'!$AE$9:$AE$1592,0)),INDEX('SKU明细'!$AD$9:$AD$1592,MATCH("[13306,""B07-IV-P-41""]",'SKU明细'!$AE$9:$AE$1592,0)),INDEX('SKU明细'!$AD$9:$AD$1592,MATCH("[13306,""B07-IV-P-42""]",'SKU明细'!$AE$9:$AE$1592,0)),INDEX('SKU明细'!$AD$9:$AD$1592,MATCH("[13306,""B07-IV-P-37""]",'SKU明细'!$AE$9:$AE$1592,0)),INDEX('SKU明细'!$AD$9:$AD$1592,MATCH("[13306,""B07-IV-P-37.5""]",'SKU明细'!$AE$9:$AE$1592,0)),INDEX('SKU明细'!$AD$9:$AD$1592,MATCH("[13306,""B07-IV-P-41.5""]",'SKU明细'!$AE$9:$AE$1592,0)),INDEX('SKU明细'!$AD$9:$AD$1592,MATCH("[13306,""B07-IV-P-40""]",'SKU明细'!$AE$9:$AE$1592,0))),"待核")</x:f>
        <x:v>待核</x:v>
      </x:c>
      <x:c r="U26" s="21" t="str">
        <x:f>IF(COUNT(S26:T26)=2,S26-T26,"待核")</x:f>
        <x:v>待核</x:v>
      </x:c>
      <x:c r="V26" s="22" t="str">
        <x:f>IF(AND(ISNUMBER(U26),ISNUMBER(T26),T26&lt;&gt;0),U26/T26,"")</x:f>
      </x:c>
      <x:c r="W26" s="23" t="n">
        <x:f>IF(COUNT(INDEX('SKU明细'!$H$9:$H$1592,MATCH("[13306,""B07-IV-P-39""]",'SKU明细'!$AE$9:$AE$1592,0)),INDEX('SKU明细'!$H$9:$H$1592,MATCH("[13306,""B07-IV-P-39.5""]",'SKU明细'!$AE$9:$AE$1592,0)),INDEX('SKU明细'!$H$9:$H$1592,MATCH("[13306,""B07-IV-P-40.5""]",'SKU明细'!$AE$9:$AE$1592,0)),INDEX('SKU明细'!$H$9:$H$1592,MATCH("[13306,""B07-IV-P-38""]",'SKU明细'!$AE$9:$AE$1592,0)),INDEX('SKU明细'!$H$9:$H$1592,MATCH("[13306,""B07-IV-P-41""]",'SKU明细'!$AE$9:$AE$1592,0)),INDEX('SKU明细'!$H$9:$H$1592,MATCH("[13306,""B07-IV-P-42""]",'SKU明细'!$AE$9:$AE$1592,0)),INDEX('SKU明细'!$H$9:$H$1592,MATCH("[13306,""B07-IV-P-37""]",'SKU明细'!$AE$9:$AE$1592,0)),INDEX('SKU明细'!$H$9:$H$1592,MATCH("[13306,""B07-IV-P-37.5""]",'SKU明细'!$AE$9:$AE$1592,0)),INDEX('SKU明细'!$H$9:$H$1592,MATCH("[13306,""B07-IV-P-41.5""]",'SKU明细'!$AE$9:$AE$1592,0)),INDEX('SKU明细'!$H$9:$H$1592,MATCH("[13306,""B07-IV-P-40""]",'SKU明细'!$AE$9:$AE$1592,0)))=0,"待核",SUM(INDEX('SKU明细'!$H$9:$H$1592,MATCH("[13306,""B07-IV-P-39""]",'SKU明细'!$AE$9:$AE$1592,0)),INDEX('SKU明细'!$H$9:$H$1592,MATCH("[13306,""B07-IV-P-39.5""]",'SKU明细'!$AE$9:$AE$1592,0)),INDEX('SKU明细'!$H$9:$H$1592,MATCH("[13306,""B07-IV-P-40.5""]",'SKU明细'!$AE$9:$AE$1592,0)),INDEX('SKU明细'!$H$9:$H$1592,MATCH("[13306,""B07-IV-P-38""]",'SKU明细'!$AE$9:$AE$1592,0)),INDEX('SKU明细'!$H$9:$H$1592,MATCH("[13306,""B07-IV-P-41""]",'SKU明细'!$AE$9:$AE$1592,0)),INDEX('SKU明细'!$H$9:$H$1592,MATCH("[13306,""B07-IV-P-42""]",'SKU明细'!$AE$9:$AE$1592,0)),INDEX('SKU明细'!$H$9:$H$1592,MATCH("[13306,""B07-IV-P-37""]",'SKU明细'!$AE$9:$AE$1592,0)),INDEX('SKU明细'!$H$9:$H$1592,MATCH("[13306,""B07-IV-P-37.5""]",'SKU明细'!$AE$9:$AE$1592,0)),INDEX('SKU明细'!$H$9:$H$1592,MATCH("[13306,""B07-IV-P-41.5""]",'SKU明细'!$AE$9:$AE$1592,0)),INDEX('SKU明细'!$H$9:$H$1592,MATCH("[13306,""B07-IV-P-40""]",'SKU明细'!$AE$9:$AE$1592,0))))</x:f>
        <x:v>118</x:v>
      </x:c>
      <x:c r="X26" s="24" t="str">
        <x:f>IF(COUNTIFS('SKU明细'!$AH$9:$AH$1592,"[""B07"",""B07-IV-P"",""IV-P"",""米白色PU""]",'SKU明细'!$E$9:$E$1592,"促销")&gt;0,"促销 ","")&amp;IF(COUNTIFS('SKU明细'!$AH$9:$AH$1592,"[""B07"",""B07-IV-P"",""IV-P"",""米白色PU""]",'SKU明细'!$E$9:$E$1592,"红线促销")&gt;0,"红线促销 ","")&amp;IF(COUNTIFS('SKU明细'!$AH$9:$AH$1592,"[""B07"",""B07-IV-P"",""IV-P"",""米白色PU""]",'SKU明细'!$E$9:$E$1592,"考虑清仓")&gt;0,"考虑清仓 ","")&amp;IF(COUNTIFS('SKU明细'!$AH$9:$AH$1592,"[""B07"",""B07-IV-P"",""IV-P"",""米白色PU""]",'SKU明细'!$E$9:$E$1592,"断货")&gt;0,"断货 ","")&amp;IF(COUNTIFS('SKU明细'!$AH$9:$AH$1592,"[""B07"",""B07-IV-P"",""IV-P"",""米白色PU""]",'SKU明细'!$E$9:$E$1592,"零日销待复核")&gt;0,"零日销待复核 ","")&amp;IF(COUNTIFS('SKU明细'!$AH$9:$AH$1592,"[""B07"",""B07-IV-P"",""IV-P"",""米白色PU""]",'SKU明细'!$E$9:$E$1592,"数据待核")&gt;0,"数据待核 ","")&amp;IF(COUNTIFS('SKU明细'!$AH$9:$AH$1592,"[""B07"",""B07-IV-P"",""IV-P"",""米白色PU""]",'SKU明细'!$E$9:$E$1592,"正常库存")&gt;0,"正常库存 ","")&amp;IF(COUNTIFS('SKU明细'!$AH$9:$AH$1592,"[""B07"",""B07-IV-P"",""IV-P"",""米白色PU""]",'SKU明细'!$E$9:$E$1592,"补货提醒")&gt;0,"补货提醒 ","")</x:f>
        <x:v>促销 红线促销 考虑清仓 断货 零日销待复核 正常库存 </x:v>
      </x:c>
      <x:c r="Y26" s="24" t="str">
        <x:f>IF(NOT(ISNUMBER(U26)),"覆盖待核／无可比基准","完整可比")</x:f>
        <x:v>覆盖待核／无可比基准</x:v>
      </x:c>
      <x:c r="Z26" s="24" t="str">
        <x:v>在售、停售</x:v>
      </x:c>
      <x:c r="AA26" s="24" t="n">
        <x:f>IF(SUMIFS('SKU明细'!$AF$9:$AF$1592,'SKU明细'!$D$9:$D$1592,A26,'SKU明细'!$Z$9:$Z$1592,"&lt;&gt;移出")=0,"待核",SUMIFS('SKU明细'!$H$9:$H$1592,'SKU明细'!$D$9:$D$1592,A26,'SKU明细'!$Z$9:$Z$1592,"&lt;&gt;移出"))</x:f>
        <x:v>2671</x:v>
      </x:c>
    </x:row>
    <x:row r="27" ht="54" customHeight="1">
      <x:c r="A27" s="20" t="str">
        <x:v>B07</x:v>
      </x:c>
      <x:c r="B27" s="20" t="str">
        <x:v>艾年</x:v>
      </x:c>
      <x:c r="C27" s="20" t="str">
        <x:v>豹纹羊京绒</x:v>
      </x:c>
      <x:c r="D27" s="20" t="str">
        <x:v>LP</x:v>
      </x:c>
      <x:c r="E27" s="20" t="str">
        <x:v>B07-LP</x:v>
      </x:c>
      <x:c r="F27" s="20"/>
      <x:c r="G27" s="21" t="str">
        <x:f>"—"</x:f>
        <x:v>—</x:v>
      </x:c>
      <x:c r="H27" s="21" t="n">
        <x:f>IF(AND(COUNT(INDEX('SKU明细'!$H$9:$H$1592,MATCH("[13306,""B07-LP-37-by""]",'SKU明细'!$AE$9:$AE$1592,0)))=1,COUNT(INDEX('SKU明细'!$G$9:$G$1592,MATCH("[13306,""B07-LP-37-by""]",'SKU明细'!$AE$9:$AE$1592,0)))=1,SUM(INDEX('SKU明细'!$G$9:$G$1592,MATCH("[13306,""B07-LP-37-by""]",'SKU明细'!$AE$9:$AE$1592,0)))&gt;0),SUM(INDEX('SKU明细'!$H$9:$H$1592,MATCH("[13306,""B07-LP-37-by""]",'SKU明细'!$AE$9:$AE$1592,0)))/SUM(INDEX('SKU明细'!$G$9:$G$1592,MATCH("[13306,""B07-LP-37-by""]",'SKU明细'!$AE$9:$AE$1592,0))),"待核")</x:f>
        <x:v>0</x:v>
      </x:c>
      <x:c r="I27" s="21" t="n">
        <x:f>IF(AND(COUNT(INDEX('SKU明细'!$H$9:$H$1592,MATCH("[13306,""B07-LP-37.5""]",'SKU明细'!$AE$9:$AE$1592,0)))=1,COUNT(INDEX('SKU明细'!$G$9:$G$1592,MATCH("[13306,""B07-LP-37.5""]",'SKU明细'!$AE$9:$AE$1592,0)))=1,SUM(INDEX('SKU明细'!$G$9:$G$1592,MATCH("[13306,""B07-LP-37.5""]",'SKU明细'!$AE$9:$AE$1592,0)))&gt;0),SUM(INDEX('SKU明细'!$H$9:$H$1592,MATCH("[13306,""B07-LP-37.5""]",'SKU明细'!$AE$9:$AE$1592,0)))/SUM(INDEX('SKU明细'!$G$9:$G$1592,MATCH("[13306,""B07-LP-37.5""]",'SKU明细'!$AE$9:$AE$1592,0))),"待核")</x:f>
        <x:v>29.16666666666667</x:v>
      </x:c>
      <x:c r="J27" s="21" t="n">
        <x:f>IF(AND(COUNT(INDEX('SKU明细'!$H$9:$H$1592,MATCH("[13306,""B07-LP-38-by""]",'SKU明细'!$AE$9:$AE$1592,0)))=1,COUNT(INDEX('SKU明细'!$G$9:$G$1592,MATCH("[13306,""B07-LP-38-by""]",'SKU明细'!$AE$9:$AE$1592,0)))=1,SUM(INDEX('SKU明细'!$G$9:$G$1592,MATCH("[13306,""B07-LP-38-by""]",'SKU明细'!$AE$9:$AE$1592,0)))&gt;0),SUM(INDEX('SKU明细'!$H$9:$H$1592,MATCH("[13306,""B07-LP-38-by""]",'SKU明细'!$AE$9:$AE$1592,0)))/SUM(INDEX('SKU明细'!$G$9:$G$1592,MATCH("[13306,""B07-LP-38-by""]",'SKU明细'!$AE$9:$AE$1592,0))),"待核")</x:f>
        <x:v>0</x:v>
      </x:c>
      <x:c r="K27" s="21" t="n">
        <x:f>IF(AND(COUNT(INDEX('SKU明细'!$H$9:$H$1592,MATCH("[13306,""B07-LP-38.5""]",'SKU明细'!$AE$9:$AE$1592,0)))=1,COUNT(INDEX('SKU明细'!$G$9:$G$1592,MATCH("[13306,""B07-LP-38.5""]",'SKU明细'!$AE$9:$AE$1592,0)))=1,SUM(INDEX('SKU明细'!$G$9:$G$1592,MATCH("[13306,""B07-LP-38.5""]",'SKU明细'!$AE$9:$AE$1592,0)))&gt;0),SUM(INDEX('SKU明细'!$H$9:$H$1592,MATCH("[13306,""B07-LP-38.5""]",'SKU明细'!$AE$9:$AE$1592,0)))/SUM(INDEX('SKU明细'!$G$9:$G$1592,MATCH("[13306,""B07-LP-38.5""]",'SKU明细'!$AE$9:$AE$1592,0))),"待核")</x:f>
        <x:v>0</x:v>
      </x:c>
      <x:c r="L27" s="21" t="n">
        <x:f>IF(AND(COUNT(INDEX('SKU明细'!$H$9:$H$1592,MATCH("[13306,""B07-LP-39-by""]",'SKU明细'!$AE$9:$AE$1592,0)))=1,COUNT(INDEX('SKU明细'!$G$9:$G$1592,MATCH("[13306,""B07-LP-39-by""]",'SKU明细'!$AE$9:$AE$1592,0)))=1,SUM(INDEX('SKU明细'!$G$9:$G$1592,MATCH("[13306,""B07-LP-39-by""]",'SKU明细'!$AE$9:$AE$1592,0)))&gt;0),SUM(INDEX('SKU明细'!$H$9:$H$1592,MATCH("[13306,""B07-LP-39-by""]",'SKU明细'!$AE$9:$AE$1592,0)))/SUM(INDEX('SKU明细'!$G$9:$G$1592,MATCH("[13306,""B07-LP-39-by""]",'SKU明细'!$AE$9:$AE$1592,0))),"待核")</x:f>
        <x:v>0</x:v>
      </x:c>
      <x:c r="M27" s="21" t="n">
        <x:f>IF(AND(COUNT(INDEX('SKU明细'!$H$9:$H$1592,MATCH("[13306,""B07-LP-39.5""]",'SKU明细'!$AE$9:$AE$1592,0)))=1,COUNT(INDEX('SKU明细'!$G$9:$G$1592,MATCH("[13306,""B07-LP-39.5""]",'SKU明细'!$AE$9:$AE$1592,0)))=1,SUM(INDEX('SKU明细'!$G$9:$G$1592,MATCH("[13306,""B07-LP-39.5""]",'SKU明细'!$AE$9:$AE$1592,0)))&gt;0),SUM(INDEX('SKU明细'!$H$9:$H$1592,MATCH("[13306,""B07-LP-39.5""]",'SKU明细'!$AE$9:$AE$1592,0)))/SUM(INDEX('SKU明细'!$G$9:$G$1592,MATCH("[13306,""B07-LP-39.5""]",'SKU明细'!$AE$9:$AE$1592,0))),"待核")</x:f>
        <x:v>0</x:v>
      </x:c>
      <x:c r="N27" s="21" t="str">
        <x:f>"—"</x:f>
        <x:v>—</x:v>
      </x:c>
      <x:c r="O27" s="21" t="str">
        <x:f>"—"</x:f>
        <x:v>—</x:v>
      </x:c>
      <x:c r="P27" s="21" t="str">
        <x:f>"—"</x:f>
        <x:v>—</x:v>
      </x:c>
      <x:c r="Q27" s="21" t="str">
        <x:f>"—"</x:f>
        <x:v>—</x:v>
      </x:c>
      <x:c r="R27" s="21" t="n">
        <x:f>IF(AND(COUNT(INDEX('SKU明细'!$H$9:$H$1592,MATCH("[13306,""B07-LP-42-by""]",'SKU明细'!$AE$9:$AE$1592,0)))=1,COUNT(INDEX('SKU明细'!$G$9:$G$1592,MATCH("[13306,""B07-LP-42-by""]",'SKU明细'!$AE$9:$AE$1592,0)))=1,SUM(INDEX('SKU明细'!$G$9:$G$1592,MATCH("[13306,""B07-LP-42-by""]",'SKU明细'!$AE$9:$AE$1592,0)))&gt;0),SUM(INDEX('SKU明细'!$H$9:$H$1592,MATCH("[13306,""B07-LP-42-by""]",'SKU明细'!$AE$9:$AE$1592,0)))/SUM(INDEX('SKU明细'!$G$9:$G$1592,MATCH("[13306,""B07-LP-42-by""]",'SKU明细'!$AE$9:$AE$1592,0))),"待核")</x:f>
        <x:v>0</x:v>
      </x:c>
      <x:c r="S27" s="21" t="n">
        <x:f>IF(AND(COUNT(INDEX('SKU明细'!$H$9:$H$1592,MATCH("[13306,""B07-LP-37-by""]",'SKU明细'!$AE$9:$AE$1592,0)),INDEX('SKU明细'!$H$9:$H$1592,MATCH("[13306,""B07-LP-38-by""]",'SKU明细'!$AE$9:$AE$1592,0)),INDEX('SKU明细'!$H$9:$H$1592,MATCH("[13306,""B07-LP-38.5""]",'SKU明细'!$AE$9:$AE$1592,0)),INDEX('SKU明细'!$H$9:$H$1592,MATCH("[13306,""B07-LP-39-by""]",'SKU明细'!$AE$9:$AE$1592,0)),INDEX('SKU明细'!$H$9:$H$1592,MATCH("[13306,""B07-LP-39.5""]",'SKU明细'!$AE$9:$AE$1592,0)),INDEX('SKU明细'!$H$9:$H$1592,MATCH("[13306,""B07-LP-42-by""]",'SKU明细'!$AE$9:$AE$1592,0)),INDEX('SKU明细'!$H$9:$H$1592,MATCH("[13306,""B07-LP-37.5""]",'SKU明细'!$AE$9:$AE$1592,0)))=7,COUNT(INDEX('SKU明细'!$G$9:$G$1592,MATCH("[13306,""B07-LP-37-by""]",'SKU明细'!$AE$9:$AE$1592,0)),INDEX('SKU明细'!$G$9:$G$1592,MATCH("[13306,""B07-LP-38-by""]",'SKU明细'!$AE$9:$AE$1592,0)),INDEX('SKU明细'!$G$9:$G$1592,MATCH("[13306,""B07-LP-38.5""]",'SKU明细'!$AE$9:$AE$1592,0)),INDEX('SKU明细'!$G$9:$G$1592,MATCH("[13306,""B07-LP-39-by""]",'SKU明细'!$AE$9:$AE$1592,0)),INDEX('SKU明细'!$G$9:$G$1592,MATCH("[13306,""B07-LP-39.5""]",'SKU明细'!$AE$9:$AE$1592,0)),INDEX('SKU明细'!$G$9:$G$1592,MATCH("[13306,""B07-LP-42-by""]",'SKU明细'!$AE$9:$AE$1592,0)),INDEX('SKU明细'!$G$9:$G$1592,MATCH("[13306,""B07-LP-37.5""]",'SKU明细'!$AE$9:$AE$1592,0)))=7,SUM(INDEX('SKU明细'!$G$9:$G$1592,MATCH("[13306,""B07-LP-37-by""]",'SKU明细'!$AE$9:$AE$1592,0)),INDEX('SKU明细'!$G$9:$G$1592,MATCH("[13306,""B07-LP-38-by""]",'SKU明细'!$AE$9:$AE$1592,0)),INDEX('SKU明细'!$G$9:$G$1592,MATCH("[13306,""B07-LP-38.5""]",'SKU明细'!$AE$9:$AE$1592,0)),INDEX('SKU明细'!$G$9:$G$1592,MATCH("[13306,""B07-LP-39-by""]",'SKU明细'!$AE$9:$AE$1592,0)),INDEX('SKU明细'!$G$9:$G$1592,MATCH("[13306,""B07-LP-39.5""]",'SKU明细'!$AE$9:$AE$1592,0)),INDEX('SKU明细'!$G$9:$G$1592,MATCH("[13306,""B07-LP-42-by""]",'SKU明细'!$AE$9:$AE$1592,0)),INDEX('SKU明细'!$G$9:$G$1592,MATCH("[13306,""B07-LP-37.5""]",'SKU明细'!$AE$9:$AE$1592,0)))&gt;0),SUM(INDEX('SKU明细'!$H$9:$H$1592,MATCH("[13306,""B07-LP-37-by""]",'SKU明细'!$AE$9:$AE$1592,0)),INDEX('SKU明细'!$H$9:$H$1592,MATCH("[13306,""B07-LP-38-by""]",'SKU明细'!$AE$9:$AE$1592,0)),INDEX('SKU明细'!$H$9:$H$1592,MATCH("[13306,""B07-LP-38.5""]",'SKU明细'!$AE$9:$AE$1592,0)),INDEX('SKU明细'!$H$9:$H$1592,MATCH("[13306,""B07-LP-39-by""]",'SKU明细'!$AE$9:$AE$1592,0)),INDEX('SKU明细'!$H$9:$H$1592,MATCH("[13306,""B07-LP-39.5""]",'SKU明细'!$AE$9:$AE$1592,0)),INDEX('SKU明细'!$H$9:$H$1592,MATCH("[13306,""B07-LP-42-by""]",'SKU明细'!$AE$9:$AE$1592,0)),INDEX('SKU明细'!$H$9:$H$1592,MATCH("[13306,""B07-LP-37.5""]",'SKU明细'!$AE$9:$AE$1592,0)))/SUM(INDEX('SKU明细'!$G$9:$G$1592,MATCH("[13306,""B07-LP-37-by""]",'SKU明细'!$AE$9:$AE$1592,0)),INDEX('SKU明细'!$G$9:$G$1592,MATCH("[13306,""B07-LP-38-by""]",'SKU明细'!$AE$9:$AE$1592,0)),INDEX('SKU明细'!$G$9:$G$1592,MATCH("[13306,""B07-LP-38.5""]",'SKU明细'!$AE$9:$AE$1592,0)),INDEX('SKU明细'!$G$9:$G$1592,MATCH("[13306,""B07-LP-39-by""]",'SKU明细'!$AE$9:$AE$1592,0)),INDEX('SKU明细'!$G$9:$G$1592,MATCH("[13306,""B07-LP-39.5""]",'SKU明细'!$AE$9:$AE$1592,0)),INDEX('SKU明细'!$G$9:$G$1592,MATCH("[13306,""B07-LP-42-by""]",'SKU明细'!$AE$9:$AE$1592,0)),INDEX('SKU明细'!$G$9:$G$1592,MATCH("[13306,""B07-LP-37.5""]",'SKU明细'!$AE$9:$AE$1592,0))),"待核")</x:f>
        <x:v>5.897840968931017</x:v>
      </x:c>
      <x:c r="T27" s="21" t="n">
        <x:f>IF(AND(COUNT(INDEX('SKU明细'!$I$9:$I$1592,MATCH("[13306,""B07-LP-37-by""]",'SKU明细'!$AE$9:$AE$1592,0)),INDEX('SKU明细'!$I$9:$I$1592,MATCH("[13306,""B07-LP-38-by""]",'SKU明细'!$AE$9:$AE$1592,0)),INDEX('SKU明细'!$I$9:$I$1592,MATCH("[13306,""B07-LP-38.5""]",'SKU明细'!$AE$9:$AE$1592,0)),INDEX('SKU明细'!$I$9:$I$1592,MATCH("[13306,""B07-LP-39-by""]",'SKU明细'!$AE$9:$AE$1592,0)),INDEX('SKU明细'!$I$9:$I$1592,MATCH("[13306,""B07-LP-39.5""]",'SKU明细'!$AE$9:$AE$1592,0)),INDEX('SKU明细'!$I$9:$I$1592,MATCH("[13306,""B07-LP-42-by""]",'SKU明细'!$AE$9:$AE$1592,0)),INDEX('SKU明细'!$I$9:$I$1592,MATCH("[13306,""B07-LP-37.5""]",'SKU明细'!$AE$9:$AE$1592,0)))=7,COUNT(INDEX('SKU明细'!$AD$9:$AD$1592,MATCH("[13306,""B07-LP-37-by""]",'SKU明细'!$AE$9:$AE$1592,0)),INDEX('SKU明细'!$AD$9:$AD$1592,MATCH("[13306,""B07-LP-38-by""]",'SKU明细'!$AE$9:$AE$1592,0)),INDEX('SKU明细'!$AD$9:$AD$1592,MATCH("[13306,""B07-LP-38.5""]",'SKU明细'!$AE$9:$AE$1592,0)),INDEX('SKU明细'!$AD$9:$AD$1592,MATCH("[13306,""B07-LP-39-by""]",'SKU明细'!$AE$9:$AE$1592,0)),INDEX('SKU明细'!$AD$9:$AD$1592,MATCH("[13306,""B07-LP-39.5""]",'SKU明细'!$AE$9:$AE$1592,0)),INDEX('SKU明细'!$AD$9:$AD$1592,MATCH("[13306,""B07-LP-42-by""]",'SKU明细'!$AE$9:$AE$1592,0)),INDEX('SKU明细'!$AD$9:$AD$1592,MATCH("[13306,""B07-LP-37.5""]",'SKU明细'!$AE$9:$AE$1592,0)))=7,SUM(INDEX('SKU明细'!$AD$9:$AD$1592,MATCH("[13306,""B07-LP-37-by""]",'SKU明细'!$AE$9:$AE$1592,0)),INDEX('SKU明细'!$AD$9:$AD$1592,MATCH("[13306,""B07-LP-38-by""]",'SKU明细'!$AE$9:$AE$1592,0)),INDEX('SKU明细'!$AD$9:$AD$1592,MATCH("[13306,""B07-LP-38.5""]",'SKU明细'!$AE$9:$AE$1592,0)),INDEX('SKU明细'!$AD$9:$AD$1592,MATCH("[13306,""B07-LP-39-by""]",'SKU明细'!$AE$9:$AE$1592,0)),INDEX('SKU明细'!$AD$9:$AD$1592,MATCH("[13306,""B07-LP-39.5""]",'SKU明细'!$AE$9:$AE$1592,0)),INDEX('SKU明细'!$AD$9:$AD$1592,MATCH("[13306,""B07-LP-42-by""]",'SKU明细'!$AE$9:$AE$1592,0)),INDEX('SKU明细'!$AD$9:$AD$1592,MATCH("[13306,""B07-LP-37.5""]",'SKU明细'!$AE$9:$AE$1592,0)))&gt;0),SUM(INDEX('SKU明细'!$I$9:$I$1592,MATCH("[13306,""B07-LP-37-by""]",'SKU明细'!$AE$9:$AE$1592,0)),INDEX('SKU明细'!$I$9:$I$1592,MATCH("[13306,""B07-LP-38-by""]",'SKU明细'!$AE$9:$AE$1592,0)),INDEX('SKU明细'!$I$9:$I$1592,MATCH("[13306,""B07-LP-38.5""]",'SKU明细'!$AE$9:$AE$1592,0)),INDEX('SKU明细'!$I$9:$I$1592,MATCH("[13306,""B07-LP-39-by""]",'SKU明细'!$AE$9:$AE$1592,0)),INDEX('SKU明细'!$I$9:$I$1592,MATCH("[13306,""B07-LP-39.5""]",'SKU明细'!$AE$9:$AE$1592,0)),INDEX('SKU明细'!$I$9:$I$1592,MATCH("[13306,""B07-LP-42-by""]",'SKU明细'!$AE$9:$AE$1592,0)),INDEX('SKU明细'!$I$9:$I$1592,MATCH("[13306,""B07-LP-37.5""]",'SKU明细'!$AE$9:$AE$1592,0)))/SUM(INDEX('SKU明细'!$AD$9:$AD$1592,MATCH("[13306,""B07-LP-37-by""]",'SKU明细'!$AE$9:$AE$1592,0)),INDEX('SKU明细'!$AD$9:$AD$1592,MATCH("[13306,""B07-LP-38-by""]",'SKU明细'!$AE$9:$AE$1592,0)),INDEX('SKU明细'!$AD$9:$AD$1592,MATCH("[13306,""B07-LP-38.5""]",'SKU明细'!$AE$9:$AE$1592,0)),INDEX('SKU明细'!$AD$9:$AD$1592,MATCH("[13306,""B07-LP-39-by""]",'SKU明细'!$AE$9:$AE$1592,0)),INDEX('SKU明细'!$AD$9:$AD$1592,MATCH("[13306,""B07-LP-39.5""]",'SKU明细'!$AE$9:$AE$1592,0)),INDEX('SKU明细'!$AD$9:$AD$1592,MATCH("[13306,""B07-LP-42-by""]",'SKU明细'!$AE$9:$AE$1592,0)),INDEX('SKU明细'!$AD$9:$AD$1592,MATCH("[13306,""B07-LP-37.5""]",'SKU明细'!$AE$9:$AE$1592,0))),"待核")</x:f>
        <x:v>11.072727272727272</x:v>
      </x:c>
      <x:c r="U27" s="21" t="n">
        <x:f>IF(COUNT(S27:T27)=2,S27-T27,"待核")</x:f>
        <x:v>-5.174886303796256</x:v>
      </x:c>
      <x:c r="V27" s="22" t="n">
        <x:f>IF(AND(ISNUMBER(U27),ISNUMBER(T27),T27&lt;&gt;0),U27/T27,"")</x:f>
        <x:v>-0.4673542638896454</x:v>
      </x:c>
      <x:c r="W27" s="23" t="n">
        <x:f>IF(COUNT(INDEX('SKU明细'!$H$9:$H$1592,MATCH("[13306,""B07-LP-37-by""]",'SKU明细'!$AE$9:$AE$1592,0)),INDEX('SKU明细'!$H$9:$H$1592,MATCH("[13306,""B07-LP-38-by""]",'SKU明细'!$AE$9:$AE$1592,0)),INDEX('SKU明细'!$H$9:$H$1592,MATCH("[13306,""B07-LP-38.5""]",'SKU明细'!$AE$9:$AE$1592,0)),INDEX('SKU明细'!$H$9:$H$1592,MATCH("[13306,""B07-LP-39-by""]",'SKU明细'!$AE$9:$AE$1592,0)),INDEX('SKU明细'!$H$9:$H$1592,MATCH("[13306,""B07-LP-39.5""]",'SKU明细'!$AE$9:$AE$1592,0)),INDEX('SKU明细'!$H$9:$H$1592,MATCH("[13306,""B07-LP-42-by""]",'SKU明细'!$AE$9:$AE$1592,0)),INDEX('SKU明细'!$H$9:$H$1592,MATCH("[13306,""B07-LP-37.5""]",'SKU明细'!$AE$9:$AE$1592,0)))=0,"待核",SUM(INDEX('SKU明细'!$H$9:$H$1592,MATCH("[13306,""B07-LP-37-by""]",'SKU明细'!$AE$9:$AE$1592,0)),INDEX('SKU明细'!$H$9:$H$1592,MATCH("[13306,""B07-LP-38-by""]",'SKU明细'!$AE$9:$AE$1592,0)),INDEX('SKU明细'!$H$9:$H$1592,MATCH("[13306,""B07-LP-38.5""]",'SKU明细'!$AE$9:$AE$1592,0)),INDEX('SKU明细'!$H$9:$H$1592,MATCH("[13306,""B07-LP-39-by""]",'SKU明细'!$AE$9:$AE$1592,0)),INDEX('SKU明细'!$H$9:$H$1592,MATCH("[13306,""B07-LP-39.5""]",'SKU明细'!$AE$9:$AE$1592,0)),INDEX('SKU明细'!$H$9:$H$1592,MATCH("[13306,""B07-LP-42-by""]",'SKU明细'!$AE$9:$AE$1592,0)),INDEX('SKU明细'!$H$9:$H$1592,MATCH("[13306,""B07-LP-37.5""]",'SKU明细'!$AE$9:$AE$1592,0))))</x:f>
        <x:v>16</x:v>
      </x:c>
      <x:c r="X27" s="24" t="str">
        <x:f>IF(COUNTIFS('SKU明细'!$AH$9:$AH$1592,"[""B07"",""B07-LP"",""LP"",""豹纹羊京绒""]",'SKU明细'!$E$9:$E$1592,"促销")&gt;0,"促销 ","")&amp;IF(COUNTIFS('SKU明细'!$AH$9:$AH$1592,"[""B07"",""B07-LP"",""LP"",""豹纹羊京绒""]",'SKU明细'!$E$9:$E$1592,"红线促销")&gt;0,"红线促销 ","")&amp;IF(COUNTIFS('SKU明细'!$AH$9:$AH$1592,"[""B07"",""B07-LP"",""LP"",""豹纹羊京绒""]",'SKU明细'!$E$9:$E$1592,"考虑清仓")&gt;0,"考虑清仓 ","")&amp;IF(COUNTIFS('SKU明细'!$AH$9:$AH$1592,"[""B07"",""B07-LP"",""LP"",""豹纹羊京绒""]",'SKU明细'!$E$9:$E$1592,"断货")&gt;0,"断货 ","")&amp;IF(COUNTIFS('SKU明细'!$AH$9:$AH$1592,"[""B07"",""B07-LP"",""LP"",""豹纹羊京绒""]",'SKU明细'!$E$9:$E$1592,"零日销待复核")&gt;0,"零日销待复核 ","")&amp;IF(COUNTIFS('SKU明细'!$AH$9:$AH$1592,"[""B07"",""B07-LP"",""LP"",""豹纹羊京绒""]",'SKU明细'!$E$9:$E$1592,"数据待核")&gt;0,"数据待核 ","")&amp;IF(COUNTIFS('SKU明细'!$AH$9:$AH$1592,"[""B07"",""B07-LP"",""LP"",""豹纹羊京绒""]",'SKU明细'!$E$9:$E$1592,"正常库存")&gt;0,"正常库存 ","")&amp;IF(COUNTIFS('SKU明细'!$AH$9:$AH$1592,"[""B07"",""B07-LP"",""LP"",""豹纹羊京绒""]",'SKU明细'!$E$9:$E$1592,"补货提醒")&gt;0,"补货提醒 ","")</x:f>
        <x:v>断货 补货提醒 </x:v>
      </x:c>
      <x:c r="Y27" s="24" t="str">
        <x:f>IF(NOT(ISNUMBER(U27)),"覆盖待核／无可比基准","完整可比")</x:f>
        <x:v>完整可比</x:v>
      </x:c>
      <x:c r="Z27" s="24" t="str">
        <x:v>在售、停售</x:v>
      </x:c>
      <x:c r="AA27" s="24" t="n">
        <x:f>IF(SUMIFS('SKU明细'!$AF$9:$AF$1592,'SKU明细'!$D$9:$D$1592,A27,'SKU明细'!$Z$9:$Z$1592,"&lt;&gt;移出")=0,"待核",SUMIFS('SKU明细'!$H$9:$H$1592,'SKU明细'!$D$9:$D$1592,A27,'SKU明细'!$Z$9:$Z$1592,"&lt;&gt;移出"))</x:f>
        <x:v>2671</x:v>
      </x:c>
    </x:row>
    <x:row r="28" ht="54" customHeight="1">
      <x:c r="A28" s="20" t="str">
        <x:v>B07</x:v>
      </x:c>
      <x:c r="B28" s="20" t="str">
        <x:v>艾年</x:v>
      </x:c>
      <x:c r="C28" s="20" t="str">
        <x:v>豹纹羊京绒</x:v>
      </x:c>
      <x:c r="D28" s="20" t="str">
        <x:v>LP1</x:v>
      </x:c>
      <x:c r="E28" s="20" t="str">
        <x:v>B07-LP1</x:v>
      </x:c>
      <x:c r="F28" s="20"/>
      <x:c r="G28" s="21" t="str">
        <x:f>"—"</x:f>
        <x:v>—</x:v>
      </x:c>
      <x:c r="H28" s="21" t="str">
        <x:f>"—"</x:f>
        <x:v>—</x:v>
      </x:c>
      <x:c r="I28" s="21" t="str">
        <x:f>"—"</x:f>
        <x:v>—</x:v>
      </x:c>
      <x:c r="J28" s="21" t="str">
        <x:f>"—"</x:f>
        <x:v>—</x:v>
      </x:c>
      <x:c r="K28" s="21" t="str">
        <x:f>"—"</x:f>
        <x:v>—</x:v>
      </x:c>
      <x:c r="L28" s="21" t="str">
        <x:f>"—"</x:f>
        <x:v>—</x:v>
      </x:c>
      <x:c r="M28" s="21" t="str">
        <x:f>"—"</x:f>
        <x:v>—</x:v>
      </x:c>
      <x:c r="N28" s="21" t="n">
        <x:f>IF(AND(COUNT(INDEX('SKU明细'!$H$9:$H$1592,MATCH("[13306,""B07-LP1-40-by""]",'SKU明细'!$AE$9:$AE$1592,0)))=1,COUNT(INDEX('SKU明细'!$G$9:$G$1592,MATCH("[13306,""B07-LP1-40-by""]",'SKU明细'!$AE$9:$AE$1592,0)))=1,SUM(INDEX('SKU明细'!$G$9:$G$1592,MATCH("[13306,""B07-LP1-40-by""]",'SKU明细'!$AE$9:$AE$1592,0)))&gt;0),SUM(INDEX('SKU明细'!$H$9:$H$1592,MATCH("[13306,""B07-LP1-40-by""]",'SKU明细'!$AE$9:$AE$1592,0)))/SUM(INDEX('SKU明细'!$G$9:$G$1592,MATCH("[13306,""B07-LP1-40-by""]",'SKU明细'!$AE$9:$AE$1592,0))),"待核")</x:f>
        <x:v>0</x:v>
      </x:c>
      <x:c r="O28" s="21" t="n">
        <x:f>IF(AND(COUNT(INDEX('SKU明细'!$H$9:$H$1592,MATCH("[13306,""B07-LP1-40.5""]",'SKU明细'!$AE$9:$AE$1592,0)))=1,COUNT(INDEX('SKU明细'!$G$9:$G$1592,MATCH("[13306,""B07-LP1-40.5""]",'SKU明细'!$AE$9:$AE$1592,0)))=1,SUM(INDEX('SKU明细'!$G$9:$G$1592,MATCH("[13306,""B07-LP1-40.5""]",'SKU明细'!$AE$9:$AE$1592,0)))&gt;0),SUM(INDEX('SKU明细'!$H$9:$H$1592,MATCH("[13306,""B07-LP1-40.5""]",'SKU明细'!$AE$9:$AE$1592,0)))/SUM(INDEX('SKU明细'!$G$9:$G$1592,MATCH("[13306,""B07-LP1-40.5""]",'SKU明细'!$AE$9:$AE$1592,0))),"待核")</x:f>
        <x:v>0</x:v>
      </x:c>
      <x:c r="P28" s="21" t="n">
        <x:f>IF(AND(COUNT(INDEX('SKU明细'!$H$9:$H$1592,MATCH("[13306,""B07-LP1-41-by""]",'SKU明细'!$AE$9:$AE$1592,0)))=1,COUNT(INDEX('SKU明细'!$G$9:$G$1592,MATCH("[13306,""B07-LP1-41-by""]",'SKU明细'!$AE$9:$AE$1592,0)))=1,SUM(INDEX('SKU明细'!$G$9:$G$1592,MATCH("[13306,""B07-LP1-41-by""]",'SKU明细'!$AE$9:$AE$1592,0)))&gt;0),SUM(INDEX('SKU明细'!$H$9:$H$1592,MATCH("[13306,""B07-LP1-41-by""]",'SKU明细'!$AE$9:$AE$1592,0)))/SUM(INDEX('SKU明细'!$G$9:$G$1592,MATCH("[13306,""B07-LP1-41-by""]",'SKU明细'!$AE$9:$AE$1592,0))),"待核")</x:f>
        <x:v>0</x:v>
      </x:c>
      <x:c r="Q28" s="21" t="n">
        <x:f>IF(AND(COUNT(INDEX('SKU明细'!$H$9:$H$1592,MATCH("[13306,""B07-LP1-41.5""]",'SKU明细'!$AE$9:$AE$1592,0)))=1,COUNT(INDEX('SKU明细'!$G$9:$G$1592,MATCH("[13306,""B07-LP1-41.5""]",'SKU明细'!$AE$9:$AE$1592,0)))=1,SUM(INDEX('SKU明细'!$G$9:$G$1592,MATCH("[13306,""B07-LP1-41.5""]",'SKU明细'!$AE$9:$AE$1592,0)))&gt;0),SUM(INDEX('SKU明细'!$H$9:$H$1592,MATCH("[13306,""B07-LP1-41.5""]",'SKU明细'!$AE$9:$AE$1592,0)))/SUM(INDEX('SKU明细'!$G$9:$G$1592,MATCH("[13306,""B07-LP1-41.5""]",'SKU明细'!$AE$9:$AE$1592,0))),"待核")</x:f>
        <x:v>7.82851817334576</x:v>
      </x:c>
      <x:c r="R28" s="21" t="str">
        <x:f>"—"</x:f>
        <x:v>—</x:v>
      </x:c>
      <x:c r="S28" s="21" t="n">
        <x:f>IF(AND(COUNT(INDEX('SKU明细'!$H$9:$H$1592,MATCH("[13306,""B07-LP1-40-by""]",'SKU明细'!$AE$9:$AE$1592,0)),INDEX('SKU明细'!$H$9:$H$1592,MATCH("[13306,""B07-LP1-40.5""]",'SKU明细'!$AE$9:$AE$1592,0)),INDEX('SKU明细'!$H$9:$H$1592,MATCH("[13306,""B07-LP1-41-by""]",'SKU明细'!$AE$9:$AE$1592,0)),INDEX('SKU明细'!$H$9:$H$1592,MATCH("[13306,""B07-LP1-41.5""]",'SKU明细'!$AE$9:$AE$1592,0)))=4,COUNT(INDEX('SKU明细'!$G$9:$G$1592,MATCH("[13306,""B07-LP1-40-by""]",'SKU明细'!$AE$9:$AE$1592,0)),INDEX('SKU明细'!$G$9:$G$1592,MATCH("[13306,""B07-LP1-40.5""]",'SKU明细'!$AE$9:$AE$1592,0)),INDEX('SKU明细'!$G$9:$G$1592,MATCH("[13306,""B07-LP1-41-by""]",'SKU明细'!$AE$9:$AE$1592,0)),INDEX('SKU明细'!$G$9:$G$1592,MATCH("[13306,""B07-LP1-41.5""]",'SKU明细'!$AE$9:$AE$1592,0)))=4,SUM(INDEX('SKU明细'!$G$9:$G$1592,MATCH("[13306,""B07-LP1-40-by""]",'SKU明细'!$AE$9:$AE$1592,0)),INDEX('SKU明细'!$G$9:$G$1592,MATCH("[13306,""B07-LP1-40.5""]",'SKU明细'!$AE$9:$AE$1592,0)),INDEX('SKU明细'!$G$9:$G$1592,MATCH("[13306,""B07-LP1-41-by""]",'SKU明细'!$AE$9:$AE$1592,0)),INDEX('SKU明细'!$G$9:$G$1592,MATCH("[13306,""B07-LP1-41.5""]",'SKU明细'!$AE$9:$AE$1592,0)))&gt;0),SUM(INDEX('SKU明细'!$H$9:$H$1592,MATCH("[13306,""B07-LP1-40-by""]",'SKU明细'!$AE$9:$AE$1592,0)),INDEX('SKU明细'!$H$9:$H$1592,MATCH("[13306,""B07-LP1-40.5""]",'SKU明细'!$AE$9:$AE$1592,0)),INDEX('SKU明细'!$H$9:$H$1592,MATCH("[13306,""B07-LP1-41-by""]",'SKU明细'!$AE$9:$AE$1592,0)),INDEX('SKU明细'!$H$9:$H$1592,MATCH("[13306,""B07-LP1-41.5""]",'SKU明细'!$AE$9:$AE$1592,0)))/SUM(INDEX('SKU明细'!$G$9:$G$1592,MATCH("[13306,""B07-LP1-40-by""]",'SKU明细'!$AE$9:$AE$1592,0)),INDEX('SKU明细'!$G$9:$G$1592,MATCH("[13306,""B07-LP1-40.5""]",'SKU明细'!$AE$9:$AE$1592,0)),INDEX('SKU明细'!$G$9:$G$1592,MATCH("[13306,""B07-LP1-41-by""]",'SKU明细'!$AE$9:$AE$1592,0)),INDEX('SKU明细'!$G$9:$G$1592,MATCH("[13306,""B07-LP1-41.5""]",'SKU明细'!$AE$9:$AE$1592,0))),"待核")</x:f>
        <x:v>2.1174691202419966</x:v>
      </x:c>
      <x:c r="T28" s="21" t="n">
        <x:f>IF(AND(COUNT(INDEX('SKU明细'!$I$9:$I$1592,MATCH("[13306,""B07-LP1-40-by""]",'SKU明细'!$AE$9:$AE$1592,0)),INDEX('SKU明细'!$I$9:$I$1592,MATCH("[13306,""B07-LP1-40.5""]",'SKU明细'!$AE$9:$AE$1592,0)),INDEX('SKU明细'!$I$9:$I$1592,MATCH("[13306,""B07-LP1-41-by""]",'SKU明细'!$AE$9:$AE$1592,0)),INDEX('SKU明细'!$I$9:$I$1592,MATCH("[13306,""B07-LP1-41.5""]",'SKU明细'!$AE$9:$AE$1592,0)))=4,COUNT(INDEX('SKU明细'!$AD$9:$AD$1592,MATCH("[13306,""B07-LP1-40-by""]",'SKU明细'!$AE$9:$AE$1592,0)),INDEX('SKU明细'!$AD$9:$AD$1592,MATCH("[13306,""B07-LP1-40.5""]",'SKU明细'!$AE$9:$AE$1592,0)),INDEX('SKU明细'!$AD$9:$AD$1592,MATCH("[13306,""B07-LP1-41-by""]",'SKU明细'!$AE$9:$AE$1592,0)),INDEX('SKU明细'!$AD$9:$AD$1592,MATCH("[13306,""B07-LP1-41.5""]",'SKU明细'!$AE$9:$AE$1592,0)))=4,SUM(INDEX('SKU明细'!$AD$9:$AD$1592,MATCH("[13306,""B07-LP1-40-by""]",'SKU明细'!$AE$9:$AE$1592,0)),INDEX('SKU明细'!$AD$9:$AD$1592,MATCH("[13306,""B07-LP1-40.5""]",'SKU明细'!$AE$9:$AE$1592,0)),INDEX('SKU明细'!$AD$9:$AD$1592,MATCH("[13306,""B07-LP1-41-by""]",'SKU明细'!$AE$9:$AE$1592,0)),INDEX('SKU明细'!$AD$9:$AD$1592,MATCH("[13306,""B07-LP1-41.5""]",'SKU明细'!$AE$9:$AE$1592,0)))&gt;0),SUM(INDEX('SKU明细'!$I$9:$I$1592,MATCH("[13306,""B07-LP1-40-by""]",'SKU明细'!$AE$9:$AE$1592,0)),INDEX('SKU明细'!$I$9:$I$1592,MATCH("[13306,""B07-LP1-40.5""]",'SKU明细'!$AE$9:$AE$1592,0)),INDEX('SKU明细'!$I$9:$I$1592,MATCH("[13306,""B07-LP1-41-by""]",'SKU明细'!$AE$9:$AE$1592,0)),INDEX('SKU明细'!$I$9:$I$1592,MATCH("[13306,""B07-LP1-41.5""]",'SKU明细'!$AE$9:$AE$1592,0)))/SUM(INDEX('SKU明细'!$AD$9:$AD$1592,MATCH("[13306,""B07-LP1-40-by""]",'SKU明细'!$AE$9:$AE$1592,0)),INDEX('SKU明细'!$AD$9:$AD$1592,MATCH("[13306,""B07-LP1-40.5""]",'SKU明细'!$AE$9:$AE$1592,0)),INDEX('SKU明细'!$AD$9:$AD$1592,MATCH("[13306,""B07-LP1-41-by""]",'SKU明细'!$AE$9:$AE$1592,0)),INDEX('SKU明细'!$AD$9:$AD$1592,MATCH("[13306,""B07-LP1-41.5""]",'SKU明细'!$AE$9:$AE$1592,0))),"待核")</x:f>
        <x:v>3.6834027625520718</x:v>
      </x:c>
      <x:c r="U28" s="21" t="n">
        <x:f>IF(COUNT(S28:T28)=2,S28-T28,"待核")</x:f>
        <x:v>-1.5659336423100751</x:v>
      </x:c>
      <x:c r="V28" s="22" t="n">
        <x:f>IF(AND(ISNUMBER(U28),ISNUMBER(T28),T28&lt;&gt;0),U28/T28,"")</x:f>
        <x:v>-0.4251323418200151</x:v>
      </x:c>
      <x:c r="W28" s="23" t="n">
        <x:f>IF(COUNT(INDEX('SKU明细'!$H$9:$H$1592,MATCH("[13306,""B07-LP1-40-by""]",'SKU明细'!$AE$9:$AE$1592,0)),INDEX('SKU明细'!$H$9:$H$1592,MATCH("[13306,""B07-LP1-40.5""]",'SKU明细'!$AE$9:$AE$1592,0)),INDEX('SKU明细'!$H$9:$H$1592,MATCH("[13306,""B07-LP1-41-by""]",'SKU明细'!$AE$9:$AE$1592,0)),INDEX('SKU明细'!$H$9:$H$1592,MATCH("[13306,""B07-LP1-41.5""]",'SKU明细'!$AE$9:$AE$1592,0)))=0,"待核",SUM(INDEX('SKU明细'!$H$9:$H$1592,MATCH("[13306,""B07-LP1-40-by""]",'SKU明细'!$AE$9:$AE$1592,0)),INDEX('SKU明细'!$H$9:$H$1592,MATCH("[13306,""B07-LP1-40.5""]",'SKU明细'!$AE$9:$AE$1592,0)),INDEX('SKU明细'!$H$9:$H$1592,MATCH("[13306,""B07-LP1-41-by""]",'SKU明细'!$AE$9:$AE$1592,0)),INDEX('SKU明细'!$H$9:$H$1592,MATCH("[13306,""B07-LP1-41.5""]",'SKU明细'!$AE$9:$AE$1592,0))))</x:f>
        <x:v>4</x:v>
      </x:c>
      <x:c r="X28" s="24" t="str">
        <x:f>IF(COUNTIFS('SKU明细'!$AH$9:$AH$1592,"[""B07"",""B07-LP1"",""LP1"",""豹纹羊京绒""]",'SKU明细'!$E$9:$E$1592,"促销")&gt;0,"促销 ","")&amp;IF(COUNTIFS('SKU明细'!$AH$9:$AH$1592,"[""B07"",""B07-LP1"",""LP1"",""豹纹羊京绒""]",'SKU明细'!$E$9:$E$1592,"红线促销")&gt;0,"红线促销 ","")&amp;IF(COUNTIFS('SKU明细'!$AH$9:$AH$1592,"[""B07"",""B07-LP1"",""LP1"",""豹纹羊京绒""]",'SKU明细'!$E$9:$E$1592,"考虑清仓")&gt;0,"考虑清仓 ","")&amp;IF(COUNTIFS('SKU明细'!$AH$9:$AH$1592,"[""B07"",""B07-LP1"",""LP1"",""豹纹羊京绒""]",'SKU明细'!$E$9:$E$1592,"断货")&gt;0,"断货 ","")&amp;IF(COUNTIFS('SKU明细'!$AH$9:$AH$1592,"[""B07"",""B07-LP1"",""LP1"",""豹纹羊京绒""]",'SKU明细'!$E$9:$E$1592,"零日销待复核")&gt;0,"零日销待复核 ","")&amp;IF(COUNTIFS('SKU明细'!$AH$9:$AH$1592,"[""B07"",""B07-LP1"",""LP1"",""豹纹羊京绒""]",'SKU明细'!$E$9:$E$1592,"数据待核")&gt;0,"数据待核 ","")&amp;IF(COUNTIFS('SKU明细'!$AH$9:$AH$1592,"[""B07"",""B07-LP1"",""LP1"",""豹纹羊京绒""]",'SKU明细'!$E$9:$E$1592,"正常库存")&gt;0,"正常库存 ","")&amp;IF(COUNTIFS('SKU明细'!$AH$9:$AH$1592,"[""B07"",""B07-LP1"",""LP1"",""豹纹羊京绒""]",'SKU明细'!$E$9:$E$1592,"补货提醒")&gt;0,"补货提醒 ","")</x:f>
        <x:v>断货 补货提醒 </x:v>
      </x:c>
      <x:c r="Y28" s="24" t="str">
        <x:f>IF(NOT(ISNUMBER(U28)),"覆盖待核／无可比基准","完整可比")</x:f>
        <x:v>完整可比</x:v>
      </x:c>
      <x:c r="Z28" s="24" t="str">
        <x:v>在售</x:v>
      </x:c>
      <x:c r="AA28" s="24" t="n">
        <x:f>IF(SUMIFS('SKU明细'!$AF$9:$AF$1592,'SKU明细'!$D$9:$D$1592,A28,'SKU明细'!$Z$9:$Z$1592,"&lt;&gt;移出")=0,"待核",SUMIFS('SKU明细'!$H$9:$H$1592,'SKU明细'!$D$9:$D$1592,A28,'SKU明细'!$Z$9:$Z$1592,"&lt;&gt;移出"))</x:f>
        <x:v>2671</x:v>
      </x:c>
    </x:row>
    <x:row r="29" ht="54" customHeight="1">
      <x:c r="A29" s="20" t="str">
        <x:v>B07</x:v>
      </x:c>
      <x:c r="B29" s="20" t="str">
        <x:v>艾年</x:v>
      </x:c>
      <x:c r="C29" s="20" t="str">
        <x:v>黄色羊京绒</x:v>
      </x:c>
      <x:c r="D29" s="20" t="str">
        <x:v>MT</x:v>
      </x:c>
      <x:c r="E29" s="20" t="str">
        <x:v>B07-MT</x:v>
      </x:c>
      <x:c r="F29" s="20"/>
      <x:c r="G29" s="21" t="str">
        <x:f>"—"</x:f>
        <x:v>—</x:v>
      </x:c>
      <x:c r="H29" s="21" t="n">
        <x:f>IF(AND(COUNT(INDEX('SKU明细'!$H$9:$H$1592,MATCH("[13306,""B07-MT-37-by""]",'SKU明细'!$AE$9:$AE$1592,0)))=1,COUNT(INDEX('SKU明细'!$G$9:$G$1592,MATCH("[13306,""B07-MT-37-by""]",'SKU明细'!$AE$9:$AE$1592,0)))=1,SUM(INDEX('SKU明细'!$G$9:$G$1592,MATCH("[13306,""B07-MT-37-by""]",'SKU明细'!$AE$9:$AE$1592,0)))&gt;0),SUM(INDEX('SKU明细'!$H$9:$H$1592,MATCH("[13306,""B07-MT-37-by""]",'SKU明细'!$AE$9:$AE$1592,0)))/SUM(INDEX('SKU明细'!$G$9:$G$1592,MATCH("[13306,""B07-MT-37-by""]",'SKU明细'!$AE$9:$AE$1592,0))),"待核")</x:f>
        <x:v>3824.9999999999995</x:v>
      </x:c>
      <x:c r="I29" s="21" t="n">
        <x:f>IF(AND(COUNT(INDEX('SKU明细'!$H$9:$H$1592,MATCH("[13306,""B07-MT-37.5""]",'SKU明细'!$AE$9:$AE$1592,0)))=1,COUNT(INDEX('SKU明细'!$G$9:$G$1592,MATCH("[13306,""B07-MT-37.5""]",'SKU明细'!$AE$9:$AE$1592,0)))=1,SUM(INDEX('SKU明细'!$G$9:$G$1592,MATCH("[13306,""B07-MT-37.5""]",'SKU明细'!$AE$9:$AE$1592,0)))&gt;0),SUM(INDEX('SKU明细'!$H$9:$H$1592,MATCH("[13306,""B07-MT-37.5""]",'SKU明细'!$AE$9:$AE$1592,0)))/SUM(INDEX('SKU明细'!$G$9:$G$1592,MATCH("[13306,""B07-MT-37.5""]",'SKU明细'!$AE$9:$AE$1592,0))),"待核")</x:f>
        <x:v>28.251121076233186</x:v>
      </x:c>
      <x:c r="J29" s="21" t="n">
        <x:f>IF(AND(COUNT(INDEX('SKU明细'!$H$9:$H$1592,MATCH("[13306,""B07-MT-38-New""]",'SKU明细'!$AE$9:$AE$1592,0)))=1,COUNT(INDEX('SKU明细'!$G$9:$G$1592,MATCH("[13306,""B07-MT-38-New""]",'SKU明细'!$AE$9:$AE$1592,0)))=1,SUM(INDEX('SKU明细'!$G$9:$G$1592,MATCH("[13306,""B07-MT-38-New""]",'SKU明细'!$AE$9:$AE$1592,0)))&gt;0),SUM(INDEX('SKU明细'!$H$9:$H$1592,MATCH("[13306,""B07-MT-38-New""]",'SKU明细'!$AE$9:$AE$1592,0)))/SUM(INDEX('SKU明细'!$G$9:$G$1592,MATCH("[13306,""B07-MT-38-New""]",'SKU明细'!$AE$9:$AE$1592,0))),"待核")</x:f>
        <x:v>752.1276595744681</x:v>
      </x:c>
      <x:c r="K29" s="21" t="str">
        <x:f>"—"</x:f>
        <x:v>—</x:v>
      </x:c>
      <x:c r="L29" s="21" t="n">
        <x:f>IF(AND(COUNT(INDEX('SKU明细'!$H$9:$H$1592,MATCH("[13306,""B07-MT-39-by""]",'SKU明细'!$AE$9:$AE$1592,0)))=1,COUNT(INDEX('SKU明细'!$G$9:$G$1592,MATCH("[13306,""B07-MT-39-by""]",'SKU明细'!$AE$9:$AE$1592,0)))=1,SUM(INDEX('SKU明细'!$G$9:$G$1592,MATCH("[13306,""B07-MT-39-by""]",'SKU明细'!$AE$9:$AE$1592,0)))&gt;0),SUM(INDEX('SKU明细'!$H$9:$H$1592,MATCH("[13306,""B07-MT-39-by""]",'SKU明细'!$AE$9:$AE$1592,0)))/SUM(INDEX('SKU明细'!$G$9:$G$1592,MATCH("[13306,""B07-MT-39-by""]",'SKU明细'!$AE$9:$AE$1592,0))),"待核")</x:f>
        <x:v>0</x:v>
      </x:c>
      <x:c r="M29" s="21" t="str">
        <x:f>"—"</x:f>
        <x:v>—</x:v>
      </x:c>
      <x:c r="N29" s="21" t="str">
        <x:f>"—"</x:f>
        <x:v>—</x:v>
      </x:c>
      <x:c r="O29" s="21" t="str">
        <x:f>"—"</x:f>
        <x:v>—</x:v>
      </x:c>
      <x:c r="P29" s="21" t="str">
        <x:f>"—"</x:f>
        <x:v>—</x:v>
      </x:c>
      <x:c r="Q29" s="21" t="str">
        <x:f>IF(AND(COUNT(INDEX('SKU明细'!$H$9:$H$1592,MATCH("[13306,""B07-MT-41.5""]",'SKU明细'!$AE$9:$AE$1592,0)))=1,COUNT(INDEX('SKU明细'!$G$9:$G$1592,MATCH("[13306,""B07-MT-41.5""]",'SKU明细'!$AE$9:$AE$1592,0)))=1,SUM(INDEX('SKU明细'!$G$9:$G$1592,MATCH("[13306,""B07-MT-41.5""]",'SKU明细'!$AE$9:$AE$1592,0)))&gt;0),SUM(INDEX('SKU明细'!$H$9:$H$1592,MATCH("[13306,""B07-MT-41.5""]",'SKU明细'!$AE$9:$AE$1592,0)))/SUM(INDEX('SKU明细'!$G$9:$G$1592,MATCH("[13306,""B07-MT-41.5""]",'SKU明细'!$AE$9:$AE$1592,0))),"待核")</x:f>
        <x:v>待核</x:v>
      </x:c>
      <x:c r="R29" s="21" t="str">
        <x:f>IF(AND(COUNT(INDEX('SKU明细'!$H$9:$H$1592,MATCH("[13306,""B07-MT-42-by""]",'SKU明细'!$AE$9:$AE$1592,0)))=1,COUNT(INDEX('SKU明细'!$G$9:$G$1592,MATCH("[13306,""B07-MT-42-by""]",'SKU明细'!$AE$9:$AE$1592,0)))=1,SUM(INDEX('SKU明细'!$G$9:$G$1592,MATCH("[13306,""B07-MT-42-by""]",'SKU明细'!$AE$9:$AE$1592,0)))&gt;0),SUM(INDEX('SKU明细'!$H$9:$H$1592,MATCH("[13306,""B07-MT-42-by""]",'SKU明细'!$AE$9:$AE$1592,0)))/SUM(INDEX('SKU明细'!$G$9:$G$1592,MATCH("[13306,""B07-MT-42-by""]",'SKU明细'!$AE$9:$AE$1592,0))),"待核")</x:f>
        <x:v>待核</x:v>
      </x:c>
      <x:c r="S29" s="21" t="n">
        <x:f>IF(AND(COUNT(INDEX('SKU明细'!$H$9:$H$1592,MATCH("[13306,""B07-MT-37-by""]",'SKU明细'!$AE$9:$AE$1592,0)),INDEX('SKU明细'!$H$9:$H$1592,MATCH("[13306,""B07-MT-38-New""]",'SKU明细'!$AE$9:$AE$1592,0)),INDEX('SKU明细'!$H$9:$H$1592,MATCH("[13306,""B07-MT-39-by""]",'SKU明细'!$AE$9:$AE$1592,0)),INDEX('SKU明细'!$H$9:$H$1592,MATCH("[13306,""B07-MT-41.5""]",'SKU明细'!$AE$9:$AE$1592,0)),INDEX('SKU明细'!$H$9:$H$1592,MATCH("[13306,""B07-MT-42-by""]",'SKU明细'!$AE$9:$AE$1592,0)),INDEX('SKU明细'!$H$9:$H$1592,MATCH("[13306,""B07-MT-37.5""]",'SKU明细'!$AE$9:$AE$1592,0)))=6,COUNT(INDEX('SKU明细'!$G$9:$G$1592,MATCH("[13306,""B07-MT-37-by""]",'SKU明细'!$AE$9:$AE$1592,0)),INDEX('SKU明细'!$G$9:$G$1592,MATCH("[13306,""B07-MT-38-New""]",'SKU明细'!$AE$9:$AE$1592,0)),INDEX('SKU明细'!$G$9:$G$1592,MATCH("[13306,""B07-MT-39-by""]",'SKU明细'!$AE$9:$AE$1592,0)),INDEX('SKU明细'!$G$9:$G$1592,MATCH("[13306,""B07-MT-41.5""]",'SKU明细'!$AE$9:$AE$1592,0)),INDEX('SKU明细'!$G$9:$G$1592,MATCH("[13306,""B07-MT-42-by""]",'SKU明细'!$AE$9:$AE$1592,0)),INDEX('SKU明细'!$G$9:$G$1592,MATCH("[13306,""B07-MT-37.5""]",'SKU明细'!$AE$9:$AE$1592,0)))=6,SUM(INDEX('SKU明细'!$G$9:$G$1592,MATCH("[13306,""B07-MT-37-by""]",'SKU明细'!$AE$9:$AE$1592,0)),INDEX('SKU明细'!$G$9:$G$1592,MATCH("[13306,""B07-MT-38-New""]",'SKU明细'!$AE$9:$AE$1592,0)),INDEX('SKU明细'!$G$9:$G$1592,MATCH("[13306,""B07-MT-39-by""]",'SKU明细'!$AE$9:$AE$1592,0)),INDEX('SKU明细'!$G$9:$G$1592,MATCH("[13306,""B07-MT-41.5""]",'SKU明细'!$AE$9:$AE$1592,0)),INDEX('SKU明细'!$G$9:$G$1592,MATCH("[13306,""B07-MT-42-by""]",'SKU明细'!$AE$9:$AE$1592,0)),INDEX('SKU明细'!$G$9:$G$1592,MATCH("[13306,""B07-MT-37.5""]",'SKU明细'!$AE$9:$AE$1592,0)))&gt;0),SUM(INDEX('SKU明细'!$H$9:$H$1592,MATCH("[13306,""B07-MT-37-by""]",'SKU明细'!$AE$9:$AE$1592,0)),INDEX('SKU明细'!$H$9:$H$1592,MATCH("[13306,""B07-MT-38-New""]",'SKU明细'!$AE$9:$AE$1592,0)),INDEX('SKU明细'!$H$9:$H$1592,MATCH("[13306,""B07-MT-39-by""]",'SKU明细'!$AE$9:$AE$1592,0)),INDEX('SKU明细'!$H$9:$H$1592,MATCH("[13306,""B07-MT-41.5""]",'SKU明细'!$AE$9:$AE$1592,0)),INDEX('SKU明细'!$H$9:$H$1592,MATCH("[13306,""B07-MT-42-by""]",'SKU明细'!$AE$9:$AE$1592,0)),INDEX('SKU明细'!$H$9:$H$1592,MATCH("[13306,""B07-MT-37.5""]",'SKU明细'!$AE$9:$AE$1592,0)))/SUM(INDEX('SKU明细'!$G$9:$G$1592,MATCH("[13306,""B07-MT-37-by""]",'SKU明细'!$AE$9:$AE$1592,0)),INDEX('SKU明细'!$G$9:$G$1592,MATCH("[13306,""B07-MT-38-New""]",'SKU明细'!$AE$9:$AE$1592,0)),INDEX('SKU明细'!$G$9:$G$1592,MATCH("[13306,""B07-MT-39-by""]",'SKU明细'!$AE$9:$AE$1592,0)),INDEX('SKU明细'!$G$9:$G$1592,MATCH("[13306,""B07-MT-41.5""]",'SKU明细'!$AE$9:$AE$1592,0)),INDEX('SKU明细'!$G$9:$G$1592,MATCH("[13306,""B07-MT-42-by""]",'SKU明细'!$AE$9:$AE$1592,0)),INDEX('SKU明细'!$G$9:$G$1592,MATCH("[13306,""B07-MT-37.5""]",'SKU明细'!$AE$9:$AE$1592,0))),"待核")</x:f>
        <x:v>343.8341968911917</x:v>
      </x:c>
      <x:c r="T29" s="21" t="str">
        <x:f>IF(AND(COUNT(INDEX('SKU明细'!$I$9:$I$1592,MATCH("[13306,""B07-MT-37-by""]",'SKU明细'!$AE$9:$AE$1592,0)),INDEX('SKU明细'!$I$9:$I$1592,MATCH("[13306,""B07-MT-38-New""]",'SKU明细'!$AE$9:$AE$1592,0)),INDEX('SKU明细'!$I$9:$I$1592,MATCH("[13306,""B07-MT-39-by""]",'SKU明细'!$AE$9:$AE$1592,0)),INDEX('SKU明细'!$I$9:$I$1592,MATCH("[13306,""B07-MT-41.5""]",'SKU明细'!$AE$9:$AE$1592,0)),INDEX('SKU明细'!$I$9:$I$1592,MATCH("[13306,""B07-MT-42-by""]",'SKU明细'!$AE$9:$AE$1592,0)),INDEX('SKU明细'!$I$9:$I$1592,MATCH("[13306,""B07-MT-37.5""]",'SKU明细'!$AE$9:$AE$1592,0)))=6,COUNT(INDEX('SKU明细'!$AD$9:$AD$1592,MATCH("[13306,""B07-MT-37-by""]",'SKU明细'!$AE$9:$AE$1592,0)),INDEX('SKU明细'!$AD$9:$AD$1592,MATCH("[13306,""B07-MT-38-New""]",'SKU明细'!$AE$9:$AE$1592,0)),INDEX('SKU明细'!$AD$9:$AD$1592,MATCH("[13306,""B07-MT-39-by""]",'SKU明细'!$AE$9:$AE$1592,0)),INDEX('SKU明细'!$AD$9:$AD$1592,MATCH("[13306,""B07-MT-41.5""]",'SKU明细'!$AE$9:$AE$1592,0)),INDEX('SKU明细'!$AD$9:$AD$1592,MATCH("[13306,""B07-MT-42-by""]",'SKU明细'!$AE$9:$AE$1592,0)),INDEX('SKU明细'!$AD$9:$AD$1592,MATCH("[13306,""B07-MT-37.5""]",'SKU明细'!$AE$9:$AE$1592,0)))=6,SUM(INDEX('SKU明细'!$AD$9:$AD$1592,MATCH("[13306,""B07-MT-37-by""]",'SKU明细'!$AE$9:$AE$1592,0)),INDEX('SKU明细'!$AD$9:$AD$1592,MATCH("[13306,""B07-MT-38-New""]",'SKU明细'!$AE$9:$AE$1592,0)),INDEX('SKU明细'!$AD$9:$AD$1592,MATCH("[13306,""B07-MT-39-by""]",'SKU明细'!$AE$9:$AE$1592,0)),INDEX('SKU明细'!$AD$9:$AD$1592,MATCH("[13306,""B07-MT-41.5""]",'SKU明细'!$AE$9:$AE$1592,0)),INDEX('SKU明细'!$AD$9:$AD$1592,MATCH("[13306,""B07-MT-42-by""]",'SKU明细'!$AE$9:$AE$1592,0)),INDEX('SKU明细'!$AD$9:$AD$1592,MATCH("[13306,""B07-MT-37.5""]",'SKU明细'!$AE$9:$AE$1592,0)))&gt;0),SUM(INDEX('SKU明细'!$I$9:$I$1592,MATCH("[13306,""B07-MT-37-by""]",'SKU明细'!$AE$9:$AE$1592,0)),INDEX('SKU明细'!$I$9:$I$1592,MATCH("[13306,""B07-MT-38-New""]",'SKU明细'!$AE$9:$AE$1592,0)),INDEX('SKU明细'!$I$9:$I$1592,MATCH("[13306,""B07-MT-39-by""]",'SKU明细'!$AE$9:$AE$1592,0)),INDEX('SKU明细'!$I$9:$I$1592,MATCH("[13306,""B07-MT-41.5""]",'SKU明细'!$AE$9:$AE$1592,0)),INDEX('SKU明细'!$I$9:$I$1592,MATCH("[13306,""B07-MT-42-by""]",'SKU明细'!$AE$9:$AE$1592,0)),INDEX('SKU明细'!$I$9:$I$1592,MATCH("[13306,""B07-MT-37.5""]",'SKU明细'!$AE$9:$AE$1592,0)))/SUM(INDEX('SKU明细'!$AD$9:$AD$1592,MATCH("[13306,""B07-MT-37-by""]",'SKU明细'!$AE$9:$AE$1592,0)),INDEX('SKU明细'!$AD$9:$AD$1592,MATCH("[13306,""B07-MT-38-New""]",'SKU明细'!$AE$9:$AE$1592,0)),INDEX('SKU明细'!$AD$9:$AD$1592,MATCH("[13306,""B07-MT-39-by""]",'SKU明细'!$AE$9:$AE$1592,0)),INDEX('SKU明细'!$AD$9:$AD$1592,MATCH("[13306,""B07-MT-41.5""]",'SKU明细'!$AE$9:$AE$1592,0)),INDEX('SKU明细'!$AD$9:$AD$1592,MATCH("[13306,""B07-MT-42-by""]",'SKU明细'!$AE$9:$AE$1592,0)),INDEX('SKU明细'!$AD$9:$AD$1592,MATCH("[13306,""B07-MT-37.5""]",'SKU明细'!$AE$9:$AE$1592,0))),"待核")</x:f>
        <x:v>待核</x:v>
      </x:c>
      <x:c r="U29" s="21" t="str">
        <x:f>IF(COUNT(S29:T29)=2,S29-T29,"待核")</x:f>
        <x:v>待核</x:v>
      </x:c>
      <x:c r="V29" s="22" t="str">
        <x:f>IF(AND(ISNUMBER(U29),ISNUMBER(T29),T29&lt;&gt;0),U29/T29,"")</x:f>
      </x:c>
      <x:c r="W29" s="23" t="n">
        <x:f>IF(COUNT(INDEX('SKU明细'!$H$9:$H$1592,MATCH("[13306,""B07-MT-37-by""]",'SKU明细'!$AE$9:$AE$1592,0)),INDEX('SKU明细'!$H$9:$H$1592,MATCH("[13306,""B07-MT-38-New""]",'SKU明细'!$AE$9:$AE$1592,0)),INDEX('SKU明细'!$H$9:$H$1592,MATCH("[13306,""B07-MT-39-by""]",'SKU明细'!$AE$9:$AE$1592,0)),INDEX('SKU明细'!$H$9:$H$1592,MATCH("[13306,""B07-MT-41.5""]",'SKU明细'!$AE$9:$AE$1592,0)),INDEX('SKU明细'!$H$9:$H$1592,MATCH("[13306,""B07-MT-42-by""]",'SKU明细'!$AE$9:$AE$1592,0)),INDEX('SKU明细'!$H$9:$H$1592,MATCH("[13306,""B07-MT-37.5""]",'SKU明细'!$AE$9:$AE$1592,0)))=0,"待核",SUM(INDEX('SKU明细'!$H$9:$H$1592,MATCH("[13306,""B07-MT-37-by""]",'SKU明细'!$AE$9:$AE$1592,0)),INDEX('SKU明细'!$H$9:$H$1592,MATCH("[13306,""B07-MT-38-New""]",'SKU明细'!$AE$9:$AE$1592,0)),INDEX('SKU明细'!$H$9:$H$1592,MATCH("[13306,""B07-MT-39-by""]",'SKU明细'!$AE$9:$AE$1592,0)),INDEX('SKU明细'!$H$9:$H$1592,MATCH("[13306,""B07-MT-41.5""]",'SKU明细'!$AE$9:$AE$1592,0)),INDEX('SKU明细'!$H$9:$H$1592,MATCH("[13306,""B07-MT-42-by""]",'SKU明细'!$AE$9:$AE$1592,0)),INDEX('SKU明细'!$H$9:$H$1592,MATCH("[13306,""B07-MT-37.5""]",'SKU明细'!$AE$9:$AE$1592,0))))</x:f>
        <x:v>158</x:v>
      </x:c>
      <x:c r="X29" s="24" t="str">
        <x:f>IF(COUNTIFS('SKU明细'!$AH$9:$AH$1592,"[""B07"",""B07-MT"",""MT"",""黄色羊京绒""]",'SKU明细'!$E$9:$E$1592,"促销")&gt;0,"促销 ","")&amp;IF(COUNTIFS('SKU明细'!$AH$9:$AH$1592,"[""B07"",""B07-MT"",""MT"",""黄色羊京绒""]",'SKU明细'!$E$9:$E$1592,"红线促销")&gt;0,"红线促销 ","")&amp;IF(COUNTIFS('SKU明细'!$AH$9:$AH$1592,"[""B07"",""B07-MT"",""MT"",""黄色羊京绒""]",'SKU明细'!$E$9:$E$1592,"考虑清仓")&gt;0,"考虑清仓 ","")&amp;IF(COUNTIFS('SKU明细'!$AH$9:$AH$1592,"[""B07"",""B07-MT"",""MT"",""黄色羊京绒""]",'SKU明细'!$E$9:$E$1592,"断货")&gt;0,"断货 ","")&amp;IF(COUNTIFS('SKU明细'!$AH$9:$AH$1592,"[""B07"",""B07-MT"",""MT"",""黄色羊京绒""]",'SKU明细'!$E$9:$E$1592,"零日销待复核")&gt;0,"零日销待复核 ","")&amp;IF(COUNTIFS('SKU明细'!$AH$9:$AH$1592,"[""B07"",""B07-MT"",""MT"",""黄色羊京绒""]",'SKU明细'!$E$9:$E$1592,"数据待核")&gt;0,"数据待核 ","")&amp;IF(COUNTIFS('SKU明细'!$AH$9:$AH$1592,"[""B07"",""B07-MT"",""MT"",""黄色羊京绒""]",'SKU明细'!$E$9:$E$1592,"正常库存")&gt;0,"正常库存 ","")&amp;IF(COUNTIFS('SKU明细'!$AH$9:$AH$1592,"[""B07"",""B07-MT"",""MT"",""黄色羊京绒""]",'SKU明细'!$E$9:$E$1592,"补货提醒")&gt;0,"补货提醒 ","")</x:f>
        <x:v>考虑清仓 断货 补货提醒 </x:v>
      </x:c>
      <x:c r="Y29" s="24" t="str">
        <x:f>IF(NOT(ISNUMBER(U29)),"覆盖待核／无可比基准","完整可比")</x:f>
        <x:v>覆盖待核／无可比基准</x:v>
      </x:c>
      <x:c r="Z29" s="24" t="str">
        <x:v>在售、停售</x:v>
      </x:c>
      <x:c r="AA29" s="24" t="n">
        <x:f>IF(SUMIFS('SKU明细'!$AF$9:$AF$1592,'SKU明细'!$D$9:$D$1592,A29,'SKU明细'!$Z$9:$Z$1592,"&lt;&gt;移出")=0,"待核",SUMIFS('SKU明细'!$H$9:$H$1592,'SKU明细'!$D$9:$D$1592,A29,'SKU明细'!$Z$9:$Z$1592,"&lt;&gt;移出"))</x:f>
        <x:v>2671</x:v>
      </x:c>
    </x:row>
    <x:row r="30" ht="54" customHeight="1">
      <x:c r="A30" s="20" t="str">
        <x:v>B07</x:v>
      </x:c>
      <x:c r="B30" s="20" t="str">
        <x:v>艾年</x:v>
      </x:c>
      <x:c r="C30" s="20" t="str">
        <x:v>裸色色织提花</x:v>
      </x:c>
      <x:c r="D30" s="20" t="str">
        <x:v>ND-I</x:v>
      </x:c>
      <x:c r="E30" s="20" t="str">
        <x:v>B07-ND-I-0</x:v>
      </x:c>
      <x:c r="F30" s="20"/>
      <x:c r="G30" s="21" t="str">
        <x:f>"—"</x:f>
        <x:v>—</x:v>
      </x:c>
      <x:c r="H30" s="21" t="str">
        <x:f>IF(AND(COUNT(INDEX('SKU明细'!$H$9:$H$1592,MATCH("[13306,""B07-ND-I-0-37""]",'SKU明细'!$AE$9:$AE$1592,0)))=1,COUNT(INDEX('SKU明细'!$G$9:$G$1592,MATCH("[13306,""B07-ND-I-0-37""]",'SKU明细'!$AE$9:$AE$1592,0)))=1,SUM(INDEX('SKU明细'!$G$9:$G$1592,MATCH("[13306,""B07-ND-I-0-37""]",'SKU明细'!$AE$9:$AE$1592,0)))&gt;0),SUM(INDEX('SKU明细'!$H$9:$H$1592,MATCH("[13306,""B07-ND-I-0-37""]",'SKU明细'!$AE$9:$AE$1592,0)))/SUM(INDEX('SKU明细'!$G$9:$G$1592,MATCH("[13306,""B07-ND-I-0-37""]",'SKU明细'!$AE$9:$AE$1592,0))),"待核")</x:f>
        <x:v>待核</x:v>
      </x:c>
      <x:c r="I30" s="21" t="n">
        <x:f>IF(AND(COUNT(INDEX('SKU明细'!$H$9:$H$1592,MATCH("[13306,""B07-ND-I-0-37.5""]",'SKU明细'!$AE$9:$AE$1592,0)))=1,COUNT(INDEX('SKU明细'!$G$9:$G$1592,MATCH("[13306,""B07-ND-I-0-37.5""]",'SKU明细'!$AE$9:$AE$1592,0)))=1,SUM(INDEX('SKU明细'!$G$9:$G$1592,MATCH("[13306,""B07-ND-I-0-37.5""]",'SKU明细'!$AE$9:$AE$1592,0)))&gt;0),SUM(INDEX('SKU明细'!$H$9:$H$1592,MATCH("[13306,""B07-ND-I-0-37.5""]",'SKU明细'!$AE$9:$AE$1592,0)))/SUM(INDEX('SKU明细'!$G$9:$G$1592,MATCH("[13306,""B07-ND-I-0-37.5""]",'SKU明细'!$AE$9:$AE$1592,0))),"待核")</x:f>
        <x:v>0</x:v>
      </x:c>
      <x:c r="J30" s="21" t="n">
        <x:f>IF(AND(COUNT(INDEX('SKU明细'!$H$9:$H$1592,MATCH("[13306,""B07-ND-I-0-38""]",'SKU明细'!$AE$9:$AE$1592,0)))=1,COUNT(INDEX('SKU明细'!$G$9:$G$1592,MATCH("[13306,""B07-ND-I-0-38""]",'SKU明细'!$AE$9:$AE$1592,0)))=1,SUM(INDEX('SKU明细'!$G$9:$G$1592,MATCH("[13306,""B07-ND-I-0-38""]",'SKU明细'!$AE$9:$AE$1592,0)))&gt;0),SUM(INDEX('SKU明细'!$H$9:$H$1592,MATCH("[13306,""B07-ND-I-0-38""]",'SKU明细'!$AE$9:$AE$1592,0)))/SUM(INDEX('SKU明细'!$G$9:$G$1592,MATCH("[13306,""B07-ND-I-0-38""]",'SKU明细'!$AE$9:$AE$1592,0))),"待核")</x:f>
        <x:v>2250</x:v>
      </x:c>
      <x:c r="K30" s="21" t="str">
        <x:f>"—"</x:f>
        <x:v>—</x:v>
      </x:c>
      <x:c r="L30" s="21" t="str">
        <x:f>"—"</x:f>
        <x:v>—</x:v>
      </x:c>
      <x:c r="M30" s="21" t="str">
        <x:f>IF(AND(COUNT(INDEX('SKU明细'!$H$9:$H$1592,MATCH("[13306,""B07-ND-I-0-39.5""]",'SKU明细'!$AE$9:$AE$1592,0)))=1,COUNT(INDEX('SKU明细'!$G$9:$G$1592,MATCH("[13306,""B07-ND-I-0-39.5""]",'SKU明细'!$AE$9:$AE$1592,0)))=1,SUM(INDEX('SKU明细'!$G$9:$G$1592,MATCH("[13306,""B07-ND-I-0-39.5""]",'SKU明细'!$AE$9:$AE$1592,0)))&gt;0),SUM(INDEX('SKU明细'!$H$9:$H$1592,MATCH("[13306,""B07-ND-I-0-39.5""]",'SKU明细'!$AE$9:$AE$1592,0)))/SUM(INDEX('SKU明细'!$G$9:$G$1592,MATCH("[13306,""B07-ND-I-0-39.5""]",'SKU明细'!$AE$9:$AE$1592,0))),"待核")</x:f>
        <x:v>待核</x:v>
      </x:c>
      <x:c r="N30" s="21" t="str">
        <x:f>"—"</x:f>
        <x:v>—</x:v>
      </x:c>
      <x:c r="O30" s="21" t="n">
        <x:f>IF(AND(COUNT(INDEX('SKU明细'!$H$9:$H$1592,MATCH("[13306,""B07-ND-I-0-40.5""]",'SKU明细'!$AE$9:$AE$1592,0)))=1,COUNT(INDEX('SKU明细'!$G$9:$G$1592,MATCH("[13306,""B07-ND-I-0-40.5""]",'SKU明细'!$AE$9:$AE$1592,0)))=1,SUM(INDEX('SKU明细'!$G$9:$G$1592,MATCH("[13306,""B07-ND-I-0-40.5""]",'SKU明细'!$AE$9:$AE$1592,0)))&gt;0),SUM(INDEX('SKU明细'!$H$9:$H$1592,MATCH("[13306,""B07-ND-I-0-40.5""]",'SKU明细'!$AE$9:$AE$1592,0)))/SUM(INDEX('SKU明细'!$G$9:$G$1592,MATCH("[13306,""B07-ND-I-0-40.5""]",'SKU明细'!$AE$9:$AE$1592,0))),"待核")</x:f>
        <x:v>35.59322033898305</x:v>
      </x:c>
      <x:c r="P30" s="21" t="n">
        <x:f>IF(AND(COUNT(INDEX('SKU明细'!$H$9:$H$1592,MATCH("[13306,""B07-ND-I-0-41""]",'SKU明细'!$AE$9:$AE$1592,0)))=1,COUNT(INDEX('SKU明细'!$G$9:$G$1592,MATCH("[13306,""B07-ND-I-0-41""]",'SKU明细'!$AE$9:$AE$1592,0)))=1,SUM(INDEX('SKU明细'!$G$9:$G$1592,MATCH("[13306,""B07-ND-I-0-41""]",'SKU明细'!$AE$9:$AE$1592,0)))&gt;0),SUM(INDEX('SKU明细'!$H$9:$H$1592,MATCH("[13306,""B07-ND-I-0-41""]",'SKU明细'!$AE$9:$AE$1592,0)))/SUM(INDEX('SKU明细'!$G$9:$G$1592,MATCH("[13306,""B07-ND-I-0-41""]",'SKU明细'!$AE$9:$AE$1592,0))),"待核")</x:f>
        <x:v>460.2739726027398</x:v>
      </x:c>
      <x:c r="Q30" s="21" t="str">
        <x:f>"—"</x:f>
        <x:v>—</x:v>
      </x:c>
      <x:c r="R30" s="21" t="str">
        <x:f>"—"</x:f>
        <x:v>—</x:v>
      </x:c>
      <x:c r="S30" s="21" t="n">
        <x:f>IF(AND(COUNT(INDEX('SKU明细'!$H$9:$H$1592,MATCH("[13306,""B07-ND-I-0-38""]",'SKU明细'!$AE$9:$AE$1592,0)),INDEX('SKU明细'!$H$9:$H$1592,MATCH("[13306,""B07-ND-I-0-41""]",'SKU明细'!$AE$9:$AE$1592,0)),INDEX('SKU明细'!$H$9:$H$1592,MATCH("[13306,""B07-ND-I-0-37""]",'SKU明细'!$AE$9:$AE$1592,0)),INDEX('SKU明细'!$H$9:$H$1592,MATCH("[13306,""B07-ND-I-0-37.5""]",'SKU明细'!$AE$9:$AE$1592,0)),INDEX('SKU明细'!$H$9:$H$1592,MATCH("[13306,""B07-ND-I-0-39.5""]",'SKU明细'!$AE$9:$AE$1592,0)),INDEX('SKU明细'!$H$9:$H$1592,MATCH("[13306,""B07-ND-I-0-40.5""]",'SKU明细'!$AE$9:$AE$1592,0)))=6,COUNT(INDEX('SKU明细'!$G$9:$G$1592,MATCH("[13306,""B07-ND-I-0-38""]",'SKU明细'!$AE$9:$AE$1592,0)),INDEX('SKU明细'!$G$9:$G$1592,MATCH("[13306,""B07-ND-I-0-41""]",'SKU明细'!$AE$9:$AE$1592,0)),INDEX('SKU明细'!$G$9:$G$1592,MATCH("[13306,""B07-ND-I-0-37""]",'SKU明细'!$AE$9:$AE$1592,0)),INDEX('SKU明细'!$G$9:$G$1592,MATCH("[13306,""B07-ND-I-0-37.5""]",'SKU明细'!$AE$9:$AE$1592,0)),INDEX('SKU明细'!$G$9:$G$1592,MATCH("[13306,""B07-ND-I-0-39.5""]",'SKU明细'!$AE$9:$AE$1592,0)),INDEX('SKU明细'!$G$9:$G$1592,MATCH("[13306,""B07-ND-I-0-40.5""]",'SKU明细'!$AE$9:$AE$1592,0)))=6,SUM(INDEX('SKU明细'!$G$9:$G$1592,MATCH("[13306,""B07-ND-I-0-38""]",'SKU明细'!$AE$9:$AE$1592,0)),INDEX('SKU明细'!$G$9:$G$1592,MATCH("[13306,""B07-ND-I-0-41""]",'SKU明细'!$AE$9:$AE$1592,0)),INDEX('SKU明细'!$G$9:$G$1592,MATCH("[13306,""B07-ND-I-0-37""]",'SKU明细'!$AE$9:$AE$1592,0)),INDEX('SKU明细'!$G$9:$G$1592,MATCH("[13306,""B07-ND-I-0-37.5""]",'SKU明细'!$AE$9:$AE$1592,0)),INDEX('SKU明细'!$G$9:$G$1592,MATCH("[13306,""B07-ND-I-0-39.5""]",'SKU明细'!$AE$9:$AE$1592,0)),INDEX('SKU明细'!$G$9:$G$1592,MATCH("[13306,""B07-ND-I-0-40.5""]",'SKU明细'!$AE$9:$AE$1592,0)))&gt;0),SUM(INDEX('SKU明细'!$H$9:$H$1592,MATCH("[13306,""B07-ND-I-0-38""]",'SKU明细'!$AE$9:$AE$1592,0)),INDEX('SKU明细'!$H$9:$H$1592,MATCH("[13306,""B07-ND-I-0-41""]",'SKU明细'!$AE$9:$AE$1592,0)),INDEX('SKU明细'!$H$9:$H$1592,MATCH("[13306,""B07-ND-I-0-37""]",'SKU明细'!$AE$9:$AE$1592,0)),INDEX('SKU明细'!$H$9:$H$1592,MATCH("[13306,""B07-ND-I-0-37.5""]",'SKU明细'!$AE$9:$AE$1592,0)),INDEX('SKU明细'!$H$9:$H$1592,MATCH("[13306,""B07-ND-I-0-39.5""]",'SKU明细'!$AE$9:$AE$1592,0)),INDEX('SKU明细'!$H$9:$H$1592,MATCH("[13306,""B07-ND-I-0-40.5""]",'SKU明细'!$AE$9:$AE$1592,0)))/SUM(INDEX('SKU明细'!$G$9:$G$1592,MATCH("[13306,""B07-ND-I-0-38""]",'SKU明细'!$AE$9:$AE$1592,0)),INDEX('SKU明细'!$G$9:$G$1592,MATCH("[13306,""B07-ND-I-0-41""]",'SKU明细'!$AE$9:$AE$1592,0)),INDEX('SKU明细'!$G$9:$G$1592,MATCH("[13306,""B07-ND-I-0-37""]",'SKU明细'!$AE$9:$AE$1592,0)),INDEX('SKU明细'!$G$9:$G$1592,MATCH("[13306,""B07-ND-I-0-37.5""]",'SKU明细'!$AE$9:$AE$1592,0)),INDEX('SKU明细'!$G$9:$G$1592,MATCH("[13306,""B07-ND-I-0-39.5""]",'SKU明细'!$AE$9:$AE$1592,0)),INDEX('SKU明细'!$G$9:$G$1592,MATCH("[13306,""B07-ND-I-0-40.5""]",'SKU明细'!$AE$9:$AE$1592,0))),"待核")</x:f>
        <x:v>420.00000000000006</x:v>
      </x:c>
      <x:c r="T30" s="21" t="n">
        <x:f>IF(AND(COUNT(INDEX('SKU明细'!$I$9:$I$1592,MATCH("[13306,""B07-ND-I-0-38""]",'SKU明细'!$AE$9:$AE$1592,0)),INDEX('SKU明细'!$I$9:$I$1592,MATCH("[13306,""B07-ND-I-0-41""]",'SKU明细'!$AE$9:$AE$1592,0)),INDEX('SKU明细'!$I$9:$I$1592,MATCH("[13306,""B07-ND-I-0-37""]",'SKU明细'!$AE$9:$AE$1592,0)),INDEX('SKU明细'!$I$9:$I$1592,MATCH("[13306,""B07-ND-I-0-37.5""]",'SKU明细'!$AE$9:$AE$1592,0)),INDEX('SKU明细'!$I$9:$I$1592,MATCH("[13306,""B07-ND-I-0-39.5""]",'SKU明细'!$AE$9:$AE$1592,0)),INDEX('SKU明细'!$I$9:$I$1592,MATCH("[13306,""B07-ND-I-0-40.5""]",'SKU明细'!$AE$9:$AE$1592,0)))=6,COUNT(INDEX('SKU明细'!$AD$9:$AD$1592,MATCH("[13306,""B07-ND-I-0-38""]",'SKU明细'!$AE$9:$AE$1592,0)),INDEX('SKU明细'!$AD$9:$AD$1592,MATCH("[13306,""B07-ND-I-0-41""]",'SKU明细'!$AE$9:$AE$1592,0)),INDEX('SKU明细'!$AD$9:$AD$1592,MATCH("[13306,""B07-ND-I-0-37""]",'SKU明细'!$AE$9:$AE$1592,0)),INDEX('SKU明细'!$AD$9:$AD$1592,MATCH("[13306,""B07-ND-I-0-37.5""]",'SKU明细'!$AE$9:$AE$1592,0)),INDEX('SKU明细'!$AD$9:$AD$1592,MATCH("[13306,""B07-ND-I-0-39.5""]",'SKU明细'!$AE$9:$AE$1592,0)),INDEX('SKU明细'!$AD$9:$AD$1592,MATCH("[13306,""B07-ND-I-0-40.5""]",'SKU明细'!$AE$9:$AE$1592,0)))=6,SUM(INDEX('SKU明细'!$AD$9:$AD$1592,MATCH("[13306,""B07-ND-I-0-38""]",'SKU明细'!$AE$9:$AE$1592,0)),INDEX('SKU明细'!$AD$9:$AD$1592,MATCH("[13306,""B07-ND-I-0-41""]",'SKU明细'!$AE$9:$AE$1592,0)),INDEX('SKU明细'!$AD$9:$AD$1592,MATCH("[13306,""B07-ND-I-0-37""]",'SKU明细'!$AE$9:$AE$1592,0)),INDEX('SKU明细'!$AD$9:$AD$1592,MATCH("[13306,""B07-ND-I-0-37.5""]",'SKU明细'!$AE$9:$AE$1592,0)),INDEX('SKU明细'!$AD$9:$AD$1592,MATCH("[13306,""B07-ND-I-0-39.5""]",'SKU明细'!$AE$9:$AE$1592,0)),INDEX('SKU明细'!$AD$9:$AD$1592,MATCH("[13306,""B07-ND-I-0-40.5""]",'SKU明细'!$AE$9:$AE$1592,0)))&gt;0),SUM(INDEX('SKU明细'!$I$9:$I$1592,MATCH("[13306,""B07-ND-I-0-38""]",'SKU明细'!$AE$9:$AE$1592,0)),INDEX('SKU明细'!$I$9:$I$1592,MATCH("[13306,""B07-ND-I-0-41""]",'SKU明细'!$AE$9:$AE$1592,0)),INDEX('SKU明细'!$I$9:$I$1592,MATCH("[13306,""B07-ND-I-0-37""]",'SKU明细'!$AE$9:$AE$1592,0)),INDEX('SKU明细'!$I$9:$I$1592,MATCH("[13306,""B07-ND-I-0-37.5""]",'SKU明细'!$AE$9:$AE$1592,0)),INDEX('SKU明细'!$I$9:$I$1592,MATCH("[13306,""B07-ND-I-0-39.5""]",'SKU明细'!$AE$9:$AE$1592,0)),INDEX('SKU明细'!$I$9:$I$1592,MATCH("[13306,""B07-ND-I-0-40.5""]",'SKU明细'!$AE$9:$AE$1592,0)))/SUM(INDEX('SKU明细'!$AD$9:$AD$1592,MATCH("[13306,""B07-ND-I-0-38""]",'SKU明细'!$AE$9:$AE$1592,0)),INDEX('SKU明细'!$AD$9:$AD$1592,MATCH("[13306,""B07-ND-I-0-41""]",'SKU明细'!$AE$9:$AE$1592,0)),INDEX('SKU明细'!$AD$9:$AD$1592,MATCH("[13306,""B07-ND-I-0-37""]",'SKU明细'!$AE$9:$AE$1592,0)),INDEX('SKU明细'!$AD$9:$AD$1592,MATCH("[13306,""B07-ND-I-0-37.5""]",'SKU明细'!$AE$9:$AE$1592,0)),INDEX('SKU明细'!$AD$9:$AD$1592,MATCH("[13306,""B07-ND-I-0-39.5""]",'SKU明细'!$AE$9:$AE$1592,0)),INDEX('SKU明细'!$AD$9:$AD$1592,MATCH("[13306,""B07-ND-I-0-40.5""]",'SKU明细'!$AE$9:$AE$1592,0))),"待核")</x:f>
        <x:v>171.5492957746479</x:v>
      </x:c>
      <x:c r="U30" s="21" t="n">
        <x:f>IF(COUNT(S30:T30)=2,S30-T30,"待核")</x:f>
        <x:v>248.45070422535215</x:v>
      </x:c>
      <x:c r="V30" s="22" t="n">
        <x:f>IF(AND(ISNUMBER(U30),ISNUMBER(T30),T30&lt;&gt;0),U30/T30,"")</x:f>
        <x:v>1.4482758620689657</x:v>
      </x:c>
      <x:c r="W30" s="23" t="n">
        <x:f>IF(COUNT(INDEX('SKU明细'!$H$9:$H$1592,MATCH("[13306,""B07-ND-I-0-38""]",'SKU明细'!$AE$9:$AE$1592,0)),INDEX('SKU明细'!$H$9:$H$1592,MATCH("[13306,""B07-ND-I-0-41""]",'SKU明细'!$AE$9:$AE$1592,0)),INDEX('SKU明细'!$H$9:$H$1592,MATCH("[13306,""B07-ND-I-0-37""]",'SKU明细'!$AE$9:$AE$1592,0)),INDEX('SKU明细'!$H$9:$H$1592,MATCH("[13306,""B07-ND-I-0-37.5""]",'SKU明细'!$AE$9:$AE$1592,0)),INDEX('SKU明细'!$H$9:$H$1592,MATCH("[13306,""B07-ND-I-0-39.5""]",'SKU明细'!$AE$9:$AE$1592,0)),INDEX('SKU明细'!$H$9:$H$1592,MATCH("[13306,""B07-ND-I-0-40.5""]",'SKU明细'!$AE$9:$AE$1592,0)))=0,"待核",SUM(INDEX('SKU明细'!$H$9:$H$1592,MATCH("[13306,""B07-ND-I-0-38""]",'SKU明细'!$AE$9:$AE$1592,0)),INDEX('SKU明细'!$H$9:$H$1592,MATCH("[13306,""B07-ND-I-0-41""]",'SKU明细'!$AE$9:$AE$1592,0)),INDEX('SKU明细'!$H$9:$H$1592,MATCH("[13306,""B07-ND-I-0-37""]",'SKU明细'!$AE$9:$AE$1592,0)),INDEX('SKU明细'!$H$9:$H$1592,MATCH("[13306,""B07-ND-I-0-37.5""]",'SKU明细'!$AE$9:$AE$1592,0)),INDEX('SKU明细'!$H$9:$H$1592,MATCH("[13306,""B07-ND-I-0-39.5""]",'SKU明细'!$AE$9:$AE$1592,0)),INDEX('SKU明细'!$H$9:$H$1592,MATCH("[13306,""B07-ND-I-0-40.5""]",'SKU明细'!$AE$9:$AE$1592,0))))</x:f>
        <x:v>32</x:v>
      </x:c>
      <x:c r="X30" s="24" t="str">
        <x:f>IF(COUNTIFS('SKU明细'!$AH$9:$AH$1592,"[""B07"",""B07-ND-I-0"",""ND-I"",""裸色色织提花""]",'SKU明细'!$E$9:$E$1592,"促销")&gt;0,"促销 ","")&amp;IF(COUNTIFS('SKU明细'!$AH$9:$AH$1592,"[""B07"",""B07-ND-I-0"",""ND-I"",""裸色色织提花""]",'SKU明细'!$E$9:$E$1592,"红线促销")&gt;0,"红线促销 ","")&amp;IF(COUNTIFS('SKU明细'!$AH$9:$AH$1592,"[""B07"",""B07-ND-I-0"",""ND-I"",""裸色色织提花""]",'SKU明细'!$E$9:$E$1592,"考虑清仓")&gt;0,"考虑清仓 ","")&amp;IF(COUNTIFS('SKU明细'!$AH$9:$AH$1592,"[""B07"",""B07-ND-I-0"",""ND-I"",""裸色色织提花""]",'SKU明细'!$E$9:$E$1592,"断货")&gt;0,"断货 ","")&amp;IF(COUNTIFS('SKU明细'!$AH$9:$AH$1592,"[""B07"",""B07-ND-I-0"",""ND-I"",""裸色色织提花""]",'SKU明细'!$E$9:$E$1592,"零日销待复核")&gt;0,"零日销待复核 ","")&amp;IF(COUNTIFS('SKU明细'!$AH$9:$AH$1592,"[""B07"",""B07-ND-I-0"",""ND-I"",""裸色色织提花""]",'SKU明细'!$E$9:$E$1592,"数据待核")&gt;0,"数据待核 ","")&amp;IF(COUNTIFS('SKU明细'!$AH$9:$AH$1592,"[""B07"",""B07-ND-I-0"",""ND-I"",""裸色色织提花""]",'SKU明细'!$E$9:$E$1592,"正常库存")&gt;0,"正常库存 ","")&amp;IF(COUNTIFS('SKU明细'!$AH$9:$AH$1592,"[""B07"",""B07-ND-I-0"",""ND-I"",""裸色色织提花""]",'SKU明细'!$E$9:$E$1592,"补货提醒")&gt;0,"补货提醒 ","")</x:f>
        <x:v>考虑清仓 断货 补货提醒 </x:v>
      </x:c>
      <x:c r="Y30" s="24" t="str">
        <x:f>IF(NOT(ISNUMBER(U30)),"覆盖待核／无可比基准","完整可比")</x:f>
        <x:v>完整可比</x:v>
      </x:c>
      <x:c r="Z30" s="24" t="str">
        <x:v>在售、停售</x:v>
      </x:c>
      <x:c r="AA30" s="24" t="n">
        <x:f>IF(SUMIFS('SKU明细'!$AF$9:$AF$1592,'SKU明细'!$D$9:$D$1592,A30,'SKU明细'!$Z$9:$Z$1592,"&lt;&gt;移出")=0,"待核",SUMIFS('SKU明细'!$H$9:$H$1592,'SKU明细'!$D$9:$D$1592,A30,'SKU明细'!$Z$9:$Z$1592,"&lt;&gt;移出"))</x:f>
        <x:v>2671</x:v>
      </x:c>
    </x:row>
    <x:row r="31" ht="54" customHeight="1">
      <x:c r="A31" s="20" t="str">
        <x:v>B07</x:v>
      </x:c>
      <x:c r="B31" s="20" t="str">
        <x:v>艾年</x:v>
      </x:c>
      <x:c r="C31" s="20" t="str">
        <x:v>裸色镜面PU</x:v>
      </x:c>
      <x:c r="D31" s="20" t="str">
        <x:v>ND-Z</x:v>
      </x:c>
      <x:c r="E31" s="20" t="str">
        <x:v>B07-ND-Z-0</x:v>
      </x:c>
      <x:c r="F31" s="20"/>
      <x:c r="G31" s="21" t="str">
        <x:f>"—"</x:f>
        <x:v>—</x:v>
      </x:c>
      <x:c r="H31" s="21" t="str">
        <x:f>"—"</x:f>
        <x:v>—</x:v>
      </x:c>
      <x:c r="I31" s="21" t="str">
        <x:f>"—"</x:f>
        <x:v>—</x:v>
      </x:c>
      <x:c r="J31" s="21" t="n">
        <x:f>IF(AND(COUNT(INDEX('SKU明细'!$H$9:$H$1592,MATCH("[13306,""B07-ND-Z-0-38""]",'SKU明细'!$AE$9:$AE$1592,0)))=1,COUNT(INDEX('SKU明细'!$G$9:$G$1592,MATCH("[13306,""B07-ND-Z-0-38""]",'SKU明细'!$AE$9:$AE$1592,0)))=1,SUM(INDEX('SKU明细'!$G$9:$G$1592,MATCH("[13306,""B07-ND-Z-0-38""]",'SKU明细'!$AE$9:$AE$1592,0)))&gt;0),SUM(INDEX('SKU明细'!$H$9:$H$1592,MATCH("[13306,""B07-ND-Z-0-38""]",'SKU明细'!$AE$9:$AE$1592,0)))/SUM(INDEX('SKU明细'!$G$9:$G$1592,MATCH("[13306,""B07-ND-Z-0-38""]",'SKU明细'!$AE$9:$AE$1592,0))),"待核")</x:f>
        <x:v>249.15254237288138</x:v>
      </x:c>
      <x:c r="K31" s="21" t="n">
        <x:f>IF(AND(COUNT(INDEX('SKU明细'!$H$9:$H$1592,MATCH("[13306,""B07-ND-Z-0-38.5""]",'SKU明细'!$AE$9:$AE$1592,0)))=1,COUNT(INDEX('SKU明细'!$G$9:$G$1592,MATCH("[13306,""B07-ND-Z-0-38.5""]",'SKU明细'!$AE$9:$AE$1592,0)))=1,SUM(INDEX('SKU明细'!$G$9:$G$1592,MATCH("[13306,""B07-ND-Z-0-38.5""]",'SKU明细'!$AE$9:$AE$1592,0)))&gt;0),SUM(INDEX('SKU明细'!$H$9:$H$1592,MATCH("[13306,""B07-ND-Z-0-38.5""]",'SKU明细'!$AE$9:$AE$1592,0)))/SUM(INDEX('SKU明细'!$G$9:$G$1592,MATCH("[13306,""B07-ND-Z-0-38.5""]",'SKU明细'!$AE$9:$AE$1592,0))),"待核")</x:f>
        <x:v>1050</x:v>
      </x:c>
      <x:c r="L31" s="21" t="str">
        <x:f>IF(AND(COUNT(INDEX('SKU明细'!$H$9:$H$1592,MATCH("[13306,""B07-ND-Z-0-39""]",'SKU明细'!$AE$9:$AE$1592,0)))=1,COUNT(INDEX('SKU明细'!$G$9:$G$1592,MATCH("[13306,""B07-ND-Z-0-39""]",'SKU明细'!$AE$9:$AE$1592,0)))=1,SUM(INDEX('SKU明细'!$G$9:$G$1592,MATCH("[13306,""B07-ND-Z-0-39""]",'SKU明细'!$AE$9:$AE$1592,0)))&gt;0),SUM(INDEX('SKU明细'!$H$9:$H$1592,MATCH("[13306,""B07-ND-Z-0-39""]",'SKU明细'!$AE$9:$AE$1592,0)))/SUM(INDEX('SKU明细'!$G$9:$G$1592,MATCH("[13306,""B07-ND-Z-0-39""]",'SKU明细'!$AE$9:$AE$1592,0))),"待核")</x:f>
        <x:v>待核</x:v>
      </x:c>
      <x:c r="M31" s="21" t="str">
        <x:f>IF(AND(COUNT(INDEX('SKU明细'!$H$9:$H$1592,MATCH("[13306,""B07-ND-Z-0-39.5""]",'SKU明细'!$AE$9:$AE$1592,0)))=1,COUNT(INDEX('SKU明细'!$G$9:$G$1592,MATCH("[13306,""B07-ND-Z-0-39.5""]",'SKU明细'!$AE$9:$AE$1592,0)))=1,SUM(INDEX('SKU明细'!$G$9:$G$1592,MATCH("[13306,""B07-ND-Z-0-39.5""]",'SKU明细'!$AE$9:$AE$1592,0)))&gt;0),SUM(INDEX('SKU明细'!$H$9:$H$1592,MATCH("[13306,""B07-ND-Z-0-39.5""]",'SKU明细'!$AE$9:$AE$1592,0)))/SUM(INDEX('SKU明细'!$G$9:$G$1592,MATCH("[13306,""B07-ND-Z-0-39.5""]",'SKU明细'!$AE$9:$AE$1592,0))),"待核")</x:f>
        <x:v>待核</x:v>
      </x:c>
      <x:c r="N31" s="21" t="str">
        <x:f>"—"</x:f>
        <x:v>—</x:v>
      </x:c>
      <x:c r="O31" s="21" t="n">
        <x:f>IF(AND(COUNT(INDEX('SKU明细'!$H$9:$H$1592,MATCH("[13306,""B07-ND-Z-0-40.5""]",'SKU明细'!$AE$9:$AE$1592,0)))=1,COUNT(INDEX('SKU明细'!$G$9:$G$1592,MATCH("[13306,""B07-ND-Z-0-40.5""]",'SKU明细'!$AE$9:$AE$1592,0)))=1,SUM(INDEX('SKU明细'!$G$9:$G$1592,MATCH("[13306,""B07-ND-Z-0-40.5""]",'SKU明细'!$AE$9:$AE$1592,0)))&gt;0),SUM(INDEX('SKU明细'!$H$9:$H$1592,MATCH("[13306,""B07-ND-Z-0-40.5""]",'SKU明细'!$AE$9:$AE$1592,0)))/SUM(INDEX('SKU明细'!$G$9:$G$1592,MATCH("[13306,""B07-ND-Z-0-40.5""]",'SKU明细'!$AE$9:$AE$1592,0))),"待核")</x:f>
        <x:v>345.2054794520548</x:v>
      </x:c>
      <x:c r="P31" s="21" t="n">
        <x:f>IF(AND(COUNT(INDEX('SKU明细'!$H$9:$H$1592,MATCH("[13306,""B07-ND-Z-0-41""]",'SKU明细'!$AE$9:$AE$1592,0)))=1,COUNT(INDEX('SKU明细'!$G$9:$G$1592,MATCH("[13306,""B07-ND-Z-0-41""]",'SKU明细'!$AE$9:$AE$1592,0)))=1,SUM(INDEX('SKU明细'!$G$9:$G$1592,MATCH("[13306,""B07-ND-Z-0-41""]",'SKU明细'!$AE$9:$AE$1592,0)))&gt;0),SUM(INDEX('SKU明细'!$H$9:$H$1592,MATCH("[13306,""B07-ND-Z-0-41""]",'SKU明细'!$AE$9:$AE$1592,0)))/SUM(INDEX('SKU明细'!$G$9:$G$1592,MATCH("[13306,""B07-ND-Z-0-41""]",'SKU明细'!$AE$9:$AE$1592,0))),"待核")</x:f>
        <x:v>3749.9999999999995</x:v>
      </x:c>
      <x:c r="Q31" s="21" t="n">
        <x:f>IF(AND(COUNT(INDEX('SKU明细'!$H$9:$H$1592,MATCH("[13306,""B07-ND-Z-0-41.5""]",'SKU明细'!$AE$9:$AE$1592,0)))=1,COUNT(INDEX('SKU明细'!$G$9:$G$1592,MATCH("[13306,""B07-ND-Z-0-41.5""]",'SKU明细'!$AE$9:$AE$1592,0)))=1,SUM(INDEX('SKU明细'!$G$9:$G$1592,MATCH("[13306,""B07-ND-Z-0-41.5""]",'SKU明细'!$AE$9:$AE$1592,0)))&gt;0),SUM(INDEX('SKU明细'!$H$9:$H$1592,MATCH("[13306,""B07-ND-Z-0-41.5""]",'SKU明细'!$AE$9:$AE$1592,0)))/SUM(INDEX('SKU明细'!$G$9:$G$1592,MATCH("[13306,""B07-ND-Z-0-41.5""]",'SKU明细'!$AE$9:$AE$1592,0))),"待核")</x:f>
        <x:v>899.9999999999999</x:v>
      </x:c>
      <x:c r="R31" s="21" t="n">
        <x:f>IF(AND(COUNT(INDEX('SKU明细'!$H$9:$H$1592,MATCH("[13306,""B07-ND-Z-0-42""]",'SKU明细'!$AE$9:$AE$1592,0)))=1,COUNT(INDEX('SKU明细'!$G$9:$G$1592,MATCH("[13306,""B07-ND-Z-0-42""]",'SKU明细'!$AE$9:$AE$1592,0)))=1,SUM(INDEX('SKU明细'!$G$9:$G$1592,MATCH("[13306,""B07-ND-Z-0-42""]",'SKU明细'!$AE$9:$AE$1592,0)))&gt;0),SUM(INDEX('SKU明细'!$H$9:$H$1592,MATCH("[13306,""B07-ND-Z-0-42""]",'SKU明细'!$AE$9:$AE$1592,0)))/SUM(INDEX('SKU明细'!$G$9:$G$1592,MATCH("[13306,""B07-ND-Z-0-42""]",'SKU明细'!$AE$9:$AE$1592,0))),"待核")</x:f>
        <x:v>1032.2033898305085</x:v>
      </x:c>
      <x:c r="S31" s="21" t="n">
        <x:f>IF(AND(COUNT(INDEX('SKU明细'!$H$9:$H$1592,MATCH("[13306,""B07-ND-Z-0-38.5""]",'SKU明细'!$AE$9:$AE$1592,0)),INDEX('SKU明细'!$H$9:$H$1592,MATCH("[13306,""B07-ND-Z-0-41""]",'SKU明细'!$AE$9:$AE$1592,0)),INDEX('SKU明细'!$H$9:$H$1592,MATCH("[13306,""B07-ND-Z-0-41.5""]",'SKU明细'!$AE$9:$AE$1592,0)),INDEX('SKU明细'!$H$9:$H$1592,MATCH("[13306,""B07-ND-Z-0-42""]",'SKU明细'!$AE$9:$AE$1592,0)),INDEX('SKU明细'!$H$9:$H$1592,MATCH("[13306,""B07-ND-Z-0-38""]",'SKU明细'!$AE$9:$AE$1592,0)),INDEX('SKU明细'!$H$9:$H$1592,MATCH("[13306,""B07-ND-Z-0-40.5""]",'SKU明细'!$AE$9:$AE$1592,0)),INDEX('SKU明细'!$H$9:$H$1592,MATCH("[13306,""B07-ND-Z-0-39""]",'SKU明细'!$AE$9:$AE$1592,0)),INDEX('SKU明细'!$H$9:$H$1592,MATCH("[13306,""B07-ND-Z-0-39.5""]",'SKU明细'!$AE$9:$AE$1592,0)))=8,COUNT(INDEX('SKU明细'!$G$9:$G$1592,MATCH("[13306,""B07-ND-Z-0-38.5""]",'SKU明细'!$AE$9:$AE$1592,0)),INDEX('SKU明细'!$G$9:$G$1592,MATCH("[13306,""B07-ND-Z-0-41""]",'SKU明细'!$AE$9:$AE$1592,0)),INDEX('SKU明细'!$G$9:$G$1592,MATCH("[13306,""B07-ND-Z-0-41.5""]",'SKU明细'!$AE$9:$AE$1592,0)),INDEX('SKU明细'!$G$9:$G$1592,MATCH("[13306,""B07-ND-Z-0-42""]",'SKU明细'!$AE$9:$AE$1592,0)),INDEX('SKU明细'!$G$9:$G$1592,MATCH("[13306,""B07-ND-Z-0-38""]",'SKU明细'!$AE$9:$AE$1592,0)),INDEX('SKU明细'!$G$9:$G$1592,MATCH("[13306,""B07-ND-Z-0-40.5""]",'SKU明细'!$AE$9:$AE$1592,0)),INDEX('SKU明细'!$G$9:$G$1592,MATCH("[13306,""B07-ND-Z-0-39""]",'SKU明细'!$AE$9:$AE$1592,0)),INDEX('SKU明细'!$G$9:$G$1592,MATCH("[13306,""B07-ND-Z-0-39.5""]",'SKU明细'!$AE$9:$AE$1592,0)))=8,SUM(INDEX('SKU明细'!$G$9:$G$1592,MATCH("[13306,""B07-ND-Z-0-38.5""]",'SKU明细'!$AE$9:$AE$1592,0)),INDEX('SKU明细'!$G$9:$G$1592,MATCH("[13306,""B07-ND-Z-0-41""]",'SKU明细'!$AE$9:$AE$1592,0)),INDEX('SKU明细'!$G$9:$G$1592,MATCH("[13306,""B07-ND-Z-0-41.5""]",'SKU明细'!$AE$9:$AE$1592,0)),INDEX('SKU明细'!$G$9:$G$1592,MATCH("[13306,""B07-ND-Z-0-42""]",'SKU明细'!$AE$9:$AE$1592,0)),INDEX('SKU明细'!$G$9:$G$1592,MATCH("[13306,""B07-ND-Z-0-38""]",'SKU明细'!$AE$9:$AE$1592,0)),INDEX('SKU明细'!$G$9:$G$1592,MATCH("[13306,""B07-ND-Z-0-40.5""]",'SKU明细'!$AE$9:$AE$1592,0)),INDEX('SKU明细'!$G$9:$G$1592,MATCH("[13306,""B07-ND-Z-0-39""]",'SKU明细'!$AE$9:$AE$1592,0)),INDEX('SKU明细'!$G$9:$G$1592,MATCH("[13306,""B07-ND-Z-0-39.5""]",'SKU明细'!$AE$9:$AE$1592,0)))&gt;0),SUM(INDEX('SKU明细'!$H$9:$H$1592,MATCH("[13306,""B07-ND-Z-0-38.5""]",'SKU明细'!$AE$9:$AE$1592,0)),INDEX('SKU明细'!$H$9:$H$1592,MATCH("[13306,""B07-ND-Z-0-41""]",'SKU明细'!$AE$9:$AE$1592,0)),INDEX('SKU明细'!$H$9:$H$1592,MATCH("[13306,""B07-ND-Z-0-41.5""]",'SKU明细'!$AE$9:$AE$1592,0)),INDEX('SKU明细'!$H$9:$H$1592,MATCH("[13306,""B07-ND-Z-0-42""]",'SKU明细'!$AE$9:$AE$1592,0)),INDEX('SKU明细'!$H$9:$H$1592,MATCH("[13306,""B07-ND-Z-0-38""]",'SKU明细'!$AE$9:$AE$1592,0)),INDEX('SKU明细'!$H$9:$H$1592,MATCH("[13306,""B07-ND-Z-0-40.5""]",'SKU明细'!$AE$9:$AE$1592,0)),INDEX('SKU明细'!$H$9:$H$1592,MATCH("[13306,""B07-ND-Z-0-39""]",'SKU明细'!$AE$9:$AE$1592,0)),INDEX('SKU明细'!$H$9:$H$1592,MATCH("[13306,""B07-ND-Z-0-39.5""]",'SKU明细'!$AE$9:$AE$1592,0)))/SUM(INDEX('SKU明细'!$G$9:$G$1592,MATCH("[13306,""B07-ND-Z-0-38.5""]",'SKU明细'!$AE$9:$AE$1592,0)),INDEX('SKU明细'!$G$9:$G$1592,MATCH("[13306,""B07-ND-Z-0-41""]",'SKU明细'!$AE$9:$AE$1592,0)),INDEX('SKU明细'!$G$9:$G$1592,MATCH("[13306,""B07-ND-Z-0-41.5""]",'SKU明细'!$AE$9:$AE$1592,0)),INDEX('SKU明细'!$G$9:$G$1592,MATCH("[13306,""B07-ND-Z-0-42""]",'SKU明细'!$AE$9:$AE$1592,0)),INDEX('SKU明细'!$G$9:$G$1592,MATCH("[13306,""B07-ND-Z-0-38""]",'SKU明细'!$AE$9:$AE$1592,0)),INDEX('SKU明细'!$G$9:$G$1592,MATCH("[13306,""B07-ND-Z-0-40.5""]",'SKU明细'!$AE$9:$AE$1592,0)),INDEX('SKU明细'!$G$9:$G$1592,MATCH("[13306,""B07-ND-Z-0-39""]",'SKU明细'!$AE$9:$AE$1592,0)),INDEX('SKU明细'!$G$9:$G$1592,MATCH("[13306,""B07-ND-Z-0-39.5""]",'SKU明细'!$AE$9:$AE$1592,0))),"待核")</x:f>
        <x:v>793.1330472103006</x:v>
      </x:c>
      <x:c r="T31" s="21" t="n">
        <x:f>IF(AND(COUNT(INDEX('SKU明细'!$I$9:$I$1592,MATCH("[13306,""B07-ND-Z-0-38.5""]",'SKU明细'!$AE$9:$AE$1592,0)),INDEX('SKU明细'!$I$9:$I$1592,MATCH("[13306,""B07-ND-Z-0-41""]",'SKU明细'!$AE$9:$AE$1592,0)),INDEX('SKU明细'!$I$9:$I$1592,MATCH("[13306,""B07-ND-Z-0-41.5""]",'SKU明细'!$AE$9:$AE$1592,0)),INDEX('SKU明细'!$I$9:$I$1592,MATCH("[13306,""B07-ND-Z-0-42""]",'SKU明细'!$AE$9:$AE$1592,0)),INDEX('SKU明细'!$I$9:$I$1592,MATCH("[13306,""B07-ND-Z-0-38""]",'SKU明细'!$AE$9:$AE$1592,0)),INDEX('SKU明细'!$I$9:$I$1592,MATCH("[13306,""B07-ND-Z-0-40.5""]",'SKU明细'!$AE$9:$AE$1592,0)),INDEX('SKU明细'!$I$9:$I$1592,MATCH("[13306,""B07-ND-Z-0-39""]",'SKU明细'!$AE$9:$AE$1592,0)),INDEX('SKU明细'!$I$9:$I$1592,MATCH("[13306,""B07-ND-Z-0-39.5""]",'SKU明细'!$AE$9:$AE$1592,0)))=8,COUNT(INDEX('SKU明细'!$AD$9:$AD$1592,MATCH("[13306,""B07-ND-Z-0-38.5""]",'SKU明细'!$AE$9:$AE$1592,0)),INDEX('SKU明细'!$AD$9:$AD$1592,MATCH("[13306,""B07-ND-Z-0-41""]",'SKU明细'!$AE$9:$AE$1592,0)),INDEX('SKU明细'!$AD$9:$AD$1592,MATCH("[13306,""B07-ND-Z-0-41.5""]",'SKU明细'!$AE$9:$AE$1592,0)),INDEX('SKU明细'!$AD$9:$AD$1592,MATCH("[13306,""B07-ND-Z-0-42""]",'SKU明细'!$AE$9:$AE$1592,0)),INDEX('SKU明细'!$AD$9:$AD$1592,MATCH("[13306,""B07-ND-Z-0-38""]",'SKU明细'!$AE$9:$AE$1592,0)),INDEX('SKU明细'!$AD$9:$AD$1592,MATCH("[13306,""B07-ND-Z-0-40.5""]",'SKU明细'!$AE$9:$AE$1592,0)),INDEX('SKU明细'!$AD$9:$AD$1592,MATCH("[13306,""B07-ND-Z-0-39""]",'SKU明细'!$AE$9:$AE$1592,0)),INDEX('SKU明细'!$AD$9:$AD$1592,MATCH("[13306,""B07-ND-Z-0-39.5""]",'SKU明细'!$AE$9:$AE$1592,0)))=8,SUM(INDEX('SKU明细'!$AD$9:$AD$1592,MATCH("[13306,""B07-ND-Z-0-38.5""]",'SKU明细'!$AE$9:$AE$1592,0)),INDEX('SKU明细'!$AD$9:$AD$1592,MATCH("[13306,""B07-ND-Z-0-41""]",'SKU明细'!$AE$9:$AE$1592,0)),INDEX('SKU明细'!$AD$9:$AD$1592,MATCH("[13306,""B07-ND-Z-0-41.5""]",'SKU明细'!$AE$9:$AE$1592,0)),INDEX('SKU明细'!$AD$9:$AD$1592,MATCH("[13306,""B07-ND-Z-0-42""]",'SKU明细'!$AE$9:$AE$1592,0)),INDEX('SKU明细'!$AD$9:$AD$1592,MATCH("[13306,""B07-ND-Z-0-38""]",'SKU明细'!$AE$9:$AE$1592,0)),INDEX('SKU明细'!$AD$9:$AD$1592,MATCH("[13306,""B07-ND-Z-0-40.5""]",'SKU明细'!$AE$9:$AE$1592,0)),INDEX('SKU明细'!$AD$9:$AD$1592,MATCH("[13306,""B07-ND-Z-0-39""]",'SKU明细'!$AE$9:$AE$1592,0)),INDEX('SKU明细'!$AD$9:$AD$1592,MATCH("[13306,""B07-ND-Z-0-39.5""]",'SKU明细'!$AE$9:$AE$1592,0)))&gt;0),SUM(INDEX('SKU明细'!$I$9:$I$1592,MATCH("[13306,""B07-ND-Z-0-38.5""]",'SKU明细'!$AE$9:$AE$1592,0)),INDEX('SKU明细'!$I$9:$I$1592,MATCH("[13306,""B07-ND-Z-0-41""]",'SKU明细'!$AE$9:$AE$1592,0)),INDEX('SKU明细'!$I$9:$I$1592,MATCH("[13306,""B07-ND-Z-0-41.5""]",'SKU明细'!$AE$9:$AE$1592,0)),INDEX('SKU明细'!$I$9:$I$1592,MATCH("[13306,""B07-ND-Z-0-42""]",'SKU明细'!$AE$9:$AE$1592,0)),INDEX('SKU明细'!$I$9:$I$1592,MATCH("[13306,""B07-ND-Z-0-38""]",'SKU明细'!$AE$9:$AE$1592,0)),INDEX('SKU明细'!$I$9:$I$1592,MATCH("[13306,""B07-ND-Z-0-40.5""]",'SKU明细'!$AE$9:$AE$1592,0)),INDEX('SKU明细'!$I$9:$I$1592,MATCH("[13306,""B07-ND-Z-0-39""]",'SKU明细'!$AE$9:$AE$1592,0)),INDEX('SKU明细'!$I$9:$I$1592,MATCH("[13306,""B07-ND-Z-0-39.5""]",'SKU明细'!$AE$9:$AE$1592,0)))/SUM(INDEX('SKU明细'!$AD$9:$AD$1592,MATCH("[13306,""B07-ND-Z-0-38.5""]",'SKU明细'!$AE$9:$AE$1592,0)),INDEX('SKU明细'!$AD$9:$AD$1592,MATCH("[13306,""B07-ND-Z-0-41""]",'SKU明细'!$AE$9:$AE$1592,0)),INDEX('SKU明细'!$AD$9:$AD$1592,MATCH("[13306,""B07-ND-Z-0-41.5""]",'SKU明细'!$AE$9:$AE$1592,0)),INDEX('SKU明细'!$AD$9:$AD$1592,MATCH("[13306,""B07-ND-Z-0-42""]",'SKU明细'!$AE$9:$AE$1592,0)),INDEX('SKU明细'!$AD$9:$AD$1592,MATCH("[13306,""B07-ND-Z-0-38""]",'SKU明细'!$AE$9:$AE$1592,0)),INDEX('SKU明细'!$AD$9:$AD$1592,MATCH("[13306,""B07-ND-Z-0-40.5""]",'SKU明细'!$AE$9:$AE$1592,0)),INDEX('SKU明细'!$AD$9:$AD$1592,MATCH("[13306,""B07-ND-Z-0-39""]",'SKU明细'!$AE$9:$AE$1592,0)),INDEX('SKU明细'!$AD$9:$AD$1592,MATCH("[13306,""B07-ND-Z-0-39.5""]",'SKU明细'!$AE$9:$AE$1592,0))),"待核")</x:f>
        <x:v>338.7096774193548</x:v>
      </x:c>
      <x:c r="U31" s="21" t="n">
        <x:f>IF(COUNT(S31:T31)=2,S31-T31,"待核")</x:f>
        <x:v>454.42336979094574</x:v>
      </x:c>
      <x:c r="V31" s="22" t="n">
        <x:f>IF(AND(ISNUMBER(U31),ISNUMBER(T31),T31&lt;&gt;0),U31/T31,"")</x:f>
        <x:v>1.3416309012875542</x:v>
      </x:c>
      <x:c r="W31" s="23" t="n">
        <x:f>IF(COUNT(INDEX('SKU明细'!$H$9:$H$1592,MATCH("[13306,""B07-ND-Z-0-38.5""]",'SKU明细'!$AE$9:$AE$1592,0)),INDEX('SKU明细'!$H$9:$H$1592,MATCH("[13306,""B07-ND-Z-0-41""]",'SKU明细'!$AE$9:$AE$1592,0)),INDEX('SKU明细'!$H$9:$H$1592,MATCH("[13306,""B07-ND-Z-0-41.5""]",'SKU明细'!$AE$9:$AE$1592,0)),INDEX('SKU明细'!$H$9:$H$1592,MATCH("[13306,""B07-ND-Z-0-42""]",'SKU明细'!$AE$9:$AE$1592,0)),INDEX('SKU明细'!$H$9:$H$1592,MATCH("[13306,""B07-ND-Z-0-38""]",'SKU明细'!$AE$9:$AE$1592,0)),INDEX('SKU明细'!$H$9:$H$1592,MATCH("[13306,""B07-ND-Z-0-40.5""]",'SKU明细'!$AE$9:$AE$1592,0)),INDEX('SKU明细'!$H$9:$H$1592,MATCH("[13306,""B07-ND-Z-0-39""]",'SKU明细'!$AE$9:$AE$1592,0)),INDEX('SKU明细'!$H$9:$H$1592,MATCH("[13306,""B07-ND-Z-0-39.5""]",'SKU明细'!$AE$9:$AE$1592,0)))=0,"待核",SUM(INDEX('SKU明细'!$H$9:$H$1592,MATCH("[13306,""B07-ND-Z-0-38.5""]",'SKU明细'!$AE$9:$AE$1592,0)),INDEX('SKU明细'!$H$9:$H$1592,MATCH("[13306,""B07-ND-Z-0-41""]",'SKU明细'!$AE$9:$AE$1592,0)),INDEX('SKU明细'!$H$9:$H$1592,MATCH("[13306,""B07-ND-Z-0-41.5""]",'SKU明细'!$AE$9:$AE$1592,0)),INDEX('SKU明细'!$H$9:$H$1592,MATCH("[13306,""B07-ND-Z-0-42""]",'SKU明细'!$AE$9:$AE$1592,0)),INDEX('SKU明细'!$H$9:$H$1592,MATCH("[13306,""B07-ND-Z-0-38""]",'SKU明细'!$AE$9:$AE$1592,0)),INDEX('SKU明细'!$H$9:$H$1592,MATCH("[13306,""B07-ND-Z-0-40.5""]",'SKU明细'!$AE$9:$AE$1592,0)),INDEX('SKU明细'!$H$9:$H$1592,MATCH("[13306,""B07-ND-Z-0-39""]",'SKU明细'!$AE$9:$AE$1592,0)),INDEX('SKU明细'!$H$9:$H$1592,MATCH("[13306,""B07-ND-Z-0-39.5""]",'SKU明细'!$AE$9:$AE$1592,0))))</x:f>
        <x:v>88</x:v>
      </x:c>
      <x:c r="X31" s="24" t="str">
        <x:f>IF(COUNTIFS('SKU明细'!$AH$9:$AH$1592,"[""B07"",""B07-ND-Z-0"",""ND-Z"",""裸色镜面PU""]",'SKU明细'!$E$9:$E$1592,"促销")&gt;0,"促销 ","")&amp;IF(COUNTIFS('SKU明细'!$AH$9:$AH$1592,"[""B07"",""B07-ND-Z-0"",""ND-Z"",""裸色镜面PU""]",'SKU明细'!$E$9:$E$1592,"红线促销")&gt;0,"红线促销 ","")&amp;IF(COUNTIFS('SKU明细'!$AH$9:$AH$1592,"[""B07"",""B07-ND-Z-0"",""ND-Z"",""裸色镜面PU""]",'SKU明细'!$E$9:$E$1592,"考虑清仓")&gt;0,"考虑清仓 ","")&amp;IF(COUNTIFS('SKU明细'!$AH$9:$AH$1592,"[""B07"",""B07-ND-Z-0"",""ND-Z"",""裸色镜面PU""]",'SKU明细'!$E$9:$E$1592,"断货")&gt;0,"断货 ","")&amp;IF(COUNTIFS('SKU明细'!$AH$9:$AH$1592,"[""B07"",""B07-ND-Z-0"",""ND-Z"",""裸色镜面PU""]",'SKU明细'!$E$9:$E$1592,"零日销待复核")&gt;0,"零日销待复核 ","")&amp;IF(COUNTIFS('SKU明细'!$AH$9:$AH$1592,"[""B07"",""B07-ND-Z-0"",""ND-Z"",""裸色镜面PU""]",'SKU明细'!$E$9:$E$1592,"数据待核")&gt;0,"数据待核 ","")&amp;IF(COUNTIFS('SKU明细'!$AH$9:$AH$1592,"[""B07"",""B07-ND-Z-0"",""ND-Z"",""裸色镜面PU""]",'SKU明细'!$E$9:$E$1592,"正常库存")&gt;0,"正常库存 ","")&amp;IF(COUNTIFS('SKU明细'!$AH$9:$AH$1592,"[""B07"",""B07-ND-Z-0"",""ND-Z"",""裸色镜面PU""]",'SKU明细'!$E$9:$E$1592,"补货提醒")&gt;0,"补货提醒 ","")</x:f>
        <x:v>红线促销 考虑清仓 断货 零日销待复核 </x:v>
      </x:c>
      <x:c r="Y31" s="24" t="str">
        <x:f>IF(NOT(ISNUMBER(U31)),"覆盖待核／无可比基准","完整可比")</x:f>
        <x:v>完整可比</x:v>
      </x:c>
      <x:c r="Z31" s="24" t="str">
        <x:v>在售</x:v>
      </x:c>
      <x:c r="AA31" s="24" t="n">
        <x:f>IF(SUMIFS('SKU明细'!$AF$9:$AF$1592,'SKU明细'!$D$9:$D$1592,A31,'SKU明细'!$Z$9:$Z$1592,"&lt;&gt;移出")=0,"待核",SUMIFS('SKU明细'!$H$9:$H$1592,'SKU明细'!$D$9:$D$1592,A31,'SKU明细'!$Z$9:$Z$1592,"&lt;&gt;移出"))</x:f>
        <x:v>2671</x:v>
      </x:c>
    </x:row>
    <x:row r="32" ht="54" customHeight="1">
      <x:c r="A32" s="20" t="str">
        <x:v>B07</x:v>
      </x:c>
      <x:c r="B32" s="20" t="str">
        <x:v>艾年</x:v>
      </x:c>
      <x:c r="C32" s="20" t="str">
        <x:v>藏青色羊京绒</x:v>
      </x:c>
      <x:c r="D32" s="20" t="str">
        <x:v>NY</x:v>
      </x:c>
      <x:c r="E32" s="20" t="str">
        <x:v>B07-NY</x:v>
      </x:c>
      <x:c r="F32" s="20"/>
      <x:c r="G32" s="21" t="str">
        <x:f>"—"</x:f>
        <x:v>—</x:v>
      </x:c>
      <x:c r="H32" s="21" t="n">
        <x:f>IF(AND(COUNT(INDEX('SKU明细'!$H$9:$H$1592,MATCH("[13306,""B07-NY-37-by""]",'SKU明细'!$AE$9:$AE$1592,0)))=1,COUNT(INDEX('SKU明细'!$G$9:$G$1592,MATCH("[13306,""B07-NY-37-by""]",'SKU明细'!$AE$9:$AE$1592,0)))=1,SUM(INDEX('SKU明细'!$G$9:$G$1592,MATCH("[13306,""B07-NY-37-by""]",'SKU明细'!$AE$9:$AE$1592,0)))&gt;0),SUM(INDEX('SKU明细'!$H$9:$H$1592,MATCH("[13306,""B07-NY-37-by""]",'SKU明细'!$AE$9:$AE$1592,0)))/SUM(INDEX('SKU明细'!$G$9:$G$1592,MATCH("[13306,""B07-NY-37-by""]",'SKU明细'!$AE$9:$AE$1592,0))),"待核")</x:f>
        <x:v>100.47846889952154</x:v>
      </x:c>
      <x:c r="I32" s="21" t="n">
        <x:f>IF(AND(COUNT(INDEX('SKU明细'!$H$9:$H$1592,MATCH("[13306,""B07-NY-37.5-by""]",'SKU明细'!$AE$9:$AE$1592,0)))=1,COUNT(INDEX('SKU明细'!$G$9:$G$1592,MATCH("[13306,""B07-NY-37.5-by""]",'SKU明细'!$AE$9:$AE$1592,0)))=1,SUM(INDEX('SKU明细'!$G$9:$G$1592,MATCH("[13306,""B07-NY-37.5-by""]",'SKU明细'!$AE$9:$AE$1592,0)))&gt;0),SUM(INDEX('SKU明细'!$H$9:$H$1592,MATCH("[13306,""B07-NY-37.5-by""]",'SKU明细'!$AE$9:$AE$1592,0)))/SUM(INDEX('SKU明细'!$G$9:$G$1592,MATCH("[13306,""B07-NY-37.5-by""]",'SKU明细'!$AE$9:$AE$1592,0))),"待核")</x:f>
        <x:v>2700</x:v>
      </x:c>
      <x:c r="J32" s="21" t="str">
        <x:f>"—"</x:f>
        <x:v>—</x:v>
      </x:c>
      <x:c r="K32" s="21" t="n">
        <x:f>IF(AND(COUNT(INDEX('SKU明细'!$H$9:$H$1592,MATCH("[13306,""B07-NY-38.5-by""]",'SKU明细'!$AE$9:$AE$1592,0)))=1,COUNT(INDEX('SKU明细'!$G$9:$G$1592,MATCH("[13306,""B07-NY-38.5-by""]",'SKU明细'!$AE$9:$AE$1592,0)))=1,SUM(INDEX('SKU明细'!$G$9:$G$1592,MATCH("[13306,""B07-NY-38.5-by""]",'SKU明细'!$AE$9:$AE$1592,0)))&gt;0),SUM(INDEX('SKU明细'!$H$9:$H$1592,MATCH("[13306,""B07-NY-38.5-by""]",'SKU明细'!$AE$9:$AE$1592,0)))/SUM(INDEX('SKU明细'!$G$9:$G$1592,MATCH("[13306,""B07-NY-38.5-by""]",'SKU明细'!$AE$9:$AE$1592,0))),"待核")</x:f>
        <x:v>599.9999999999999</x:v>
      </x:c>
      <x:c r="L32" s="21" t="str">
        <x:f>"—"</x:f>
        <x:v>—</x:v>
      </x:c>
      <x:c r="M32" s="21" t="n">
        <x:f>IF(AND(COUNT(INDEX('SKU明细'!$H$9:$H$1592,MATCH("[13306,""B07-NY-39.5-by""]",'SKU明细'!$AE$9:$AE$1592,0)))=1,COUNT(INDEX('SKU明细'!$G$9:$G$1592,MATCH("[13306,""B07-NY-39.5-by""]",'SKU明细'!$AE$9:$AE$1592,0)))=1,SUM(INDEX('SKU明细'!$G$9:$G$1592,MATCH("[13306,""B07-NY-39.5-by""]",'SKU明细'!$AE$9:$AE$1592,0)))&gt;0),SUM(INDEX('SKU明细'!$H$9:$H$1592,MATCH("[13306,""B07-NY-39.5-by""]",'SKU明细'!$AE$9:$AE$1592,0)))/SUM(INDEX('SKU明细'!$G$9:$G$1592,MATCH("[13306,""B07-NY-39.5-by""]",'SKU明细'!$AE$9:$AE$1592,0))),"待核")</x:f>
        <x:v>74.55621301775149</x:v>
      </x:c>
      <x:c r="N32" s="21" t="str">
        <x:f>"—"</x:f>
        <x:v>—</x:v>
      </x:c>
      <x:c r="O32" s="21" t="n">
        <x:f>IF(AND(COUNT(INDEX('SKU明细'!$H$9:$H$1592,MATCH("[13306,""B07-NY-40.5-by""]",'SKU明细'!$AE$9:$AE$1592,0)))=1,COUNT(INDEX('SKU明细'!$G$9:$G$1592,MATCH("[13306,""B07-NY-40.5-by""]",'SKU明细'!$AE$9:$AE$1592,0)))=1,SUM(INDEX('SKU明细'!$G$9:$G$1592,MATCH("[13306,""B07-NY-40.5-by""]",'SKU明细'!$AE$9:$AE$1592,0)))&gt;0),SUM(INDEX('SKU明细'!$H$9:$H$1592,MATCH("[13306,""B07-NY-40.5-by""]",'SKU明细'!$AE$9:$AE$1592,0)))/SUM(INDEX('SKU明细'!$G$9:$G$1592,MATCH("[13306,""B07-NY-40.5-by""]",'SKU明细'!$AE$9:$AE$1592,0))),"待核")</x:f>
        <x:v>197.0674486803519</x:v>
      </x:c>
      <x:c r="P32" s="21" t="n">
        <x:f>IF(AND(COUNT(INDEX('SKU明细'!$H$9:$H$1592,MATCH("[13306,""B07-NY-41-by""]",'SKU明细'!$AE$9:$AE$1592,0)))=1,COUNT(INDEX('SKU明细'!$G$9:$G$1592,MATCH("[13306,""B07-NY-41-by""]",'SKU明细'!$AE$9:$AE$1592,0)))=1,SUM(INDEX('SKU明细'!$G$9:$G$1592,MATCH("[13306,""B07-NY-41-by""]",'SKU明细'!$AE$9:$AE$1592,0)))&gt;0),SUM(INDEX('SKU明细'!$H$9:$H$1592,MATCH("[13306,""B07-NY-41-by""]",'SKU明细'!$AE$9:$AE$1592,0)))/SUM(INDEX('SKU明细'!$G$9:$G$1592,MATCH("[13306,""B07-NY-41-by""]",'SKU明细'!$AE$9:$AE$1592,0))),"待核")</x:f>
        <x:v>2850</x:v>
      </x:c>
      <x:c r="Q32" s="21" t="n">
        <x:f>IF(AND(COUNT(INDEX('SKU明细'!$H$9:$H$1592,MATCH("[13306,""B07-NY-41.5-by""]",'SKU明细'!$AE$9:$AE$1592,0)))=1,COUNT(INDEX('SKU明细'!$G$9:$G$1592,MATCH("[13306,""B07-NY-41.5-by""]",'SKU明细'!$AE$9:$AE$1592,0)))=1,SUM(INDEX('SKU明细'!$G$9:$G$1592,MATCH("[13306,""B07-NY-41.5-by""]",'SKU明细'!$AE$9:$AE$1592,0)))&gt;0),SUM(INDEX('SKU明细'!$H$9:$H$1592,MATCH("[13306,""B07-NY-41.5-by""]",'SKU明细'!$AE$9:$AE$1592,0)))/SUM(INDEX('SKU明细'!$G$9:$G$1592,MATCH("[13306,""B07-NY-41.5-by""]",'SKU明细'!$AE$9:$AE$1592,0))),"待核")</x:f>
        <x:v>300</x:v>
      </x:c>
      <x:c r="R32" s="21" t="str">
        <x:f>IF(AND(COUNT(INDEX('SKU明细'!$H$9:$H$1592,MATCH("[13306,""B07-NY-42-by""]",'SKU明细'!$AE$9:$AE$1592,0)))=1,COUNT(INDEX('SKU明细'!$G$9:$G$1592,MATCH("[13306,""B07-NY-42-by""]",'SKU明细'!$AE$9:$AE$1592,0)))=1,SUM(INDEX('SKU明细'!$G$9:$G$1592,MATCH("[13306,""B07-NY-42-by""]",'SKU明细'!$AE$9:$AE$1592,0)))&gt;0),SUM(INDEX('SKU明细'!$H$9:$H$1592,MATCH("[13306,""B07-NY-42-by""]",'SKU明细'!$AE$9:$AE$1592,0)))/SUM(INDEX('SKU明细'!$G$9:$G$1592,MATCH("[13306,""B07-NY-42-by""]",'SKU明细'!$AE$9:$AE$1592,0))),"待核")</x:f>
        <x:v>待核</x:v>
      </x:c>
      <x:c r="S32" s="21" t="n">
        <x:f>IF(AND(COUNT(INDEX('SKU明细'!$H$9:$H$1592,MATCH("[13306,""B07-NY-37.5-by""]",'SKU明细'!$AE$9:$AE$1592,0)),INDEX('SKU明细'!$H$9:$H$1592,MATCH("[13306,""B07-NY-38.5-by""]",'SKU明细'!$AE$9:$AE$1592,0)),INDEX('SKU明细'!$H$9:$H$1592,MATCH("[13306,""B07-NY-41-by""]",'SKU明细'!$AE$9:$AE$1592,0)),INDEX('SKU明细'!$H$9:$H$1592,MATCH("[13306,""B07-NY-40.5-by""]",'SKU明细'!$AE$9:$AE$1592,0)),INDEX('SKU明细'!$H$9:$H$1592,MATCH("[13306,""B07-NY-41.5-by""]",'SKU明细'!$AE$9:$AE$1592,0)),INDEX('SKU明细'!$H$9:$H$1592,MATCH("[13306,""B07-NY-37-by""]",'SKU明细'!$AE$9:$AE$1592,0)),INDEX('SKU明细'!$H$9:$H$1592,MATCH("[13306,""B07-NY-42-by""]",'SKU明细'!$AE$9:$AE$1592,0)),INDEX('SKU明细'!$H$9:$H$1592,MATCH("[13306,""B07-NY-39.5-by""]",'SKU明细'!$AE$9:$AE$1592,0)))=8,COUNT(INDEX('SKU明细'!$G$9:$G$1592,MATCH("[13306,""B07-NY-37.5-by""]",'SKU明细'!$AE$9:$AE$1592,0)),INDEX('SKU明细'!$G$9:$G$1592,MATCH("[13306,""B07-NY-38.5-by""]",'SKU明细'!$AE$9:$AE$1592,0)),INDEX('SKU明细'!$G$9:$G$1592,MATCH("[13306,""B07-NY-41-by""]",'SKU明细'!$AE$9:$AE$1592,0)),INDEX('SKU明细'!$G$9:$G$1592,MATCH("[13306,""B07-NY-40.5-by""]",'SKU明细'!$AE$9:$AE$1592,0)),INDEX('SKU明细'!$G$9:$G$1592,MATCH("[13306,""B07-NY-41.5-by""]",'SKU明细'!$AE$9:$AE$1592,0)),INDEX('SKU明细'!$G$9:$G$1592,MATCH("[13306,""B07-NY-37-by""]",'SKU明细'!$AE$9:$AE$1592,0)),INDEX('SKU明细'!$G$9:$G$1592,MATCH("[13306,""B07-NY-42-by""]",'SKU明细'!$AE$9:$AE$1592,0)),INDEX('SKU明细'!$G$9:$G$1592,MATCH("[13306,""B07-NY-39.5-by""]",'SKU明细'!$AE$9:$AE$1592,0)))=8,SUM(INDEX('SKU明细'!$G$9:$G$1592,MATCH("[13306,""B07-NY-37.5-by""]",'SKU明细'!$AE$9:$AE$1592,0)),INDEX('SKU明细'!$G$9:$G$1592,MATCH("[13306,""B07-NY-38.5-by""]",'SKU明细'!$AE$9:$AE$1592,0)),INDEX('SKU明细'!$G$9:$G$1592,MATCH("[13306,""B07-NY-41-by""]",'SKU明细'!$AE$9:$AE$1592,0)),INDEX('SKU明细'!$G$9:$G$1592,MATCH("[13306,""B07-NY-40.5-by""]",'SKU明细'!$AE$9:$AE$1592,0)),INDEX('SKU明细'!$G$9:$G$1592,MATCH("[13306,""B07-NY-41.5-by""]",'SKU明细'!$AE$9:$AE$1592,0)),INDEX('SKU明细'!$G$9:$G$1592,MATCH("[13306,""B07-NY-37-by""]",'SKU明细'!$AE$9:$AE$1592,0)),INDEX('SKU明细'!$G$9:$G$1592,MATCH("[13306,""B07-NY-42-by""]",'SKU明细'!$AE$9:$AE$1592,0)),INDEX('SKU明细'!$G$9:$G$1592,MATCH("[13306,""B07-NY-39.5-by""]",'SKU明细'!$AE$9:$AE$1592,0)))&gt;0),SUM(INDEX('SKU明细'!$H$9:$H$1592,MATCH("[13306,""B07-NY-37.5-by""]",'SKU明细'!$AE$9:$AE$1592,0)),INDEX('SKU明细'!$H$9:$H$1592,MATCH("[13306,""B07-NY-38.5-by""]",'SKU明细'!$AE$9:$AE$1592,0)),INDEX('SKU明细'!$H$9:$H$1592,MATCH("[13306,""B07-NY-41-by""]",'SKU明细'!$AE$9:$AE$1592,0)),INDEX('SKU明细'!$H$9:$H$1592,MATCH("[13306,""B07-NY-40.5-by""]",'SKU明细'!$AE$9:$AE$1592,0)),INDEX('SKU明细'!$H$9:$H$1592,MATCH("[13306,""B07-NY-41.5-by""]",'SKU明细'!$AE$9:$AE$1592,0)),INDEX('SKU明细'!$H$9:$H$1592,MATCH("[13306,""B07-NY-37-by""]",'SKU明细'!$AE$9:$AE$1592,0)),INDEX('SKU明细'!$H$9:$H$1592,MATCH("[13306,""B07-NY-42-by""]",'SKU明细'!$AE$9:$AE$1592,0)),INDEX('SKU明细'!$H$9:$H$1592,MATCH("[13306,""B07-NY-39.5-by""]",'SKU明细'!$AE$9:$AE$1592,0)))/SUM(INDEX('SKU明细'!$G$9:$G$1592,MATCH("[13306,""B07-NY-37.5-by""]",'SKU明细'!$AE$9:$AE$1592,0)),INDEX('SKU明细'!$G$9:$G$1592,MATCH("[13306,""B07-NY-38.5-by""]",'SKU明细'!$AE$9:$AE$1592,0)),INDEX('SKU明细'!$G$9:$G$1592,MATCH("[13306,""B07-NY-41-by""]",'SKU明细'!$AE$9:$AE$1592,0)),INDEX('SKU明细'!$G$9:$G$1592,MATCH("[13306,""B07-NY-40.5-by""]",'SKU明细'!$AE$9:$AE$1592,0)),INDEX('SKU明细'!$G$9:$G$1592,MATCH("[13306,""B07-NY-41.5-by""]",'SKU明细'!$AE$9:$AE$1592,0)),INDEX('SKU明细'!$G$9:$G$1592,MATCH("[13306,""B07-NY-37-by""]",'SKU明细'!$AE$9:$AE$1592,0)),INDEX('SKU明细'!$G$9:$G$1592,MATCH("[13306,""B07-NY-42-by""]",'SKU明细'!$AE$9:$AE$1592,0)),INDEX('SKU明细'!$G$9:$G$1592,MATCH("[13306,""B07-NY-39.5-by""]",'SKU明细'!$AE$9:$AE$1592,0))),"待核")</x:f>
        <x:v>225.82557154953432</x:v>
      </x:c>
      <x:c r="T32" s="21" t="n">
        <x:f>IF(AND(COUNT(INDEX('SKU明细'!$I$9:$I$1592,MATCH("[13306,""B07-NY-37.5-by""]",'SKU明细'!$AE$9:$AE$1592,0)),INDEX('SKU明细'!$I$9:$I$1592,MATCH("[13306,""B07-NY-38.5-by""]",'SKU明细'!$AE$9:$AE$1592,0)),INDEX('SKU明细'!$I$9:$I$1592,MATCH("[13306,""B07-NY-41-by""]",'SKU明细'!$AE$9:$AE$1592,0)),INDEX('SKU明细'!$I$9:$I$1592,MATCH("[13306,""B07-NY-40.5-by""]",'SKU明细'!$AE$9:$AE$1592,0)),INDEX('SKU明细'!$I$9:$I$1592,MATCH("[13306,""B07-NY-41.5-by""]",'SKU明细'!$AE$9:$AE$1592,0)),INDEX('SKU明细'!$I$9:$I$1592,MATCH("[13306,""B07-NY-37-by""]",'SKU明细'!$AE$9:$AE$1592,0)),INDEX('SKU明细'!$I$9:$I$1592,MATCH("[13306,""B07-NY-42-by""]",'SKU明细'!$AE$9:$AE$1592,0)),INDEX('SKU明细'!$I$9:$I$1592,MATCH("[13306,""B07-NY-39.5-by""]",'SKU明细'!$AE$9:$AE$1592,0)))=8,COUNT(INDEX('SKU明细'!$AD$9:$AD$1592,MATCH("[13306,""B07-NY-37.5-by""]",'SKU明细'!$AE$9:$AE$1592,0)),INDEX('SKU明细'!$AD$9:$AD$1592,MATCH("[13306,""B07-NY-38.5-by""]",'SKU明细'!$AE$9:$AE$1592,0)),INDEX('SKU明细'!$AD$9:$AD$1592,MATCH("[13306,""B07-NY-41-by""]",'SKU明细'!$AE$9:$AE$1592,0)),INDEX('SKU明细'!$AD$9:$AD$1592,MATCH("[13306,""B07-NY-40.5-by""]",'SKU明细'!$AE$9:$AE$1592,0)),INDEX('SKU明细'!$AD$9:$AD$1592,MATCH("[13306,""B07-NY-41.5-by""]",'SKU明细'!$AE$9:$AE$1592,0)),INDEX('SKU明细'!$AD$9:$AD$1592,MATCH("[13306,""B07-NY-37-by""]",'SKU明细'!$AE$9:$AE$1592,0)),INDEX('SKU明细'!$AD$9:$AD$1592,MATCH("[13306,""B07-NY-42-by""]",'SKU明细'!$AE$9:$AE$1592,0)),INDEX('SKU明细'!$AD$9:$AD$1592,MATCH("[13306,""B07-NY-39.5-by""]",'SKU明细'!$AE$9:$AE$1592,0)))=8,SUM(INDEX('SKU明细'!$AD$9:$AD$1592,MATCH("[13306,""B07-NY-37.5-by""]",'SKU明细'!$AE$9:$AE$1592,0)),INDEX('SKU明细'!$AD$9:$AD$1592,MATCH("[13306,""B07-NY-38.5-by""]",'SKU明细'!$AE$9:$AE$1592,0)),INDEX('SKU明细'!$AD$9:$AD$1592,MATCH("[13306,""B07-NY-41-by""]",'SKU明细'!$AE$9:$AE$1592,0)),INDEX('SKU明细'!$AD$9:$AD$1592,MATCH("[13306,""B07-NY-40.5-by""]",'SKU明细'!$AE$9:$AE$1592,0)),INDEX('SKU明细'!$AD$9:$AD$1592,MATCH("[13306,""B07-NY-41.5-by""]",'SKU明细'!$AE$9:$AE$1592,0)),INDEX('SKU明细'!$AD$9:$AD$1592,MATCH("[13306,""B07-NY-37-by""]",'SKU明细'!$AE$9:$AE$1592,0)),INDEX('SKU明细'!$AD$9:$AD$1592,MATCH("[13306,""B07-NY-42-by""]",'SKU明细'!$AE$9:$AE$1592,0)),INDEX('SKU明细'!$AD$9:$AD$1592,MATCH("[13306,""B07-NY-39.5-by""]",'SKU明细'!$AE$9:$AE$1592,0)))&gt;0),SUM(INDEX('SKU明细'!$I$9:$I$1592,MATCH("[13306,""B07-NY-37.5-by""]",'SKU明细'!$AE$9:$AE$1592,0)),INDEX('SKU明细'!$I$9:$I$1592,MATCH("[13306,""B07-NY-38.5-by""]",'SKU明细'!$AE$9:$AE$1592,0)),INDEX('SKU明细'!$I$9:$I$1592,MATCH("[13306,""B07-NY-41-by""]",'SKU明细'!$AE$9:$AE$1592,0)),INDEX('SKU明细'!$I$9:$I$1592,MATCH("[13306,""B07-NY-40.5-by""]",'SKU明细'!$AE$9:$AE$1592,0)),INDEX('SKU明细'!$I$9:$I$1592,MATCH("[13306,""B07-NY-41.5-by""]",'SKU明细'!$AE$9:$AE$1592,0)),INDEX('SKU明细'!$I$9:$I$1592,MATCH("[13306,""B07-NY-37-by""]",'SKU明细'!$AE$9:$AE$1592,0)),INDEX('SKU明细'!$I$9:$I$1592,MATCH("[13306,""B07-NY-42-by""]",'SKU明细'!$AE$9:$AE$1592,0)),INDEX('SKU明细'!$I$9:$I$1592,MATCH("[13306,""B07-NY-39.5-by""]",'SKU明细'!$AE$9:$AE$1592,0)))/SUM(INDEX('SKU明细'!$AD$9:$AD$1592,MATCH("[13306,""B07-NY-37.5-by""]",'SKU明细'!$AE$9:$AE$1592,0)),INDEX('SKU明细'!$AD$9:$AD$1592,MATCH("[13306,""B07-NY-38.5-by""]",'SKU明细'!$AE$9:$AE$1592,0)),INDEX('SKU明细'!$AD$9:$AD$1592,MATCH("[13306,""B07-NY-41-by""]",'SKU明细'!$AE$9:$AE$1592,0)),INDEX('SKU明细'!$AD$9:$AD$1592,MATCH("[13306,""B07-NY-40.5-by""]",'SKU明细'!$AE$9:$AE$1592,0)),INDEX('SKU明细'!$AD$9:$AD$1592,MATCH("[13306,""B07-NY-41.5-by""]",'SKU明细'!$AE$9:$AE$1592,0)),INDEX('SKU明细'!$AD$9:$AD$1592,MATCH("[13306,""B07-NY-37-by""]",'SKU明细'!$AE$9:$AE$1592,0)),INDEX('SKU明细'!$AD$9:$AD$1592,MATCH("[13306,""B07-NY-42-by""]",'SKU明细'!$AE$9:$AE$1592,0)),INDEX('SKU明细'!$AD$9:$AD$1592,MATCH("[13306,""B07-NY-39.5-by""]",'SKU明细'!$AE$9:$AE$1592,0))),"待核")</x:f>
        <x:v>107.44186046511628</x:v>
      </x:c>
      <x:c r="U32" s="21" t="n">
        <x:f>IF(COUNT(S32:T32)=2,S32-T32,"待核")</x:f>
        <x:v>118.38371108441804</x:v>
      </x:c>
      <x:c r="V32" s="22" t="n">
        <x:f>IF(AND(ISNUMBER(U32),ISNUMBER(T32),T32&lt;&gt;0),U32/T32,"")</x:f>
        <x:v>1.1018397352012934</x:v>
      </x:c>
      <x:c r="W32" s="23" t="n">
        <x:f>IF(COUNT(INDEX('SKU明细'!$H$9:$H$1592,MATCH("[13306,""B07-NY-37.5-by""]",'SKU明细'!$AE$9:$AE$1592,0)),INDEX('SKU明细'!$H$9:$H$1592,MATCH("[13306,""B07-NY-38.5-by""]",'SKU明细'!$AE$9:$AE$1592,0)),INDEX('SKU明细'!$H$9:$H$1592,MATCH("[13306,""B07-NY-41-by""]",'SKU明细'!$AE$9:$AE$1592,0)),INDEX('SKU明细'!$H$9:$H$1592,MATCH("[13306,""B07-NY-40.5-by""]",'SKU明细'!$AE$9:$AE$1592,0)),INDEX('SKU明细'!$H$9:$H$1592,MATCH("[13306,""B07-NY-41.5-by""]",'SKU明细'!$AE$9:$AE$1592,0)),INDEX('SKU明细'!$H$9:$H$1592,MATCH("[13306,""B07-NY-37-by""]",'SKU明细'!$AE$9:$AE$1592,0)),INDEX('SKU明细'!$H$9:$H$1592,MATCH("[13306,""B07-NY-42-by""]",'SKU明细'!$AE$9:$AE$1592,0)),INDEX('SKU明细'!$H$9:$H$1592,MATCH("[13306,""B07-NY-39.5-by""]",'SKU明细'!$AE$9:$AE$1592,0)))=0,"待核",SUM(INDEX('SKU明细'!$H$9:$H$1592,MATCH("[13306,""B07-NY-37.5-by""]",'SKU明细'!$AE$9:$AE$1592,0)),INDEX('SKU明细'!$H$9:$H$1592,MATCH("[13306,""B07-NY-38.5-by""]",'SKU明细'!$AE$9:$AE$1592,0)),INDEX('SKU明细'!$H$9:$H$1592,MATCH("[13306,""B07-NY-41-by""]",'SKU明细'!$AE$9:$AE$1592,0)),INDEX('SKU明细'!$H$9:$H$1592,MATCH("[13306,""B07-NY-40.5-by""]",'SKU明细'!$AE$9:$AE$1592,0)),INDEX('SKU明细'!$H$9:$H$1592,MATCH("[13306,""B07-NY-41.5-by""]",'SKU明细'!$AE$9:$AE$1592,0)),INDEX('SKU明细'!$H$9:$H$1592,MATCH("[13306,""B07-NY-37-by""]",'SKU明细'!$AE$9:$AE$1592,0)),INDEX('SKU明细'!$H$9:$H$1592,MATCH("[13306,""B07-NY-42-by""]",'SKU明细'!$AE$9:$AE$1592,0)),INDEX('SKU明细'!$H$9:$H$1592,MATCH("[13306,""B07-NY-39.5-by""]",'SKU明细'!$AE$9:$AE$1592,0))))</x:f>
        <x:v>127</x:v>
      </x:c>
      <x:c r="X32" s="24" t="str">
        <x:f>IF(COUNTIFS('SKU明细'!$AH$9:$AH$1592,"[""B07"",""B07-NY"",""NY"",""藏青色羊京绒""]",'SKU明细'!$E$9:$E$1592,"促销")&gt;0,"促销 ","")&amp;IF(COUNTIFS('SKU明细'!$AH$9:$AH$1592,"[""B07"",""B07-NY"",""NY"",""藏青色羊京绒""]",'SKU明细'!$E$9:$E$1592,"红线促销")&gt;0,"红线促销 ","")&amp;IF(COUNTIFS('SKU明细'!$AH$9:$AH$1592,"[""B07"",""B07-NY"",""NY"",""藏青色羊京绒""]",'SKU明细'!$E$9:$E$1592,"考虑清仓")&gt;0,"考虑清仓 ","")&amp;IF(COUNTIFS('SKU明细'!$AH$9:$AH$1592,"[""B07"",""B07-NY"",""NY"",""藏青色羊京绒""]",'SKU明细'!$E$9:$E$1592,"断货")&gt;0,"断货 ","")&amp;IF(COUNTIFS('SKU明细'!$AH$9:$AH$1592,"[""B07"",""B07-NY"",""NY"",""藏青色羊京绒""]",'SKU明细'!$E$9:$E$1592,"零日销待复核")&gt;0,"零日销待复核 ","")&amp;IF(COUNTIFS('SKU明细'!$AH$9:$AH$1592,"[""B07"",""B07-NY"",""NY"",""藏青色羊京绒""]",'SKU明细'!$E$9:$E$1592,"数据待核")&gt;0,"数据待核 ","")&amp;IF(COUNTIFS('SKU明细'!$AH$9:$AH$1592,"[""B07"",""B07-NY"",""NY"",""藏青色羊京绒""]",'SKU明细'!$E$9:$E$1592,"正常库存")&gt;0,"正常库存 ","")&amp;IF(COUNTIFS('SKU明细'!$AH$9:$AH$1592,"[""B07"",""B07-NY"",""NY"",""藏青色羊京绒""]",'SKU明细'!$E$9:$E$1592,"补货提醒")&gt;0,"补货提醒 ","")</x:f>
        <x:v>促销 红线促销 考虑清仓 零日销待复核 正常库存 </x:v>
      </x:c>
      <x:c r="Y32" s="24" t="str">
        <x:f>IF(NOT(ISNUMBER(U32)),"覆盖待核／无可比基准","完整可比")</x:f>
        <x:v>完整可比</x:v>
      </x:c>
      <x:c r="Z32" s="24" t="str">
        <x:v>在售</x:v>
      </x:c>
      <x:c r="AA32" s="24" t="n">
        <x:f>IF(SUMIFS('SKU明细'!$AF$9:$AF$1592,'SKU明细'!$D$9:$D$1592,A32,'SKU明细'!$Z$9:$Z$1592,"&lt;&gt;移出")=0,"待核",SUMIFS('SKU明细'!$H$9:$H$1592,'SKU明细'!$D$9:$D$1592,A32,'SKU明细'!$Z$9:$Z$1592,"&lt;&gt;移出"))</x:f>
        <x:v>2671</x:v>
      </x:c>
    </x:row>
    <x:row r="33" ht="54" customHeight="1">
      <x:c r="A33" s="20" t="str">
        <x:v>B07</x:v>
      </x:c>
      <x:c r="B33" s="20" t="str">
        <x:v>艾年</x:v>
      </x:c>
      <x:c r="C33" s="20" t="str">
        <x:v>粉色羊京绒</x:v>
      </x:c>
      <x:c r="D33" s="20" t="str">
        <x:v>PK</x:v>
      </x:c>
      <x:c r="E33" s="20" t="str">
        <x:v>B07-PK</x:v>
      </x:c>
      <x:c r="F33" s="20"/>
      <x:c r="G33" s="21" t="str">
        <x:f>"—"</x:f>
        <x:v>—</x:v>
      </x:c>
      <x:c r="H33" s="21" t="str">
        <x:f>"—"</x:f>
        <x:v>—</x:v>
      </x:c>
      <x:c r="I33" s="21" t="n">
        <x:f>IF(AND(COUNT(INDEX('SKU明细'!$H$9:$H$1592,MATCH("[13306,""B07-PK-37.5""]",'SKU明细'!$AE$9:$AE$1592,0)))=1,COUNT(INDEX('SKU明细'!$G$9:$G$1592,MATCH("[13306,""B07-PK-37.5""]",'SKU明细'!$AE$9:$AE$1592,0)))=1,SUM(INDEX('SKU明细'!$G$9:$G$1592,MATCH("[13306,""B07-PK-37.5""]",'SKU明细'!$AE$9:$AE$1592,0)))&gt;0),SUM(INDEX('SKU明细'!$H$9:$H$1592,MATCH("[13306,""B07-PK-37.5""]",'SKU明细'!$AE$9:$AE$1592,0)))/SUM(INDEX('SKU明细'!$G$9:$G$1592,MATCH("[13306,""B07-PK-37.5""]",'SKU明细'!$AE$9:$AE$1592,0))),"待核")</x:f>
        <x:v>53.38983050847458</x:v>
      </x:c>
      <x:c r="J33" s="21" t="str">
        <x:f>IF(AND(COUNT(INDEX('SKU明细'!$H$9:$H$1592,MATCH("[13306,""B07-PK-38-by""]",'SKU明细'!$AE$9:$AE$1592,0)))=1,COUNT(INDEX('SKU明细'!$G$9:$G$1592,MATCH("[13306,""B07-PK-38-by""]",'SKU明细'!$AE$9:$AE$1592,0)))=1,SUM(INDEX('SKU明细'!$G$9:$G$1592,MATCH("[13306,""B07-PK-38-by""]",'SKU明细'!$AE$9:$AE$1592,0)))&gt;0),SUM(INDEX('SKU明细'!$H$9:$H$1592,MATCH("[13306,""B07-PK-38-by""]",'SKU明细'!$AE$9:$AE$1592,0)))/SUM(INDEX('SKU明细'!$G$9:$G$1592,MATCH("[13306,""B07-PK-38-by""]",'SKU明细'!$AE$9:$AE$1592,0))),"待核")</x:f>
        <x:v>待核</x:v>
      </x:c>
      <x:c r="K33" s="21" t="str">
        <x:f>IF(AND(COUNT(INDEX('SKU明细'!$H$9:$H$1592,MATCH("[13306,""B07-PK-38.5""]",'SKU明细'!$AE$9:$AE$1592,0)))=1,COUNT(INDEX('SKU明细'!$G$9:$G$1592,MATCH("[13306,""B07-PK-38.5""]",'SKU明细'!$AE$9:$AE$1592,0)))=1,SUM(INDEX('SKU明细'!$G$9:$G$1592,MATCH("[13306,""B07-PK-38.5""]",'SKU明细'!$AE$9:$AE$1592,0)))&gt;0),SUM(INDEX('SKU明细'!$H$9:$H$1592,MATCH("[13306,""B07-PK-38.5""]",'SKU明细'!$AE$9:$AE$1592,0)))/SUM(INDEX('SKU明细'!$G$9:$G$1592,MATCH("[13306,""B07-PK-38.5""]",'SKU明细'!$AE$9:$AE$1592,0))),"待核")</x:f>
        <x:v>待核</x:v>
      </x:c>
      <x:c r="L33" s="21" t="str">
        <x:f>IF(AND(COUNT(INDEX('SKU明细'!$H$9:$H$1592,MATCH("[13306,""B07-PK-39-by""]",'SKU明细'!$AE$9:$AE$1592,0)))=1,COUNT(INDEX('SKU明细'!$G$9:$G$1592,MATCH("[13306,""B07-PK-39-by""]",'SKU明细'!$AE$9:$AE$1592,0)))=1,SUM(INDEX('SKU明细'!$G$9:$G$1592,MATCH("[13306,""B07-PK-39-by""]",'SKU明细'!$AE$9:$AE$1592,0)))&gt;0),SUM(INDEX('SKU明细'!$H$9:$H$1592,MATCH("[13306,""B07-PK-39-by""]",'SKU明细'!$AE$9:$AE$1592,0)))/SUM(INDEX('SKU明细'!$G$9:$G$1592,MATCH("[13306,""B07-PK-39-by""]",'SKU明细'!$AE$9:$AE$1592,0))),"待核")</x:f>
        <x:v>待核</x:v>
      </x:c>
      <x:c r="M33" s="21" t="str">
        <x:f>IF(AND(COUNT(INDEX('SKU明细'!$H$9:$H$1592,MATCH("[13306,""B07-PK-39.5""]",'SKU明细'!$AE$9:$AE$1592,0)))=1,COUNT(INDEX('SKU明细'!$G$9:$G$1592,MATCH("[13306,""B07-PK-39.5""]",'SKU明细'!$AE$9:$AE$1592,0)))=1,SUM(INDEX('SKU明细'!$G$9:$G$1592,MATCH("[13306,""B07-PK-39.5""]",'SKU明细'!$AE$9:$AE$1592,0)))&gt;0),SUM(INDEX('SKU明细'!$H$9:$H$1592,MATCH("[13306,""B07-PK-39.5""]",'SKU明细'!$AE$9:$AE$1592,0)))/SUM(INDEX('SKU明细'!$G$9:$G$1592,MATCH("[13306,""B07-PK-39.5""]",'SKU明细'!$AE$9:$AE$1592,0))),"待核")</x:f>
        <x:v>待核</x:v>
      </x:c>
      <x:c r="N33" s="21" t="str">
        <x:f>"—"</x:f>
        <x:v>—</x:v>
      </x:c>
      <x:c r="O33" s="21" t="n">
        <x:f>IF(AND(COUNT(INDEX('SKU明细'!$H$9:$H$1592,MATCH("[13306,""B07-PK-40.5""]",'SKU明细'!$AE$9:$AE$1592,0)))=1,COUNT(INDEX('SKU明细'!$G$9:$G$1592,MATCH("[13306,""B07-PK-40.5""]",'SKU明细'!$AE$9:$AE$1592,0)))=1,SUM(INDEX('SKU明细'!$G$9:$G$1592,MATCH("[13306,""B07-PK-40.5""]",'SKU明细'!$AE$9:$AE$1592,0)))&gt;0),SUM(INDEX('SKU明细'!$H$9:$H$1592,MATCH("[13306,""B07-PK-40.5""]",'SKU明细'!$AE$9:$AE$1592,0)))/SUM(INDEX('SKU明细'!$G$9:$G$1592,MATCH("[13306,""B07-PK-40.5""]",'SKU明细'!$AE$9:$AE$1592,0))),"待核")</x:f>
        <x:v>20.09569377990431</x:v>
      </x:c>
      <x:c r="P33" s="21" t="str">
        <x:f>IF(AND(COUNT(INDEX('SKU明细'!$H$9:$H$1592,MATCH("[13306,""B07-PK-41-by""]",'SKU明细'!$AE$9:$AE$1592,0)))=1,COUNT(INDEX('SKU明细'!$G$9:$G$1592,MATCH("[13306,""B07-PK-41-by""]",'SKU明细'!$AE$9:$AE$1592,0)))=1,SUM(INDEX('SKU明细'!$G$9:$G$1592,MATCH("[13306,""B07-PK-41-by""]",'SKU明细'!$AE$9:$AE$1592,0)))&gt;0),SUM(INDEX('SKU明细'!$H$9:$H$1592,MATCH("[13306,""B07-PK-41-by""]",'SKU明细'!$AE$9:$AE$1592,0)))/SUM(INDEX('SKU明细'!$G$9:$G$1592,MATCH("[13306,""B07-PK-41-by""]",'SKU明细'!$AE$9:$AE$1592,0))),"待核")</x:f>
        <x:v>待核</x:v>
      </x:c>
      <x:c r="Q33" s="21" t="n">
        <x:f>IF(AND(COUNT(INDEX('SKU明细'!$H$9:$H$1592,MATCH("[13306,""B07-PK-41.5""]",'SKU明细'!$AE$9:$AE$1592,0)))=1,COUNT(INDEX('SKU明细'!$G$9:$G$1592,MATCH("[13306,""B07-PK-41.5""]",'SKU明细'!$AE$9:$AE$1592,0)))=1,SUM(INDEX('SKU明细'!$G$9:$G$1592,MATCH("[13306,""B07-PK-41.5""]",'SKU明细'!$AE$9:$AE$1592,0)))&gt;0),SUM(INDEX('SKU明细'!$H$9:$H$1592,MATCH("[13306,""B07-PK-41.5""]",'SKU明细'!$AE$9:$AE$1592,0)))/SUM(INDEX('SKU明细'!$G$9:$G$1592,MATCH("[13306,""B07-PK-41.5""]",'SKU明细'!$AE$9:$AE$1592,0))),"待核")</x:f>
        <x:v>1350</x:v>
      </x:c>
      <x:c r="R33" s="21" t="n">
        <x:f>IF(AND(COUNT(INDEX('SKU明细'!$H$9:$H$1592,MATCH("[13306,""B07-PK-42-by""]",'SKU明细'!$AE$9:$AE$1592,0)))=1,COUNT(INDEX('SKU明细'!$G$9:$G$1592,MATCH("[13306,""B07-PK-42-by""]",'SKU明细'!$AE$9:$AE$1592,0)))=1,SUM(INDEX('SKU明细'!$G$9:$G$1592,MATCH("[13306,""B07-PK-42-by""]",'SKU明细'!$AE$9:$AE$1592,0)))&gt;0),SUM(INDEX('SKU明细'!$H$9:$H$1592,MATCH("[13306,""B07-PK-42-by""]",'SKU明细'!$AE$9:$AE$1592,0)))/SUM(INDEX('SKU明细'!$G$9:$G$1592,MATCH("[13306,""B07-PK-42-by""]",'SKU明细'!$AE$9:$AE$1592,0))),"待核")</x:f>
        <x:v>21.283783783783786</x:v>
      </x:c>
      <x:c r="S33" s="21" t="n">
        <x:f>IF(AND(COUNT(INDEX('SKU明细'!$H$9:$H$1592,MATCH("[13306,""B07-PK-41.5""]",'SKU明细'!$AE$9:$AE$1592,0)),INDEX('SKU明细'!$H$9:$H$1592,MATCH("[13306,""B07-PK-38-by""]",'SKU明细'!$AE$9:$AE$1592,0)),INDEX('SKU明细'!$H$9:$H$1592,MATCH("[13306,""B07-PK-39-by""]",'SKU明细'!$AE$9:$AE$1592,0)),INDEX('SKU明细'!$H$9:$H$1592,MATCH("[13306,""B07-PK-38.5""]",'SKU明细'!$AE$9:$AE$1592,0)),INDEX('SKU明细'!$H$9:$H$1592,MATCH("[13306,""B07-PK-39.5""]",'SKU明细'!$AE$9:$AE$1592,0)),INDEX('SKU明细'!$H$9:$H$1592,MATCH("[13306,""B07-PK-41-by""]",'SKU明细'!$AE$9:$AE$1592,0)),INDEX('SKU明细'!$H$9:$H$1592,MATCH("[13306,""B07-PK-37.5""]",'SKU明细'!$AE$9:$AE$1592,0)),INDEX('SKU明细'!$H$9:$H$1592,MATCH("[13306,""B07-PK-40.5""]",'SKU明细'!$AE$9:$AE$1592,0)),INDEX('SKU明细'!$H$9:$H$1592,MATCH("[13306,""B07-PK-42-by""]",'SKU明细'!$AE$9:$AE$1592,0)))=9,COUNT(INDEX('SKU明细'!$G$9:$G$1592,MATCH("[13306,""B07-PK-41.5""]",'SKU明细'!$AE$9:$AE$1592,0)),INDEX('SKU明细'!$G$9:$G$1592,MATCH("[13306,""B07-PK-38-by""]",'SKU明细'!$AE$9:$AE$1592,0)),INDEX('SKU明细'!$G$9:$G$1592,MATCH("[13306,""B07-PK-39-by""]",'SKU明细'!$AE$9:$AE$1592,0)),INDEX('SKU明细'!$G$9:$G$1592,MATCH("[13306,""B07-PK-38.5""]",'SKU明细'!$AE$9:$AE$1592,0)),INDEX('SKU明细'!$G$9:$G$1592,MATCH("[13306,""B07-PK-39.5""]",'SKU明细'!$AE$9:$AE$1592,0)),INDEX('SKU明细'!$G$9:$G$1592,MATCH("[13306,""B07-PK-41-by""]",'SKU明细'!$AE$9:$AE$1592,0)),INDEX('SKU明细'!$G$9:$G$1592,MATCH("[13306,""B07-PK-37.5""]",'SKU明细'!$AE$9:$AE$1592,0)),INDEX('SKU明细'!$G$9:$G$1592,MATCH("[13306,""B07-PK-40.5""]",'SKU明细'!$AE$9:$AE$1592,0)),INDEX('SKU明细'!$G$9:$G$1592,MATCH("[13306,""B07-PK-42-by""]",'SKU明细'!$AE$9:$AE$1592,0)))=9,SUM(INDEX('SKU明细'!$G$9:$G$1592,MATCH("[13306,""B07-PK-41.5""]",'SKU明细'!$AE$9:$AE$1592,0)),INDEX('SKU明细'!$G$9:$G$1592,MATCH("[13306,""B07-PK-38-by""]",'SKU明细'!$AE$9:$AE$1592,0)),INDEX('SKU明细'!$G$9:$G$1592,MATCH("[13306,""B07-PK-39-by""]",'SKU明细'!$AE$9:$AE$1592,0)),INDEX('SKU明细'!$G$9:$G$1592,MATCH("[13306,""B07-PK-38.5""]",'SKU明细'!$AE$9:$AE$1592,0)),INDEX('SKU明细'!$G$9:$G$1592,MATCH("[13306,""B07-PK-39.5""]",'SKU明细'!$AE$9:$AE$1592,0)),INDEX('SKU明细'!$G$9:$G$1592,MATCH("[13306,""B07-PK-41-by""]",'SKU明细'!$AE$9:$AE$1592,0)),INDEX('SKU明细'!$G$9:$G$1592,MATCH("[13306,""B07-PK-37.5""]",'SKU明细'!$AE$9:$AE$1592,0)),INDEX('SKU明细'!$G$9:$G$1592,MATCH("[13306,""B07-PK-40.5""]",'SKU明细'!$AE$9:$AE$1592,0)),INDEX('SKU明细'!$G$9:$G$1592,MATCH("[13306,""B07-PK-42-by""]",'SKU明细'!$AE$9:$AE$1592,0)))&gt;0),SUM(INDEX('SKU明细'!$H$9:$H$1592,MATCH("[13306,""B07-PK-41.5""]",'SKU明细'!$AE$9:$AE$1592,0)),INDEX('SKU明细'!$H$9:$H$1592,MATCH("[13306,""B07-PK-38-by""]",'SKU明细'!$AE$9:$AE$1592,0)),INDEX('SKU明细'!$H$9:$H$1592,MATCH("[13306,""B07-PK-39-by""]",'SKU明细'!$AE$9:$AE$1592,0)),INDEX('SKU明细'!$H$9:$H$1592,MATCH("[13306,""B07-PK-38.5""]",'SKU明细'!$AE$9:$AE$1592,0)),INDEX('SKU明细'!$H$9:$H$1592,MATCH("[13306,""B07-PK-39.5""]",'SKU明细'!$AE$9:$AE$1592,0)),INDEX('SKU明细'!$H$9:$H$1592,MATCH("[13306,""B07-PK-41-by""]",'SKU明细'!$AE$9:$AE$1592,0)),INDEX('SKU明细'!$H$9:$H$1592,MATCH("[13306,""B07-PK-37.5""]",'SKU明细'!$AE$9:$AE$1592,0)),INDEX('SKU明细'!$H$9:$H$1592,MATCH("[13306,""B07-PK-40.5""]",'SKU明细'!$AE$9:$AE$1592,0)),INDEX('SKU明细'!$H$9:$H$1592,MATCH("[13306,""B07-PK-42-by""]",'SKU明细'!$AE$9:$AE$1592,0)))/SUM(INDEX('SKU明细'!$G$9:$G$1592,MATCH("[13306,""B07-PK-41.5""]",'SKU明细'!$AE$9:$AE$1592,0)),INDEX('SKU明细'!$G$9:$G$1592,MATCH("[13306,""B07-PK-38-by""]",'SKU明细'!$AE$9:$AE$1592,0)),INDEX('SKU明细'!$G$9:$G$1592,MATCH("[13306,""B07-PK-39-by""]",'SKU明细'!$AE$9:$AE$1592,0)),INDEX('SKU明细'!$G$9:$G$1592,MATCH("[13306,""B07-PK-38.5""]",'SKU明细'!$AE$9:$AE$1592,0)),INDEX('SKU明细'!$G$9:$G$1592,MATCH("[13306,""B07-PK-39.5""]",'SKU明细'!$AE$9:$AE$1592,0)),INDEX('SKU明细'!$G$9:$G$1592,MATCH("[13306,""B07-PK-41-by""]",'SKU明细'!$AE$9:$AE$1592,0)),INDEX('SKU明细'!$G$9:$G$1592,MATCH("[13306,""B07-PK-37.5""]",'SKU明细'!$AE$9:$AE$1592,0)),INDEX('SKU明细'!$G$9:$G$1592,MATCH("[13306,""B07-PK-40.5""]",'SKU明细'!$AE$9:$AE$1592,0)),INDEX('SKU明细'!$G$9:$G$1592,MATCH("[13306,""B07-PK-42-by""]",'SKU明细'!$AE$9:$AE$1592,0))),"待核")</x:f>
        <x:v>174.72527472527474</x:v>
      </x:c>
      <x:c r="T33" s="21" t="str">
        <x:f>IF(AND(COUNT(INDEX('SKU明细'!$I$9:$I$1592,MATCH("[13306,""B07-PK-41.5""]",'SKU明细'!$AE$9:$AE$1592,0)),INDEX('SKU明细'!$I$9:$I$1592,MATCH("[13306,""B07-PK-38-by""]",'SKU明细'!$AE$9:$AE$1592,0)),INDEX('SKU明细'!$I$9:$I$1592,MATCH("[13306,""B07-PK-39-by""]",'SKU明细'!$AE$9:$AE$1592,0)),INDEX('SKU明细'!$I$9:$I$1592,MATCH("[13306,""B07-PK-38.5""]",'SKU明细'!$AE$9:$AE$1592,0)),INDEX('SKU明细'!$I$9:$I$1592,MATCH("[13306,""B07-PK-39.5""]",'SKU明细'!$AE$9:$AE$1592,0)),INDEX('SKU明细'!$I$9:$I$1592,MATCH("[13306,""B07-PK-41-by""]",'SKU明细'!$AE$9:$AE$1592,0)),INDEX('SKU明细'!$I$9:$I$1592,MATCH("[13306,""B07-PK-37.5""]",'SKU明细'!$AE$9:$AE$1592,0)),INDEX('SKU明细'!$I$9:$I$1592,MATCH("[13306,""B07-PK-40.5""]",'SKU明细'!$AE$9:$AE$1592,0)),INDEX('SKU明细'!$I$9:$I$1592,MATCH("[13306,""B07-PK-42-by""]",'SKU明细'!$AE$9:$AE$1592,0)))=9,COUNT(INDEX('SKU明细'!$AD$9:$AD$1592,MATCH("[13306,""B07-PK-41.5""]",'SKU明细'!$AE$9:$AE$1592,0)),INDEX('SKU明细'!$AD$9:$AD$1592,MATCH("[13306,""B07-PK-38-by""]",'SKU明细'!$AE$9:$AE$1592,0)),INDEX('SKU明细'!$AD$9:$AD$1592,MATCH("[13306,""B07-PK-39-by""]",'SKU明细'!$AE$9:$AE$1592,0)),INDEX('SKU明细'!$AD$9:$AD$1592,MATCH("[13306,""B07-PK-38.5""]",'SKU明细'!$AE$9:$AE$1592,0)),INDEX('SKU明细'!$AD$9:$AD$1592,MATCH("[13306,""B07-PK-39.5""]",'SKU明细'!$AE$9:$AE$1592,0)),INDEX('SKU明细'!$AD$9:$AD$1592,MATCH("[13306,""B07-PK-41-by""]",'SKU明细'!$AE$9:$AE$1592,0)),INDEX('SKU明细'!$AD$9:$AD$1592,MATCH("[13306,""B07-PK-37.5""]",'SKU明细'!$AE$9:$AE$1592,0)),INDEX('SKU明细'!$AD$9:$AD$1592,MATCH("[13306,""B07-PK-40.5""]",'SKU明细'!$AE$9:$AE$1592,0)),INDEX('SKU明细'!$AD$9:$AD$1592,MATCH("[13306,""B07-PK-42-by""]",'SKU明细'!$AE$9:$AE$1592,0)))=9,SUM(INDEX('SKU明细'!$AD$9:$AD$1592,MATCH("[13306,""B07-PK-41.5""]",'SKU明细'!$AE$9:$AE$1592,0)),INDEX('SKU明细'!$AD$9:$AD$1592,MATCH("[13306,""B07-PK-38-by""]",'SKU明细'!$AE$9:$AE$1592,0)),INDEX('SKU明细'!$AD$9:$AD$1592,MATCH("[13306,""B07-PK-39-by""]",'SKU明细'!$AE$9:$AE$1592,0)),INDEX('SKU明细'!$AD$9:$AD$1592,MATCH("[13306,""B07-PK-38.5""]",'SKU明细'!$AE$9:$AE$1592,0)),INDEX('SKU明细'!$AD$9:$AD$1592,MATCH("[13306,""B07-PK-39.5""]",'SKU明细'!$AE$9:$AE$1592,0)),INDEX('SKU明细'!$AD$9:$AD$1592,MATCH("[13306,""B07-PK-41-by""]",'SKU明细'!$AE$9:$AE$1592,0)),INDEX('SKU明细'!$AD$9:$AD$1592,MATCH("[13306,""B07-PK-37.5""]",'SKU明细'!$AE$9:$AE$1592,0)),INDEX('SKU明细'!$AD$9:$AD$1592,MATCH("[13306,""B07-PK-40.5""]",'SKU明细'!$AE$9:$AE$1592,0)),INDEX('SKU明细'!$AD$9:$AD$1592,MATCH("[13306,""B07-PK-42-by""]",'SKU明细'!$AE$9:$AE$1592,0)))&gt;0),SUM(INDEX('SKU明细'!$I$9:$I$1592,MATCH("[13306,""B07-PK-41.5""]",'SKU明细'!$AE$9:$AE$1592,0)),INDEX('SKU明细'!$I$9:$I$1592,MATCH("[13306,""B07-PK-38-by""]",'SKU明细'!$AE$9:$AE$1592,0)),INDEX('SKU明细'!$I$9:$I$1592,MATCH("[13306,""B07-PK-39-by""]",'SKU明细'!$AE$9:$AE$1592,0)),INDEX('SKU明细'!$I$9:$I$1592,MATCH("[13306,""B07-PK-38.5""]",'SKU明细'!$AE$9:$AE$1592,0)),INDEX('SKU明细'!$I$9:$I$1592,MATCH("[13306,""B07-PK-39.5""]",'SKU明细'!$AE$9:$AE$1592,0)),INDEX('SKU明细'!$I$9:$I$1592,MATCH("[13306,""B07-PK-41-by""]",'SKU明细'!$AE$9:$AE$1592,0)),INDEX('SKU明细'!$I$9:$I$1592,MATCH("[13306,""B07-PK-37.5""]",'SKU明细'!$AE$9:$AE$1592,0)),INDEX('SKU明细'!$I$9:$I$1592,MATCH("[13306,""B07-PK-40.5""]",'SKU明细'!$AE$9:$AE$1592,0)),INDEX('SKU明细'!$I$9:$I$1592,MATCH("[13306,""B07-PK-42-by""]",'SKU明细'!$AE$9:$AE$1592,0)))/SUM(INDEX('SKU明细'!$AD$9:$AD$1592,MATCH("[13306,""B07-PK-41.5""]",'SKU明细'!$AE$9:$AE$1592,0)),INDEX('SKU明细'!$AD$9:$AD$1592,MATCH("[13306,""B07-PK-38-by""]",'SKU明细'!$AE$9:$AE$1592,0)),INDEX('SKU明细'!$AD$9:$AD$1592,MATCH("[13306,""B07-PK-39-by""]",'SKU明细'!$AE$9:$AE$1592,0)),INDEX('SKU明细'!$AD$9:$AD$1592,MATCH("[13306,""B07-PK-38.5""]",'SKU明细'!$AE$9:$AE$1592,0)),INDEX('SKU明细'!$AD$9:$AD$1592,MATCH("[13306,""B07-PK-39.5""]",'SKU明细'!$AE$9:$AE$1592,0)),INDEX('SKU明细'!$AD$9:$AD$1592,MATCH("[13306,""B07-PK-41-by""]",'SKU明细'!$AE$9:$AE$1592,0)),INDEX('SKU明细'!$AD$9:$AD$1592,MATCH("[13306,""B07-PK-37.5""]",'SKU明细'!$AE$9:$AE$1592,0)),INDEX('SKU明细'!$AD$9:$AD$1592,MATCH("[13306,""B07-PK-40.5""]",'SKU明细'!$AE$9:$AE$1592,0)),INDEX('SKU明细'!$AD$9:$AD$1592,MATCH("[13306,""B07-PK-42-by""]",'SKU明细'!$AE$9:$AE$1592,0))),"待核")</x:f>
        <x:v>待核</x:v>
      </x:c>
      <x:c r="U33" s="21" t="str">
        <x:f>IF(COUNT(S33:T33)=2,S33-T33,"待核")</x:f>
        <x:v>待核</x:v>
      </x:c>
      <x:c r="V33" s="22" t="str">
        <x:f>IF(AND(ISNUMBER(U33),ISNUMBER(T33),T33&lt;&gt;0),U33/T33,"")</x:f>
      </x:c>
      <x:c r="W33" s="23" t="n">
        <x:f>IF(COUNT(INDEX('SKU明细'!$H$9:$H$1592,MATCH("[13306,""B07-PK-41.5""]",'SKU明细'!$AE$9:$AE$1592,0)),INDEX('SKU明细'!$H$9:$H$1592,MATCH("[13306,""B07-PK-38-by""]",'SKU明细'!$AE$9:$AE$1592,0)),INDEX('SKU明细'!$H$9:$H$1592,MATCH("[13306,""B07-PK-39-by""]",'SKU明细'!$AE$9:$AE$1592,0)),INDEX('SKU明细'!$H$9:$H$1592,MATCH("[13306,""B07-PK-38.5""]",'SKU明细'!$AE$9:$AE$1592,0)),INDEX('SKU明细'!$H$9:$H$1592,MATCH("[13306,""B07-PK-39.5""]",'SKU明细'!$AE$9:$AE$1592,0)),INDEX('SKU明细'!$H$9:$H$1592,MATCH("[13306,""B07-PK-41-by""]",'SKU明细'!$AE$9:$AE$1592,0)),INDEX('SKU明细'!$H$9:$H$1592,MATCH("[13306,""B07-PK-37.5""]",'SKU明细'!$AE$9:$AE$1592,0)),INDEX('SKU明细'!$H$9:$H$1592,MATCH("[13306,""B07-PK-40.5""]",'SKU明细'!$AE$9:$AE$1592,0)),INDEX('SKU明细'!$H$9:$H$1592,MATCH("[13306,""B07-PK-42-by""]",'SKU明细'!$AE$9:$AE$1592,0)))=0,"待核",SUM(INDEX('SKU明细'!$H$9:$H$1592,MATCH("[13306,""B07-PK-41.5""]",'SKU明细'!$AE$9:$AE$1592,0)),INDEX('SKU明细'!$H$9:$H$1592,MATCH("[13306,""B07-PK-38-by""]",'SKU明细'!$AE$9:$AE$1592,0)),INDEX('SKU明细'!$H$9:$H$1592,MATCH("[13306,""B07-PK-39-by""]",'SKU明细'!$AE$9:$AE$1592,0)),INDEX('SKU明细'!$H$9:$H$1592,MATCH("[13306,""B07-PK-38.5""]",'SKU明细'!$AE$9:$AE$1592,0)),INDEX('SKU明细'!$H$9:$H$1592,MATCH("[13306,""B07-PK-39.5""]",'SKU明细'!$AE$9:$AE$1592,0)),INDEX('SKU明细'!$H$9:$H$1592,MATCH("[13306,""B07-PK-41-by""]",'SKU明细'!$AE$9:$AE$1592,0)),INDEX('SKU明细'!$H$9:$H$1592,MATCH("[13306,""B07-PK-37.5""]",'SKU明细'!$AE$9:$AE$1592,0)),INDEX('SKU明细'!$H$9:$H$1592,MATCH("[13306,""B07-PK-40.5""]",'SKU明细'!$AE$9:$AE$1592,0)),INDEX('SKU明细'!$H$9:$H$1592,MATCH("[13306,""B07-PK-42-by""]",'SKU明细'!$AE$9:$AE$1592,0))))</x:f>
        <x:v>53</x:v>
      </x:c>
      <x:c r="X33" s="24" t="str">
        <x:f>IF(COUNTIFS('SKU明细'!$AH$9:$AH$1592,"[""B07"",""B07-PK"",""PK"",""粉色羊京绒""]",'SKU明细'!$E$9:$E$1592,"促销")&gt;0,"促销 ","")&amp;IF(COUNTIFS('SKU明细'!$AH$9:$AH$1592,"[""B07"",""B07-PK"",""PK"",""粉色羊京绒""]",'SKU明细'!$E$9:$E$1592,"红线促销")&gt;0,"红线促销 ","")&amp;IF(COUNTIFS('SKU明细'!$AH$9:$AH$1592,"[""B07"",""B07-PK"",""PK"",""粉色羊京绒""]",'SKU明细'!$E$9:$E$1592,"考虑清仓")&gt;0,"考虑清仓 ","")&amp;IF(COUNTIFS('SKU明细'!$AH$9:$AH$1592,"[""B07"",""B07-PK"",""PK"",""粉色羊京绒""]",'SKU明细'!$E$9:$E$1592,"断货")&gt;0,"断货 ","")&amp;IF(COUNTIFS('SKU明细'!$AH$9:$AH$1592,"[""B07"",""B07-PK"",""PK"",""粉色羊京绒""]",'SKU明细'!$E$9:$E$1592,"零日销待复核")&gt;0,"零日销待复核 ","")&amp;IF(COUNTIFS('SKU明细'!$AH$9:$AH$1592,"[""B07"",""B07-PK"",""PK"",""粉色羊京绒""]",'SKU明细'!$E$9:$E$1592,"数据待核")&gt;0,"数据待核 ","")&amp;IF(COUNTIFS('SKU明细'!$AH$9:$AH$1592,"[""B07"",""B07-PK"",""PK"",""粉色羊京绒""]",'SKU明细'!$E$9:$E$1592,"正常库存")&gt;0,"正常库存 ","")&amp;IF(COUNTIFS('SKU明细'!$AH$9:$AH$1592,"[""B07"",""B07-PK"",""PK"",""粉色羊京绒""]",'SKU明细'!$E$9:$E$1592,"补货提醒")&gt;0,"补货提醒 ","")</x:f>
        <x:v>考虑清仓 断货 零日销待复核 补货提醒 </x:v>
      </x:c>
      <x:c r="Y33" s="24" t="str">
        <x:f>IF(NOT(ISNUMBER(U33)),"覆盖待核／无可比基准","完整可比")</x:f>
        <x:v>覆盖待核／无可比基准</x:v>
      </x:c>
      <x:c r="Z33" s="24" t="str">
        <x:v>在售</x:v>
      </x:c>
      <x:c r="AA33" s="24" t="n">
        <x:f>IF(SUMIFS('SKU明细'!$AF$9:$AF$1592,'SKU明细'!$D$9:$D$1592,A33,'SKU明细'!$Z$9:$Z$1592,"&lt;&gt;移出")=0,"待核",SUMIFS('SKU明细'!$H$9:$H$1592,'SKU明细'!$D$9:$D$1592,A33,'SKU明细'!$Z$9:$Z$1592,"&lt;&gt;移出"))</x:f>
        <x:v>2671</x:v>
      </x:c>
    </x:row>
    <x:row r="34" ht="54" customHeight="1">
      <x:c r="A34" s="20" t="str">
        <x:v>B07</x:v>
      </x:c>
      <x:c r="B34" s="20" t="str">
        <x:v>艾年</x:v>
      </x:c>
      <x:c r="C34" s="20" t="str">
        <x:v>红色羊京绒</x:v>
      </x:c>
      <x:c r="D34" s="20" t="str">
        <x:v>RD</x:v>
      </x:c>
      <x:c r="E34" s="20" t="str">
        <x:v>B07-RD</x:v>
      </x:c>
      <x:c r="F34" s="20"/>
      <x:c r="G34" s="21" t="str">
        <x:f>"—"</x:f>
        <x:v>—</x:v>
      </x:c>
      <x:c r="H34" s="21" t="n">
        <x:f>IF(AND(COUNT(INDEX('SKU明细'!$H$9:$H$1592,MATCH("[13306,""B07-RD-37-by""]",'SKU明细'!$AE$9:$AE$1592,0)))=1,COUNT(INDEX('SKU明细'!$G$9:$G$1592,MATCH("[13306,""B07-RD-37-by""]",'SKU明细'!$AE$9:$AE$1592,0)))=1,SUM(INDEX('SKU明细'!$G$9:$G$1592,MATCH("[13306,""B07-RD-37-by""]",'SKU明细'!$AE$9:$AE$1592,0)))&gt;0),SUM(INDEX('SKU明细'!$H$9:$H$1592,MATCH("[13306,""B07-RD-37-by""]",'SKU明细'!$AE$9:$AE$1592,0)))/SUM(INDEX('SKU明细'!$G$9:$G$1592,MATCH("[13306,""B07-RD-37-by""]",'SKU明细'!$AE$9:$AE$1592,0))),"待核")</x:f>
        <x:v>6750</x:v>
      </x:c>
      <x:c r="I34" s="21" t="str">
        <x:f>"—"</x:f>
        <x:v>—</x:v>
      </x:c>
      <x:c r="J34" s="21" t="n">
        <x:f>IF(AND(COUNT(INDEX('SKU明细'!$H$9:$H$1592,MATCH("[13306,""B07-RD-38-by""]",'SKU明细'!$AE$9:$AE$1592,0)))=1,COUNT(INDEX('SKU明细'!$G$9:$G$1592,MATCH("[13306,""B07-RD-38-by""]",'SKU明细'!$AE$9:$AE$1592,0)))=1,SUM(INDEX('SKU明细'!$G$9:$G$1592,MATCH("[13306,""B07-RD-38-by""]",'SKU明细'!$AE$9:$AE$1592,0)))&gt;0),SUM(INDEX('SKU明细'!$H$9:$H$1592,MATCH("[13306,""B07-RD-38-by""]",'SKU明细'!$AE$9:$AE$1592,0)))/SUM(INDEX('SKU明细'!$G$9:$G$1592,MATCH("[13306,""B07-RD-38-by""]",'SKU明细'!$AE$9:$AE$1592,0))),"待核")</x:f>
        <x:v>6900</x:v>
      </x:c>
      <x:c r="K34" s="21" t="n">
        <x:f>IF(AND(COUNT(INDEX('SKU明细'!$H$9:$H$1592,MATCH("[13306,""B07-RD-38.5""]",'SKU明细'!$AE$9:$AE$1592,0)))=1,COUNT(INDEX('SKU明细'!$G$9:$G$1592,MATCH("[13306,""B07-RD-38.5""]",'SKU明细'!$AE$9:$AE$1592,0)))=1,SUM(INDEX('SKU明细'!$G$9:$G$1592,MATCH("[13306,""B07-RD-38.5""]",'SKU明细'!$AE$9:$AE$1592,0)))&gt;0),SUM(INDEX('SKU明细'!$H$9:$H$1592,MATCH("[13306,""B07-RD-38.5""]",'SKU明细'!$AE$9:$AE$1592,0)))/SUM(INDEX('SKU明细'!$G$9:$G$1592,MATCH("[13306,""B07-RD-38.5""]",'SKU明细'!$AE$9:$AE$1592,0))),"待核")</x:f>
        <x:v>25.119617224880386</x:v>
      </x:c>
      <x:c r="L34" s="21" t="str">
        <x:f>"—"</x:f>
        <x:v>—</x:v>
      </x:c>
      <x:c r="M34" s="21" t="str">
        <x:f>"—"</x:f>
        <x:v>—</x:v>
      </x:c>
      <x:c r="N34" s="21" t="str">
        <x:f>"—"</x:f>
        <x:v>—</x:v>
      </x:c>
      <x:c r="O34" s="21" t="str">
        <x:f>"—"</x:f>
        <x:v>—</x:v>
      </x:c>
      <x:c r="P34" s="21" t="str">
        <x:f>"—"</x:f>
        <x:v>—</x:v>
      </x:c>
      <x:c r="Q34" s="21" t="n">
        <x:f>IF(AND(COUNT(INDEX('SKU明细'!$H$9:$H$1592,MATCH("[13306,""B07-RD-41.5""]",'SKU明细'!$AE$9:$AE$1592,0)))=1,COUNT(INDEX('SKU明细'!$G$9:$G$1592,MATCH("[13306,""B07-RD-41.5""]",'SKU明细'!$AE$9:$AE$1592,0)))=1,SUM(INDEX('SKU明细'!$G$9:$G$1592,MATCH("[13306,""B07-RD-41.5""]",'SKU明细'!$AE$9:$AE$1592,0)))&gt;0),SUM(INDEX('SKU明细'!$H$9:$H$1592,MATCH("[13306,""B07-RD-41.5""]",'SKU明细'!$AE$9:$AE$1592,0)))/SUM(INDEX('SKU明细'!$G$9:$G$1592,MATCH("[13306,""B07-RD-41.5""]",'SKU明细'!$AE$9:$AE$1592,0))),"待核")</x:f>
        <x:v>37.668161434977584</x:v>
      </x:c>
      <x:c r="R34" s="21" t="str">
        <x:f>"—"</x:f>
        <x:v>—</x:v>
      </x:c>
      <x:c r="S34" s="21" t="n">
        <x:f>IF(AND(COUNT(INDEX('SKU明细'!$H$9:$H$1592,MATCH("[13306,""B07-RD-37-by""]",'SKU明细'!$AE$9:$AE$1592,0)),INDEX('SKU明细'!$H$9:$H$1592,MATCH("[13306,""B07-RD-38-by""]",'SKU明细'!$AE$9:$AE$1592,0)),INDEX('SKU明细'!$H$9:$H$1592,MATCH("[13306,""B07-RD-38.5""]",'SKU明细'!$AE$9:$AE$1592,0)),INDEX('SKU明细'!$H$9:$H$1592,MATCH("[13306,""B07-RD-41.5""]",'SKU明细'!$AE$9:$AE$1592,0)))=4,COUNT(INDEX('SKU明细'!$G$9:$G$1592,MATCH("[13306,""B07-RD-37-by""]",'SKU明细'!$AE$9:$AE$1592,0)),INDEX('SKU明细'!$G$9:$G$1592,MATCH("[13306,""B07-RD-38-by""]",'SKU明细'!$AE$9:$AE$1592,0)),INDEX('SKU明细'!$G$9:$G$1592,MATCH("[13306,""B07-RD-38.5""]",'SKU明细'!$AE$9:$AE$1592,0)),INDEX('SKU明细'!$G$9:$G$1592,MATCH("[13306,""B07-RD-41.5""]",'SKU明细'!$AE$9:$AE$1592,0)))=4,SUM(INDEX('SKU明细'!$G$9:$G$1592,MATCH("[13306,""B07-RD-37-by""]",'SKU明细'!$AE$9:$AE$1592,0)),INDEX('SKU明细'!$G$9:$G$1592,MATCH("[13306,""B07-RD-38-by""]",'SKU明细'!$AE$9:$AE$1592,0)),INDEX('SKU明细'!$G$9:$G$1592,MATCH("[13306,""B07-RD-38.5""]",'SKU明细'!$AE$9:$AE$1592,0)),INDEX('SKU明细'!$G$9:$G$1592,MATCH("[13306,""B07-RD-41.5""]",'SKU明细'!$AE$9:$AE$1592,0)))&gt;0),SUM(INDEX('SKU明细'!$H$9:$H$1592,MATCH("[13306,""B07-RD-37-by""]",'SKU明细'!$AE$9:$AE$1592,0)),INDEX('SKU明细'!$H$9:$H$1592,MATCH("[13306,""B07-RD-38-by""]",'SKU明细'!$AE$9:$AE$1592,0)),INDEX('SKU明细'!$H$9:$H$1592,MATCH("[13306,""B07-RD-38.5""]",'SKU明细'!$AE$9:$AE$1592,0)),INDEX('SKU明细'!$H$9:$H$1592,MATCH("[13306,""B07-RD-41.5""]",'SKU明细'!$AE$9:$AE$1592,0)))/SUM(INDEX('SKU明细'!$G$9:$G$1592,MATCH("[13306,""B07-RD-37-by""]",'SKU明细'!$AE$9:$AE$1592,0)),INDEX('SKU明细'!$G$9:$G$1592,MATCH("[13306,""B07-RD-38-by""]",'SKU明细'!$AE$9:$AE$1592,0)),INDEX('SKU明细'!$G$9:$G$1592,MATCH("[13306,""B07-RD-38.5""]",'SKU明细'!$AE$9:$AE$1592,0)),INDEX('SKU明细'!$G$9:$G$1592,MATCH("[13306,""B07-RD-41.5""]",'SKU明细'!$AE$9:$AE$1592,0))),"待核")</x:f>
        <x:v>448.90190336749635</x:v>
      </x:c>
      <x:c r="T34" s="21" t="n">
        <x:f>IF(AND(COUNT(INDEX('SKU明细'!$I$9:$I$1592,MATCH("[13306,""B07-RD-37-by""]",'SKU明细'!$AE$9:$AE$1592,0)),INDEX('SKU明细'!$I$9:$I$1592,MATCH("[13306,""B07-RD-38-by""]",'SKU明细'!$AE$9:$AE$1592,0)),INDEX('SKU明细'!$I$9:$I$1592,MATCH("[13306,""B07-RD-38.5""]",'SKU明细'!$AE$9:$AE$1592,0)),INDEX('SKU明细'!$I$9:$I$1592,MATCH("[13306,""B07-RD-41.5""]",'SKU明细'!$AE$9:$AE$1592,0)))=4,COUNT(INDEX('SKU明细'!$AD$9:$AD$1592,MATCH("[13306,""B07-RD-37-by""]",'SKU明细'!$AE$9:$AE$1592,0)),INDEX('SKU明细'!$AD$9:$AD$1592,MATCH("[13306,""B07-RD-38-by""]",'SKU明细'!$AE$9:$AE$1592,0)),INDEX('SKU明细'!$AD$9:$AD$1592,MATCH("[13306,""B07-RD-38.5""]",'SKU明细'!$AE$9:$AE$1592,0)),INDEX('SKU明细'!$AD$9:$AD$1592,MATCH("[13306,""B07-RD-41.5""]",'SKU明细'!$AE$9:$AE$1592,0)))=4,SUM(INDEX('SKU明细'!$AD$9:$AD$1592,MATCH("[13306,""B07-RD-37-by""]",'SKU明细'!$AE$9:$AE$1592,0)),INDEX('SKU明细'!$AD$9:$AD$1592,MATCH("[13306,""B07-RD-38-by""]",'SKU明细'!$AE$9:$AE$1592,0)),INDEX('SKU明细'!$AD$9:$AD$1592,MATCH("[13306,""B07-RD-38.5""]",'SKU明细'!$AE$9:$AE$1592,0)),INDEX('SKU明细'!$AD$9:$AD$1592,MATCH("[13306,""B07-RD-41.5""]",'SKU明细'!$AE$9:$AE$1592,0)))&gt;0),SUM(INDEX('SKU明细'!$I$9:$I$1592,MATCH("[13306,""B07-RD-37-by""]",'SKU明细'!$AE$9:$AE$1592,0)),INDEX('SKU明细'!$I$9:$I$1592,MATCH("[13306,""B07-RD-38-by""]",'SKU明细'!$AE$9:$AE$1592,0)),INDEX('SKU明细'!$I$9:$I$1592,MATCH("[13306,""B07-RD-38.5""]",'SKU明细'!$AE$9:$AE$1592,0)),INDEX('SKU明细'!$I$9:$I$1592,MATCH("[13306,""B07-RD-41.5""]",'SKU明细'!$AE$9:$AE$1592,0)))/SUM(INDEX('SKU明细'!$AD$9:$AD$1592,MATCH("[13306,""B07-RD-37-by""]",'SKU明细'!$AE$9:$AE$1592,0)),INDEX('SKU明细'!$AD$9:$AD$1592,MATCH("[13306,""B07-RD-38-by""]",'SKU明细'!$AE$9:$AE$1592,0)),INDEX('SKU明细'!$AD$9:$AD$1592,MATCH("[13306,""B07-RD-38.5""]",'SKU明细'!$AE$9:$AE$1592,0)),INDEX('SKU明细'!$AD$9:$AD$1592,MATCH("[13306,""B07-RD-41.5""]",'SKU明细'!$AE$9:$AE$1592,0))),"待核")</x:f>
        <x:v>187.12871287128715</x:v>
      </x:c>
      <x:c r="U34" s="21" t="n">
        <x:f>IF(COUNT(S34:T34)=2,S34-T34,"待核")</x:f>
        <x:v>261.77319049620917</x:v>
      </x:c>
      <x:c r="V34" s="22" t="n">
        <x:f>IF(AND(ISNUMBER(U34),ISNUMBER(T34),T34&lt;&gt;0),U34/T34,"")</x:f>
        <x:v>1.3988937693183663</x:v>
      </x:c>
      <x:c r="W34" s="23" t="n">
        <x:f>IF(COUNT(INDEX('SKU明细'!$H$9:$H$1592,MATCH("[13306,""B07-RD-37-by""]",'SKU明细'!$AE$9:$AE$1592,0)),INDEX('SKU明细'!$H$9:$H$1592,MATCH("[13306,""B07-RD-38-by""]",'SKU明细'!$AE$9:$AE$1592,0)),INDEX('SKU明细'!$H$9:$H$1592,MATCH("[13306,""B07-RD-38.5""]",'SKU明细'!$AE$9:$AE$1592,0)),INDEX('SKU明细'!$H$9:$H$1592,MATCH("[13306,""B07-RD-41.5""]",'SKU明细'!$AE$9:$AE$1592,0)))=0,"待核",SUM(INDEX('SKU明细'!$H$9:$H$1592,MATCH("[13306,""B07-RD-37-by""]",'SKU明细'!$AE$9:$AE$1592,0)),INDEX('SKU明细'!$H$9:$H$1592,MATCH("[13306,""B07-RD-38-by""]",'SKU明细'!$AE$9:$AE$1592,0)),INDEX('SKU明细'!$H$9:$H$1592,MATCH("[13306,""B07-RD-38.5""]",'SKU明细'!$AE$9:$AE$1592,0)),INDEX('SKU明细'!$H$9:$H$1592,MATCH("[13306,""B07-RD-41.5""]",'SKU明细'!$AE$9:$AE$1592,0))))</x:f>
        <x:v>146</x:v>
      </x:c>
      <x:c r="X34" s="24" t="str">
        <x:f>IF(COUNTIFS('SKU明细'!$AH$9:$AH$1592,"[""B07"",""B07-RD"",""RD"",""红色羊京绒""]",'SKU明细'!$E$9:$E$1592,"促销")&gt;0,"促销 ","")&amp;IF(COUNTIFS('SKU明细'!$AH$9:$AH$1592,"[""B07"",""B07-RD"",""RD"",""红色羊京绒""]",'SKU明细'!$E$9:$E$1592,"红线促销")&gt;0,"红线促销 ","")&amp;IF(COUNTIFS('SKU明细'!$AH$9:$AH$1592,"[""B07"",""B07-RD"",""RD"",""红色羊京绒""]",'SKU明细'!$E$9:$E$1592,"考虑清仓")&gt;0,"考虑清仓 ","")&amp;IF(COUNTIFS('SKU明细'!$AH$9:$AH$1592,"[""B07"",""B07-RD"",""RD"",""红色羊京绒""]",'SKU明细'!$E$9:$E$1592,"断货")&gt;0,"断货 ","")&amp;IF(COUNTIFS('SKU明细'!$AH$9:$AH$1592,"[""B07"",""B07-RD"",""RD"",""红色羊京绒""]",'SKU明细'!$E$9:$E$1592,"零日销待复核")&gt;0,"零日销待复核 ","")&amp;IF(COUNTIFS('SKU明细'!$AH$9:$AH$1592,"[""B07"",""B07-RD"",""RD"",""红色羊京绒""]",'SKU明细'!$E$9:$E$1592,"数据待核")&gt;0,"数据待核 ","")&amp;IF(COUNTIFS('SKU明细'!$AH$9:$AH$1592,"[""B07"",""B07-RD"",""RD"",""红色羊京绒""]",'SKU明细'!$E$9:$E$1592,"正常库存")&gt;0,"正常库存 ","")&amp;IF(COUNTIFS('SKU明细'!$AH$9:$AH$1592,"[""B07"",""B07-RD"",""RD"",""红色羊京绒""]",'SKU明细'!$E$9:$E$1592,"补货提醒")&gt;0,"补货提醒 ","")</x:f>
        <x:v>考虑清仓 补货提醒 </x:v>
      </x:c>
      <x:c r="Y34" s="24" t="str">
        <x:f>IF(NOT(ISNUMBER(U34)),"覆盖待核／无可比基准","完整可比")</x:f>
        <x:v>完整可比</x:v>
      </x:c>
      <x:c r="Z34" s="24" t="str">
        <x:v>在售</x:v>
      </x:c>
      <x:c r="AA34" s="24" t="n">
        <x:f>IF(SUMIFS('SKU明细'!$AF$9:$AF$1592,'SKU明细'!$D$9:$D$1592,A34,'SKU明细'!$Z$9:$Z$1592,"&lt;&gt;移出")=0,"待核",SUMIFS('SKU明细'!$H$9:$H$1592,'SKU明细'!$D$9:$D$1592,A34,'SKU明细'!$Z$9:$Z$1592,"&lt;&gt;移出"))</x:f>
        <x:v>2671</x:v>
      </x:c>
    </x:row>
    <x:row r="35" ht="54" customHeight="1">
      <x:c r="A35" s="20" t="str">
        <x:v>B07</x:v>
      </x:c>
      <x:c r="B35" s="20" t="str">
        <x:v>艾年</x:v>
      </x:c>
      <x:c r="C35" s="20" t="str">
        <x:v>红色色织提花</x:v>
      </x:c>
      <x:c r="D35" s="20" t="str">
        <x:v>RD-I</x:v>
      </x:c>
      <x:c r="E35" s="20" t="str">
        <x:v>B07-RD-I-0</x:v>
      </x:c>
      <x:c r="F35" s="20"/>
      <x:c r="G35" s="21" t="str">
        <x:f>"—"</x:f>
        <x:v>—</x:v>
      </x:c>
      <x:c r="H35" s="21" t="str">
        <x:f>"—"</x:f>
        <x:v>—</x:v>
      </x:c>
      <x:c r="I35" s="21" t="str">
        <x:f>"—"</x:f>
        <x:v>—</x:v>
      </x:c>
      <x:c r="J35" s="21" t="str">
        <x:f>"—"</x:f>
        <x:v>—</x:v>
      </x:c>
      <x:c r="K35" s="21" t="str">
        <x:f>"—"</x:f>
        <x:v>—</x:v>
      </x:c>
      <x:c r="L35" s="21" t="str">
        <x:f>"—"</x:f>
        <x:v>—</x:v>
      </x:c>
      <x:c r="M35" s="21" t="str">
        <x:f>"—"</x:f>
        <x:v>—</x:v>
      </x:c>
      <x:c r="N35" s="21" t="str">
        <x:f>"—"</x:f>
        <x:v>—</x:v>
      </x:c>
      <x:c r="O35" s="21" t="str">
        <x:f>IF(AND(COUNT(INDEX('SKU明细'!$H$9:$H$1592,MATCH("[13306,""B07-RD-I-0-40.5""]",'SKU明细'!$AE$9:$AE$1592,0)))=1,COUNT(INDEX('SKU明细'!$G$9:$G$1592,MATCH("[13306,""B07-RD-I-0-40.5""]",'SKU明细'!$AE$9:$AE$1592,0)))=1,SUM(INDEX('SKU明细'!$G$9:$G$1592,MATCH("[13306,""B07-RD-I-0-40.5""]",'SKU明细'!$AE$9:$AE$1592,0)))&gt;0),SUM(INDEX('SKU明细'!$H$9:$H$1592,MATCH("[13306,""B07-RD-I-0-40.5""]",'SKU明细'!$AE$9:$AE$1592,0)))/SUM(INDEX('SKU明细'!$G$9:$G$1592,MATCH("[13306,""B07-RD-I-0-40.5""]",'SKU明细'!$AE$9:$AE$1592,0))),"待核")</x:f>
        <x:v>待核</x:v>
      </x:c>
      <x:c r="P35" s="21" t="n">
        <x:f>IF(AND(COUNT(INDEX('SKU明细'!$H$9:$H$1592,MATCH("[13306,""B07-RD-I-0-41""]",'SKU明细'!$AE$9:$AE$1592,0)))=1,COUNT(INDEX('SKU明细'!$G$9:$G$1592,MATCH("[13306,""B07-RD-I-0-41""]",'SKU明细'!$AE$9:$AE$1592,0)))=1,SUM(INDEX('SKU明细'!$G$9:$G$1592,MATCH("[13306,""B07-RD-I-0-41""]",'SKU明细'!$AE$9:$AE$1592,0)))&gt;0),SUM(INDEX('SKU明细'!$H$9:$H$1592,MATCH("[13306,""B07-RD-I-0-41""]",'SKU明细'!$AE$9:$AE$1592,0)))/SUM(INDEX('SKU明细'!$G$9:$G$1592,MATCH("[13306,""B07-RD-I-0-41""]",'SKU明细'!$AE$9:$AE$1592,0))),"待核")</x:f>
        <x:v>0</x:v>
      </x:c>
      <x:c r="Q35" s="21" t="str">
        <x:f>IF(AND(COUNT(INDEX('SKU明细'!$H$9:$H$1592,MATCH("[13306,""B07-RD-I-0-41.5""]",'SKU明细'!$AE$9:$AE$1592,0)))=1,COUNT(INDEX('SKU明细'!$G$9:$G$1592,MATCH("[13306,""B07-RD-I-0-41.5""]",'SKU明细'!$AE$9:$AE$1592,0)))=1,SUM(INDEX('SKU明细'!$G$9:$G$1592,MATCH("[13306,""B07-RD-I-0-41.5""]",'SKU明细'!$AE$9:$AE$1592,0)))&gt;0),SUM(INDEX('SKU明细'!$H$9:$H$1592,MATCH("[13306,""B07-RD-I-0-41.5""]",'SKU明细'!$AE$9:$AE$1592,0)))/SUM(INDEX('SKU明细'!$G$9:$G$1592,MATCH("[13306,""B07-RD-I-0-41.5""]",'SKU明细'!$AE$9:$AE$1592,0))),"待核")</x:f>
        <x:v>待核</x:v>
      </x:c>
      <x:c r="R35" s="21" t="str">
        <x:f>"—"</x:f>
        <x:v>—</x:v>
      </x:c>
      <x:c r="S35" s="21" t="n">
        <x:f>IF(AND(COUNT(INDEX('SKU明细'!$H$9:$H$1592,MATCH("[13306,""B07-RD-I-0-41""]",'SKU明细'!$AE$9:$AE$1592,0)),INDEX('SKU明细'!$H$9:$H$1592,MATCH("[13306,""B07-RD-I-0-40.5""]",'SKU明细'!$AE$9:$AE$1592,0)),INDEX('SKU明细'!$H$9:$H$1592,MATCH("[13306,""B07-RD-I-0-41.5""]",'SKU明细'!$AE$9:$AE$1592,0)))=3,COUNT(INDEX('SKU明细'!$G$9:$G$1592,MATCH("[13306,""B07-RD-I-0-41""]",'SKU明细'!$AE$9:$AE$1592,0)),INDEX('SKU明细'!$G$9:$G$1592,MATCH("[13306,""B07-RD-I-0-40.5""]",'SKU明细'!$AE$9:$AE$1592,0)),INDEX('SKU明细'!$G$9:$G$1592,MATCH("[13306,""B07-RD-I-0-41.5""]",'SKU明细'!$AE$9:$AE$1592,0)))=3,SUM(INDEX('SKU明细'!$G$9:$G$1592,MATCH("[13306,""B07-RD-I-0-41""]",'SKU明细'!$AE$9:$AE$1592,0)),INDEX('SKU明细'!$G$9:$G$1592,MATCH("[13306,""B07-RD-I-0-40.5""]",'SKU明细'!$AE$9:$AE$1592,0)),INDEX('SKU明细'!$G$9:$G$1592,MATCH("[13306,""B07-RD-I-0-41.5""]",'SKU明细'!$AE$9:$AE$1592,0)))&gt;0),SUM(INDEX('SKU明细'!$H$9:$H$1592,MATCH("[13306,""B07-RD-I-0-41""]",'SKU明细'!$AE$9:$AE$1592,0)),INDEX('SKU明细'!$H$9:$H$1592,MATCH("[13306,""B07-RD-I-0-40.5""]",'SKU明细'!$AE$9:$AE$1592,0)),INDEX('SKU明细'!$H$9:$H$1592,MATCH("[13306,""B07-RD-I-0-41.5""]",'SKU明细'!$AE$9:$AE$1592,0)))/SUM(INDEX('SKU明细'!$G$9:$G$1592,MATCH("[13306,""B07-RD-I-0-41""]",'SKU明细'!$AE$9:$AE$1592,0)),INDEX('SKU明细'!$G$9:$G$1592,MATCH("[13306,""B07-RD-I-0-40.5""]",'SKU明细'!$AE$9:$AE$1592,0)),INDEX('SKU明细'!$G$9:$G$1592,MATCH("[13306,""B07-RD-I-0-41.5""]",'SKU明细'!$AE$9:$AE$1592,0))),"待核")</x:f>
        <x:v>3749.9999999999995</x:v>
      </x:c>
      <x:c r="T35" s="21" t="str">
        <x:f>IF(AND(COUNT(INDEX('SKU明细'!$I$9:$I$1592,MATCH("[13306,""B07-RD-I-0-41""]",'SKU明细'!$AE$9:$AE$1592,0)),INDEX('SKU明细'!$I$9:$I$1592,MATCH("[13306,""B07-RD-I-0-40.5""]",'SKU明细'!$AE$9:$AE$1592,0)),INDEX('SKU明细'!$I$9:$I$1592,MATCH("[13306,""B07-RD-I-0-41.5""]",'SKU明细'!$AE$9:$AE$1592,0)))=3,COUNT(INDEX('SKU明细'!$AD$9:$AD$1592,MATCH("[13306,""B07-RD-I-0-41""]",'SKU明细'!$AE$9:$AE$1592,0)),INDEX('SKU明细'!$AD$9:$AD$1592,MATCH("[13306,""B07-RD-I-0-40.5""]",'SKU明细'!$AE$9:$AE$1592,0)),INDEX('SKU明细'!$AD$9:$AD$1592,MATCH("[13306,""B07-RD-I-0-41.5""]",'SKU明细'!$AE$9:$AE$1592,0)))=3,SUM(INDEX('SKU明细'!$AD$9:$AD$1592,MATCH("[13306,""B07-RD-I-0-41""]",'SKU明细'!$AE$9:$AE$1592,0)),INDEX('SKU明细'!$AD$9:$AD$1592,MATCH("[13306,""B07-RD-I-0-40.5""]",'SKU明细'!$AE$9:$AE$1592,0)),INDEX('SKU明细'!$AD$9:$AD$1592,MATCH("[13306,""B07-RD-I-0-41.5""]",'SKU明细'!$AE$9:$AE$1592,0)))&gt;0),SUM(INDEX('SKU明细'!$I$9:$I$1592,MATCH("[13306,""B07-RD-I-0-41""]",'SKU明细'!$AE$9:$AE$1592,0)),INDEX('SKU明细'!$I$9:$I$1592,MATCH("[13306,""B07-RD-I-0-40.5""]",'SKU明细'!$AE$9:$AE$1592,0)),INDEX('SKU明细'!$I$9:$I$1592,MATCH("[13306,""B07-RD-I-0-41.5""]",'SKU明细'!$AE$9:$AE$1592,0)))/SUM(INDEX('SKU明细'!$AD$9:$AD$1592,MATCH("[13306,""B07-RD-I-0-41""]",'SKU明细'!$AE$9:$AE$1592,0)),INDEX('SKU明细'!$AD$9:$AD$1592,MATCH("[13306,""B07-RD-I-0-40.5""]",'SKU明细'!$AE$9:$AE$1592,0)),INDEX('SKU明细'!$AD$9:$AD$1592,MATCH("[13306,""B07-RD-I-0-41.5""]",'SKU明细'!$AE$9:$AE$1592,0))),"待核")</x:f>
        <x:v>待核</x:v>
      </x:c>
      <x:c r="U35" s="21" t="str">
        <x:f>IF(COUNT(S35:T35)=2,S35-T35,"待核")</x:f>
        <x:v>待核</x:v>
      </x:c>
      <x:c r="V35" s="22" t="str">
        <x:f>IF(AND(ISNUMBER(U35),ISNUMBER(T35),T35&lt;&gt;0),U35/T35,"")</x:f>
      </x:c>
      <x:c r="W35" s="23" t="n">
        <x:f>IF(COUNT(INDEX('SKU明细'!$H$9:$H$1592,MATCH("[13306,""B07-RD-I-0-41""]",'SKU明细'!$AE$9:$AE$1592,0)),INDEX('SKU明细'!$H$9:$H$1592,MATCH("[13306,""B07-RD-I-0-40.5""]",'SKU明细'!$AE$9:$AE$1592,0)),INDEX('SKU明细'!$H$9:$H$1592,MATCH("[13306,""B07-RD-I-0-41.5""]",'SKU明细'!$AE$9:$AE$1592,0)))=0,"待核",SUM(INDEX('SKU明细'!$H$9:$H$1592,MATCH("[13306,""B07-RD-I-0-41""]",'SKU明细'!$AE$9:$AE$1592,0)),INDEX('SKU明细'!$H$9:$H$1592,MATCH("[13306,""B07-RD-I-0-40.5""]",'SKU明细'!$AE$9:$AE$1592,0)),INDEX('SKU明细'!$H$9:$H$1592,MATCH("[13306,""B07-RD-I-0-41.5""]",'SKU明细'!$AE$9:$AE$1592,0))))</x:f>
        <x:v>25</x:v>
      </x:c>
      <x:c r="X35" s="24" t="str">
        <x:f>IF(COUNTIFS('SKU明细'!$AH$9:$AH$1592,"[""B07"",""B07-RD-I-0"",""RD-I"",""红色色织提花""]",'SKU明细'!$E$9:$E$1592,"促销")&gt;0,"促销 ","")&amp;IF(COUNTIFS('SKU明细'!$AH$9:$AH$1592,"[""B07"",""B07-RD-I-0"",""RD-I"",""红色色织提花""]",'SKU明细'!$E$9:$E$1592,"红线促销")&gt;0,"红线促销 ","")&amp;IF(COUNTIFS('SKU明细'!$AH$9:$AH$1592,"[""B07"",""B07-RD-I-0"",""RD-I"",""红色色织提花""]",'SKU明细'!$E$9:$E$1592,"考虑清仓")&gt;0,"考虑清仓 ","")&amp;IF(COUNTIFS('SKU明细'!$AH$9:$AH$1592,"[""B07"",""B07-RD-I-0"",""RD-I"",""红色色织提花""]",'SKU明细'!$E$9:$E$1592,"断货")&gt;0,"断货 ","")&amp;IF(COUNTIFS('SKU明细'!$AH$9:$AH$1592,"[""B07"",""B07-RD-I-0"",""RD-I"",""红色色织提花""]",'SKU明细'!$E$9:$E$1592,"零日销待复核")&gt;0,"零日销待复核 ","")&amp;IF(COUNTIFS('SKU明细'!$AH$9:$AH$1592,"[""B07"",""B07-RD-I-0"",""RD-I"",""红色色织提花""]",'SKU明细'!$E$9:$E$1592,"数据待核")&gt;0,"数据待核 ","")&amp;IF(COUNTIFS('SKU明细'!$AH$9:$AH$1592,"[""B07"",""B07-RD-I-0"",""RD-I"",""红色色织提花""]",'SKU明细'!$E$9:$E$1592,"正常库存")&gt;0,"正常库存 ","")&amp;IF(COUNTIFS('SKU明细'!$AH$9:$AH$1592,"[""B07"",""B07-RD-I-0"",""RD-I"",""红色色织提花""]",'SKU明细'!$E$9:$E$1592,"补货提醒")&gt;0,"补货提醒 ","")</x:f>
        <x:v>断货 零日销待复核 </x:v>
      </x:c>
      <x:c r="Y35" s="24" t="str">
        <x:f>IF(NOT(ISNUMBER(U35)),"覆盖待核／无可比基准","完整可比")</x:f>
        <x:v>覆盖待核／无可比基准</x:v>
      </x:c>
      <x:c r="Z35" s="24" t="str">
        <x:v>停售、在售</x:v>
      </x:c>
      <x:c r="AA35" s="24" t="n">
        <x:f>IF(SUMIFS('SKU明细'!$AF$9:$AF$1592,'SKU明细'!$D$9:$D$1592,A35,'SKU明细'!$Z$9:$Z$1592,"&lt;&gt;移出")=0,"待核",SUMIFS('SKU明细'!$H$9:$H$1592,'SKU明细'!$D$9:$D$1592,A35,'SKU明细'!$Z$9:$Z$1592,"&lt;&gt;移出"))</x:f>
        <x:v>2671</x:v>
      </x:c>
    </x:row>
    <x:row r="36" ht="54" customHeight="1">
      <x:c r="A36" s="20" t="str">
        <x:v>B07</x:v>
      </x:c>
      <x:c r="B36" s="20" t="str">
        <x:v>艾年</x:v>
      </x:c>
      <x:c r="C36" s="20" t="str">
        <x:v>红色镜面PU</x:v>
      </x:c>
      <x:c r="D36" s="20" t="str">
        <x:v>RD-Z</x:v>
      </x:c>
      <x:c r="E36" s="20" t="str">
        <x:v>B07-RD-Z-0</x:v>
      </x:c>
      <x:c r="F36" s="20"/>
      <x:c r="G36" s="21" t="str">
        <x:f>"—"</x:f>
        <x:v>—</x:v>
      </x:c>
      <x:c r="H36" s="21" t="str">
        <x:f>"—"</x:f>
        <x:v>—</x:v>
      </x:c>
      <x:c r="I36" s="21" t="str">
        <x:f>"—"</x:f>
        <x:v>—</x:v>
      </x:c>
      <x:c r="J36" s="21" t="str">
        <x:f>IF(AND(COUNT(INDEX('SKU明细'!$H$9:$H$1592,MATCH("[13306,""B07-RD-Z-0-38""]",'SKU明细'!$AE$9:$AE$1592,0)))=1,COUNT(INDEX('SKU明细'!$G$9:$G$1592,MATCH("[13306,""B07-RD-Z-0-38""]",'SKU明细'!$AE$9:$AE$1592,0)))=1,SUM(INDEX('SKU明细'!$G$9:$G$1592,MATCH("[13306,""B07-RD-Z-0-38""]",'SKU明细'!$AE$9:$AE$1592,0)))&gt;0),SUM(INDEX('SKU明细'!$H$9:$H$1592,MATCH("[13306,""B07-RD-Z-0-38""]",'SKU明细'!$AE$9:$AE$1592,0)))/SUM(INDEX('SKU明细'!$G$9:$G$1592,MATCH("[13306,""B07-RD-Z-0-38""]",'SKU明细'!$AE$9:$AE$1592,0))),"待核")</x:f>
        <x:v>待核</x:v>
      </x:c>
      <x:c r="K36" s="21" t="str">
        <x:f>"—"</x:f>
        <x:v>—</x:v>
      </x:c>
      <x:c r="L36" s="21" t="n">
        <x:f>IF(AND(COUNT(INDEX('SKU明细'!$H$9:$H$1592,MATCH("[13306,""B07-RD-Z-0-39""]",'SKU明细'!$AE$9:$AE$1592,0)))=1,COUNT(INDEX('SKU明细'!$G$9:$G$1592,MATCH("[13306,""B07-RD-Z-0-39""]",'SKU明细'!$AE$9:$AE$1592,0)))=1,SUM(INDEX('SKU明细'!$G$9:$G$1592,MATCH("[13306,""B07-RD-Z-0-39""]",'SKU明细'!$AE$9:$AE$1592,0)))&gt;0),SUM(INDEX('SKU明细'!$H$9:$H$1592,MATCH("[13306,""B07-RD-Z-0-39""]",'SKU明细'!$AE$9:$AE$1592,0)))/SUM(INDEX('SKU明细'!$G$9:$G$1592,MATCH("[13306,""B07-RD-Z-0-39""]",'SKU明细'!$AE$9:$AE$1592,0))),"待核")</x:f>
        <x:v>168.96551724137933</x:v>
      </x:c>
      <x:c r="M36" s="21" t="n">
        <x:f>IF(AND(COUNT(INDEX('SKU明细'!$H$9:$H$1592,MATCH("[13306,""B07-RD-Z-0-39.5""]",'SKU明细'!$AE$9:$AE$1592,0)))=1,COUNT(INDEX('SKU明细'!$G$9:$G$1592,MATCH("[13306,""B07-RD-Z-0-39.5""]",'SKU明细'!$AE$9:$AE$1592,0)))=1,SUM(INDEX('SKU明细'!$G$9:$G$1592,MATCH("[13306,""B07-RD-Z-0-39.5""]",'SKU明细'!$AE$9:$AE$1592,0)))&gt;0),SUM(INDEX('SKU明细'!$H$9:$H$1592,MATCH("[13306,""B07-RD-Z-0-39.5""]",'SKU明细'!$AE$9:$AE$1592,0)))/SUM(INDEX('SKU明细'!$G$9:$G$1592,MATCH("[13306,""B07-RD-Z-0-39.5""]",'SKU明细'!$AE$9:$AE$1592,0))),"待核")</x:f>
        <x:v>783.0508474576271</x:v>
      </x:c>
      <x:c r="N36" s="21" t="str">
        <x:f>"—"</x:f>
        <x:v>—</x:v>
      </x:c>
      <x:c r="O36" s="21" t="str">
        <x:f>"—"</x:f>
        <x:v>—</x:v>
      </x:c>
      <x:c r="P36" s="21" t="str">
        <x:f>"—"</x:f>
        <x:v>—</x:v>
      </x:c>
      <x:c r="Q36" s="21" t="str">
        <x:f>"—"</x:f>
        <x:v>—</x:v>
      </x:c>
      <x:c r="R36" s="21" t="str">
        <x:f>"—"</x:f>
        <x:v>—</x:v>
      </x:c>
      <x:c r="S36" s="21" t="n">
        <x:f>IF(AND(COUNT(INDEX('SKU明细'!$H$9:$H$1592,MATCH("[13306,""B07-RD-Z-0-39.5""]",'SKU明细'!$AE$9:$AE$1592,0)),INDEX('SKU明细'!$H$9:$H$1592,MATCH("[13306,""B07-RD-Z-0-39""]",'SKU明细'!$AE$9:$AE$1592,0)),INDEX('SKU明细'!$H$9:$H$1592,MATCH("[13306,""B07-RD-Z-0-38""]",'SKU明细'!$AE$9:$AE$1592,0)))=3,COUNT(INDEX('SKU明细'!$G$9:$G$1592,MATCH("[13306,""B07-RD-Z-0-39.5""]",'SKU明细'!$AE$9:$AE$1592,0)),INDEX('SKU明细'!$G$9:$G$1592,MATCH("[13306,""B07-RD-Z-0-39""]",'SKU明细'!$AE$9:$AE$1592,0)),INDEX('SKU明细'!$G$9:$G$1592,MATCH("[13306,""B07-RD-Z-0-38""]",'SKU明细'!$AE$9:$AE$1592,0)))=3,SUM(INDEX('SKU明细'!$G$9:$G$1592,MATCH("[13306,""B07-RD-Z-0-39.5""]",'SKU明细'!$AE$9:$AE$1592,0)),INDEX('SKU明细'!$G$9:$G$1592,MATCH("[13306,""B07-RD-Z-0-39""]",'SKU明细'!$AE$9:$AE$1592,0)),INDEX('SKU明细'!$G$9:$G$1592,MATCH("[13306,""B07-RD-Z-0-38""]",'SKU明细'!$AE$9:$AE$1592,0)))&gt;0),SUM(INDEX('SKU明细'!$H$9:$H$1592,MATCH("[13306,""B07-RD-Z-0-39.5""]",'SKU明细'!$AE$9:$AE$1592,0)),INDEX('SKU明细'!$H$9:$H$1592,MATCH("[13306,""B07-RD-Z-0-39""]",'SKU明细'!$AE$9:$AE$1592,0)),INDEX('SKU明细'!$H$9:$H$1592,MATCH("[13306,""B07-RD-Z-0-38""]",'SKU明细'!$AE$9:$AE$1592,0)))/SUM(INDEX('SKU明细'!$G$9:$G$1592,MATCH("[13306,""B07-RD-Z-0-39.5""]",'SKU明细'!$AE$9:$AE$1592,0)),INDEX('SKU明细'!$G$9:$G$1592,MATCH("[13306,""B07-RD-Z-0-39""]",'SKU明细'!$AE$9:$AE$1592,0)),INDEX('SKU明细'!$G$9:$G$1592,MATCH("[13306,""B07-RD-Z-0-38""]",'SKU明细'!$AE$9:$AE$1592,0))),"待核")</x:f>
        <x:v>719.178082191781</x:v>
      </x:c>
      <x:c r="T36" s="21" t="n">
        <x:f>IF(AND(COUNT(INDEX('SKU明细'!$I$9:$I$1592,MATCH("[13306,""B07-RD-Z-0-39.5""]",'SKU明细'!$AE$9:$AE$1592,0)),INDEX('SKU明细'!$I$9:$I$1592,MATCH("[13306,""B07-RD-Z-0-39""]",'SKU明细'!$AE$9:$AE$1592,0)),INDEX('SKU明细'!$I$9:$I$1592,MATCH("[13306,""B07-RD-Z-0-38""]",'SKU明细'!$AE$9:$AE$1592,0)))=3,COUNT(INDEX('SKU明细'!$AD$9:$AD$1592,MATCH("[13306,""B07-RD-Z-0-39.5""]",'SKU明细'!$AE$9:$AE$1592,0)),INDEX('SKU明细'!$AD$9:$AD$1592,MATCH("[13306,""B07-RD-Z-0-39""]",'SKU明细'!$AE$9:$AE$1592,0)),INDEX('SKU明细'!$AD$9:$AD$1592,MATCH("[13306,""B07-RD-Z-0-38""]",'SKU明细'!$AE$9:$AE$1592,0)))=3,SUM(INDEX('SKU明细'!$AD$9:$AD$1592,MATCH("[13306,""B07-RD-Z-0-39.5""]",'SKU明细'!$AE$9:$AE$1592,0)),INDEX('SKU明细'!$AD$9:$AD$1592,MATCH("[13306,""B07-RD-Z-0-39""]",'SKU明细'!$AE$9:$AE$1592,0)),INDEX('SKU明细'!$AD$9:$AD$1592,MATCH("[13306,""B07-RD-Z-0-38""]",'SKU明细'!$AE$9:$AE$1592,0)))&gt;0),SUM(INDEX('SKU明细'!$I$9:$I$1592,MATCH("[13306,""B07-RD-Z-0-39.5""]",'SKU明细'!$AE$9:$AE$1592,0)),INDEX('SKU明细'!$I$9:$I$1592,MATCH("[13306,""B07-RD-Z-0-39""]",'SKU明细'!$AE$9:$AE$1592,0)),INDEX('SKU明细'!$I$9:$I$1592,MATCH("[13306,""B07-RD-Z-0-38""]",'SKU明细'!$AE$9:$AE$1592,0)))/SUM(INDEX('SKU明细'!$AD$9:$AD$1592,MATCH("[13306,""B07-RD-Z-0-39.5""]",'SKU明细'!$AE$9:$AE$1592,0)),INDEX('SKU明细'!$AD$9:$AD$1592,MATCH("[13306,""B07-RD-Z-0-39""]",'SKU明细'!$AE$9:$AE$1592,0)),INDEX('SKU明细'!$AD$9:$AD$1592,MATCH("[13306,""B07-RD-Z-0-38""]",'SKU明细'!$AE$9:$AE$1592,0))),"待核")</x:f>
        <x:v>187.96296296296296</x:v>
      </x:c>
      <x:c r="U36" s="21" t="n">
        <x:f>IF(COUNT(S36:T36)=2,S36-T36,"待核")</x:f>
        <x:v>531.215119228818</x:v>
      </x:c>
      <x:c r="V36" s="22" t="n">
        <x:f>IF(AND(ISNUMBER(U36),ISNUMBER(T36),T36&lt;&gt;0),U36/T36,"")</x:f>
        <x:v>2.826169107227209</x:v>
      </x:c>
      <x:c r="W36" s="23" t="n">
        <x:f>IF(COUNT(INDEX('SKU明细'!$H$9:$H$1592,MATCH("[13306,""B07-RD-Z-0-39.5""]",'SKU明细'!$AE$9:$AE$1592,0)),INDEX('SKU明细'!$H$9:$H$1592,MATCH("[13306,""B07-RD-Z-0-39""]",'SKU明细'!$AE$9:$AE$1592,0)),INDEX('SKU明细'!$H$9:$H$1592,MATCH("[13306,""B07-RD-Z-0-38""]",'SKU明细'!$AE$9:$AE$1592,0)))=0,"待核",SUM(INDEX('SKU明细'!$H$9:$H$1592,MATCH("[13306,""B07-RD-Z-0-39.5""]",'SKU明细'!$AE$9:$AE$1592,0)),INDEX('SKU明细'!$H$9:$H$1592,MATCH("[13306,""B07-RD-Z-0-39""]",'SKU明细'!$AE$9:$AE$1592,0)),INDEX('SKU明细'!$H$9:$H$1592,MATCH("[13306,""B07-RD-Z-0-38""]",'SKU明细'!$AE$9:$AE$1592,0))))</x:f>
        <x:v>50</x:v>
      </x:c>
      <x:c r="X36" s="24" t="str">
        <x:f>IF(COUNTIFS('SKU明细'!$AH$9:$AH$1592,"[""B07"",""B07-RD-Z-0"",""RD-Z"",""红色镜面PU""]",'SKU明细'!$E$9:$E$1592,"促销")&gt;0,"促销 ","")&amp;IF(COUNTIFS('SKU明细'!$AH$9:$AH$1592,"[""B07"",""B07-RD-Z-0"",""RD-Z"",""红色镜面PU""]",'SKU明细'!$E$9:$E$1592,"红线促销")&gt;0,"红线促销 ","")&amp;IF(COUNTIFS('SKU明细'!$AH$9:$AH$1592,"[""B07"",""B07-RD-Z-0"",""RD-Z"",""红色镜面PU""]",'SKU明细'!$E$9:$E$1592,"考虑清仓")&gt;0,"考虑清仓 ","")&amp;IF(COUNTIFS('SKU明细'!$AH$9:$AH$1592,"[""B07"",""B07-RD-Z-0"",""RD-Z"",""红色镜面PU""]",'SKU明细'!$E$9:$E$1592,"断货")&gt;0,"断货 ","")&amp;IF(COUNTIFS('SKU明细'!$AH$9:$AH$1592,"[""B07"",""B07-RD-Z-0"",""RD-Z"",""红色镜面PU""]",'SKU明细'!$E$9:$E$1592,"零日销待复核")&gt;0,"零日销待复核 ","")&amp;IF(COUNTIFS('SKU明细'!$AH$9:$AH$1592,"[""B07"",""B07-RD-Z-0"",""RD-Z"",""红色镜面PU""]",'SKU明细'!$E$9:$E$1592,"数据待核")&gt;0,"数据待核 ","")&amp;IF(COUNTIFS('SKU明细'!$AH$9:$AH$1592,"[""B07"",""B07-RD-Z-0"",""RD-Z"",""红色镜面PU""]",'SKU明细'!$E$9:$E$1592,"正常库存")&gt;0,"正常库存 ","")&amp;IF(COUNTIFS('SKU明细'!$AH$9:$AH$1592,"[""B07"",""B07-RD-Z-0"",""RD-Z"",""红色镜面PU""]",'SKU明细'!$E$9:$E$1592,"补货提醒")&gt;0,"补货提醒 ","")</x:f>
        <x:v>促销 考虑清仓 零日销待复核 </x:v>
      </x:c>
      <x:c r="Y36" s="24" t="str">
        <x:f>IF(NOT(ISNUMBER(U36)),"覆盖待核／无可比基准","完整可比")</x:f>
        <x:v>完整可比</x:v>
      </x:c>
      <x:c r="Z36" s="24" t="str">
        <x:v>在售</x:v>
      </x:c>
      <x:c r="AA36" s="24" t="n">
        <x:f>IF(SUMIFS('SKU明细'!$AF$9:$AF$1592,'SKU明细'!$D$9:$D$1592,A36,'SKU明细'!$Z$9:$Z$1592,"&lt;&gt;移出")=0,"待核",SUMIFS('SKU明细'!$H$9:$H$1592,'SKU明细'!$D$9:$D$1592,A36,'SKU明细'!$Z$9:$Z$1592,"&lt;&gt;移出"))</x:f>
        <x:v>2671</x:v>
      </x:c>
    </x:row>
    <x:row r="37" ht="54" customHeight="1">
      <x:c r="A37" s="20" t="str">
        <x:v>B07</x:v>
      </x:c>
      <x:c r="B37" s="20" t="str">
        <x:v>艾年</x:v>
      </x:c>
      <x:c r="C37" s="20" t="str">
        <x:v>玫瑰金PU</x:v>
      </x:c>
      <x:c r="D37" s="20" t="str">
        <x:v>RG</x:v>
      </x:c>
      <x:c r="E37" s="20" t="str">
        <x:v>B07-RG</x:v>
      </x:c>
      <x:c r="F37" s="20"/>
      <x:c r="G37" s="21" t="str">
        <x:f>"—"</x:f>
        <x:v>—</x:v>
      </x:c>
      <x:c r="H37" s="21" t="n">
        <x:f>IF(AND(COUNT(INDEX('SKU明细'!$H$9:$H$1592,MATCH("[13306,""B07-RG-37-by""]",'SKU明细'!$AE$9:$AE$1592,0)))=1,COUNT(INDEX('SKU明细'!$G$9:$G$1592,MATCH("[13306,""B07-RG-37-by""]",'SKU明细'!$AE$9:$AE$1592,0)))=1,SUM(INDEX('SKU明细'!$G$9:$G$1592,MATCH("[13306,""B07-RG-37-by""]",'SKU明细'!$AE$9:$AE$1592,0)))&gt;0),SUM(INDEX('SKU明细'!$H$9:$H$1592,MATCH("[13306,""B07-RG-37-by""]",'SKU明细'!$AE$9:$AE$1592,0)))/SUM(INDEX('SKU明细'!$G$9:$G$1592,MATCH("[13306,""B07-RG-37-by""]",'SKU明细'!$AE$9:$AE$1592,0))),"待核")</x:f>
        <x:v>640.677966101695</x:v>
      </x:c>
      <x:c r="I37" s="21" t="n">
        <x:f>IF(AND(COUNT(INDEX('SKU明细'!$H$9:$H$1592,MATCH("[13306,""B07-RG-37.5""]",'SKU明细'!$AE$9:$AE$1592,0)))=1,COUNT(INDEX('SKU明细'!$G$9:$G$1592,MATCH("[13306,""B07-RG-37.5""]",'SKU明细'!$AE$9:$AE$1592,0)))=1,SUM(INDEX('SKU明细'!$G$9:$G$1592,MATCH("[13306,""B07-RG-37.5""]",'SKU明细'!$AE$9:$AE$1592,0)))&gt;0),SUM(INDEX('SKU明细'!$H$9:$H$1592,MATCH("[13306,""B07-RG-37.5""]",'SKU明细'!$AE$9:$AE$1592,0)))/SUM(INDEX('SKU明细'!$G$9:$G$1592,MATCH("[13306,""B07-RG-37.5""]",'SKU明细'!$AE$9:$AE$1592,0))),"待核")</x:f>
        <x:v>1050</x:v>
      </x:c>
      <x:c r="J37" s="21" t="n">
        <x:f>IF(AND(COUNT(INDEX('SKU明细'!$H$9:$H$1592,MATCH("[13306,""B07-RG-38-by""]",'SKU明细'!$AE$9:$AE$1592,0)))=1,COUNT(INDEX('SKU明细'!$G$9:$G$1592,MATCH("[13306,""B07-RG-38-by""]",'SKU明细'!$AE$9:$AE$1592,0)))=1,SUM(INDEX('SKU明细'!$G$9:$G$1592,MATCH("[13306,""B07-RG-38-by""]",'SKU明细'!$AE$9:$AE$1592,0)))&gt;0),SUM(INDEX('SKU明细'!$H$9:$H$1592,MATCH("[13306,""B07-RG-38-by""]",'SKU明细'!$AE$9:$AE$1592,0)))/SUM(INDEX('SKU明细'!$G$9:$G$1592,MATCH("[13306,""B07-RG-38-by""]",'SKU明细'!$AE$9:$AE$1592,0))),"待核")</x:f>
        <x:v>825</x:v>
      </x:c>
      <x:c r="K37" s="21" t="str">
        <x:f>"—"</x:f>
        <x:v>—</x:v>
      </x:c>
      <x:c r="L37" s="21" t="str">
        <x:f>"—"</x:f>
        <x:v>—</x:v>
      </x:c>
      <x:c r="M37" s="21" t="str">
        <x:f>IF(AND(COUNT(INDEX('SKU明细'!$H$9:$H$1592,MATCH("[13306,""B07-RG-39.5""]",'SKU明细'!$AE$9:$AE$1592,0)))=1,COUNT(INDEX('SKU明细'!$G$9:$G$1592,MATCH("[13306,""B07-RG-39.5""]",'SKU明细'!$AE$9:$AE$1592,0)))=1,SUM(INDEX('SKU明细'!$G$9:$G$1592,MATCH("[13306,""B07-RG-39.5""]",'SKU明细'!$AE$9:$AE$1592,0)))&gt;0),SUM(INDEX('SKU明细'!$H$9:$H$1592,MATCH("[13306,""B07-RG-39.5""]",'SKU明细'!$AE$9:$AE$1592,0)))/SUM(INDEX('SKU明细'!$G$9:$G$1592,MATCH("[13306,""B07-RG-39.5""]",'SKU明细'!$AE$9:$AE$1592,0))),"待核")</x:f>
        <x:v>待核</x:v>
      </x:c>
      <x:c r="N37" s="21" t="n">
        <x:f>IF(AND(COUNT(INDEX('SKU明细'!$H$9:$H$1592,MATCH("[13306,""B07-RG-40-by""]",'SKU明细'!$AE$9:$AE$1592,0)))=1,COUNT(INDEX('SKU明细'!$G$9:$G$1592,MATCH("[13306,""B07-RG-40-by""]",'SKU明细'!$AE$9:$AE$1592,0)))=1,SUM(INDEX('SKU明细'!$G$9:$G$1592,MATCH("[13306,""B07-RG-40-by""]",'SKU明细'!$AE$9:$AE$1592,0)))&gt;0),SUM(INDEX('SKU明细'!$H$9:$H$1592,MATCH("[13306,""B07-RG-40-by""]",'SKU明细'!$AE$9:$AE$1592,0)))/SUM(INDEX('SKU明细'!$G$9:$G$1592,MATCH("[13306,""B07-RG-40-by""]",'SKU明细'!$AE$9:$AE$1592,0))),"待核")</x:f>
        <x:v>0</x:v>
      </x:c>
      <x:c r="O37" s="21" t="str">
        <x:f>IF(AND(COUNT(INDEX('SKU明细'!$H$9:$H$1592,MATCH("[13306,""B07-RG-40.5""]",'SKU明细'!$AE$9:$AE$1592,0)))=1,COUNT(INDEX('SKU明细'!$G$9:$G$1592,MATCH("[13306,""B07-RG-40.5""]",'SKU明细'!$AE$9:$AE$1592,0)))=1,SUM(INDEX('SKU明细'!$G$9:$G$1592,MATCH("[13306,""B07-RG-40.5""]",'SKU明细'!$AE$9:$AE$1592,0)))&gt;0),SUM(INDEX('SKU明细'!$H$9:$H$1592,MATCH("[13306,""B07-RG-40.5""]",'SKU明细'!$AE$9:$AE$1592,0)))/SUM(INDEX('SKU明细'!$G$9:$G$1592,MATCH("[13306,""B07-RG-40.5""]",'SKU明细'!$AE$9:$AE$1592,0))),"待核")</x:f>
        <x:v>待核</x:v>
      </x:c>
      <x:c r="P37" s="21" t="str">
        <x:f>IF(AND(COUNT(INDEX('SKU明细'!$H$9:$H$1592,MATCH("[13306,""B07-RG-41-by""]",'SKU明细'!$AE$9:$AE$1592,0)))=1,COUNT(INDEX('SKU明细'!$G$9:$G$1592,MATCH("[13306,""B07-RG-41-by""]",'SKU明细'!$AE$9:$AE$1592,0)))=1,SUM(INDEX('SKU明细'!$G$9:$G$1592,MATCH("[13306,""B07-RG-41-by""]",'SKU明细'!$AE$9:$AE$1592,0)))&gt;0),SUM(INDEX('SKU明细'!$H$9:$H$1592,MATCH("[13306,""B07-RG-41-by""]",'SKU明细'!$AE$9:$AE$1592,0)))/SUM(INDEX('SKU明细'!$G$9:$G$1592,MATCH("[13306,""B07-RG-41-by""]",'SKU明细'!$AE$9:$AE$1592,0))),"待核")</x:f>
        <x:v>待核</x:v>
      </x:c>
      <x:c r="Q37" s="21" t="n">
        <x:f>IF(AND(COUNT(INDEX('SKU明细'!$H$9:$H$1592,MATCH("[13306,""B07-RG-41.5""]",'SKU明细'!$AE$9:$AE$1592,0)))=1,COUNT(INDEX('SKU明细'!$G$9:$G$1592,MATCH("[13306,""B07-RG-41.5""]",'SKU明细'!$AE$9:$AE$1592,0)))=1,SUM(INDEX('SKU明细'!$G$9:$G$1592,MATCH("[13306,""B07-RG-41.5""]",'SKU明细'!$AE$9:$AE$1592,0)))&gt;0),SUM(INDEX('SKU明细'!$H$9:$H$1592,MATCH("[13306,""B07-RG-41.5""]",'SKU明细'!$AE$9:$AE$1592,0)))/SUM(INDEX('SKU明细'!$G$9:$G$1592,MATCH("[13306,""B07-RG-41.5""]",'SKU明细'!$AE$9:$AE$1592,0))),"待核")</x:f>
        <x:v>600</x:v>
      </x:c>
      <x:c r="R37" s="21" t="str">
        <x:f>IF(AND(COUNT(INDEX('SKU明细'!$H$9:$H$1592,MATCH("[13306,""B07-RG-42-by""]",'SKU明细'!$AE$9:$AE$1592,0)))=1,COUNT(INDEX('SKU明细'!$G$9:$G$1592,MATCH("[13306,""B07-RG-42-by""]",'SKU明细'!$AE$9:$AE$1592,0)))=1,SUM(INDEX('SKU明细'!$G$9:$G$1592,MATCH("[13306,""B07-RG-42-by""]",'SKU明细'!$AE$9:$AE$1592,0)))&gt;0),SUM(INDEX('SKU明细'!$H$9:$H$1592,MATCH("[13306,""B07-RG-42-by""]",'SKU明细'!$AE$9:$AE$1592,0)))/SUM(INDEX('SKU明细'!$G$9:$G$1592,MATCH("[13306,""B07-RG-42-by""]",'SKU明细'!$AE$9:$AE$1592,0))),"待核")</x:f>
        <x:v>待核</x:v>
      </x:c>
      <x:c r="S37" s="21" t="n">
        <x:f>IF(AND(COUNT(INDEX('SKU明细'!$H$9:$H$1592,MATCH("[13306,""B07-RG-37-by""]",'SKU明细'!$AE$9:$AE$1592,0)),INDEX('SKU明细'!$H$9:$H$1592,MATCH("[13306,""B07-RG-37.5""]",'SKU明细'!$AE$9:$AE$1592,0)),INDEX('SKU明细'!$H$9:$H$1592,MATCH("[13306,""B07-RG-38-by""]",'SKU明细'!$AE$9:$AE$1592,0)),INDEX('SKU明细'!$H$9:$H$1592,MATCH("[13306,""B07-RG-41.5""]",'SKU明细'!$AE$9:$AE$1592,0)),INDEX('SKU明细'!$H$9:$H$1592,MATCH("[13306,""B07-RG-39.5""]",'SKU明细'!$AE$9:$AE$1592,0)),INDEX('SKU明细'!$H$9:$H$1592,MATCH("[13306,""B07-RG-40-by""]",'SKU明细'!$AE$9:$AE$1592,0)),INDEX('SKU明细'!$H$9:$H$1592,MATCH("[13306,""B07-RG-40.5""]",'SKU明细'!$AE$9:$AE$1592,0)),INDEX('SKU明细'!$H$9:$H$1592,MATCH("[13306,""B07-RG-41-by""]",'SKU明细'!$AE$9:$AE$1592,0)),INDEX('SKU明细'!$H$9:$H$1592,MATCH("[13306,""B07-RG-42-by""]",'SKU明细'!$AE$9:$AE$1592,0)))=9,COUNT(INDEX('SKU明细'!$G$9:$G$1592,MATCH("[13306,""B07-RG-37-by""]",'SKU明细'!$AE$9:$AE$1592,0)),INDEX('SKU明细'!$G$9:$G$1592,MATCH("[13306,""B07-RG-37.5""]",'SKU明细'!$AE$9:$AE$1592,0)),INDEX('SKU明细'!$G$9:$G$1592,MATCH("[13306,""B07-RG-38-by""]",'SKU明细'!$AE$9:$AE$1592,0)),INDEX('SKU明细'!$G$9:$G$1592,MATCH("[13306,""B07-RG-41.5""]",'SKU明细'!$AE$9:$AE$1592,0)),INDEX('SKU明细'!$G$9:$G$1592,MATCH("[13306,""B07-RG-39.5""]",'SKU明细'!$AE$9:$AE$1592,0)),INDEX('SKU明细'!$G$9:$G$1592,MATCH("[13306,""B07-RG-40-by""]",'SKU明细'!$AE$9:$AE$1592,0)),INDEX('SKU明细'!$G$9:$G$1592,MATCH("[13306,""B07-RG-40.5""]",'SKU明细'!$AE$9:$AE$1592,0)),INDEX('SKU明细'!$G$9:$G$1592,MATCH("[13306,""B07-RG-41-by""]",'SKU明细'!$AE$9:$AE$1592,0)),INDEX('SKU明细'!$G$9:$G$1592,MATCH("[13306,""B07-RG-42-by""]",'SKU明细'!$AE$9:$AE$1592,0)))=9,SUM(INDEX('SKU明细'!$G$9:$G$1592,MATCH("[13306,""B07-RG-37-by""]",'SKU明细'!$AE$9:$AE$1592,0)),INDEX('SKU明细'!$G$9:$G$1592,MATCH("[13306,""B07-RG-37.5""]",'SKU明细'!$AE$9:$AE$1592,0)),INDEX('SKU明细'!$G$9:$G$1592,MATCH("[13306,""B07-RG-38-by""]",'SKU明细'!$AE$9:$AE$1592,0)),INDEX('SKU明细'!$G$9:$G$1592,MATCH("[13306,""B07-RG-41.5""]",'SKU明细'!$AE$9:$AE$1592,0)),INDEX('SKU明细'!$G$9:$G$1592,MATCH("[13306,""B07-RG-39.5""]",'SKU明细'!$AE$9:$AE$1592,0)),INDEX('SKU明细'!$G$9:$G$1592,MATCH("[13306,""B07-RG-40-by""]",'SKU明细'!$AE$9:$AE$1592,0)),INDEX('SKU明细'!$G$9:$G$1592,MATCH("[13306,""B07-RG-40.5""]",'SKU明细'!$AE$9:$AE$1592,0)),INDEX('SKU明细'!$G$9:$G$1592,MATCH("[13306,""B07-RG-41-by""]",'SKU明细'!$AE$9:$AE$1592,0)),INDEX('SKU明细'!$G$9:$G$1592,MATCH("[13306,""B07-RG-42-by""]",'SKU明细'!$AE$9:$AE$1592,0)))&gt;0),SUM(INDEX('SKU明细'!$H$9:$H$1592,MATCH("[13306,""B07-RG-37-by""]",'SKU明细'!$AE$9:$AE$1592,0)),INDEX('SKU明细'!$H$9:$H$1592,MATCH("[13306,""B07-RG-37.5""]",'SKU明细'!$AE$9:$AE$1592,0)),INDEX('SKU明细'!$H$9:$H$1592,MATCH("[13306,""B07-RG-38-by""]",'SKU明细'!$AE$9:$AE$1592,0)),INDEX('SKU明细'!$H$9:$H$1592,MATCH("[13306,""B07-RG-41.5""]",'SKU明细'!$AE$9:$AE$1592,0)),INDEX('SKU明细'!$H$9:$H$1592,MATCH("[13306,""B07-RG-39.5""]",'SKU明细'!$AE$9:$AE$1592,0)),INDEX('SKU明细'!$H$9:$H$1592,MATCH("[13306,""B07-RG-40-by""]",'SKU明细'!$AE$9:$AE$1592,0)),INDEX('SKU明细'!$H$9:$H$1592,MATCH("[13306,""B07-RG-40.5""]",'SKU明细'!$AE$9:$AE$1592,0)),INDEX('SKU明细'!$H$9:$H$1592,MATCH("[13306,""B07-RG-41-by""]",'SKU明细'!$AE$9:$AE$1592,0)),INDEX('SKU明细'!$H$9:$H$1592,MATCH("[13306,""B07-RG-42-by""]",'SKU明细'!$AE$9:$AE$1592,0)))/SUM(INDEX('SKU明细'!$G$9:$G$1592,MATCH("[13306,""B07-RG-37-by""]",'SKU明细'!$AE$9:$AE$1592,0)),INDEX('SKU明细'!$G$9:$G$1592,MATCH("[13306,""B07-RG-37.5""]",'SKU明细'!$AE$9:$AE$1592,0)),INDEX('SKU明细'!$G$9:$G$1592,MATCH("[13306,""B07-RG-38-by""]",'SKU明细'!$AE$9:$AE$1592,0)),INDEX('SKU明细'!$G$9:$G$1592,MATCH("[13306,""B07-RG-41.5""]",'SKU明细'!$AE$9:$AE$1592,0)),INDEX('SKU明细'!$G$9:$G$1592,MATCH("[13306,""B07-RG-39.5""]",'SKU明细'!$AE$9:$AE$1592,0)),INDEX('SKU明细'!$G$9:$G$1592,MATCH("[13306,""B07-RG-40-by""]",'SKU明细'!$AE$9:$AE$1592,0)),INDEX('SKU明细'!$G$9:$G$1592,MATCH("[13306,""B07-RG-40.5""]",'SKU明细'!$AE$9:$AE$1592,0)),INDEX('SKU明细'!$G$9:$G$1592,MATCH("[13306,""B07-RG-41-by""]",'SKU明细'!$AE$9:$AE$1592,0)),INDEX('SKU明细'!$G$9:$G$1592,MATCH("[13306,""B07-RG-42-by""]",'SKU明细'!$AE$9:$AE$1592,0))),"待核")</x:f>
        <x:v>1497.6744186046512</x:v>
      </x:c>
      <x:c r="T37" s="21" t="str">
        <x:f>IF(AND(COUNT(INDEX('SKU明细'!$I$9:$I$1592,MATCH("[13306,""B07-RG-37-by""]",'SKU明细'!$AE$9:$AE$1592,0)),INDEX('SKU明细'!$I$9:$I$1592,MATCH("[13306,""B07-RG-37.5""]",'SKU明细'!$AE$9:$AE$1592,0)),INDEX('SKU明细'!$I$9:$I$1592,MATCH("[13306,""B07-RG-38-by""]",'SKU明细'!$AE$9:$AE$1592,0)),INDEX('SKU明细'!$I$9:$I$1592,MATCH("[13306,""B07-RG-41.5""]",'SKU明细'!$AE$9:$AE$1592,0)),INDEX('SKU明细'!$I$9:$I$1592,MATCH("[13306,""B07-RG-39.5""]",'SKU明细'!$AE$9:$AE$1592,0)),INDEX('SKU明细'!$I$9:$I$1592,MATCH("[13306,""B07-RG-40-by""]",'SKU明细'!$AE$9:$AE$1592,0)),INDEX('SKU明细'!$I$9:$I$1592,MATCH("[13306,""B07-RG-40.5""]",'SKU明细'!$AE$9:$AE$1592,0)),INDEX('SKU明细'!$I$9:$I$1592,MATCH("[13306,""B07-RG-41-by""]",'SKU明细'!$AE$9:$AE$1592,0)),INDEX('SKU明细'!$I$9:$I$1592,MATCH("[13306,""B07-RG-42-by""]",'SKU明细'!$AE$9:$AE$1592,0)))=9,COUNT(INDEX('SKU明细'!$AD$9:$AD$1592,MATCH("[13306,""B07-RG-37-by""]",'SKU明细'!$AE$9:$AE$1592,0)),INDEX('SKU明细'!$AD$9:$AD$1592,MATCH("[13306,""B07-RG-37.5""]",'SKU明细'!$AE$9:$AE$1592,0)),INDEX('SKU明细'!$AD$9:$AD$1592,MATCH("[13306,""B07-RG-38-by""]",'SKU明细'!$AE$9:$AE$1592,0)),INDEX('SKU明细'!$AD$9:$AD$1592,MATCH("[13306,""B07-RG-41.5""]",'SKU明细'!$AE$9:$AE$1592,0)),INDEX('SKU明细'!$AD$9:$AD$1592,MATCH("[13306,""B07-RG-39.5""]",'SKU明细'!$AE$9:$AE$1592,0)),INDEX('SKU明细'!$AD$9:$AD$1592,MATCH("[13306,""B07-RG-40-by""]",'SKU明细'!$AE$9:$AE$1592,0)),INDEX('SKU明细'!$AD$9:$AD$1592,MATCH("[13306,""B07-RG-40.5""]",'SKU明细'!$AE$9:$AE$1592,0)),INDEX('SKU明细'!$AD$9:$AD$1592,MATCH("[13306,""B07-RG-41-by""]",'SKU明细'!$AE$9:$AE$1592,0)),INDEX('SKU明细'!$AD$9:$AD$1592,MATCH("[13306,""B07-RG-42-by""]",'SKU明细'!$AE$9:$AE$1592,0)))=9,SUM(INDEX('SKU明细'!$AD$9:$AD$1592,MATCH("[13306,""B07-RG-37-by""]",'SKU明细'!$AE$9:$AE$1592,0)),INDEX('SKU明细'!$AD$9:$AD$1592,MATCH("[13306,""B07-RG-37.5""]",'SKU明细'!$AE$9:$AE$1592,0)),INDEX('SKU明细'!$AD$9:$AD$1592,MATCH("[13306,""B07-RG-38-by""]",'SKU明细'!$AE$9:$AE$1592,0)),INDEX('SKU明细'!$AD$9:$AD$1592,MATCH("[13306,""B07-RG-41.5""]",'SKU明细'!$AE$9:$AE$1592,0)),INDEX('SKU明细'!$AD$9:$AD$1592,MATCH("[13306,""B07-RG-39.5""]",'SKU明细'!$AE$9:$AE$1592,0)),INDEX('SKU明细'!$AD$9:$AD$1592,MATCH("[13306,""B07-RG-40-by""]",'SKU明细'!$AE$9:$AE$1592,0)),INDEX('SKU明细'!$AD$9:$AD$1592,MATCH("[13306,""B07-RG-40.5""]",'SKU明细'!$AE$9:$AE$1592,0)),INDEX('SKU明细'!$AD$9:$AD$1592,MATCH("[13306,""B07-RG-41-by""]",'SKU明细'!$AE$9:$AE$1592,0)),INDEX('SKU明细'!$AD$9:$AD$1592,MATCH("[13306,""B07-RG-42-by""]",'SKU明细'!$AE$9:$AE$1592,0)))&gt;0),SUM(INDEX('SKU明细'!$I$9:$I$1592,MATCH("[13306,""B07-RG-37-by""]",'SKU明细'!$AE$9:$AE$1592,0)),INDEX('SKU明细'!$I$9:$I$1592,MATCH("[13306,""B07-RG-37.5""]",'SKU明细'!$AE$9:$AE$1592,0)),INDEX('SKU明细'!$I$9:$I$1592,MATCH("[13306,""B07-RG-38-by""]",'SKU明细'!$AE$9:$AE$1592,0)),INDEX('SKU明细'!$I$9:$I$1592,MATCH("[13306,""B07-RG-41.5""]",'SKU明细'!$AE$9:$AE$1592,0)),INDEX('SKU明细'!$I$9:$I$1592,MATCH("[13306,""B07-RG-39.5""]",'SKU明细'!$AE$9:$AE$1592,0)),INDEX('SKU明细'!$I$9:$I$1592,MATCH("[13306,""B07-RG-40-by""]",'SKU明细'!$AE$9:$AE$1592,0)),INDEX('SKU明细'!$I$9:$I$1592,MATCH("[13306,""B07-RG-40.5""]",'SKU明细'!$AE$9:$AE$1592,0)),INDEX('SKU明细'!$I$9:$I$1592,MATCH("[13306,""B07-RG-41-by""]",'SKU明细'!$AE$9:$AE$1592,0)),INDEX('SKU明细'!$I$9:$I$1592,MATCH("[13306,""B07-RG-42-by""]",'SKU明细'!$AE$9:$AE$1592,0)))/SUM(INDEX('SKU明细'!$AD$9:$AD$1592,MATCH("[13306,""B07-RG-37-by""]",'SKU明细'!$AE$9:$AE$1592,0)),INDEX('SKU明细'!$AD$9:$AD$1592,MATCH("[13306,""B07-RG-37.5""]",'SKU明细'!$AE$9:$AE$1592,0)),INDEX('SKU明细'!$AD$9:$AD$1592,MATCH("[13306,""B07-RG-38-by""]",'SKU明细'!$AE$9:$AE$1592,0)),INDEX('SKU明细'!$AD$9:$AD$1592,MATCH("[13306,""B07-RG-41.5""]",'SKU明细'!$AE$9:$AE$1592,0)),INDEX('SKU明细'!$AD$9:$AD$1592,MATCH("[13306,""B07-RG-39.5""]",'SKU明细'!$AE$9:$AE$1592,0)),INDEX('SKU明细'!$AD$9:$AD$1592,MATCH("[13306,""B07-RG-40-by""]",'SKU明细'!$AE$9:$AE$1592,0)),INDEX('SKU明细'!$AD$9:$AD$1592,MATCH("[13306,""B07-RG-40.5""]",'SKU明细'!$AE$9:$AE$1592,0)),INDEX('SKU明细'!$AD$9:$AD$1592,MATCH("[13306,""B07-RG-41-by""]",'SKU明细'!$AE$9:$AE$1592,0)),INDEX('SKU明细'!$AD$9:$AD$1592,MATCH("[13306,""B07-RG-42-by""]",'SKU明细'!$AE$9:$AE$1592,0))),"待核")</x:f>
        <x:v>待核</x:v>
      </x:c>
      <x:c r="U37" s="21" t="str">
        <x:f>IF(COUNT(S37:T37)=2,S37-T37,"待核")</x:f>
        <x:v>待核</x:v>
      </x:c>
      <x:c r="V37" s="22" t="str">
        <x:f>IF(AND(ISNUMBER(U37),ISNUMBER(T37),T37&lt;&gt;0),U37/T37,"")</x:f>
      </x:c>
      <x:c r="W37" s="23" t="n">
        <x:f>IF(COUNT(INDEX('SKU明细'!$H$9:$H$1592,MATCH("[13306,""B07-RG-37-by""]",'SKU明细'!$AE$9:$AE$1592,0)),INDEX('SKU明细'!$H$9:$H$1592,MATCH("[13306,""B07-RG-37.5""]",'SKU明细'!$AE$9:$AE$1592,0)),INDEX('SKU明细'!$H$9:$H$1592,MATCH("[13306,""B07-RG-38-by""]",'SKU明细'!$AE$9:$AE$1592,0)),INDEX('SKU明细'!$H$9:$H$1592,MATCH("[13306,""B07-RG-41.5""]",'SKU明细'!$AE$9:$AE$1592,0)),INDEX('SKU明细'!$H$9:$H$1592,MATCH("[13306,""B07-RG-39.5""]",'SKU明细'!$AE$9:$AE$1592,0)),INDEX('SKU明细'!$H$9:$H$1592,MATCH("[13306,""B07-RG-40-by""]",'SKU明细'!$AE$9:$AE$1592,0)),INDEX('SKU明细'!$H$9:$H$1592,MATCH("[13306,""B07-RG-40.5""]",'SKU明细'!$AE$9:$AE$1592,0)),INDEX('SKU明细'!$H$9:$H$1592,MATCH("[13306,""B07-RG-41-by""]",'SKU明细'!$AE$9:$AE$1592,0)),INDEX('SKU明细'!$H$9:$H$1592,MATCH("[13306,""B07-RG-42-by""]",'SKU明细'!$AE$9:$AE$1592,0)))=0,"待核",SUM(INDEX('SKU明细'!$H$9:$H$1592,MATCH("[13306,""B07-RG-37-by""]",'SKU明细'!$AE$9:$AE$1592,0)),INDEX('SKU明细'!$H$9:$H$1592,MATCH("[13306,""B07-RG-37.5""]",'SKU明细'!$AE$9:$AE$1592,0)),INDEX('SKU明细'!$H$9:$H$1592,MATCH("[13306,""B07-RG-38-by""]",'SKU明细'!$AE$9:$AE$1592,0)),INDEX('SKU明细'!$H$9:$H$1592,MATCH("[13306,""B07-RG-41.5""]",'SKU明细'!$AE$9:$AE$1592,0)),INDEX('SKU明细'!$H$9:$H$1592,MATCH("[13306,""B07-RG-39.5""]",'SKU明细'!$AE$9:$AE$1592,0)),INDEX('SKU明细'!$H$9:$H$1592,MATCH("[13306,""B07-RG-40-by""]",'SKU明细'!$AE$9:$AE$1592,0)),INDEX('SKU明细'!$H$9:$H$1592,MATCH("[13306,""B07-RG-40.5""]",'SKU明细'!$AE$9:$AE$1592,0)),INDEX('SKU明细'!$H$9:$H$1592,MATCH("[13306,""B07-RG-41-by""]",'SKU明细'!$AE$9:$AE$1592,0)),INDEX('SKU明细'!$H$9:$H$1592,MATCH("[13306,""B07-RG-42-by""]",'SKU明细'!$AE$9:$AE$1592,0))))</x:f>
        <x:v>92</x:v>
      </x:c>
      <x:c r="X37" s="24" t="str">
        <x:f>IF(COUNTIFS('SKU明细'!$AH$9:$AH$1592,"[""B07"",""B07-RG"",""RG"",""玫瑰金PU""]",'SKU明细'!$E$9:$E$1592,"促销")&gt;0,"促销 ","")&amp;IF(COUNTIFS('SKU明细'!$AH$9:$AH$1592,"[""B07"",""B07-RG"",""RG"",""玫瑰金PU""]",'SKU明细'!$E$9:$E$1592,"红线促销")&gt;0,"红线促销 ","")&amp;IF(COUNTIFS('SKU明细'!$AH$9:$AH$1592,"[""B07"",""B07-RG"",""RG"",""玫瑰金PU""]",'SKU明细'!$E$9:$E$1592,"考虑清仓")&gt;0,"考虑清仓 ","")&amp;IF(COUNTIFS('SKU明细'!$AH$9:$AH$1592,"[""B07"",""B07-RG"",""RG"",""玫瑰金PU""]",'SKU明细'!$E$9:$E$1592,"断货")&gt;0,"断货 ","")&amp;IF(COUNTIFS('SKU明细'!$AH$9:$AH$1592,"[""B07"",""B07-RG"",""RG"",""玫瑰金PU""]",'SKU明细'!$E$9:$E$1592,"零日销待复核")&gt;0,"零日销待复核 ","")&amp;IF(COUNTIFS('SKU明细'!$AH$9:$AH$1592,"[""B07"",""B07-RG"",""RG"",""玫瑰金PU""]",'SKU明细'!$E$9:$E$1592,"数据待核")&gt;0,"数据待核 ","")&amp;IF(COUNTIFS('SKU明细'!$AH$9:$AH$1592,"[""B07"",""B07-RG"",""RG"",""玫瑰金PU""]",'SKU明细'!$E$9:$E$1592,"正常库存")&gt;0,"正常库存 ","")&amp;IF(COUNTIFS('SKU明细'!$AH$9:$AH$1592,"[""B07"",""B07-RG"",""RG"",""玫瑰金PU""]",'SKU明细'!$E$9:$E$1592,"补货提醒")&gt;0,"补货提醒 ","")</x:f>
        <x:v>考虑清仓 断货 零日销待复核 </x:v>
      </x:c>
      <x:c r="Y37" s="24" t="str">
        <x:f>IF(NOT(ISNUMBER(U37)),"覆盖待核／无可比基准","完整可比")</x:f>
        <x:v>覆盖待核／无可比基准</x:v>
      </x:c>
      <x:c r="Z37" s="24" t="str">
        <x:v>在售、停售</x:v>
      </x:c>
      <x:c r="AA37" s="24" t="n">
        <x:f>IF(SUMIFS('SKU明细'!$AF$9:$AF$1592,'SKU明细'!$D$9:$D$1592,A37,'SKU明细'!$Z$9:$Z$1592,"&lt;&gt;移出")=0,"待核",SUMIFS('SKU明细'!$H$9:$H$1592,'SKU明细'!$D$9:$D$1592,A37,'SKU明细'!$Z$9:$Z$1592,"&lt;&gt;移出"))</x:f>
        <x:v>2671</x:v>
      </x:c>
    </x:row>
    <x:row r="38" ht="54" customHeight="1">
      <x:c r="A38" s="20" t="str">
        <x:v>B07</x:v>
      </x:c>
      <x:c r="B38" s="20" t="str">
        <x:v>艾年</x:v>
      </x:c>
      <x:c r="C38" s="20" t="str">
        <x:v>黑白蛇纹PU</x:v>
      </x:c>
      <x:c r="D38" s="20" t="str">
        <x:v>SK</x:v>
      </x:c>
      <x:c r="E38" s="20" t="str">
        <x:v>B07-SK</x:v>
      </x:c>
      <x:c r="F38" s="20"/>
      <x:c r="G38" s="21" t="str">
        <x:f>"—"</x:f>
        <x:v>—</x:v>
      </x:c>
      <x:c r="H38" s="21" t="n">
        <x:f>IF(AND(COUNT(INDEX('SKU明细'!$H$9:$H$1592,MATCH("[13306,""B07-SK-37-by""]",'SKU明细'!$AE$9:$AE$1592,0)))=1,COUNT(INDEX('SKU明细'!$G$9:$G$1592,MATCH("[13306,""B07-SK-37-by""]",'SKU明细'!$AE$9:$AE$1592,0)))=1,SUM(INDEX('SKU明细'!$G$9:$G$1592,MATCH("[13306,""B07-SK-37-by""]",'SKU明细'!$AE$9:$AE$1592,0)))&gt;0),SUM(INDEX('SKU明细'!$H$9:$H$1592,MATCH("[13306,""B07-SK-37-by""]",'SKU明细'!$AE$9:$AE$1592,0)))/SUM(INDEX('SKU明细'!$G$9:$G$1592,MATCH("[13306,""B07-SK-37-by""]",'SKU明细'!$AE$9:$AE$1592,0))),"待核")</x:f>
        <x:v>750</x:v>
      </x:c>
      <x:c r="I38" s="21" t="str">
        <x:f>"—"</x:f>
        <x:v>—</x:v>
      </x:c>
      <x:c r="J38" s="21" t="str">
        <x:f>IF(AND(COUNT(INDEX('SKU明细'!$H$9:$H$1592,MATCH("[13306,""B07-SK-38-by""]",'SKU明细'!$AE$9:$AE$1592,0)))=1,COUNT(INDEX('SKU明细'!$G$9:$G$1592,MATCH("[13306,""B07-SK-38-by""]",'SKU明细'!$AE$9:$AE$1592,0)))=1,SUM(INDEX('SKU明细'!$G$9:$G$1592,MATCH("[13306,""B07-SK-38-by""]",'SKU明细'!$AE$9:$AE$1592,0)))&gt;0),SUM(INDEX('SKU明细'!$H$9:$H$1592,MATCH("[13306,""B07-SK-38-by""]",'SKU明细'!$AE$9:$AE$1592,0)))/SUM(INDEX('SKU明细'!$G$9:$G$1592,MATCH("[13306,""B07-SK-38-by""]",'SKU明细'!$AE$9:$AE$1592,0))),"待核")</x:f>
        <x:v>待核</x:v>
      </x:c>
      <x:c r="K38" s="21" t="str">
        <x:f>"—"</x:f>
        <x:v>—</x:v>
      </x:c>
      <x:c r="L38" s="21" t="str">
        <x:f>"—"</x:f>
        <x:v>—</x:v>
      </x:c>
      <x:c r="M38" s="21" t="str">
        <x:f>"—"</x:f>
        <x:v>—</x:v>
      </x:c>
      <x:c r="N38" s="21" t="str">
        <x:f>"—"</x:f>
        <x:v>—</x:v>
      </x:c>
      <x:c r="O38" s="21" t="str">
        <x:f>"—"</x:f>
        <x:v>—</x:v>
      </x:c>
      <x:c r="P38" s="21" t="str">
        <x:f>IF(AND(COUNT(INDEX('SKU明细'!$H$9:$H$1592,MATCH("[13306,""B07-SK-41-New""]",'SKU明细'!$AE$9:$AE$1592,0)))=1,COUNT(INDEX('SKU明细'!$G$9:$G$1592,MATCH("[13306,""B07-SK-41-New""]",'SKU明细'!$AE$9:$AE$1592,0)))=1,SUM(INDEX('SKU明细'!$G$9:$G$1592,MATCH("[13306,""B07-SK-41-New""]",'SKU明细'!$AE$9:$AE$1592,0)))&gt;0),SUM(INDEX('SKU明细'!$H$9:$H$1592,MATCH("[13306,""B07-SK-41-New""]",'SKU明细'!$AE$9:$AE$1592,0)))/SUM(INDEX('SKU明细'!$G$9:$G$1592,MATCH("[13306,""B07-SK-41-New""]",'SKU明细'!$AE$9:$AE$1592,0))),"待核")</x:f>
        <x:v>待核</x:v>
      </x:c>
      <x:c r="Q38" s="21" t="str">
        <x:f>"—"</x:f>
        <x:v>—</x:v>
      </x:c>
      <x:c r="R38" s="21" t="str">
        <x:f>"—"</x:f>
        <x:v>—</x:v>
      </x:c>
      <x:c r="S38" s="21" t="n">
        <x:f>IF(AND(COUNT(INDEX('SKU明细'!$H$9:$H$1592,MATCH("[13306,""B07-SK-37-by""]",'SKU明细'!$AE$9:$AE$1592,0)),INDEX('SKU明细'!$H$9:$H$1592,MATCH("[13306,""B07-SK-38-by""]",'SKU明细'!$AE$9:$AE$1592,0)),INDEX('SKU明细'!$H$9:$H$1592,MATCH("[13306,""B07-SK-41-New""]",'SKU明细'!$AE$9:$AE$1592,0)))=3,COUNT(INDEX('SKU明细'!$G$9:$G$1592,MATCH("[13306,""B07-SK-37-by""]",'SKU明细'!$AE$9:$AE$1592,0)),INDEX('SKU明细'!$G$9:$G$1592,MATCH("[13306,""B07-SK-38-by""]",'SKU明细'!$AE$9:$AE$1592,0)),INDEX('SKU明细'!$G$9:$G$1592,MATCH("[13306,""B07-SK-41-New""]",'SKU明细'!$AE$9:$AE$1592,0)))=3,SUM(INDEX('SKU明细'!$G$9:$G$1592,MATCH("[13306,""B07-SK-37-by""]",'SKU明细'!$AE$9:$AE$1592,0)),INDEX('SKU明细'!$G$9:$G$1592,MATCH("[13306,""B07-SK-38-by""]",'SKU明细'!$AE$9:$AE$1592,0)),INDEX('SKU明细'!$G$9:$G$1592,MATCH("[13306,""B07-SK-41-New""]",'SKU明细'!$AE$9:$AE$1592,0)))&gt;0),SUM(INDEX('SKU明细'!$H$9:$H$1592,MATCH("[13306,""B07-SK-37-by""]",'SKU明细'!$AE$9:$AE$1592,0)),INDEX('SKU明细'!$H$9:$H$1592,MATCH("[13306,""B07-SK-38-by""]",'SKU明细'!$AE$9:$AE$1592,0)),INDEX('SKU明细'!$H$9:$H$1592,MATCH("[13306,""B07-SK-41-New""]",'SKU明细'!$AE$9:$AE$1592,0)))/SUM(INDEX('SKU明细'!$G$9:$G$1592,MATCH("[13306,""B07-SK-37-by""]",'SKU明细'!$AE$9:$AE$1592,0)),INDEX('SKU明细'!$G$9:$G$1592,MATCH("[13306,""B07-SK-38-by""]",'SKU明细'!$AE$9:$AE$1592,0)),INDEX('SKU明细'!$G$9:$G$1592,MATCH("[13306,""B07-SK-41-New""]",'SKU明细'!$AE$9:$AE$1592,0))),"待核")</x:f>
        <x:v>750</x:v>
      </x:c>
      <x:c r="T38" s="21" t="str">
        <x:f>IF(AND(COUNT(INDEX('SKU明细'!$I$9:$I$1592,MATCH("[13306,""B07-SK-37-by""]",'SKU明细'!$AE$9:$AE$1592,0)),INDEX('SKU明细'!$I$9:$I$1592,MATCH("[13306,""B07-SK-38-by""]",'SKU明细'!$AE$9:$AE$1592,0)),INDEX('SKU明细'!$I$9:$I$1592,MATCH("[13306,""B07-SK-41-New""]",'SKU明细'!$AE$9:$AE$1592,0)))=3,COUNT(INDEX('SKU明细'!$AD$9:$AD$1592,MATCH("[13306,""B07-SK-37-by""]",'SKU明细'!$AE$9:$AE$1592,0)),INDEX('SKU明细'!$AD$9:$AD$1592,MATCH("[13306,""B07-SK-38-by""]",'SKU明细'!$AE$9:$AE$1592,0)),INDEX('SKU明细'!$AD$9:$AD$1592,MATCH("[13306,""B07-SK-41-New""]",'SKU明细'!$AE$9:$AE$1592,0)))=3,SUM(INDEX('SKU明细'!$AD$9:$AD$1592,MATCH("[13306,""B07-SK-37-by""]",'SKU明细'!$AE$9:$AE$1592,0)),INDEX('SKU明细'!$AD$9:$AD$1592,MATCH("[13306,""B07-SK-38-by""]",'SKU明细'!$AE$9:$AE$1592,0)),INDEX('SKU明细'!$AD$9:$AD$1592,MATCH("[13306,""B07-SK-41-New""]",'SKU明细'!$AE$9:$AE$1592,0)))&gt;0),SUM(INDEX('SKU明细'!$I$9:$I$1592,MATCH("[13306,""B07-SK-37-by""]",'SKU明细'!$AE$9:$AE$1592,0)),INDEX('SKU明细'!$I$9:$I$1592,MATCH("[13306,""B07-SK-38-by""]",'SKU明细'!$AE$9:$AE$1592,0)),INDEX('SKU明细'!$I$9:$I$1592,MATCH("[13306,""B07-SK-41-New""]",'SKU明细'!$AE$9:$AE$1592,0)))/SUM(INDEX('SKU明细'!$AD$9:$AD$1592,MATCH("[13306,""B07-SK-37-by""]",'SKU明细'!$AE$9:$AE$1592,0)),INDEX('SKU明细'!$AD$9:$AD$1592,MATCH("[13306,""B07-SK-38-by""]",'SKU明细'!$AE$9:$AE$1592,0)),INDEX('SKU明细'!$AD$9:$AD$1592,MATCH("[13306,""B07-SK-41-New""]",'SKU明细'!$AE$9:$AE$1592,0))),"待核")</x:f>
        <x:v>待核</x:v>
      </x:c>
      <x:c r="U38" s="21" t="str">
        <x:f>IF(COUNT(S38:T38)=2,S38-T38,"待核")</x:f>
        <x:v>待核</x:v>
      </x:c>
      <x:c r="V38" s="22" t="str">
        <x:f>IF(AND(ISNUMBER(U38),ISNUMBER(T38),T38&lt;&gt;0),U38/T38,"")</x:f>
      </x:c>
      <x:c r="W38" s="23" t="n">
        <x:f>IF(COUNT(INDEX('SKU明细'!$H$9:$H$1592,MATCH("[13306,""B07-SK-37-by""]",'SKU明细'!$AE$9:$AE$1592,0)),INDEX('SKU明细'!$H$9:$H$1592,MATCH("[13306,""B07-SK-38-by""]",'SKU明细'!$AE$9:$AE$1592,0)),INDEX('SKU明细'!$H$9:$H$1592,MATCH("[13306,""B07-SK-41-New""]",'SKU明细'!$AE$9:$AE$1592,0)))=0,"待核",SUM(INDEX('SKU明细'!$H$9:$H$1592,MATCH("[13306,""B07-SK-37-by""]",'SKU明细'!$AE$9:$AE$1592,0)),INDEX('SKU明细'!$H$9:$H$1592,MATCH("[13306,""B07-SK-38-by""]",'SKU明细'!$AE$9:$AE$1592,0)),INDEX('SKU明细'!$H$9:$H$1592,MATCH("[13306,""B07-SK-41-New""]",'SKU明细'!$AE$9:$AE$1592,0))))</x:f>
        <x:v>5</x:v>
      </x:c>
      <x:c r="X38" s="24" t="str">
        <x:f>IF(COUNTIFS('SKU明细'!$AH$9:$AH$1592,"[""B07"",""B07-SK"",""SK"",""黑白蛇纹PU""]",'SKU明细'!$E$9:$E$1592,"促销")&gt;0,"促销 ","")&amp;IF(COUNTIFS('SKU明细'!$AH$9:$AH$1592,"[""B07"",""B07-SK"",""SK"",""黑白蛇纹PU""]",'SKU明细'!$E$9:$E$1592,"红线促销")&gt;0,"红线促销 ","")&amp;IF(COUNTIFS('SKU明细'!$AH$9:$AH$1592,"[""B07"",""B07-SK"",""SK"",""黑白蛇纹PU""]",'SKU明细'!$E$9:$E$1592,"考虑清仓")&gt;0,"考虑清仓 ","")&amp;IF(COUNTIFS('SKU明细'!$AH$9:$AH$1592,"[""B07"",""B07-SK"",""SK"",""黑白蛇纹PU""]",'SKU明细'!$E$9:$E$1592,"断货")&gt;0,"断货 ","")&amp;IF(COUNTIFS('SKU明细'!$AH$9:$AH$1592,"[""B07"",""B07-SK"",""SK"",""黑白蛇纹PU""]",'SKU明细'!$E$9:$E$1592,"零日销待复核")&gt;0,"零日销待复核 ","")&amp;IF(COUNTIFS('SKU明细'!$AH$9:$AH$1592,"[""B07"",""B07-SK"",""SK"",""黑白蛇纹PU""]",'SKU明细'!$E$9:$E$1592,"数据待核")&gt;0,"数据待核 ","")&amp;IF(COUNTIFS('SKU明细'!$AH$9:$AH$1592,"[""B07"",""B07-SK"",""SK"",""黑白蛇纹PU""]",'SKU明细'!$E$9:$E$1592,"正常库存")&gt;0,"正常库存 ","")&amp;IF(COUNTIFS('SKU明细'!$AH$9:$AH$1592,"[""B07"",""B07-SK"",""SK"",""黑白蛇纹PU""]",'SKU明细'!$E$9:$E$1592,"补货提醒")&gt;0,"补货提醒 ","")</x:f>
        <x:v>考虑清仓 断货 </x:v>
      </x:c>
      <x:c r="Y38" s="24" t="str">
        <x:f>IF(NOT(ISNUMBER(U38)),"覆盖待核／无可比基准","完整可比")</x:f>
        <x:v>覆盖待核／无可比基准</x:v>
      </x:c>
      <x:c r="Z38" s="24" t="str">
        <x:v>在售</x:v>
      </x:c>
      <x:c r="AA38" s="24" t="n">
        <x:f>IF(SUMIFS('SKU明细'!$AF$9:$AF$1592,'SKU明细'!$D$9:$D$1592,A38,'SKU明细'!$Z$9:$Z$1592,"&lt;&gt;移出")=0,"待核",SUMIFS('SKU明细'!$H$9:$H$1592,'SKU明细'!$D$9:$D$1592,A38,'SKU明细'!$Z$9:$Z$1592,"&lt;&gt;移出"))</x:f>
        <x:v>2671</x:v>
      </x:c>
    </x:row>
    <x:row r="39" ht="54" customHeight="1">
      <x:c r="A39" s="20" t="str">
        <x:v>B07</x:v>
      </x:c>
      <x:c r="B39" s="20" t="str">
        <x:v>艾年</x:v>
      </x:c>
      <x:c r="C39" s="20" t="str">
        <x:v>驼色羊京绒</x:v>
      </x:c>
      <x:c r="D39" s="20" t="str">
        <x:v>TN</x:v>
      </x:c>
      <x:c r="E39" s="20" t="str">
        <x:v>B07-TN</x:v>
      </x:c>
      <x:c r="F39" s="20"/>
      <x:c r="G39" s="21" t="str">
        <x:f>"—"</x:f>
        <x:v>—</x:v>
      </x:c>
      <x:c r="H39" s="21" t="str">
        <x:f>"—"</x:f>
        <x:v>—</x:v>
      </x:c>
      <x:c r="I39" s="21" t="n">
        <x:f>IF(AND(COUNT(INDEX('SKU明细'!$H$9:$H$1592,MATCH("[13306,""B07-TN-37.5""]",'SKU明细'!$AE$9:$AE$1592,0)))=1,COUNT(INDEX('SKU明细'!$G$9:$G$1592,MATCH("[13306,""B07-TN-37.5""]",'SKU明细'!$AE$9:$AE$1592,0)))=1,SUM(INDEX('SKU明细'!$G$9:$G$1592,MATCH("[13306,""B07-TN-37.5""]",'SKU明细'!$AE$9:$AE$1592,0)))&gt;0),SUM(INDEX('SKU明细'!$H$9:$H$1592,MATCH("[13306,""B07-TN-37.5""]",'SKU明细'!$AE$9:$AE$1592,0)))/SUM(INDEX('SKU明细'!$G$9:$G$1592,MATCH("[13306,""B07-TN-37.5""]",'SKU明细'!$AE$9:$AE$1592,0))),"待核")</x:f>
        <x:v>661.6438356164384</x:v>
      </x:c>
      <x:c r="J39" s="21" t="n">
        <x:f>IF(AND(COUNT(INDEX('SKU明细'!$H$9:$H$1592,MATCH("[13306,""B07-TN-38-by""]",'SKU明细'!$AE$9:$AE$1592,0)))=1,COUNT(INDEX('SKU明细'!$G$9:$G$1592,MATCH("[13306,""B07-TN-38-by""]",'SKU明细'!$AE$9:$AE$1592,0)))=1,SUM(INDEX('SKU明细'!$G$9:$G$1592,MATCH("[13306,""B07-TN-38-by""]",'SKU明细'!$AE$9:$AE$1592,0)))&gt;0),SUM(INDEX('SKU明细'!$H$9:$H$1592,MATCH("[13306,""B07-TN-38-by""]",'SKU明细'!$AE$9:$AE$1592,0)))/SUM(INDEX('SKU明细'!$G$9:$G$1592,MATCH("[13306,""B07-TN-38-by""]",'SKU明细'!$AE$9:$AE$1592,0))),"待核")</x:f>
        <x:v>359.5890410958905</x:v>
      </x:c>
      <x:c r="K39" s="21" t="n">
        <x:f>IF(AND(COUNT(INDEX('SKU明细'!$H$9:$H$1592,MATCH("[13306,""B07-TN-38.5""]",'SKU明细'!$AE$9:$AE$1592,0)))=1,COUNT(INDEX('SKU明细'!$G$9:$G$1592,MATCH("[13306,""B07-TN-38.5""]",'SKU明细'!$AE$9:$AE$1592,0)))=1,SUM(INDEX('SKU明细'!$G$9:$G$1592,MATCH("[13306,""B07-TN-38.5""]",'SKU明细'!$AE$9:$AE$1592,0)))&gt;0),SUM(INDEX('SKU明细'!$H$9:$H$1592,MATCH("[13306,""B07-TN-38.5""]",'SKU明细'!$AE$9:$AE$1592,0)))/SUM(INDEX('SKU明细'!$G$9:$G$1592,MATCH("[13306,""B07-TN-38.5""]",'SKU明细'!$AE$9:$AE$1592,0))),"待核")</x:f>
        <x:v>17.10794297352342</x:v>
      </x:c>
      <x:c r="L39" s="21" t="n">
        <x:f>IF(AND(COUNT(INDEX('SKU明细'!$H$9:$H$1592,MATCH("[13306,""B07-TN-39-by""]",'SKU明细'!$AE$9:$AE$1592,0)))=1,COUNT(INDEX('SKU明细'!$G$9:$G$1592,MATCH("[13306,""B07-TN-39-by""]",'SKU明细'!$AE$9:$AE$1592,0)))=1,SUM(INDEX('SKU明细'!$G$9:$G$1592,MATCH("[13306,""B07-TN-39-by""]",'SKU明细'!$AE$9:$AE$1592,0)))&gt;0),SUM(INDEX('SKU明细'!$H$9:$H$1592,MATCH("[13306,""B07-TN-39-by""]",'SKU明细'!$AE$9:$AE$1592,0)))/SUM(INDEX('SKU明细'!$G$9:$G$1592,MATCH("[13306,""B07-TN-39-by""]",'SKU明细'!$AE$9:$AE$1592,0))),"待核")</x:f>
        <x:v>172.38805970149255</x:v>
      </x:c>
      <x:c r="M39" s="21" t="n">
        <x:f>IF(AND(COUNT(INDEX('SKU明细'!$H$9:$H$1592,MATCH("[13306,""B07-TN-39.5""]",'SKU明细'!$AE$9:$AE$1592,0)))=1,COUNT(INDEX('SKU明细'!$G$9:$G$1592,MATCH("[13306,""B07-TN-39.5""]",'SKU明细'!$AE$9:$AE$1592,0)))=1,SUM(INDEX('SKU明细'!$G$9:$G$1592,MATCH("[13306,""B07-TN-39.5""]",'SKU明细'!$AE$9:$AE$1592,0)))&gt;0),SUM(INDEX('SKU明细'!$H$9:$H$1592,MATCH("[13306,""B07-TN-39.5""]",'SKU明细'!$AE$9:$AE$1592,0)))/SUM(INDEX('SKU明细'!$G$9:$G$1592,MATCH("[13306,""B07-TN-39.5""]",'SKU明细'!$AE$9:$AE$1592,0))),"待核")</x:f>
        <x:v>120.57416267942585</x:v>
      </x:c>
      <x:c r="N39" s="21" t="str">
        <x:f>"—"</x:f>
        <x:v>—</x:v>
      </x:c>
      <x:c r="O39" s="21" t="n">
        <x:f>IF(AND(COUNT(INDEX('SKU明细'!$H$9:$H$1592,MATCH("[13306,""B07-TN-40.5""]",'SKU明细'!$AE$9:$AE$1592,0)))=1,COUNT(INDEX('SKU明细'!$G$9:$G$1592,MATCH("[13306,""B07-TN-40.5""]",'SKU明细'!$AE$9:$AE$1592,0)))=1,SUM(INDEX('SKU明细'!$G$9:$G$1592,MATCH("[13306,""B07-TN-40.5""]",'SKU明细'!$AE$9:$AE$1592,0)))&gt;0),SUM(INDEX('SKU明细'!$H$9:$H$1592,MATCH("[13306,""B07-TN-40.5""]",'SKU明细'!$AE$9:$AE$1592,0)))/SUM(INDEX('SKU明细'!$G$9:$G$1592,MATCH("[13306,""B07-TN-40.5""]",'SKU明细'!$AE$9:$AE$1592,0))),"待核")</x:f>
        <x:v>78.35820895522389</x:v>
      </x:c>
      <x:c r="P39" s="21" t="n">
        <x:f>IF(AND(COUNT(INDEX('SKU明细'!$H$9:$H$1592,MATCH("[13306,""B07-TN-41-by""]",'SKU明细'!$AE$9:$AE$1592,0)))=1,COUNT(INDEX('SKU明细'!$G$9:$G$1592,MATCH("[13306,""B07-TN-41-by""]",'SKU明细'!$AE$9:$AE$1592,0)))=1,SUM(INDEX('SKU明细'!$G$9:$G$1592,MATCH("[13306,""B07-TN-41-by""]",'SKU明细'!$AE$9:$AE$1592,0)))&gt;0),SUM(INDEX('SKU明细'!$H$9:$H$1592,MATCH("[13306,""B07-TN-41-by""]",'SKU明细'!$AE$9:$AE$1592,0)))/SUM(INDEX('SKU明细'!$G$9:$G$1592,MATCH("[13306,""B07-TN-41-by""]",'SKU明细'!$AE$9:$AE$1592,0))),"待核")</x:f>
        <x:v>1350</x:v>
      </x:c>
      <x:c r="Q39" s="21" t="str">
        <x:f>"—"</x:f>
        <x:v>—</x:v>
      </x:c>
      <x:c r="R39" s="21" t="str">
        <x:f>"—"</x:f>
        <x:v>—</x:v>
      </x:c>
      <x:c r="S39" s="21" t="n">
        <x:f>IF(AND(COUNT(INDEX('SKU明细'!$H$9:$H$1592,MATCH("[13306,""B07-TN-37.5""]",'SKU明细'!$AE$9:$AE$1592,0)),INDEX('SKU明细'!$H$9:$H$1592,MATCH("[13306,""B07-TN-41-by""]",'SKU明细'!$AE$9:$AE$1592,0)),INDEX('SKU明细'!$H$9:$H$1592,MATCH("[13306,""B07-TN-38-by""]",'SKU明细'!$AE$9:$AE$1592,0)),INDEX('SKU明细'!$H$9:$H$1592,MATCH("[13306,""B07-TN-39-by""]",'SKU明细'!$AE$9:$AE$1592,0)),INDEX('SKU明细'!$H$9:$H$1592,MATCH("[13306,""B07-TN-39.5""]",'SKU明细'!$AE$9:$AE$1592,0)),INDEX('SKU明细'!$H$9:$H$1592,MATCH("[13306,""B07-TN-40.5""]",'SKU明细'!$AE$9:$AE$1592,0)),INDEX('SKU明细'!$H$9:$H$1592,MATCH("[13306,""B07-TN-38.5""]",'SKU明细'!$AE$9:$AE$1592,0)))=7,COUNT(INDEX('SKU明细'!$G$9:$G$1592,MATCH("[13306,""B07-TN-37.5""]",'SKU明细'!$AE$9:$AE$1592,0)),INDEX('SKU明细'!$G$9:$G$1592,MATCH("[13306,""B07-TN-41-by""]",'SKU明细'!$AE$9:$AE$1592,0)),INDEX('SKU明细'!$G$9:$G$1592,MATCH("[13306,""B07-TN-38-by""]",'SKU明细'!$AE$9:$AE$1592,0)),INDEX('SKU明细'!$G$9:$G$1592,MATCH("[13306,""B07-TN-39-by""]",'SKU明细'!$AE$9:$AE$1592,0)),INDEX('SKU明细'!$G$9:$G$1592,MATCH("[13306,""B07-TN-39.5""]",'SKU明细'!$AE$9:$AE$1592,0)),INDEX('SKU明细'!$G$9:$G$1592,MATCH("[13306,""B07-TN-40.5""]",'SKU明细'!$AE$9:$AE$1592,0)),INDEX('SKU明细'!$G$9:$G$1592,MATCH("[13306,""B07-TN-38.5""]",'SKU明细'!$AE$9:$AE$1592,0)))=7,SUM(INDEX('SKU明细'!$G$9:$G$1592,MATCH("[13306,""B07-TN-37.5""]",'SKU明细'!$AE$9:$AE$1592,0)),INDEX('SKU明细'!$G$9:$G$1592,MATCH("[13306,""B07-TN-41-by""]",'SKU明细'!$AE$9:$AE$1592,0)),INDEX('SKU明细'!$G$9:$G$1592,MATCH("[13306,""B07-TN-38-by""]",'SKU明细'!$AE$9:$AE$1592,0)),INDEX('SKU明细'!$G$9:$G$1592,MATCH("[13306,""B07-TN-39-by""]",'SKU明细'!$AE$9:$AE$1592,0)),INDEX('SKU明细'!$G$9:$G$1592,MATCH("[13306,""B07-TN-39.5""]",'SKU明细'!$AE$9:$AE$1592,0)),INDEX('SKU明细'!$G$9:$G$1592,MATCH("[13306,""B07-TN-40.5""]",'SKU明细'!$AE$9:$AE$1592,0)),INDEX('SKU明细'!$G$9:$G$1592,MATCH("[13306,""B07-TN-38.5""]",'SKU明细'!$AE$9:$AE$1592,0)))&gt;0),SUM(INDEX('SKU明细'!$H$9:$H$1592,MATCH("[13306,""B07-TN-37.5""]",'SKU明细'!$AE$9:$AE$1592,0)),INDEX('SKU明细'!$H$9:$H$1592,MATCH("[13306,""B07-TN-41-by""]",'SKU明细'!$AE$9:$AE$1592,0)),INDEX('SKU明细'!$H$9:$H$1592,MATCH("[13306,""B07-TN-38-by""]",'SKU明细'!$AE$9:$AE$1592,0)),INDEX('SKU明细'!$H$9:$H$1592,MATCH("[13306,""B07-TN-39-by""]",'SKU明细'!$AE$9:$AE$1592,0)),INDEX('SKU明细'!$H$9:$H$1592,MATCH("[13306,""B07-TN-39.5""]",'SKU明细'!$AE$9:$AE$1592,0)),INDEX('SKU明细'!$H$9:$H$1592,MATCH("[13306,""B07-TN-40.5""]",'SKU明细'!$AE$9:$AE$1592,0)),INDEX('SKU明细'!$H$9:$H$1592,MATCH("[13306,""B07-TN-38.5""]",'SKU明细'!$AE$9:$AE$1592,0)))/SUM(INDEX('SKU明细'!$G$9:$G$1592,MATCH("[13306,""B07-TN-37.5""]",'SKU明细'!$AE$9:$AE$1592,0)),INDEX('SKU明细'!$G$9:$G$1592,MATCH("[13306,""B07-TN-41-by""]",'SKU明细'!$AE$9:$AE$1592,0)),INDEX('SKU明细'!$G$9:$G$1592,MATCH("[13306,""B07-TN-38-by""]",'SKU明细'!$AE$9:$AE$1592,0)),INDEX('SKU明细'!$G$9:$G$1592,MATCH("[13306,""B07-TN-39-by""]",'SKU明细'!$AE$9:$AE$1592,0)),INDEX('SKU明细'!$G$9:$G$1592,MATCH("[13306,""B07-TN-39.5""]",'SKU明细'!$AE$9:$AE$1592,0)),INDEX('SKU明细'!$G$9:$G$1592,MATCH("[13306,""B07-TN-40.5""]",'SKU明细'!$AE$9:$AE$1592,0)),INDEX('SKU明细'!$G$9:$G$1592,MATCH("[13306,""B07-TN-38.5""]",'SKU明细'!$AE$9:$AE$1592,0))),"待核")</x:f>
        <x:v>146.4243146603099</x:v>
      </x:c>
      <x:c r="T39" s="21" t="n">
        <x:f>IF(AND(COUNT(INDEX('SKU明细'!$I$9:$I$1592,MATCH("[13306,""B07-TN-37.5""]",'SKU明细'!$AE$9:$AE$1592,0)),INDEX('SKU明细'!$I$9:$I$1592,MATCH("[13306,""B07-TN-41-by""]",'SKU明细'!$AE$9:$AE$1592,0)),INDEX('SKU明细'!$I$9:$I$1592,MATCH("[13306,""B07-TN-38-by""]",'SKU明细'!$AE$9:$AE$1592,0)),INDEX('SKU明细'!$I$9:$I$1592,MATCH("[13306,""B07-TN-39-by""]",'SKU明细'!$AE$9:$AE$1592,0)),INDEX('SKU明细'!$I$9:$I$1592,MATCH("[13306,""B07-TN-39.5""]",'SKU明细'!$AE$9:$AE$1592,0)),INDEX('SKU明细'!$I$9:$I$1592,MATCH("[13306,""B07-TN-40.5""]",'SKU明细'!$AE$9:$AE$1592,0)),INDEX('SKU明细'!$I$9:$I$1592,MATCH("[13306,""B07-TN-38.5""]",'SKU明细'!$AE$9:$AE$1592,0)))=7,COUNT(INDEX('SKU明细'!$AD$9:$AD$1592,MATCH("[13306,""B07-TN-37.5""]",'SKU明细'!$AE$9:$AE$1592,0)),INDEX('SKU明细'!$AD$9:$AD$1592,MATCH("[13306,""B07-TN-41-by""]",'SKU明细'!$AE$9:$AE$1592,0)),INDEX('SKU明细'!$AD$9:$AD$1592,MATCH("[13306,""B07-TN-38-by""]",'SKU明细'!$AE$9:$AE$1592,0)),INDEX('SKU明细'!$AD$9:$AD$1592,MATCH("[13306,""B07-TN-39-by""]",'SKU明细'!$AE$9:$AE$1592,0)),INDEX('SKU明细'!$AD$9:$AD$1592,MATCH("[13306,""B07-TN-39.5""]",'SKU明细'!$AE$9:$AE$1592,0)),INDEX('SKU明细'!$AD$9:$AD$1592,MATCH("[13306,""B07-TN-40.5""]",'SKU明细'!$AE$9:$AE$1592,0)),INDEX('SKU明细'!$AD$9:$AD$1592,MATCH("[13306,""B07-TN-38.5""]",'SKU明细'!$AE$9:$AE$1592,0)))=7,SUM(INDEX('SKU明细'!$AD$9:$AD$1592,MATCH("[13306,""B07-TN-37.5""]",'SKU明细'!$AE$9:$AE$1592,0)),INDEX('SKU明细'!$AD$9:$AD$1592,MATCH("[13306,""B07-TN-41-by""]",'SKU明细'!$AE$9:$AE$1592,0)),INDEX('SKU明细'!$AD$9:$AD$1592,MATCH("[13306,""B07-TN-38-by""]",'SKU明细'!$AE$9:$AE$1592,0)),INDEX('SKU明细'!$AD$9:$AD$1592,MATCH("[13306,""B07-TN-39-by""]",'SKU明细'!$AE$9:$AE$1592,0)),INDEX('SKU明细'!$AD$9:$AD$1592,MATCH("[13306,""B07-TN-39.5""]",'SKU明细'!$AE$9:$AE$1592,0)),INDEX('SKU明细'!$AD$9:$AD$1592,MATCH("[13306,""B07-TN-40.5""]",'SKU明细'!$AE$9:$AE$1592,0)),INDEX('SKU明细'!$AD$9:$AD$1592,MATCH("[13306,""B07-TN-38.5""]",'SKU明细'!$AE$9:$AE$1592,0)))&gt;0),SUM(INDEX('SKU明细'!$I$9:$I$1592,MATCH("[13306,""B07-TN-37.5""]",'SKU明细'!$AE$9:$AE$1592,0)),INDEX('SKU明细'!$I$9:$I$1592,MATCH("[13306,""B07-TN-41-by""]",'SKU明细'!$AE$9:$AE$1592,0)),INDEX('SKU明细'!$I$9:$I$1592,MATCH("[13306,""B07-TN-38-by""]",'SKU明细'!$AE$9:$AE$1592,0)),INDEX('SKU明细'!$I$9:$I$1592,MATCH("[13306,""B07-TN-39-by""]",'SKU明细'!$AE$9:$AE$1592,0)),INDEX('SKU明细'!$I$9:$I$1592,MATCH("[13306,""B07-TN-39.5""]",'SKU明细'!$AE$9:$AE$1592,0)),INDEX('SKU明细'!$I$9:$I$1592,MATCH("[13306,""B07-TN-40.5""]",'SKU明细'!$AE$9:$AE$1592,0)),INDEX('SKU明细'!$I$9:$I$1592,MATCH("[13306,""B07-TN-38.5""]",'SKU明细'!$AE$9:$AE$1592,0)))/SUM(INDEX('SKU明细'!$AD$9:$AD$1592,MATCH("[13306,""B07-TN-37.5""]",'SKU明细'!$AE$9:$AE$1592,0)),INDEX('SKU明细'!$AD$9:$AD$1592,MATCH("[13306,""B07-TN-41-by""]",'SKU明细'!$AE$9:$AE$1592,0)),INDEX('SKU明细'!$AD$9:$AD$1592,MATCH("[13306,""B07-TN-38-by""]",'SKU明细'!$AE$9:$AE$1592,0)),INDEX('SKU明细'!$AD$9:$AD$1592,MATCH("[13306,""B07-TN-39-by""]",'SKU明细'!$AE$9:$AE$1592,0)),INDEX('SKU明细'!$AD$9:$AD$1592,MATCH("[13306,""B07-TN-39.5""]",'SKU明细'!$AE$9:$AE$1592,0)),INDEX('SKU明细'!$AD$9:$AD$1592,MATCH("[13306,""B07-TN-40.5""]",'SKU明细'!$AE$9:$AE$1592,0)),INDEX('SKU明细'!$AD$9:$AD$1592,MATCH("[13306,""B07-TN-38.5""]",'SKU明细'!$AE$9:$AE$1592,0))),"待核")</x:f>
        <x:v>157.30337078651684</x:v>
      </x:c>
      <x:c r="U39" s="21" t="n">
        <x:f>IF(COUNT(S39:T39)=2,S39-T39,"待核")</x:f>
        <x:v>-10.879056126206933</x:v>
      </x:c>
      <x:c r="V39" s="22" t="n">
        <x:f>IF(AND(ISNUMBER(U39),ISNUMBER(T39),T39&lt;&gt;0),U39/T39,"")</x:f>
        <x:v>-0.06915971394517266</x:v>
      </x:c>
      <x:c r="W39" s="23" t="n">
        <x:f>IF(COUNT(INDEX('SKU明细'!$H$9:$H$1592,MATCH("[13306,""B07-TN-37.5""]",'SKU明细'!$AE$9:$AE$1592,0)),INDEX('SKU明细'!$H$9:$H$1592,MATCH("[13306,""B07-TN-41-by""]",'SKU明细'!$AE$9:$AE$1592,0)),INDEX('SKU明细'!$H$9:$H$1592,MATCH("[13306,""B07-TN-38-by""]",'SKU明细'!$AE$9:$AE$1592,0)),INDEX('SKU明细'!$H$9:$H$1592,MATCH("[13306,""B07-TN-39-by""]",'SKU明细'!$AE$9:$AE$1592,0)),INDEX('SKU明细'!$H$9:$H$1592,MATCH("[13306,""B07-TN-39.5""]",'SKU明细'!$AE$9:$AE$1592,0)),INDEX('SKU明细'!$H$9:$H$1592,MATCH("[13306,""B07-TN-40.5""]",'SKU明细'!$AE$9:$AE$1592,0)),INDEX('SKU明细'!$H$9:$H$1592,MATCH("[13306,""B07-TN-38.5""]",'SKU明细'!$AE$9:$AE$1592,0)))=0,"待核",SUM(INDEX('SKU明细'!$H$9:$H$1592,MATCH("[13306,""B07-TN-37.5""]",'SKU明细'!$AE$9:$AE$1592,0)),INDEX('SKU明细'!$H$9:$H$1592,MATCH("[13306,""B07-TN-41-by""]",'SKU明细'!$AE$9:$AE$1592,0)),INDEX('SKU明细'!$H$9:$H$1592,MATCH("[13306,""B07-TN-38-by""]",'SKU明细'!$AE$9:$AE$1592,0)),INDEX('SKU明细'!$H$9:$H$1592,MATCH("[13306,""B07-TN-39-by""]",'SKU明细'!$AE$9:$AE$1592,0)),INDEX('SKU明细'!$H$9:$H$1592,MATCH("[13306,""B07-TN-39.5""]",'SKU明细'!$AE$9:$AE$1592,0)),INDEX('SKU明细'!$H$9:$H$1592,MATCH("[13306,""B07-TN-40.5""]",'SKU明细'!$AE$9:$AE$1592,0)),INDEX('SKU明细'!$H$9:$H$1592,MATCH("[13306,""B07-TN-38.5""]",'SKU明细'!$AE$9:$AE$1592,0))))</x:f>
        <x:v>117</x:v>
      </x:c>
      <x:c r="X39" s="24" t="str">
        <x:f>IF(COUNTIFS('SKU明细'!$AH$9:$AH$1592,"[""B07"",""B07-TN"",""TN"",""驼色羊京绒""]",'SKU明细'!$E$9:$E$1592,"促销")&gt;0,"促销 ","")&amp;IF(COUNTIFS('SKU明细'!$AH$9:$AH$1592,"[""B07"",""B07-TN"",""TN"",""驼色羊京绒""]",'SKU明细'!$E$9:$E$1592,"红线促销")&gt;0,"红线促销 ","")&amp;IF(COUNTIFS('SKU明细'!$AH$9:$AH$1592,"[""B07"",""B07-TN"",""TN"",""驼色羊京绒""]",'SKU明细'!$E$9:$E$1592,"考虑清仓")&gt;0,"考虑清仓 ","")&amp;IF(COUNTIFS('SKU明细'!$AH$9:$AH$1592,"[""B07"",""B07-TN"",""TN"",""驼色羊京绒""]",'SKU明细'!$E$9:$E$1592,"断货")&gt;0,"断货 ","")&amp;IF(COUNTIFS('SKU明细'!$AH$9:$AH$1592,"[""B07"",""B07-TN"",""TN"",""驼色羊京绒""]",'SKU明细'!$E$9:$E$1592,"零日销待复核")&gt;0,"零日销待复核 ","")&amp;IF(COUNTIFS('SKU明细'!$AH$9:$AH$1592,"[""B07"",""B07-TN"",""TN"",""驼色羊京绒""]",'SKU明细'!$E$9:$E$1592,"数据待核")&gt;0,"数据待核 ","")&amp;IF(COUNTIFS('SKU明细'!$AH$9:$AH$1592,"[""B07"",""B07-TN"",""TN"",""驼色羊京绒""]",'SKU明细'!$E$9:$E$1592,"正常库存")&gt;0,"正常库存 ","")&amp;IF(COUNTIFS('SKU明细'!$AH$9:$AH$1592,"[""B07"",""B07-TN"",""TN"",""驼色羊京绒""]",'SKU明细'!$E$9:$E$1592,"补货提醒")&gt;0,"补货提醒 ","")</x:f>
        <x:v>促销 红线促销 考虑清仓 正常库存 补货提醒 </x:v>
      </x:c>
      <x:c r="Y39" s="24" t="str">
        <x:f>IF(NOT(ISNUMBER(U39)),"覆盖待核／无可比基准","完整可比")</x:f>
        <x:v>完整可比</x:v>
      </x:c>
      <x:c r="Z39" s="24" t="str">
        <x:v>在售</x:v>
      </x:c>
      <x:c r="AA39" s="24" t="n">
        <x:f>IF(SUMIFS('SKU明细'!$AF$9:$AF$1592,'SKU明细'!$D$9:$D$1592,A39,'SKU明细'!$Z$9:$Z$1592,"&lt;&gt;移出")=0,"待核",SUMIFS('SKU明细'!$H$9:$H$1592,'SKU明细'!$D$9:$D$1592,A39,'SKU明细'!$Z$9:$Z$1592,"&lt;&gt;移出"))</x:f>
        <x:v>2671</x:v>
      </x:c>
    </x:row>
    <x:row r="40" ht="54" customHeight="1">
      <x:c r="A40" s="20" t="str">
        <x:v>B07</x:v>
      </x:c>
      <x:c r="B40" s="20" t="str">
        <x:v>艾年</x:v>
      </x:c>
      <x:c r="C40" s="20" t="str">
        <x:v>驼色羊京绒</x:v>
      </x:c>
      <x:c r="D40" s="20" t="str">
        <x:v>TN1</x:v>
      </x:c>
      <x:c r="E40" s="20" t="str">
        <x:v>B07-TN1</x:v>
      </x:c>
      <x:c r="F40" s="20"/>
      <x:c r="G40" s="21" t="str">
        <x:f>"—"</x:f>
        <x:v>—</x:v>
      </x:c>
      <x:c r="H40" s="21" t="str">
        <x:f>IF(AND(COUNT(INDEX('SKU明细'!$H$9:$H$1592,MATCH("[13306,""B07-TN1-37-by""]",'SKU明细'!$AE$9:$AE$1592,0)))=1,COUNT(INDEX('SKU明细'!$G$9:$G$1592,MATCH("[13306,""B07-TN1-37-by""]",'SKU明细'!$AE$9:$AE$1592,0)))=1,SUM(INDEX('SKU明细'!$G$9:$G$1592,MATCH("[13306,""B07-TN1-37-by""]",'SKU明细'!$AE$9:$AE$1592,0)))&gt;0),SUM(INDEX('SKU明细'!$H$9:$H$1592,MATCH("[13306,""B07-TN1-37-by""]",'SKU明细'!$AE$9:$AE$1592,0)))/SUM(INDEX('SKU明细'!$G$9:$G$1592,MATCH("[13306,""B07-TN1-37-by""]",'SKU明细'!$AE$9:$AE$1592,0))),"待核")</x:f>
        <x:v>待核</x:v>
      </x:c>
      <x:c r="I40" s="21" t="str">
        <x:f>"—"</x:f>
        <x:v>—</x:v>
      </x:c>
      <x:c r="J40" s="21" t="str">
        <x:f>"—"</x:f>
        <x:v>—</x:v>
      </x:c>
      <x:c r="K40" s="21" t="str">
        <x:f>"—"</x:f>
        <x:v>—</x:v>
      </x:c>
      <x:c r="L40" s="21" t="str">
        <x:f>"—"</x:f>
        <x:v>—</x:v>
      </x:c>
      <x:c r="M40" s="21" t="str">
        <x:f>"—"</x:f>
        <x:v>—</x:v>
      </x:c>
      <x:c r="N40" s="21" t="str">
        <x:f>"—"</x:f>
        <x:v>—</x:v>
      </x:c>
      <x:c r="O40" s="21" t="str">
        <x:f>"—"</x:f>
        <x:v>—</x:v>
      </x:c>
      <x:c r="P40" s="21" t="str">
        <x:f>"—"</x:f>
        <x:v>—</x:v>
      </x:c>
      <x:c r="Q40" s="21" t="str">
        <x:f>"—"</x:f>
        <x:v>—</x:v>
      </x:c>
      <x:c r="R40" s="21" t="str">
        <x:f>"—"</x:f>
        <x:v>—</x:v>
      </x:c>
      <x:c r="S40" s="21" t="str">
        <x:f>IF(AND(COUNT(INDEX('SKU明细'!$H$9:$H$1592,MATCH("[13306,""B07-TN1-37-by""]",'SKU明细'!$AE$9:$AE$1592,0)))=1,COUNT(INDEX('SKU明细'!$G$9:$G$1592,MATCH("[13306,""B07-TN1-37-by""]",'SKU明细'!$AE$9:$AE$1592,0)))=1,SUM(INDEX('SKU明细'!$G$9:$G$1592,MATCH("[13306,""B07-TN1-37-by""]",'SKU明细'!$AE$9:$AE$1592,0)))&gt;0),SUM(INDEX('SKU明细'!$H$9:$H$1592,MATCH("[13306,""B07-TN1-37-by""]",'SKU明细'!$AE$9:$AE$1592,0)))/SUM(INDEX('SKU明细'!$G$9:$G$1592,MATCH("[13306,""B07-TN1-37-by""]",'SKU明细'!$AE$9:$AE$1592,0))),"待核")</x:f>
        <x:v>待核</x:v>
      </x:c>
      <x:c r="T40" s="21" t="str">
        <x:f>IF(AND(COUNT(INDEX('SKU明细'!$I$9:$I$1592,MATCH("[13306,""B07-TN1-37-by""]",'SKU明细'!$AE$9:$AE$1592,0)))=1,COUNT(INDEX('SKU明细'!$AD$9:$AD$1592,MATCH("[13306,""B07-TN1-37-by""]",'SKU明细'!$AE$9:$AE$1592,0)))=1,SUM(INDEX('SKU明细'!$AD$9:$AD$1592,MATCH("[13306,""B07-TN1-37-by""]",'SKU明细'!$AE$9:$AE$1592,0)))&gt;0),SUM(INDEX('SKU明细'!$I$9:$I$1592,MATCH("[13306,""B07-TN1-37-by""]",'SKU明细'!$AE$9:$AE$1592,0)))/SUM(INDEX('SKU明细'!$AD$9:$AD$1592,MATCH("[13306,""B07-TN1-37-by""]",'SKU明细'!$AE$9:$AE$1592,0))),"待核")</x:f>
        <x:v>待核</x:v>
      </x:c>
      <x:c r="U40" s="21" t="str">
        <x:f>IF(COUNT(S40:T40)=2,S40-T40,"待核")</x:f>
        <x:v>待核</x:v>
      </x:c>
      <x:c r="V40" s="22" t="str">
        <x:f>IF(AND(ISNUMBER(U40),ISNUMBER(T40),T40&lt;&gt;0),U40/T40,"")</x:f>
      </x:c>
      <x:c r="W40" s="23" t="n">
        <x:f>IF(COUNT(INDEX('SKU明细'!$H$9:$H$1592,MATCH("[13306,""B07-TN1-37-by""]",'SKU明细'!$AE$9:$AE$1592,0)))=0,"待核",SUM(INDEX('SKU明细'!$H$9:$H$1592,MATCH("[13306,""B07-TN1-37-by""]",'SKU明细'!$AE$9:$AE$1592,0))))</x:f>
        <x:v>7</x:v>
      </x:c>
      <x:c r="X40" s="24" t="str">
        <x:f>IF(COUNTIFS('SKU明细'!$AH$9:$AH$1592,"[""B07"",""B07-TN1"",""TN1"",""驼色羊京绒""]",'SKU明细'!$E$9:$E$1592,"促销")&gt;0,"促销 ","")&amp;IF(COUNTIFS('SKU明细'!$AH$9:$AH$1592,"[""B07"",""B07-TN1"",""TN1"",""驼色羊京绒""]",'SKU明细'!$E$9:$E$1592,"红线促销")&gt;0,"红线促销 ","")&amp;IF(COUNTIFS('SKU明细'!$AH$9:$AH$1592,"[""B07"",""B07-TN1"",""TN1"",""驼色羊京绒""]",'SKU明细'!$E$9:$E$1592,"考虑清仓")&gt;0,"考虑清仓 ","")&amp;IF(COUNTIFS('SKU明细'!$AH$9:$AH$1592,"[""B07"",""B07-TN1"",""TN1"",""驼色羊京绒""]",'SKU明细'!$E$9:$E$1592,"断货")&gt;0,"断货 ","")&amp;IF(COUNTIFS('SKU明细'!$AH$9:$AH$1592,"[""B07"",""B07-TN1"",""TN1"",""驼色羊京绒""]",'SKU明细'!$E$9:$E$1592,"零日销待复核")&gt;0,"零日销待复核 ","")&amp;IF(COUNTIFS('SKU明细'!$AH$9:$AH$1592,"[""B07"",""B07-TN1"",""TN1"",""驼色羊京绒""]",'SKU明细'!$E$9:$E$1592,"数据待核")&gt;0,"数据待核 ","")&amp;IF(COUNTIFS('SKU明细'!$AH$9:$AH$1592,"[""B07"",""B07-TN1"",""TN1"",""驼色羊京绒""]",'SKU明细'!$E$9:$E$1592,"正常库存")&gt;0,"正常库存 ","")&amp;IF(COUNTIFS('SKU明细'!$AH$9:$AH$1592,"[""B07"",""B07-TN1"",""TN1"",""驼色羊京绒""]",'SKU明细'!$E$9:$E$1592,"补货提醒")&gt;0,"补货提醒 ","")</x:f>
        <x:v>零日销待复核 </x:v>
      </x:c>
      <x:c r="Y40" s="24" t="str">
        <x:f>IF(NOT(ISNUMBER(U40)),"覆盖待核／无可比基准","完整可比")</x:f>
        <x:v>覆盖待核／无可比基准</x:v>
      </x:c>
      <x:c r="Z40" s="24" t="str">
        <x:v>在售</x:v>
      </x:c>
      <x:c r="AA40" s="24" t="n">
        <x:f>IF(SUMIFS('SKU明细'!$AF$9:$AF$1592,'SKU明细'!$D$9:$D$1592,A40,'SKU明细'!$Z$9:$Z$1592,"&lt;&gt;移出")=0,"待核",SUMIFS('SKU明细'!$H$9:$H$1592,'SKU明细'!$D$9:$D$1592,A40,'SKU明细'!$Z$9:$Z$1592,"&lt;&gt;移出"))</x:f>
        <x:v>2671</x:v>
      </x:c>
    </x:row>
    <x:row r="41" ht="54" customHeight="1">
      <x:c r="A41" s="20" t="str">
        <x:v>B07</x:v>
      </x:c>
      <x:c r="B41" s="20" t="str">
        <x:v>艾年</x:v>
      </x:c>
      <x:c r="C41" s="20" t="str">
        <x:v>驼色PU</x:v>
      </x:c>
      <x:c r="D41" s="20" t="str">
        <x:v>TNP</x:v>
      </x:c>
      <x:c r="E41" s="20" t="str">
        <x:v>B07-TNP</x:v>
      </x:c>
      <x:c r="F41" s="20"/>
      <x:c r="G41" s="21" t="str">
        <x:f>"—"</x:f>
        <x:v>—</x:v>
      </x:c>
      <x:c r="H41" s="21" t="str">
        <x:f>IF(AND(COUNT(INDEX('SKU明细'!$H$9:$H$1592,MATCH("[13306,""B07-TNP-37-New""]",'SKU明细'!$AE$9:$AE$1592,0)))=1,COUNT(INDEX('SKU明细'!$G$9:$G$1592,MATCH("[13306,""B07-TNP-37-New""]",'SKU明细'!$AE$9:$AE$1592,0)))=1,SUM(INDEX('SKU明细'!$G$9:$G$1592,MATCH("[13306,""B07-TNP-37-New""]",'SKU明细'!$AE$9:$AE$1592,0)))&gt;0),SUM(INDEX('SKU明细'!$H$9:$H$1592,MATCH("[13306,""B07-TNP-37-New""]",'SKU明细'!$AE$9:$AE$1592,0)))/SUM(INDEX('SKU明细'!$G$9:$G$1592,MATCH("[13306,""B07-TNP-37-New""]",'SKU明细'!$AE$9:$AE$1592,0))),"待核")</x:f>
        <x:v>待核</x:v>
      </x:c>
      <x:c r="I41" s="21" t="str">
        <x:f>"—"</x:f>
        <x:v>—</x:v>
      </x:c>
      <x:c r="J41" s="21" t="str">
        <x:f>"—"</x:f>
        <x:v>—</x:v>
      </x:c>
      <x:c r="K41" s="21" t="str">
        <x:f>"—"</x:f>
        <x:v>—</x:v>
      </x:c>
      <x:c r="L41" s="21" t="str">
        <x:f>"—"</x:f>
        <x:v>—</x:v>
      </x:c>
      <x:c r="M41" s="21" t="str">
        <x:f>"—"</x:f>
        <x:v>—</x:v>
      </x:c>
      <x:c r="N41" s="21" t="n">
        <x:f>IF(AND(COUNT(INDEX('SKU明细'!$H$9:$H$1592,MATCH("[13306,""B07-TNP-40-by""]",'SKU明细'!$AE$9:$AE$1592,0)))=1,COUNT(INDEX('SKU明细'!$G$9:$G$1592,MATCH("[13306,""B07-TNP-40-by""]",'SKU明细'!$AE$9:$AE$1592,0)))=1,SUM(INDEX('SKU明细'!$G$9:$G$1592,MATCH("[13306,""B07-TNP-40-by""]",'SKU明细'!$AE$9:$AE$1592,0)))&gt;0),SUM(INDEX('SKU明细'!$H$9:$H$1592,MATCH("[13306,""B07-TNP-40-by""]",'SKU明细'!$AE$9:$AE$1592,0)))/SUM(INDEX('SKU明细'!$G$9:$G$1592,MATCH("[13306,""B07-TNP-40-by""]",'SKU明细'!$AE$9:$AE$1592,0))),"待核")</x:f>
        <x:v>0</x:v>
      </x:c>
      <x:c r="O41" s="21" t="str">
        <x:f>"—"</x:f>
        <x:v>—</x:v>
      </x:c>
      <x:c r="P41" s="21" t="n">
        <x:f>IF(AND(COUNT(INDEX('SKU明细'!$H$9:$H$1592,MATCH("[13306,""B07-TNP-41-New""]",'SKU明细'!$AE$9:$AE$1592,0)))=1,COUNT(INDEX('SKU明细'!$G$9:$G$1592,MATCH("[13306,""B07-TNP-41-New""]",'SKU明细'!$AE$9:$AE$1592,0)))=1,SUM(INDEX('SKU明细'!$G$9:$G$1592,MATCH("[13306,""B07-TNP-41-New""]",'SKU明细'!$AE$9:$AE$1592,0)))&gt;0),SUM(INDEX('SKU明细'!$H$9:$H$1592,MATCH("[13306,""B07-TNP-41-New""]",'SKU明细'!$AE$9:$AE$1592,0)))/SUM(INDEX('SKU明细'!$G$9:$G$1592,MATCH("[13306,""B07-TNP-41-New""]",'SKU明细'!$AE$9:$AE$1592,0))),"待核")</x:f>
        <x:v>35.59322033898305</x:v>
      </x:c>
      <x:c r="Q41" s="21" t="str">
        <x:f>"—"</x:f>
        <x:v>—</x:v>
      </x:c>
      <x:c r="R41" s="21" t="str">
        <x:f>IF(AND(COUNT(INDEX('SKU明细'!$H$9:$H$1592,MATCH("[13306,""B07-TNP-42-New""]",'SKU明细'!$AE$9:$AE$1592,0)))=1,COUNT(INDEX('SKU明细'!$G$9:$G$1592,MATCH("[13306,""B07-TNP-42-New""]",'SKU明细'!$AE$9:$AE$1592,0)))=1,SUM(INDEX('SKU明细'!$G$9:$G$1592,MATCH("[13306,""B07-TNP-42-New""]",'SKU明细'!$AE$9:$AE$1592,0)))&gt;0),SUM(INDEX('SKU明细'!$H$9:$H$1592,MATCH("[13306,""B07-TNP-42-New""]",'SKU明细'!$AE$9:$AE$1592,0)))/SUM(INDEX('SKU明细'!$G$9:$G$1592,MATCH("[13306,""B07-TNP-42-New""]",'SKU明细'!$AE$9:$AE$1592,0))),"待核")</x:f>
        <x:v>待核</x:v>
      </x:c>
      <x:c r="S41" s="21" t="n">
        <x:f>IF(AND(COUNT(INDEX('SKU明细'!$H$9:$H$1592,MATCH("[13306,""B07-TNP-40-by""]",'SKU明细'!$AE$9:$AE$1592,0)),INDEX('SKU明细'!$H$9:$H$1592,MATCH("[13306,""B07-TNP-37-New""]",'SKU明细'!$AE$9:$AE$1592,0)),INDEX('SKU明细'!$H$9:$H$1592,MATCH("[13306,""B07-TNP-42-New""]",'SKU明细'!$AE$9:$AE$1592,0)),INDEX('SKU明细'!$H$9:$H$1592,MATCH("[13306,""B07-TNP-41-New""]",'SKU明细'!$AE$9:$AE$1592,0)))=4,COUNT(INDEX('SKU明细'!$G$9:$G$1592,MATCH("[13306,""B07-TNP-40-by""]",'SKU明细'!$AE$9:$AE$1592,0)),INDEX('SKU明细'!$G$9:$G$1592,MATCH("[13306,""B07-TNP-37-New""]",'SKU明细'!$AE$9:$AE$1592,0)),INDEX('SKU明细'!$G$9:$G$1592,MATCH("[13306,""B07-TNP-42-New""]",'SKU明细'!$AE$9:$AE$1592,0)),INDEX('SKU明细'!$G$9:$G$1592,MATCH("[13306,""B07-TNP-41-New""]",'SKU明细'!$AE$9:$AE$1592,0)))=4,SUM(INDEX('SKU明细'!$G$9:$G$1592,MATCH("[13306,""B07-TNP-40-by""]",'SKU明细'!$AE$9:$AE$1592,0)),INDEX('SKU明细'!$G$9:$G$1592,MATCH("[13306,""B07-TNP-37-New""]",'SKU明细'!$AE$9:$AE$1592,0)),INDEX('SKU明细'!$G$9:$G$1592,MATCH("[13306,""B07-TNP-42-New""]",'SKU明细'!$AE$9:$AE$1592,0)),INDEX('SKU明细'!$G$9:$G$1592,MATCH("[13306,""B07-TNP-41-New""]",'SKU明细'!$AE$9:$AE$1592,0)))&gt;0),SUM(INDEX('SKU明细'!$H$9:$H$1592,MATCH("[13306,""B07-TNP-40-by""]",'SKU明细'!$AE$9:$AE$1592,0)),INDEX('SKU明细'!$H$9:$H$1592,MATCH("[13306,""B07-TNP-37-New""]",'SKU明细'!$AE$9:$AE$1592,0)),INDEX('SKU明细'!$H$9:$H$1592,MATCH("[13306,""B07-TNP-42-New""]",'SKU明细'!$AE$9:$AE$1592,0)),INDEX('SKU明细'!$H$9:$H$1592,MATCH("[13306,""B07-TNP-41-New""]",'SKU明细'!$AE$9:$AE$1592,0)))/SUM(INDEX('SKU明细'!$G$9:$G$1592,MATCH("[13306,""B07-TNP-40-by""]",'SKU明细'!$AE$9:$AE$1592,0)),INDEX('SKU明细'!$G$9:$G$1592,MATCH("[13306,""B07-TNP-37-New""]",'SKU明细'!$AE$9:$AE$1592,0)),INDEX('SKU明细'!$G$9:$G$1592,MATCH("[13306,""B07-TNP-42-New""]",'SKU明细'!$AE$9:$AE$1592,0)),INDEX('SKU明细'!$G$9:$G$1592,MATCH("[13306,""B07-TNP-41-New""]",'SKU明细'!$AE$9:$AE$1592,0))),"待核")</x:f>
        <x:v>241.8848167539267</x:v>
      </x:c>
      <x:c r="T41" s="21" t="str">
        <x:f>IF(AND(COUNT(INDEX('SKU明细'!$I$9:$I$1592,MATCH("[13306,""B07-TNP-40-by""]",'SKU明细'!$AE$9:$AE$1592,0)),INDEX('SKU明细'!$I$9:$I$1592,MATCH("[13306,""B07-TNP-37-New""]",'SKU明细'!$AE$9:$AE$1592,0)),INDEX('SKU明细'!$I$9:$I$1592,MATCH("[13306,""B07-TNP-42-New""]",'SKU明细'!$AE$9:$AE$1592,0)),INDEX('SKU明细'!$I$9:$I$1592,MATCH("[13306,""B07-TNP-41-New""]",'SKU明细'!$AE$9:$AE$1592,0)))=4,COUNT(INDEX('SKU明细'!$AD$9:$AD$1592,MATCH("[13306,""B07-TNP-40-by""]",'SKU明细'!$AE$9:$AE$1592,0)),INDEX('SKU明细'!$AD$9:$AD$1592,MATCH("[13306,""B07-TNP-37-New""]",'SKU明细'!$AE$9:$AE$1592,0)),INDEX('SKU明细'!$AD$9:$AD$1592,MATCH("[13306,""B07-TNP-42-New""]",'SKU明细'!$AE$9:$AE$1592,0)),INDEX('SKU明细'!$AD$9:$AD$1592,MATCH("[13306,""B07-TNP-41-New""]",'SKU明细'!$AE$9:$AE$1592,0)))=4,SUM(INDEX('SKU明细'!$AD$9:$AD$1592,MATCH("[13306,""B07-TNP-40-by""]",'SKU明细'!$AE$9:$AE$1592,0)),INDEX('SKU明细'!$AD$9:$AD$1592,MATCH("[13306,""B07-TNP-37-New""]",'SKU明细'!$AE$9:$AE$1592,0)),INDEX('SKU明细'!$AD$9:$AD$1592,MATCH("[13306,""B07-TNP-42-New""]",'SKU明细'!$AE$9:$AE$1592,0)),INDEX('SKU明细'!$AD$9:$AD$1592,MATCH("[13306,""B07-TNP-41-New""]",'SKU明细'!$AE$9:$AE$1592,0)))&gt;0),SUM(INDEX('SKU明细'!$I$9:$I$1592,MATCH("[13306,""B07-TNP-40-by""]",'SKU明细'!$AE$9:$AE$1592,0)),INDEX('SKU明细'!$I$9:$I$1592,MATCH("[13306,""B07-TNP-37-New""]",'SKU明细'!$AE$9:$AE$1592,0)),INDEX('SKU明细'!$I$9:$I$1592,MATCH("[13306,""B07-TNP-42-New""]",'SKU明细'!$AE$9:$AE$1592,0)),INDEX('SKU明细'!$I$9:$I$1592,MATCH("[13306,""B07-TNP-41-New""]",'SKU明细'!$AE$9:$AE$1592,0)))/SUM(INDEX('SKU明细'!$AD$9:$AD$1592,MATCH("[13306,""B07-TNP-40-by""]",'SKU明细'!$AE$9:$AE$1592,0)),INDEX('SKU明细'!$AD$9:$AD$1592,MATCH("[13306,""B07-TNP-37-New""]",'SKU明细'!$AE$9:$AE$1592,0)),INDEX('SKU明细'!$AD$9:$AD$1592,MATCH("[13306,""B07-TNP-42-New""]",'SKU明细'!$AE$9:$AE$1592,0)),INDEX('SKU明细'!$AD$9:$AD$1592,MATCH("[13306,""B07-TNP-41-New""]",'SKU明细'!$AE$9:$AE$1592,0))),"待核")</x:f>
        <x:v>待核</x:v>
      </x:c>
      <x:c r="U41" s="21" t="str">
        <x:f>IF(COUNT(S41:T41)=2,S41-T41,"待核")</x:f>
        <x:v>待核</x:v>
      </x:c>
      <x:c r="V41" s="22" t="str">
        <x:f>IF(AND(ISNUMBER(U41),ISNUMBER(T41),T41&lt;&gt;0),U41/T41,"")</x:f>
      </x:c>
      <x:c r="W41" s="23" t="n">
        <x:f>IF(COUNT(INDEX('SKU明细'!$H$9:$H$1592,MATCH("[13306,""B07-TNP-40-by""]",'SKU明细'!$AE$9:$AE$1592,0)),INDEX('SKU明细'!$H$9:$H$1592,MATCH("[13306,""B07-TNP-37-New""]",'SKU明细'!$AE$9:$AE$1592,0)),INDEX('SKU明细'!$H$9:$H$1592,MATCH("[13306,""B07-TNP-42-New""]",'SKU明细'!$AE$9:$AE$1592,0)),INDEX('SKU明细'!$H$9:$H$1592,MATCH("[13306,""B07-TNP-41-New""]",'SKU明细'!$AE$9:$AE$1592,0)))=0,"待核",SUM(INDEX('SKU明细'!$H$9:$H$1592,MATCH("[13306,""B07-TNP-40-by""]",'SKU明细'!$AE$9:$AE$1592,0)),INDEX('SKU明细'!$H$9:$H$1592,MATCH("[13306,""B07-TNP-37-New""]",'SKU明细'!$AE$9:$AE$1592,0)),INDEX('SKU明细'!$H$9:$H$1592,MATCH("[13306,""B07-TNP-42-New""]",'SKU明细'!$AE$9:$AE$1592,0)),INDEX('SKU明细'!$H$9:$H$1592,MATCH("[13306,""B07-TNP-41-New""]",'SKU明细'!$AE$9:$AE$1592,0))))</x:f>
        <x:v>22</x:v>
      </x:c>
      <x:c r="X41" s="24" t="str">
        <x:f>IF(COUNTIFS('SKU明细'!$AH$9:$AH$1592,"[""B07"",""B07-TNP"",""TNP"",""驼色PU""]",'SKU明细'!$E$9:$E$1592,"促销")&gt;0,"促销 ","")&amp;IF(COUNTIFS('SKU明细'!$AH$9:$AH$1592,"[""B07"",""B07-TNP"",""TNP"",""驼色PU""]",'SKU明细'!$E$9:$E$1592,"红线促销")&gt;0,"红线促销 ","")&amp;IF(COUNTIFS('SKU明细'!$AH$9:$AH$1592,"[""B07"",""B07-TNP"",""TNP"",""驼色PU""]",'SKU明细'!$E$9:$E$1592,"考虑清仓")&gt;0,"考虑清仓 ","")&amp;IF(COUNTIFS('SKU明细'!$AH$9:$AH$1592,"[""B07"",""B07-TNP"",""TNP"",""驼色PU""]",'SKU明细'!$E$9:$E$1592,"断货")&gt;0,"断货 ","")&amp;IF(COUNTIFS('SKU明细'!$AH$9:$AH$1592,"[""B07"",""B07-TNP"",""TNP"",""驼色PU""]",'SKU明细'!$E$9:$E$1592,"零日销待复核")&gt;0,"零日销待复核 ","")&amp;IF(COUNTIFS('SKU明细'!$AH$9:$AH$1592,"[""B07"",""B07-TNP"",""TNP"",""驼色PU""]",'SKU明细'!$E$9:$E$1592,"数据待核")&gt;0,"数据待核 ","")&amp;IF(COUNTIFS('SKU明细'!$AH$9:$AH$1592,"[""B07"",""B07-TNP"",""TNP"",""驼色PU""]",'SKU明细'!$E$9:$E$1592,"正常库存")&gt;0,"正常库存 ","")&amp;IF(COUNTIFS('SKU明细'!$AH$9:$AH$1592,"[""B07"",""B07-TNP"",""TNP"",""驼色PU""]",'SKU明细'!$E$9:$E$1592,"补货提醒")&gt;0,"补货提醒 ","")</x:f>
        <x:v>断货 零日销待复核 补货提醒 </x:v>
      </x:c>
      <x:c r="Y41" s="24" t="str">
        <x:f>IF(NOT(ISNUMBER(U41)),"覆盖待核／无可比基准","完整可比")</x:f>
        <x:v>覆盖待核／无可比基准</x:v>
      </x:c>
      <x:c r="Z41" s="24" t="str">
        <x:v>停售、在售</x:v>
      </x:c>
      <x:c r="AA41" s="24" t="n">
        <x:f>IF(SUMIFS('SKU明细'!$AF$9:$AF$1592,'SKU明细'!$D$9:$D$1592,A41,'SKU明细'!$Z$9:$Z$1592,"&lt;&gt;移出")=0,"待核",SUMIFS('SKU明细'!$H$9:$H$1592,'SKU明细'!$D$9:$D$1592,A41,'SKU明细'!$Z$9:$Z$1592,"&lt;&gt;移出"))</x:f>
        <x:v>2671</x:v>
      </x:c>
    </x:row>
    <x:row r="42" ht="54" customHeight="1">
      <x:c r="A42" s="20" t="str">
        <x:v>B07</x:v>
      </x:c>
      <x:c r="B42" s="20" t="str">
        <x:v>艾年</x:v>
      </x:c>
      <x:c r="C42" s="20" t="str">
        <x:v>白色PU</x:v>
      </x:c>
      <x:c r="D42" s="20" t="str">
        <x:v>WT</x:v>
      </x:c>
      <x:c r="E42" s="20" t="str">
        <x:v>B07-WT</x:v>
      </x:c>
      <x:c r="F42" s="20"/>
      <x:c r="G42" s="21" t="str">
        <x:f>"—"</x:f>
        <x:v>—</x:v>
      </x:c>
      <x:c r="H42" s="21" t="n">
        <x:f>IF(AND(COUNT(INDEX('SKU明细'!$H$9:$H$1592,MATCH("[13306,""B07-WT-37-New""]",'SKU明细'!$AE$9:$AE$1592,0)))=1,COUNT(INDEX('SKU明细'!$G$9:$G$1592,MATCH("[13306,""B07-WT-37-New""]",'SKU明细'!$AE$9:$AE$1592,0)))=1,SUM(INDEX('SKU明细'!$G$9:$G$1592,MATCH("[13306,""B07-WT-37-New""]",'SKU明细'!$AE$9:$AE$1592,0)))&gt;0),SUM(INDEX('SKU明细'!$H$9:$H$1592,MATCH("[13306,""B07-WT-37-New""]",'SKU明细'!$AE$9:$AE$1592,0)))/SUM(INDEX('SKU明细'!$G$9:$G$1592,MATCH("[13306,""B07-WT-37-New""]",'SKU明细'!$AE$9:$AE$1592,0))),"待核")</x:f>
        <x:v>300</x:v>
      </x:c>
      <x:c r="I42" s="21" t="n">
        <x:f>IF(AND(COUNT(INDEX('SKU明细'!$H$9:$H$1592,MATCH("[13306,""B07-WT-37.5""]",'SKU明细'!$AE$9:$AE$1592,0)))=1,COUNT(INDEX('SKU明细'!$G$9:$G$1592,MATCH("[13306,""B07-WT-37.5""]",'SKU明细'!$AE$9:$AE$1592,0)))=1,SUM(INDEX('SKU明细'!$G$9:$G$1592,MATCH("[13306,""B07-WT-37.5""]",'SKU明细'!$AE$9:$AE$1592,0)))&gt;0),SUM(INDEX('SKU明细'!$H$9:$H$1592,MATCH("[13306,""B07-WT-37.5""]",'SKU明细'!$AE$9:$AE$1592,0)))/SUM(INDEX('SKU明细'!$G$9:$G$1592,MATCH("[13306,""B07-WT-37.5""]",'SKU明细'!$AE$9:$AE$1592,0))),"待核")</x:f>
        <x:v>0</x:v>
      </x:c>
      <x:c r="J42" s="21" t="n">
        <x:f>IF(AND(COUNT(INDEX('SKU明细'!$H$9:$H$1592,MATCH("[13306,""B07-WT-38-New""]",'SKU明细'!$AE$9:$AE$1592,0)))=1,COUNT(INDEX('SKU明细'!$G$9:$G$1592,MATCH("[13306,""B07-WT-38-New""]",'SKU明细'!$AE$9:$AE$1592,0)))=1,SUM(INDEX('SKU明细'!$G$9:$G$1592,MATCH("[13306,""B07-WT-38-New""]",'SKU明细'!$AE$9:$AE$1592,0)))&gt;0),SUM(INDEX('SKU明细'!$H$9:$H$1592,MATCH("[13306,""B07-WT-38-New""]",'SKU明细'!$AE$9:$AE$1592,0)))/SUM(INDEX('SKU明细'!$G$9:$G$1592,MATCH("[13306,""B07-WT-38-New""]",'SKU明细'!$AE$9:$AE$1592,0))),"待核")</x:f>
        <x:v>150</x:v>
      </x:c>
      <x:c r="K42" s="21" t="str">
        <x:f>"—"</x:f>
        <x:v>—</x:v>
      </x:c>
      <x:c r="L42" s="21" t="str">
        <x:f>"—"</x:f>
        <x:v>—</x:v>
      </x:c>
      <x:c r="M42" s="21" t="str">
        <x:f>"—"</x:f>
        <x:v>—</x:v>
      </x:c>
      <x:c r="N42" s="21" t="str">
        <x:f>"—"</x:f>
        <x:v>—</x:v>
      </x:c>
      <x:c r="O42" s="21" t="str">
        <x:f>"—"</x:f>
        <x:v>—</x:v>
      </x:c>
      <x:c r="P42" s="21" t="str">
        <x:f>IF(AND(COUNT(INDEX('SKU明细'!$H$9:$H$1592,MATCH("[13306,""B07-WT-41-by""]",'SKU明细'!$AE$9:$AE$1592,0)))=1,COUNT(INDEX('SKU明细'!$G$9:$G$1592,MATCH("[13306,""B07-WT-41-by""]",'SKU明细'!$AE$9:$AE$1592,0)))=1,SUM(INDEX('SKU明细'!$G$9:$G$1592,MATCH("[13306,""B07-WT-41-by""]",'SKU明细'!$AE$9:$AE$1592,0)))&gt;0),SUM(INDEX('SKU明细'!$H$9:$H$1592,MATCH("[13306,""B07-WT-41-by""]",'SKU明细'!$AE$9:$AE$1592,0)))/SUM(INDEX('SKU明细'!$G$9:$G$1592,MATCH("[13306,""B07-WT-41-by""]",'SKU明细'!$AE$9:$AE$1592,0))),"待核")</x:f>
        <x:v>待核</x:v>
      </x:c>
      <x:c r="Q42" s="21" t="str">
        <x:f>IF(AND(COUNT(INDEX('SKU明细'!$H$9:$H$1592,MATCH("[13306,""B07-WT-41.5""]",'SKU明细'!$AE$9:$AE$1592,0)))=1,COUNT(INDEX('SKU明细'!$G$9:$G$1592,MATCH("[13306,""B07-WT-41.5""]",'SKU明细'!$AE$9:$AE$1592,0)))=1,SUM(INDEX('SKU明细'!$G$9:$G$1592,MATCH("[13306,""B07-WT-41.5""]",'SKU明细'!$AE$9:$AE$1592,0)))&gt;0),SUM(INDEX('SKU明细'!$H$9:$H$1592,MATCH("[13306,""B07-WT-41.5""]",'SKU明细'!$AE$9:$AE$1592,0)))/SUM(INDEX('SKU明细'!$G$9:$G$1592,MATCH("[13306,""B07-WT-41.5""]",'SKU明细'!$AE$9:$AE$1592,0))),"待核")</x:f>
        <x:v>待核</x:v>
      </x:c>
      <x:c r="R42" s="21" t="str">
        <x:f>IF(AND(COUNT(INDEX('SKU明细'!$H$9:$H$1592,MATCH("[13306,""B07-WT-42-New""]",'SKU明细'!$AE$9:$AE$1592,0)))=1,COUNT(INDEX('SKU明细'!$G$9:$G$1592,MATCH("[13306,""B07-WT-42-New""]",'SKU明细'!$AE$9:$AE$1592,0)))=1,SUM(INDEX('SKU明细'!$G$9:$G$1592,MATCH("[13306,""B07-WT-42-New""]",'SKU明细'!$AE$9:$AE$1592,0)))&gt;0),SUM(INDEX('SKU明细'!$H$9:$H$1592,MATCH("[13306,""B07-WT-42-New""]",'SKU明细'!$AE$9:$AE$1592,0)))/SUM(INDEX('SKU明细'!$G$9:$G$1592,MATCH("[13306,""B07-WT-42-New""]",'SKU明细'!$AE$9:$AE$1592,0))),"待核")</x:f>
        <x:v>待核</x:v>
      </x:c>
      <x:c r="S42" s="21" t="n">
        <x:f>IF(AND(COUNT(INDEX('SKU明细'!$H$9:$H$1592,MATCH("[13306,""B07-WT-37-New""]",'SKU明细'!$AE$9:$AE$1592,0)),INDEX('SKU明细'!$H$9:$H$1592,MATCH("[13306,""B07-WT-38-New""]",'SKU明细'!$AE$9:$AE$1592,0)),INDEX('SKU明细'!$H$9:$H$1592,MATCH("[13306,""B07-WT-37.5""]",'SKU明细'!$AE$9:$AE$1592,0)),INDEX('SKU明细'!$H$9:$H$1592,MATCH("[13306,""B07-WT-41-by""]",'SKU明细'!$AE$9:$AE$1592,0)),INDEX('SKU明细'!$H$9:$H$1592,MATCH("[13306,""B07-WT-41.5""]",'SKU明细'!$AE$9:$AE$1592,0)),INDEX('SKU明细'!$H$9:$H$1592,MATCH("[13306,""B07-WT-42-New""]",'SKU明细'!$AE$9:$AE$1592,0)))=6,COUNT(INDEX('SKU明细'!$G$9:$G$1592,MATCH("[13306,""B07-WT-37-New""]",'SKU明细'!$AE$9:$AE$1592,0)),INDEX('SKU明细'!$G$9:$G$1592,MATCH("[13306,""B07-WT-38-New""]",'SKU明细'!$AE$9:$AE$1592,0)),INDEX('SKU明细'!$G$9:$G$1592,MATCH("[13306,""B07-WT-37.5""]",'SKU明细'!$AE$9:$AE$1592,0)),INDEX('SKU明细'!$G$9:$G$1592,MATCH("[13306,""B07-WT-41-by""]",'SKU明细'!$AE$9:$AE$1592,0)),INDEX('SKU明细'!$G$9:$G$1592,MATCH("[13306,""B07-WT-41.5""]",'SKU明细'!$AE$9:$AE$1592,0)),INDEX('SKU明细'!$G$9:$G$1592,MATCH("[13306,""B07-WT-42-New""]",'SKU明细'!$AE$9:$AE$1592,0)))=6,SUM(INDEX('SKU明细'!$G$9:$G$1592,MATCH("[13306,""B07-WT-37-New""]",'SKU明细'!$AE$9:$AE$1592,0)),INDEX('SKU明细'!$G$9:$G$1592,MATCH("[13306,""B07-WT-38-New""]",'SKU明细'!$AE$9:$AE$1592,0)),INDEX('SKU明细'!$G$9:$G$1592,MATCH("[13306,""B07-WT-37.5""]",'SKU明细'!$AE$9:$AE$1592,0)),INDEX('SKU明细'!$G$9:$G$1592,MATCH("[13306,""B07-WT-41-by""]",'SKU明细'!$AE$9:$AE$1592,0)),INDEX('SKU明细'!$G$9:$G$1592,MATCH("[13306,""B07-WT-41.5""]",'SKU明细'!$AE$9:$AE$1592,0)),INDEX('SKU明细'!$G$9:$G$1592,MATCH("[13306,""B07-WT-42-New""]",'SKU明细'!$AE$9:$AE$1592,0)))&gt;0),SUM(INDEX('SKU明细'!$H$9:$H$1592,MATCH("[13306,""B07-WT-37-New""]",'SKU明细'!$AE$9:$AE$1592,0)),INDEX('SKU明细'!$H$9:$H$1592,MATCH("[13306,""B07-WT-38-New""]",'SKU明细'!$AE$9:$AE$1592,0)),INDEX('SKU明细'!$H$9:$H$1592,MATCH("[13306,""B07-WT-37.5""]",'SKU明细'!$AE$9:$AE$1592,0)),INDEX('SKU明细'!$H$9:$H$1592,MATCH("[13306,""B07-WT-41-by""]",'SKU明细'!$AE$9:$AE$1592,0)),INDEX('SKU明细'!$H$9:$H$1592,MATCH("[13306,""B07-WT-41.5""]",'SKU明细'!$AE$9:$AE$1592,0)),INDEX('SKU明细'!$H$9:$H$1592,MATCH("[13306,""B07-WT-42-New""]",'SKU明细'!$AE$9:$AE$1592,0)))/SUM(INDEX('SKU明细'!$G$9:$G$1592,MATCH("[13306,""B07-WT-37-New""]",'SKU明细'!$AE$9:$AE$1592,0)),INDEX('SKU明细'!$G$9:$G$1592,MATCH("[13306,""B07-WT-38-New""]",'SKU明细'!$AE$9:$AE$1592,0)),INDEX('SKU明细'!$G$9:$G$1592,MATCH("[13306,""B07-WT-37.5""]",'SKU明细'!$AE$9:$AE$1592,0)),INDEX('SKU明细'!$G$9:$G$1592,MATCH("[13306,""B07-WT-41-by""]",'SKU明细'!$AE$9:$AE$1592,0)),INDEX('SKU明细'!$G$9:$G$1592,MATCH("[13306,""B07-WT-41.5""]",'SKU明细'!$AE$9:$AE$1592,0)),INDEX('SKU明细'!$G$9:$G$1592,MATCH("[13306,""B07-WT-42-New""]",'SKU明细'!$AE$9:$AE$1592,0))),"待核")</x:f>
        <x:v>748.5148514851485</x:v>
      </x:c>
      <x:c r="T42" s="21" t="str">
        <x:f>IF(AND(COUNT(INDEX('SKU明细'!$I$9:$I$1592,MATCH("[13306,""B07-WT-37-New""]",'SKU明细'!$AE$9:$AE$1592,0)),INDEX('SKU明细'!$I$9:$I$1592,MATCH("[13306,""B07-WT-38-New""]",'SKU明细'!$AE$9:$AE$1592,0)),INDEX('SKU明细'!$I$9:$I$1592,MATCH("[13306,""B07-WT-37.5""]",'SKU明细'!$AE$9:$AE$1592,0)),INDEX('SKU明细'!$I$9:$I$1592,MATCH("[13306,""B07-WT-41-by""]",'SKU明细'!$AE$9:$AE$1592,0)),INDEX('SKU明细'!$I$9:$I$1592,MATCH("[13306,""B07-WT-41.5""]",'SKU明细'!$AE$9:$AE$1592,0)),INDEX('SKU明细'!$I$9:$I$1592,MATCH("[13306,""B07-WT-42-New""]",'SKU明细'!$AE$9:$AE$1592,0)))=6,COUNT(INDEX('SKU明细'!$AD$9:$AD$1592,MATCH("[13306,""B07-WT-37-New""]",'SKU明细'!$AE$9:$AE$1592,0)),INDEX('SKU明细'!$AD$9:$AD$1592,MATCH("[13306,""B07-WT-38-New""]",'SKU明细'!$AE$9:$AE$1592,0)),INDEX('SKU明细'!$AD$9:$AD$1592,MATCH("[13306,""B07-WT-37.5""]",'SKU明细'!$AE$9:$AE$1592,0)),INDEX('SKU明细'!$AD$9:$AD$1592,MATCH("[13306,""B07-WT-41-by""]",'SKU明细'!$AE$9:$AE$1592,0)),INDEX('SKU明细'!$AD$9:$AD$1592,MATCH("[13306,""B07-WT-41.5""]",'SKU明细'!$AE$9:$AE$1592,0)),INDEX('SKU明细'!$AD$9:$AD$1592,MATCH("[13306,""B07-WT-42-New""]",'SKU明细'!$AE$9:$AE$1592,0)))=6,SUM(INDEX('SKU明细'!$AD$9:$AD$1592,MATCH("[13306,""B07-WT-37-New""]",'SKU明细'!$AE$9:$AE$1592,0)),INDEX('SKU明细'!$AD$9:$AD$1592,MATCH("[13306,""B07-WT-38-New""]",'SKU明细'!$AE$9:$AE$1592,0)),INDEX('SKU明细'!$AD$9:$AD$1592,MATCH("[13306,""B07-WT-37.5""]",'SKU明细'!$AE$9:$AE$1592,0)),INDEX('SKU明细'!$AD$9:$AD$1592,MATCH("[13306,""B07-WT-41-by""]",'SKU明细'!$AE$9:$AE$1592,0)),INDEX('SKU明细'!$AD$9:$AD$1592,MATCH("[13306,""B07-WT-41.5""]",'SKU明细'!$AE$9:$AE$1592,0)),INDEX('SKU明细'!$AD$9:$AD$1592,MATCH("[13306,""B07-WT-42-New""]",'SKU明细'!$AE$9:$AE$1592,0)))&gt;0),SUM(INDEX('SKU明细'!$I$9:$I$1592,MATCH("[13306,""B07-WT-37-New""]",'SKU明细'!$AE$9:$AE$1592,0)),INDEX('SKU明细'!$I$9:$I$1592,MATCH("[13306,""B07-WT-38-New""]",'SKU明细'!$AE$9:$AE$1592,0)),INDEX('SKU明细'!$I$9:$I$1592,MATCH("[13306,""B07-WT-37.5""]",'SKU明细'!$AE$9:$AE$1592,0)),INDEX('SKU明细'!$I$9:$I$1592,MATCH("[13306,""B07-WT-41-by""]",'SKU明细'!$AE$9:$AE$1592,0)),INDEX('SKU明细'!$I$9:$I$1592,MATCH("[13306,""B07-WT-41.5""]",'SKU明细'!$AE$9:$AE$1592,0)),INDEX('SKU明细'!$I$9:$I$1592,MATCH("[13306,""B07-WT-42-New""]",'SKU明细'!$AE$9:$AE$1592,0)))/SUM(INDEX('SKU明细'!$AD$9:$AD$1592,MATCH("[13306,""B07-WT-37-New""]",'SKU明细'!$AE$9:$AE$1592,0)),INDEX('SKU明细'!$AD$9:$AD$1592,MATCH("[13306,""B07-WT-38-New""]",'SKU明细'!$AE$9:$AE$1592,0)),INDEX('SKU明细'!$AD$9:$AD$1592,MATCH("[13306,""B07-WT-37.5""]",'SKU明细'!$AE$9:$AE$1592,0)),INDEX('SKU明细'!$AD$9:$AD$1592,MATCH("[13306,""B07-WT-41-by""]",'SKU明细'!$AE$9:$AE$1592,0)),INDEX('SKU明细'!$AD$9:$AD$1592,MATCH("[13306,""B07-WT-41.5""]",'SKU明细'!$AE$9:$AE$1592,0)),INDEX('SKU明细'!$AD$9:$AD$1592,MATCH("[13306,""B07-WT-42-New""]",'SKU明细'!$AE$9:$AE$1592,0))),"待核")</x:f>
        <x:v>待核</x:v>
      </x:c>
      <x:c r="U42" s="21" t="str">
        <x:f>IF(COUNT(S42:T42)=2,S42-T42,"待核")</x:f>
        <x:v>待核</x:v>
      </x:c>
      <x:c r="V42" s="22" t="str">
        <x:f>IF(AND(ISNUMBER(U42),ISNUMBER(T42),T42&lt;&gt;0),U42/T42,"")</x:f>
      </x:c>
      <x:c r="W42" s="23" t="n">
        <x:f>IF(COUNT(INDEX('SKU明细'!$H$9:$H$1592,MATCH("[13306,""B07-WT-37-New""]",'SKU明细'!$AE$9:$AE$1592,0)),INDEX('SKU明细'!$H$9:$H$1592,MATCH("[13306,""B07-WT-38-New""]",'SKU明细'!$AE$9:$AE$1592,0)),INDEX('SKU明细'!$H$9:$H$1592,MATCH("[13306,""B07-WT-37.5""]",'SKU明细'!$AE$9:$AE$1592,0)),INDEX('SKU明细'!$H$9:$H$1592,MATCH("[13306,""B07-WT-41-by""]",'SKU明细'!$AE$9:$AE$1592,0)),INDEX('SKU明细'!$H$9:$H$1592,MATCH("[13306,""B07-WT-41.5""]",'SKU明细'!$AE$9:$AE$1592,0)),INDEX('SKU明细'!$H$9:$H$1592,MATCH("[13306,""B07-WT-42-New""]",'SKU明细'!$AE$9:$AE$1592,0)))=0,"待核",SUM(INDEX('SKU明细'!$H$9:$H$1592,MATCH("[13306,""B07-WT-37-New""]",'SKU明细'!$AE$9:$AE$1592,0)),INDEX('SKU明细'!$H$9:$H$1592,MATCH("[13306,""B07-WT-38-New""]",'SKU明细'!$AE$9:$AE$1592,0)),INDEX('SKU明细'!$H$9:$H$1592,MATCH("[13306,""B07-WT-37.5""]",'SKU明细'!$AE$9:$AE$1592,0)),INDEX('SKU明细'!$H$9:$H$1592,MATCH("[13306,""B07-WT-41-by""]",'SKU明细'!$AE$9:$AE$1592,0)),INDEX('SKU明细'!$H$9:$H$1592,MATCH("[13306,""B07-WT-41.5""]",'SKU明细'!$AE$9:$AE$1592,0)),INDEX('SKU明细'!$H$9:$H$1592,MATCH("[13306,""B07-WT-42-New""]",'SKU明细'!$AE$9:$AE$1592,0))))</x:f>
        <x:v>36</x:v>
      </x:c>
      <x:c r="X42" s="24" t="str">
        <x:f>IF(COUNTIFS('SKU明细'!$AH$9:$AH$1592,"[""B07"",""B07-WT"",""WT"",""白色PU""]",'SKU明细'!$E$9:$E$1592,"促销")&gt;0,"促销 ","")&amp;IF(COUNTIFS('SKU明细'!$AH$9:$AH$1592,"[""B07"",""B07-WT"",""WT"",""白色PU""]",'SKU明细'!$E$9:$E$1592,"红线促销")&gt;0,"红线促销 ","")&amp;IF(COUNTIFS('SKU明细'!$AH$9:$AH$1592,"[""B07"",""B07-WT"",""WT"",""白色PU""]",'SKU明细'!$E$9:$E$1592,"考虑清仓")&gt;0,"考虑清仓 ","")&amp;IF(COUNTIFS('SKU明细'!$AH$9:$AH$1592,"[""B07"",""B07-WT"",""WT"",""白色PU""]",'SKU明细'!$E$9:$E$1592,"断货")&gt;0,"断货 ","")&amp;IF(COUNTIFS('SKU明细'!$AH$9:$AH$1592,"[""B07"",""B07-WT"",""WT"",""白色PU""]",'SKU明细'!$E$9:$E$1592,"零日销待复核")&gt;0,"零日销待复核 ","")&amp;IF(COUNTIFS('SKU明细'!$AH$9:$AH$1592,"[""B07"",""B07-WT"",""WT"",""白色PU""]",'SKU明细'!$E$9:$E$1592,"数据待核")&gt;0,"数据待核 ","")&amp;IF(COUNTIFS('SKU明细'!$AH$9:$AH$1592,"[""B07"",""B07-WT"",""WT"",""白色PU""]",'SKU明细'!$E$9:$E$1592,"正常库存")&gt;0,"正常库存 ","")&amp;IF(COUNTIFS('SKU明细'!$AH$9:$AH$1592,"[""B07"",""B07-WT"",""WT"",""白色PU""]",'SKU明细'!$E$9:$E$1592,"补货提醒")&gt;0,"补货提醒 ","")</x:f>
        <x:v>促销 红线促销 断货 零日销待复核 </x:v>
      </x:c>
      <x:c r="Y42" s="24" t="str">
        <x:f>IF(NOT(ISNUMBER(U42)),"覆盖待核／无可比基准","完整可比")</x:f>
        <x:v>覆盖待核／无可比基准</x:v>
      </x:c>
      <x:c r="Z42" s="24" t="str">
        <x:v>在售、停售</x:v>
      </x:c>
      <x:c r="AA42" s="24" t="n">
        <x:f>IF(SUMIFS('SKU明细'!$AF$9:$AF$1592,'SKU明细'!$D$9:$D$1592,A42,'SKU明细'!$Z$9:$Z$1592,"&lt;&gt;移出")=0,"待核",SUMIFS('SKU明细'!$H$9:$H$1592,'SKU明细'!$D$9:$D$1592,A42,'SKU明细'!$Z$9:$Z$1592,"&lt;&gt;移出"))</x:f>
        <x:v>2671</x:v>
      </x:c>
    </x:row>
    <x:row r="43" ht="54" customHeight="1">
      <x:c r="A43" s="15" t="str">
        <x:v>2311062</x:v>
      </x:c>
      <x:c r="B43" s="15" t="str">
        <x:v>陈晨</x:v>
      </x:c>
      <x:c r="C43" s="15" t="str">
        <x:v>黑色 PU</x:v>
      </x:c>
      <x:c r="D43" s="15" t="str">
        <x:v>BK-P</x:v>
      </x:c>
      <x:c r="E43" s="15" t="str">
        <x:v>2311062-BK-P-O</x:v>
      </x:c>
      <x:c r="F43" s="15"/>
      <x:c r="G43" s="16" t="str">
        <x:f>"—"</x:f>
        <x:v>—</x:v>
      </x:c>
      <x:c r="H43" s="16" t="n">
        <x:f>IF(AND(COUNT(INDEX('SKU明细'!$H$9:$H$1592,MATCH("[13306,""2311062-BK-P-O-6""]",'SKU明细'!$AE$9:$AE$1592,0)))=1,COUNT(INDEX('SKU明细'!$G$9:$G$1592,MATCH("[13306,""2311062-BK-P-O-6""]",'SKU明细'!$AE$9:$AE$1592,0)))=1,SUM(INDEX('SKU明细'!$G$9:$G$1592,MATCH("[13306,""2311062-BK-P-O-6""]",'SKU明细'!$AE$9:$AE$1592,0)))&gt;0),SUM(INDEX('SKU明细'!$H$9:$H$1592,MATCH("[13306,""2311062-BK-P-O-6""]",'SKU明细'!$AE$9:$AE$1592,0)))/SUM(INDEX('SKU明细'!$G$9:$G$1592,MATCH("[13306,""2311062-BK-P-O-6""]",'SKU明细'!$AE$9:$AE$1592,0))),"待核")</x:f>
        <x:v>97.6441413515189</x:v>
      </x:c>
      <x:c r="I43" s="16" t="str">
        <x:f>"—"</x:f>
        <x:v>—</x:v>
      </x:c>
      <x:c r="J43" s="16" t="n">
        <x:f>IF(AND(COUNT(INDEX('SKU明细'!$H$9:$H$1592,MATCH("[13306,""2311062-BK-P-O-7""]",'SKU明细'!$AE$9:$AE$1592,0)))=1,COUNT(INDEX('SKU明细'!$G$9:$G$1592,MATCH("[13306,""2311062-BK-P-O-7""]",'SKU明细'!$AE$9:$AE$1592,0)))=1,SUM(INDEX('SKU明细'!$G$9:$G$1592,MATCH("[13306,""2311062-BK-P-O-7""]",'SKU明细'!$AE$9:$AE$1592,0)))&gt;0),SUM(INDEX('SKU明细'!$H$9:$H$1592,MATCH("[13306,""2311062-BK-P-O-7""]",'SKU明细'!$AE$9:$AE$1592,0)))/SUM(INDEX('SKU明细'!$G$9:$G$1592,MATCH("[13306,""2311062-BK-P-O-7""]",'SKU明细'!$AE$9:$AE$1592,0))),"待核")</x:f>
        <x:v>158.99497487437185</x:v>
      </x:c>
      <x:c r="K43" s="16" t="str">
        <x:f>"—"</x:f>
        <x:v>—</x:v>
      </x:c>
      <x:c r="L43" s="16" t="n">
        <x:f>IF(AND(COUNT(INDEX('SKU明细'!$H$9:$H$1592,MATCH("[13306,""2311062-BK-P-O-8""]",'SKU明细'!$AE$9:$AE$1592,0)))=1,COUNT(INDEX('SKU明细'!$G$9:$G$1592,MATCH("[13306,""2311062-BK-P-O-8""]",'SKU明细'!$AE$9:$AE$1592,0)))=1,SUM(INDEX('SKU明细'!$G$9:$G$1592,MATCH("[13306,""2311062-BK-P-O-8""]",'SKU明细'!$AE$9:$AE$1592,0)))&gt;0),SUM(INDEX('SKU明细'!$H$9:$H$1592,MATCH("[13306,""2311062-BK-P-O-8""]",'SKU明细'!$AE$9:$AE$1592,0)))/SUM(INDEX('SKU明细'!$G$9:$G$1592,MATCH("[13306,""2311062-BK-P-O-8""]",'SKU明细'!$AE$9:$AE$1592,0))),"待核")</x:f>
        <x:v>95.27326440177252</x:v>
      </x:c>
      <x:c r="M43" s="16" t="str">
        <x:f>"—"</x:f>
        <x:v>—</x:v>
      </x:c>
      <x:c r="N43" s="16" t="n">
        <x:f>IF(AND(COUNT(INDEX('SKU明细'!$H$9:$H$1592,MATCH("[13306,""2311062-BK-P-O-9""]",'SKU明细'!$AE$9:$AE$1592,0)))=1,COUNT(INDEX('SKU明细'!$G$9:$G$1592,MATCH("[13306,""2311062-BK-P-O-9""]",'SKU明细'!$AE$9:$AE$1592,0)))=1,SUM(INDEX('SKU明细'!$G$9:$G$1592,MATCH("[13306,""2311062-BK-P-O-9""]",'SKU明细'!$AE$9:$AE$1592,0)))&gt;0),SUM(INDEX('SKU明细'!$H$9:$H$1592,MATCH("[13306,""2311062-BK-P-O-9""]",'SKU明细'!$AE$9:$AE$1592,0)))/SUM(INDEX('SKU明细'!$G$9:$G$1592,MATCH("[13306,""2311062-BK-P-O-9""]",'SKU明细'!$AE$9:$AE$1592,0))),"待核")</x:f>
        <x:v>64.63223787167449</x:v>
      </x:c>
      <x:c r="O43" s="16" t="str">
        <x:f>"—"</x:f>
        <x:v>—</x:v>
      </x:c>
      <x:c r="P43" s="16" t="n">
        <x:f>IF(AND(COUNT(INDEX('SKU明细'!$H$9:$H$1592,MATCH("[13306,""2311062-BK-P-O-10""]",'SKU明细'!$AE$9:$AE$1592,0)))=1,COUNT(INDEX('SKU明细'!$G$9:$G$1592,MATCH("[13306,""2311062-BK-P-O-10""]",'SKU明细'!$AE$9:$AE$1592,0)))=1,SUM(INDEX('SKU明细'!$G$9:$G$1592,MATCH("[13306,""2311062-BK-P-O-10""]",'SKU明细'!$AE$9:$AE$1592,0)))&gt;0),SUM(INDEX('SKU明细'!$H$9:$H$1592,MATCH("[13306,""2311062-BK-P-O-10""]",'SKU明细'!$AE$9:$AE$1592,0)))/SUM(INDEX('SKU明细'!$G$9:$G$1592,MATCH("[13306,""2311062-BK-P-O-10""]",'SKU明细'!$AE$9:$AE$1592,0))),"待核")</x:f>
        <x:v>309.6408317580341</x:v>
      </x:c>
      <x:c r="Q43" s="16" t="str">
        <x:f>"—"</x:f>
        <x:v>—</x:v>
      </x:c>
      <x:c r="R43" s="16" t="n">
        <x:f>IF(AND(COUNT(INDEX('SKU明细'!$H$9:$H$1592,MATCH("[13306,""2311062-BK-P-O-11""]",'SKU明细'!$AE$9:$AE$1592,0)))=1,COUNT(INDEX('SKU明细'!$G$9:$G$1592,MATCH("[13306,""2311062-BK-P-O-11""]",'SKU明细'!$AE$9:$AE$1592,0)))=1,SUM(INDEX('SKU明细'!$G$9:$G$1592,MATCH("[13306,""2311062-BK-P-O-11""]",'SKU明细'!$AE$9:$AE$1592,0)))&gt;0),SUM(INDEX('SKU明细'!$H$9:$H$1592,MATCH("[13306,""2311062-BK-P-O-11""]",'SKU明细'!$AE$9:$AE$1592,0)))/SUM(INDEX('SKU明细'!$G$9:$G$1592,MATCH("[13306,""2311062-BK-P-O-11""]",'SKU明细'!$AE$9:$AE$1592,0))),"待核")</x:f>
        <x:v>232.0754716981132</x:v>
      </x:c>
      <x:c r="S43" s="16" t="n">
        <x:f>IF(AND(COUNT(INDEX('SKU明细'!$H$9:$H$1592,MATCH("[13306,""2311062-BK-P-O-10""]",'SKU明细'!$AE$9:$AE$1592,0)),INDEX('SKU明细'!$H$9:$H$1592,MATCH("[13306,""2311062-BK-P-O-11""]",'SKU明细'!$AE$9:$AE$1592,0)),INDEX('SKU明细'!$H$9:$H$1592,MATCH("[13306,""2311062-BK-P-O-6""]",'SKU明细'!$AE$9:$AE$1592,0)),INDEX('SKU明细'!$H$9:$H$1592,MATCH("[13306,""2311062-BK-P-O-7""]",'SKU明细'!$AE$9:$AE$1592,0)),INDEX('SKU明细'!$H$9:$H$1592,MATCH("[13306,""2311062-BK-P-O-8""]",'SKU明细'!$AE$9:$AE$1592,0)),INDEX('SKU明细'!$H$9:$H$1592,MATCH("[13306,""2311062-BK-P-O-9""]",'SKU明细'!$AE$9:$AE$1592,0)))=6,COUNT(INDEX('SKU明细'!$G$9:$G$1592,MATCH("[13306,""2311062-BK-P-O-10""]",'SKU明细'!$AE$9:$AE$1592,0)),INDEX('SKU明细'!$G$9:$G$1592,MATCH("[13306,""2311062-BK-P-O-11""]",'SKU明细'!$AE$9:$AE$1592,0)),INDEX('SKU明细'!$G$9:$G$1592,MATCH("[13306,""2311062-BK-P-O-6""]",'SKU明细'!$AE$9:$AE$1592,0)),INDEX('SKU明细'!$G$9:$G$1592,MATCH("[13306,""2311062-BK-P-O-7""]",'SKU明细'!$AE$9:$AE$1592,0)),INDEX('SKU明细'!$G$9:$G$1592,MATCH("[13306,""2311062-BK-P-O-8""]",'SKU明细'!$AE$9:$AE$1592,0)),INDEX('SKU明细'!$G$9:$G$1592,MATCH("[13306,""2311062-BK-P-O-9""]",'SKU明细'!$AE$9:$AE$1592,0)))=6,SUM(INDEX('SKU明细'!$G$9:$G$1592,MATCH("[13306,""2311062-BK-P-O-10""]",'SKU明细'!$AE$9:$AE$1592,0)),INDEX('SKU明细'!$G$9:$G$1592,MATCH("[13306,""2311062-BK-P-O-11""]",'SKU明细'!$AE$9:$AE$1592,0)),INDEX('SKU明细'!$G$9:$G$1592,MATCH("[13306,""2311062-BK-P-O-6""]",'SKU明细'!$AE$9:$AE$1592,0)),INDEX('SKU明细'!$G$9:$G$1592,MATCH("[13306,""2311062-BK-P-O-7""]",'SKU明细'!$AE$9:$AE$1592,0)),INDEX('SKU明细'!$G$9:$G$1592,MATCH("[13306,""2311062-BK-P-O-8""]",'SKU明细'!$AE$9:$AE$1592,0)),INDEX('SKU明细'!$G$9:$G$1592,MATCH("[13306,""2311062-BK-P-O-9""]",'SKU明细'!$AE$9:$AE$1592,0)))&gt;0),SUM(INDEX('SKU明细'!$H$9:$H$1592,MATCH("[13306,""2311062-BK-P-O-10""]",'SKU明细'!$AE$9:$AE$1592,0)),INDEX('SKU明细'!$H$9:$H$1592,MATCH("[13306,""2311062-BK-P-O-11""]",'SKU明细'!$AE$9:$AE$1592,0)),INDEX('SKU明细'!$H$9:$H$1592,MATCH("[13306,""2311062-BK-P-O-6""]",'SKU明细'!$AE$9:$AE$1592,0)),INDEX('SKU明细'!$H$9:$H$1592,MATCH("[13306,""2311062-BK-P-O-7""]",'SKU明细'!$AE$9:$AE$1592,0)),INDEX('SKU明细'!$H$9:$H$1592,MATCH("[13306,""2311062-BK-P-O-8""]",'SKU明细'!$AE$9:$AE$1592,0)),INDEX('SKU明细'!$H$9:$H$1592,MATCH("[13306,""2311062-BK-P-O-9""]",'SKU明细'!$AE$9:$AE$1592,0)))/SUM(INDEX('SKU明细'!$G$9:$G$1592,MATCH("[13306,""2311062-BK-P-O-10""]",'SKU明细'!$AE$9:$AE$1592,0)),INDEX('SKU明细'!$G$9:$G$1592,MATCH("[13306,""2311062-BK-P-O-11""]",'SKU明细'!$AE$9:$AE$1592,0)),INDEX('SKU明细'!$G$9:$G$1592,MATCH("[13306,""2311062-BK-P-O-6""]",'SKU明细'!$AE$9:$AE$1592,0)),INDEX('SKU明细'!$G$9:$G$1592,MATCH("[13306,""2311062-BK-P-O-7""]",'SKU明细'!$AE$9:$AE$1592,0)),INDEX('SKU明细'!$G$9:$G$1592,MATCH("[13306,""2311062-BK-P-O-8""]",'SKU明细'!$AE$9:$AE$1592,0)),INDEX('SKU明细'!$G$9:$G$1592,MATCH("[13306,""2311062-BK-P-O-9""]",'SKU明细'!$AE$9:$AE$1592,0))),"待核")</x:f>
        <x:v>115.45492314083921</x:v>
      </x:c>
      <x:c r="T43" s="16" t="n">
        <x:f>IF(AND(COUNT(INDEX('SKU明细'!$I$9:$I$1592,MATCH("[13306,""2311062-BK-P-O-10""]",'SKU明细'!$AE$9:$AE$1592,0)),INDEX('SKU明细'!$I$9:$I$1592,MATCH("[13306,""2311062-BK-P-O-11""]",'SKU明细'!$AE$9:$AE$1592,0)),INDEX('SKU明细'!$I$9:$I$1592,MATCH("[13306,""2311062-BK-P-O-6""]",'SKU明细'!$AE$9:$AE$1592,0)),INDEX('SKU明细'!$I$9:$I$1592,MATCH("[13306,""2311062-BK-P-O-7""]",'SKU明细'!$AE$9:$AE$1592,0)),INDEX('SKU明细'!$I$9:$I$1592,MATCH("[13306,""2311062-BK-P-O-8""]",'SKU明细'!$AE$9:$AE$1592,0)),INDEX('SKU明细'!$I$9:$I$1592,MATCH("[13306,""2311062-BK-P-O-9""]",'SKU明细'!$AE$9:$AE$1592,0)))=6,COUNT(INDEX('SKU明细'!$AD$9:$AD$1592,MATCH("[13306,""2311062-BK-P-O-10""]",'SKU明细'!$AE$9:$AE$1592,0)),INDEX('SKU明细'!$AD$9:$AD$1592,MATCH("[13306,""2311062-BK-P-O-11""]",'SKU明细'!$AE$9:$AE$1592,0)),INDEX('SKU明细'!$AD$9:$AD$1592,MATCH("[13306,""2311062-BK-P-O-6""]",'SKU明细'!$AE$9:$AE$1592,0)),INDEX('SKU明细'!$AD$9:$AD$1592,MATCH("[13306,""2311062-BK-P-O-7""]",'SKU明细'!$AE$9:$AE$1592,0)),INDEX('SKU明细'!$AD$9:$AD$1592,MATCH("[13306,""2311062-BK-P-O-8""]",'SKU明细'!$AE$9:$AE$1592,0)),INDEX('SKU明细'!$AD$9:$AD$1592,MATCH("[13306,""2311062-BK-P-O-9""]",'SKU明细'!$AE$9:$AE$1592,0)))=6,SUM(INDEX('SKU明细'!$AD$9:$AD$1592,MATCH("[13306,""2311062-BK-P-O-10""]",'SKU明细'!$AE$9:$AE$1592,0)),INDEX('SKU明细'!$AD$9:$AD$1592,MATCH("[13306,""2311062-BK-P-O-11""]",'SKU明细'!$AE$9:$AE$1592,0)),INDEX('SKU明细'!$AD$9:$AD$1592,MATCH("[13306,""2311062-BK-P-O-6""]",'SKU明细'!$AE$9:$AE$1592,0)),INDEX('SKU明细'!$AD$9:$AD$1592,MATCH("[13306,""2311062-BK-P-O-7""]",'SKU明细'!$AE$9:$AE$1592,0)),INDEX('SKU明细'!$AD$9:$AD$1592,MATCH("[13306,""2311062-BK-P-O-8""]",'SKU明细'!$AE$9:$AE$1592,0)),INDEX('SKU明细'!$AD$9:$AD$1592,MATCH("[13306,""2311062-BK-P-O-9""]",'SKU明细'!$AE$9:$AE$1592,0)))&gt;0),SUM(INDEX('SKU明细'!$I$9:$I$1592,MATCH("[13306,""2311062-BK-P-O-10""]",'SKU明细'!$AE$9:$AE$1592,0)),INDEX('SKU明细'!$I$9:$I$1592,MATCH("[13306,""2311062-BK-P-O-11""]",'SKU明细'!$AE$9:$AE$1592,0)),INDEX('SKU明细'!$I$9:$I$1592,MATCH("[13306,""2311062-BK-P-O-6""]",'SKU明细'!$AE$9:$AE$1592,0)),INDEX('SKU明细'!$I$9:$I$1592,MATCH("[13306,""2311062-BK-P-O-7""]",'SKU明细'!$AE$9:$AE$1592,0)),INDEX('SKU明细'!$I$9:$I$1592,MATCH("[13306,""2311062-BK-P-O-8""]",'SKU明细'!$AE$9:$AE$1592,0)),INDEX('SKU明细'!$I$9:$I$1592,MATCH("[13306,""2311062-BK-P-O-9""]",'SKU明细'!$AE$9:$AE$1592,0)))/SUM(INDEX('SKU明细'!$AD$9:$AD$1592,MATCH("[13306,""2311062-BK-P-O-10""]",'SKU明细'!$AE$9:$AE$1592,0)),INDEX('SKU明细'!$AD$9:$AD$1592,MATCH("[13306,""2311062-BK-P-O-11""]",'SKU明细'!$AE$9:$AE$1592,0)),INDEX('SKU明细'!$AD$9:$AD$1592,MATCH("[13306,""2311062-BK-P-O-6""]",'SKU明细'!$AE$9:$AE$1592,0)),INDEX('SKU明细'!$AD$9:$AD$1592,MATCH("[13306,""2311062-BK-P-O-7""]",'SKU明细'!$AE$9:$AE$1592,0)),INDEX('SKU明细'!$AD$9:$AD$1592,MATCH("[13306,""2311062-BK-P-O-8""]",'SKU明细'!$AE$9:$AE$1592,0)),INDEX('SKU明细'!$AD$9:$AD$1592,MATCH("[13306,""2311062-BK-P-O-9""]",'SKU明细'!$AE$9:$AE$1592,0))),"待核")</x:f>
        <x:v>100.26054503204</x:v>
      </x:c>
      <x:c r="U43" s="16" t="n">
        <x:f>IF(COUNT(S43:T43)=2,S43-T43,"待核")</x:f>
        <x:v>15.194378108799214</x:v>
      </x:c>
      <x:c r="V43" s="17" t="n">
        <x:f>IF(AND(ISNUMBER(U43),ISNUMBER(T43),T43&lt;&gt;0),U43/T43,"")</x:f>
        <x:v>0.15154892788527716</x:v>
      </x:c>
      <x:c r="W43" s="18" t="n">
        <x:f>IF(COUNT(INDEX('SKU明细'!$H$9:$H$1592,MATCH("[13306,""2311062-BK-P-O-10""]",'SKU明细'!$AE$9:$AE$1592,0)),INDEX('SKU明细'!$H$9:$H$1592,MATCH("[13306,""2311062-BK-P-O-11""]",'SKU明细'!$AE$9:$AE$1592,0)),INDEX('SKU明细'!$H$9:$H$1592,MATCH("[13306,""2311062-BK-P-O-6""]",'SKU明细'!$AE$9:$AE$1592,0)),INDEX('SKU明细'!$H$9:$H$1592,MATCH("[13306,""2311062-BK-P-O-7""]",'SKU明细'!$AE$9:$AE$1592,0)),INDEX('SKU明细'!$H$9:$H$1592,MATCH("[13306,""2311062-BK-P-O-8""]",'SKU明细'!$AE$9:$AE$1592,0)),INDEX('SKU明细'!$H$9:$H$1592,MATCH("[13306,""2311062-BK-P-O-9""]",'SKU明细'!$AE$9:$AE$1592,0)))=0,"待核",SUM(INDEX('SKU明细'!$H$9:$H$1592,MATCH("[13306,""2311062-BK-P-O-10""]",'SKU明细'!$AE$9:$AE$1592,0)),INDEX('SKU明细'!$H$9:$H$1592,MATCH("[13306,""2311062-BK-P-O-11""]",'SKU明细'!$AE$9:$AE$1592,0)),INDEX('SKU明细'!$H$9:$H$1592,MATCH("[13306,""2311062-BK-P-O-6""]",'SKU明细'!$AE$9:$AE$1592,0)),INDEX('SKU明细'!$H$9:$H$1592,MATCH("[13306,""2311062-BK-P-O-7""]",'SKU明细'!$AE$9:$AE$1592,0)),INDEX('SKU明细'!$H$9:$H$1592,MATCH("[13306,""2311062-BK-P-O-8""]",'SKU明细'!$AE$9:$AE$1592,0)),INDEX('SKU明细'!$H$9:$H$1592,MATCH("[13306,""2311062-BK-P-O-9""]",'SKU明细'!$AE$9:$AE$1592,0))))</x:f>
        <x:v>794</x:v>
      </x:c>
      <x:c r="X43" s="19" t="str">
        <x:f>IF(COUNTIFS('SKU明细'!$AH$9:$AH$1592,"[""2311062"",""2311062-BK-P-O"",""BK-P"",""黑色 PU""]",'SKU明细'!$E$9:$E$1592,"促销")&gt;0,"促销 ","")&amp;IF(COUNTIFS('SKU明细'!$AH$9:$AH$1592,"[""2311062"",""2311062-BK-P-O"",""BK-P"",""黑色 PU""]",'SKU明细'!$E$9:$E$1592,"红线促销")&gt;0,"红线促销 ","")&amp;IF(COUNTIFS('SKU明细'!$AH$9:$AH$1592,"[""2311062"",""2311062-BK-P-O"",""BK-P"",""黑色 PU""]",'SKU明细'!$E$9:$E$1592,"考虑清仓")&gt;0,"考虑清仓 ","")&amp;IF(COUNTIFS('SKU明细'!$AH$9:$AH$1592,"[""2311062"",""2311062-BK-P-O"",""BK-P"",""黑色 PU""]",'SKU明细'!$E$9:$E$1592,"断货")&gt;0,"断货 ","")&amp;IF(COUNTIFS('SKU明细'!$AH$9:$AH$1592,"[""2311062"",""2311062-BK-P-O"",""BK-P"",""黑色 PU""]",'SKU明细'!$E$9:$E$1592,"零日销待复核")&gt;0,"零日销待复核 ","")&amp;IF(COUNTIFS('SKU明细'!$AH$9:$AH$1592,"[""2311062"",""2311062-BK-P-O"",""BK-P"",""黑色 PU""]",'SKU明细'!$E$9:$E$1592,"数据待核")&gt;0,"数据待核 ","")&amp;IF(COUNTIFS('SKU明细'!$AH$9:$AH$1592,"[""2311062"",""2311062-BK-P-O"",""BK-P"",""黑色 PU""]",'SKU明细'!$E$9:$E$1592,"正常库存")&gt;0,"正常库存 ","")&amp;IF(COUNTIFS('SKU明细'!$AH$9:$AH$1592,"[""2311062"",""2311062-BK-P-O"",""BK-P"",""黑色 PU""]",'SKU明细'!$E$9:$E$1592,"补货提醒")&gt;0,"补货提醒 ","")</x:f>
        <x:v>促销 红线促销 正常库存 </x:v>
      </x:c>
      <x:c r="Y43" s="19" t="str">
        <x:f>IF(NOT(ISNUMBER(U43)),"覆盖待核／无可比基准","完整可比")</x:f>
        <x:v>完整可比</x:v>
      </x:c>
      <x:c r="Z43" s="19" t="str">
        <x:v>在售</x:v>
      </x:c>
      <x:c r="AA43" s="19" t="n">
        <x:f>IF(SUMIFS('SKU明细'!$AF$9:$AF$1592,'SKU明细'!$D$9:$D$1592,A43,'SKU明细'!$Z$9:$Z$1592,"&lt;&gt;移出")=0,"待核",SUMIFS('SKU明细'!$H$9:$H$1592,'SKU明细'!$D$9:$D$1592,A43,'SKU明细'!$Z$9:$Z$1592,"&lt;&gt;移出"))</x:f>
        <x:v>2191</x:v>
      </x:c>
    </x:row>
    <x:row r="44" ht="54" customHeight="1">
      <x:c r="A44" s="15" t="str">
        <x:v>2311062</x:v>
      </x:c>
      <x:c r="B44" s="15" t="str">
        <x:v>陈晨</x:v>
      </x:c>
      <x:c r="C44" s="15" t="str">
        <x:v>棕色锦纶</x:v>
      </x:c>
      <x:c r="D44" s="15" t="str">
        <x:v>BR-V</x:v>
      </x:c>
      <x:c r="E44" s="15" t="str">
        <x:v>2311062-BR-V-O</x:v>
      </x:c>
      <x:c r="F44" s="15"/>
      <x:c r="G44" s="16" t="str">
        <x:f>"—"</x:f>
        <x:v>—</x:v>
      </x:c>
      <x:c r="H44" s="16" t="n">
        <x:f>IF(AND(COUNT(INDEX('SKU明细'!$H$9:$H$1592,MATCH("[13306,""2311062-BR-V-O-6""]",'SKU明细'!$AE$9:$AE$1592,0)))=1,COUNT(INDEX('SKU明细'!$G$9:$G$1592,MATCH("[13306,""2311062-BR-V-O-6""]",'SKU明细'!$AE$9:$AE$1592,0)))=1,SUM(INDEX('SKU明细'!$G$9:$G$1592,MATCH("[13306,""2311062-BR-V-O-6""]",'SKU明细'!$AE$9:$AE$1592,0)))&gt;0),SUM(INDEX('SKU明细'!$H$9:$H$1592,MATCH("[13306,""2311062-BR-V-O-6""]",'SKU明细'!$AE$9:$AE$1592,0)))/SUM(INDEX('SKU明细'!$G$9:$G$1592,MATCH("[13306,""2311062-BR-V-O-6""]",'SKU明细'!$AE$9:$AE$1592,0))),"待核")</x:f>
        <x:v>889.8305084745763</x:v>
      </x:c>
      <x:c r="I44" s="16" t="str">
        <x:f>"—"</x:f>
        <x:v>—</x:v>
      </x:c>
      <x:c r="J44" s="16" t="n">
        <x:f>IF(AND(COUNT(INDEX('SKU明细'!$H$9:$H$1592,MATCH("[13306,""2311062-BR-V-O-7""]",'SKU明细'!$AE$9:$AE$1592,0)))=1,COUNT(INDEX('SKU明细'!$G$9:$G$1592,MATCH("[13306,""2311062-BR-V-O-7""]",'SKU明细'!$AE$9:$AE$1592,0)))=1,SUM(INDEX('SKU明细'!$G$9:$G$1592,MATCH("[13306,""2311062-BR-V-O-7""]",'SKU明细'!$AE$9:$AE$1592,0)))&gt;0),SUM(INDEX('SKU明细'!$H$9:$H$1592,MATCH("[13306,""2311062-BR-V-O-7""]",'SKU明细'!$AE$9:$AE$1592,0)))/SUM(INDEX('SKU明细'!$G$9:$G$1592,MATCH("[13306,""2311062-BR-V-O-7""]",'SKU明细'!$AE$9:$AE$1592,0))),"待核")</x:f>
        <x:v>375</x:v>
      </x:c>
      <x:c r="K44" s="16" t="str">
        <x:f>"—"</x:f>
        <x:v>—</x:v>
      </x:c>
      <x:c r="L44" s="16" t="n">
        <x:f>IF(AND(COUNT(INDEX('SKU明细'!$H$9:$H$1592,MATCH("[13306,""2311062-BR-V-O-8""]",'SKU明细'!$AE$9:$AE$1592,0)))=1,COUNT(INDEX('SKU明细'!$G$9:$G$1592,MATCH("[13306,""2311062-BR-V-O-8""]",'SKU明细'!$AE$9:$AE$1592,0)))=1,SUM(INDEX('SKU明细'!$G$9:$G$1592,MATCH("[13306,""2311062-BR-V-O-8""]",'SKU明细'!$AE$9:$AE$1592,0)))&gt;0),SUM(INDEX('SKU明细'!$H$9:$H$1592,MATCH("[13306,""2311062-BR-V-O-8""]",'SKU明细'!$AE$9:$AE$1592,0)))/SUM(INDEX('SKU明细'!$G$9:$G$1592,MATCH("[13306,""2311062-BR-V-O-8""]",'SKU明细'!$AE$9:$AE$1592,0))),"待核")</x:f>
        <x:v>891.7808219178083</x:v>
      </x:c>
      <x:c r="M44" s="16" t="str">
        <x:f>"—"</x:f>
        <x:v>—</x:v>
      </x:c>
      <x:c r="N44" s="16" t="n">
        <x:f>IF(AND(COUNT(INDEX('SKU明细'!$H$9:$H$1592,MATCH("[13306,""2311062-BR-V-O-9""]",'SKU明细'!$AE$9:$AE$1592,0)))=1,COUNT(INDEX('SKU明细'!$G$9:$G$1592,MATCH("[13306,""2311062-BR-V-O-9""]",'SKU明细'!$AE$9:$AE$1592,0)))=1,SUM(INDEX('SKU明细'!$G$9:$G$1592,MATCH("[13306,""2311062-BR-V-O-9""]",'SKU明细'!$AE$9:$AE$1592,0)))&gt;0),SUM(INDEX('SKU明细'!$H$9:$H$1592,MATCH("[13306,""2311062-BR-V-O-9""]",'SKU明细'!$AE$9:$AE$1592,0)))/SUM(INDEX('SKU明细'!$G$9:$G$1592,MATCH("[13306,""2311062-BR-V-O-9""]",'SKU明细'!$AE$9:$AE$1592,0))),"待核")</x:f>
        <x:v>5550</x:v>
      </x:c>
      <x:c r="O44" s="16" t="str">
        <x:f>"—"</x:f>
        <x:v>—</x:v>
      </x:c>
      <x:c r="P44" s="16" t="n">
        <x:f>IF(AND(COUNT(INDEX('SKU明细'!$H$9:$H$1592,MATCH("[13306,""2311062-BR-V-O-10""]",'SKU明细'!$AE$9:$AE$1592,0)))=1,COUNT(INDEX('SKU明细'!$G$9:$G$1592,MATCH("[13306,""2311062-BR-V-O-10""]",'SKU明细'!$AE$9:$AE$1592,0)))=1,SUM(INDEX('SKU明细'!$G$9:$G$1592,MATCH("[13306,""2311062-BR-V-O-10""]",'SKU明细'!$AE$9:$AE$1592,0)))&gt;0),SUM(INDEX('SKU明细'!$H$9:$H$1592,MATCH("[13306,""2311062-BR-V-O-10""]",'SKU明细'!$AE$9:$AE$1592,0)))/SUM(INDEX('SKU明细'!$G$9:$G$1592,MATCH("[13306,""2311062-BR-V-O-10""]",'SKU明细'!$AE$9:$AE$1592,0))),"待核")</x:f>
        <x:v>456.5217391304348</x:v>
      </x:c>
      <x:c r="Q44" s="16" t="str">
        <x:f>"—"</x:f>
        <x:v>—</x:v>
      </x:c>
      <x:c r="R44" s="16" t="str">
        <x:f>IF(AND(COUNT(INDEX('SKU明细'!$H$9:$H$1592,MATCH("[13306,""2311062-BR-V-O-11""]",'SKU明细'!$AE$9:$AE$1592,0)))=1,COUNT(INDEX('SKU明细'!$G$9:$G$1592,MATCH("[13306,""2311062-BR-V-O-11""]",'SKU明细'!$AE$9:$AE$1592,0)))=1,SUM(INDEX('SKU明细'!$G$9:$G$1592,MATCH("[13306,""2311062-BR-V-O-11""]",'SKU明细'!$AE$9:$AE$1592,0)))&gt;0),SUM(INDEX('SKU明细'!$H$9:$H$1592,MATCH("[13306,""2311062-BR-V-O-11""]",'SKU明细'!$AE$9:$AE$1592,0)))/SUM(INDEX('SKU明细'!$G$9:$G$1592,MATCH("[13306,""2311062-BR-V-O-11""]",'SKU明细'!$AE$9:$AE$1592,0))),"待核")</x:f>
        <x:v>待核</x:v>
      </x:c>
      <x:c r="S44" s="16" t="str">
        <x:f>IF(AND(COUNT(INDEX('SKU明细'!$H$9:$H$1592,MATCH("[13306,""2311062-BR-V-O-10""]",'SKU明细'!$AE$9:$AE$1592,0)),INDEX('SKU明细'!$H$9:$H$1592,MATCH("[13306,""2311062-BR-V-O-6""]",'SKU明细'!$AE$9:$AE$1592,0)),INDEX('SKU明细'!$H$9:$H$1592,MATCH("[13306,""2311062-BR-V-O-7""]",'SKU明细'!$AE$9:$AE$1592,0)),INDEX('SKU明细'!$H$9:$H$1592,MATCH("[13306,""2311062-BR-V-O-8""]",'SKU明细'!$AE$9:$AE$1592,0)),INDEX('SKU明细'!$H$9:$H$1592,MATCH("[13306,""2311062-BR-V-O-9""]",'SKU明细'!$AE$9:$AE$1592,0)),INDEX('SKU明细'!$H$9:$H$1592,MATCH("[13306,""2311062-BR-V-O-11""]",'SKU明细'!$AE$9:$AE$1592,0)))=6,COUNT(INDEX('SKU明细'!$G$9:$G$1592,MATCH("[13306,""2311062-BR-V-O-10""]",'SKU明细'!$AE$9:$AE$1592,0)),INDEX('SKU明细'!$G$9:$G$1592,MATCH("[13306,""2311062-BR-V-O-6""]",'SKU明细'!$AE$9:$AE$1592,0)),INDEX('SKU明细'!$G$9:$G$1592,MATCH("[13306,""2311062-BR-V-O-7""]",'SKU明细'!$AE$9:$AE$1592,0)),INDEX('SKU明细'!$G$9:$G$1592,MATCH("[13306,""2311062-BR-V-O-8""]",'SKU明细'!$AE$9:$AE$1592,0)),INDEX('SKU明细'!$G$9:$G$1592,MATCH("[13306,""2311062-BR-V-O-9""]",'SKU明细'!$AE$9:$AE$1592,0)),INDEX('SKU明细'!$G$9:$G$1592,MATCH("[13306,""2311062-BR-V-O-11""]",'SKU明细'!$AE$9:$AE$1592,0)))=6,SUM(INDEX('SKU明细'!$G$9:$G$1592,MATCH("[13306,""2311062-BR-V-O-10""]",'SKU明细'!$AE$9:$AE$1592,0)),INDEX('SKU明细'!$G$9:$G$1592,MATCH("[13306,""2311062-BR-V-O-6""]",'SKU明细'!$AE$9:$AE$1592,0)),INDEX('SKU明细'!$G$9:$G$1592,MATCH("[13306,""2311062-BR-V-O-7""]",'SKU明细'!$AE$9:$AE$1592,0)),INDEX('SKU明细'!$G$9:$G$1592,MATCH("[13306,""2311062-BR-V-O-8""]",'SKU明细'!$AE$9:$AE$1592,0)),INDEX('SKU明细'!$G$9:$G$1592,MATCH("[13306,""2311062-BR-V-O-9""]",'SKU明细'!$AE$9:$AE$1592,0)),INDEX('SKU明细'!$G$9:$G$1592,MATCH("[13306,""2311062-BR-V-O-11""]",'SKU明细'!$AE$9:$AE$1592,0)))&gt;0),SUM(INDEX('SKU明细'!$H$9:$H$1592,MATCH("[13306,""2311062-BR-V-O-10""]",'SKU明细'!$AE$9:$AE$1592,0)),INDEX('SKU明细'!$H$9:$H$1592,MATCH("[13306,""2311062-BR-V-O-6""]",'SKU明细'!$AE$9:$AE$1592,0)),INDEX('SKU明细'!$H$9:$H$1592,MATCH("[13306,""2311062-BR-V-O-7""]",'SKU明细'!$AE$9:$AE$1592,0)),INDEX('SKU明细'!$H$9:$H$1592,MATCH("[13306,""2311062-BR-V-O-8""]",'SKU明细'!$AE$9:$AE$1592,0)),INDEX('SKU明细'!$H$9:$H$1592,MATCH("[13306,""2311062-BR-V-O-9""]",'SKU明细'!$AE$9:$AE$1592,0)),INDEX('SKU明细'!$H$9:$H$1592,MATCH("[13306,""2311062-BR-V-O-11""]",'SKU明细'!$AE$9:$AE$1592,0)))/SUM(INDEX('SKU明细'!$G$9:$G$1592,MATCH("[13306,""2311062-BR-V-O-10""]",'SKU明细'!$AE$9:$AE$1592,0)),INDEX('SKU明细'!$G$9:$G$1592,MATCH("[13306,""2311062-BR-V-O-6""]",'SKU明细'!$AE$9:$AE$1592,0)),INDEX('SKU明细'!$G$9:$G$1592,MATCH("[13306,""2311062-BR-V-O-7""]",'SKU明细'!$AE$9:$AE$1592,0)),INDEX('SKU明细'!$G$9:$G$1592,MATCH("[13306,""2311062-BR-V-O-8""]",'SKU明细'!$AE$9:$AE$1592,0)),INDEX('SKU明细'!$G$9:$G$1592,MATCH("[13306,""2311062-BR-V-O-9""]",'SKU明细'!$AE$9:$AE$1592,0)),INDEX('SKU明细'!$G$9:$G$1592,MATCH("[13306,""2311062-BR-V-O-11""]",'SKU明细'!$AE$9:$AE$1592,0))),"待核")</x:f>
        <x:v>待核</x:v>
      </x:c>
      <x:c r="T44" s="16" t="str">
        <x:f>IF(AND(COUNT(INDEX('SKU明细'!$I$9:$I$1592,MATCH("[13306,""2311062-BR-V-O-10""]",'SKU明细'!$AE$9:$AE$1592,0)),INDEX('SKU明细'!$I$9:$I$1592,MATCH("[13306,""2311062-BR-V-O-6""]",'SKU明细'!$AE$9:$AE$1592,0)),INDEX('SKU明细'!$I$9:$I$1592,MATCH("[13306,""2311062-BR-V-O-7""]",'SKU明细'!$AE$9:$AE$1592,0)),INDEX('SKU明细'!$I$9:$I$1592,MATCH("[13306,""2311062-BR-V-O-8""]",'SKU明细'!$AE$9:$AE$1592,0)),INDEX('SKU明细'!$I$9:$I$1592,MATCH("[13306,""2311062-BR-V-O-9""]",'SKU明细'!$AE$9:$AE$1592,0)),INDEX('SKU明细'!$I$9:$I$1592,MATCH("[13306,""2311062-BR-V-O-11""]",'SKU明细'!$AE$9:$AE$1592,0)))=6,COUNT(INDEX('SKU明细'!$AD$9:$AD$1592,MATCH("[13306,""2311062-BR-V-O-10""]",'SKU明细'!$AE$9:$AE$1592,0)),INDEX('SKU明细'!$AD$9:$AD$1592,MATCH("[13306,""2311062-BR-V-O-6""]",'SKU明细'!$AE$9:$AE$1592,0)),INDEX('SKU明细'!$AD$9:$AD$1592,MATCH("[13306,""2311062-BR-V-O-7""]",'SKU明细'!$AE$9:$AE$1592,0)),INDEX('SKU明细'!$AD$9:$AD$1592,MATCH("[13306,""2311062-BR-V-O-8""]",'SKU明细'!$AE$9:$AE$1592,0)),INDEX('SKU明细'!$AD$9:$AD$1592,MATCH("[13306,""2311062-BR-V-O-9""]",'SKU明细'!$AE$9:$AE$1592,0)),INDEX('SKU明细'!$AD$9:$AD$1592,MATCH("[13306,""2311062-BR-V-O-11""]",'SKU明细'!$AE$9:$AE$1592,0)))=6,SUM(INDEX('SKU明细'!$AD$9:$AD$1592,MATCH("[13306,""2311062-BR-V-O-10""]",'SKU明细'!$AE$9:$AE$1592,0)),INDEX('SKU明细'!$AD$9:$AD$1592,MATCH("[13306,""2311062-BR-V-O-6""]",'SKU明细'!$AE$9:$AE$1592,0)),INDEX('SKU明细'!$AD$9:$AD$1592,MATCH("[13306,""2311062-BR-V-O-7""]",'SKU明细'!$AE$9:$AE$1592,0)),INDEX('SKU明细'!$AD$9:$AD$1592,MATCH("[13306,""2311062-BR-V-O-8""]",'SKU明细'!$AE$9:$AE$1592,0)),INDEX('SKU明细'!$AD$9:$AD$1592,MATCH("[13306,""2311062-BR-V-O-9""]",'SKU明细'!$AE$9:$AE$1592,0)),INDEX('SKU明细'!$AD$9:$AD$1592,MATCH("[13306,""2311062-BR-V-O-11""]",'SKU明细'!$AE$9:$AE$1592,0)))&gt;0),SUM(INDEX('SKU明细'!$I$9:$I$1592,MATCH("[13306,""2311062-BR-V-O-10""]",'SKU明细'!$AE$9:$AE$1592,0)),INDEX('SKU明细'!$I$9:$I$1592,MATCH("[13306,""2311062-BR-V-O-6""]",'SKU明细'!$AE$9:$AE$1592,0)),INDEX('SKU明细'!$I$9:$I$1592,MATCH("[13306,""2311062-BR-V-O-7""]",'SKU明细'!$AE$9:$AE$1592,0)),INDEX('SKU明细'!$I$9:$I$1592,MATCH("[13306,""2311062-BR-V-O-8""]",'SKU明细'!$AE$9:$AE$1592,0)),INDEX('SKU明细'!$I$9:$I$1592,MATCH("[13306,""2311062-BR-V-O-9""]",'SKU明细'!$AE$9:$AE$1592,0)),INDEX('SKU明细'!$I$9:$I$1592,MATCH("[13306,""2311062-BR-V-O-11""]",'SKU明细'!$AE$9:$AE$1592,0)))/SUM(INDEX('SKU明细'!$AD$9:$AD$1592,MATCH("[13306,""2311062-BR-V-O-10""]",'SKU明细'!$AE$9:$AE$1592,0)),INDEX('SKU明细'!$AD$9:$AD$1592,MATCH("[13306,""2311062-BR-V-O-6""]",'SKU明细'!$AE$9:$AE$1592,0)),INDEX('SKU明细'!$AD$9:$AD$1592,MATCH("[13306,""2311062-BR-V-O-7""]",'SKU明细'!$AE$9:$AE$1592,0)),INDEX('SKU明细'!$AD$9:$AD$1592,MATCH("[13306,""2311062-BR-V-O-8""]",'SKU明细'!$AE$9:$AE$1592,0)),INDEX('SKU明细'!$AD$9:$AD$1592,MATCH("[13306,""2311062-BR-V-O-9""]",'SKU明细'!$AE$9:$AE$1592,0)),INDEX('SKU明细'!$AD$9:$AD$1592,MATCH("[13306,""2311062-BR-V-O-11""]",'SKU明细'!$AE$9:$AE$1592,0))),"待核")</x:f>
        <x:v>待核</x:v>
      </x:c>
      <x:c r="U44" s="16" t="str">
        <x:f>IF(COUNT(S44:T44)=2,S44-T44,"待核")</x:f>
        <x:v>待核</x:v>
      </x:c>
      <x:c r="V44" s="17" t="str">
        <x:f>IF(AND(ISNUMBER(U44),ISNUMBER(T44),T44&lt;&gt;0),U44/T44,"")</x:f>
      </x:c>
      <x:c r="W44" s="18" t="n">
        <x:f>IF(COUNT(INDEX('SKU明细'!$H$9:$H$1592,MATCH("[13306,""2311062-BR-V-O-10""]",'SKU明细'!$AE$9:$AE$1592,0)),INDEX('SKU明细'!$H$9:$H$1592,MATCH("[13306,""2311062-BR-V-O-6""]",'SKU明细'!$AE$9:$AE$1592,0)),INDEX('SKU明细'!$H$9:$H$1592,MATCH("[13306,""2311062-BR-V-O-7""]",'SKU明细'!$AE$9:$AE$1592,0)),INDEX('SKU明细'!$H$9:$H$1592,MATCH("[13306,""2311062-BR-V-O-8""]",'SKU明细'!$AE$9:$AE$1592,0)),INDEX('SKU明细'!$H$9:$H$1592,MATCH("[13306,""2311062-BR-V-O-9""]",'SKU明细'!$AE$9:$AE$1592,0)),INDEX('SKU明细'!$H$9:$H$1592,MATCH("[13306,""2311062-BR-V-O-11""]",'SKU明细'!$AE$9:$AE$1592,0)))=0,"待核",SUM(INDEX('SKU明细'!$H$9:$H$1592,MATCH("[13306,""2311062-BR-V-O-10""]",'SKU明细'!$AE$9:$AE$1592,0)),INDEX('SKU明细'!$H$9:$H$1592,MATCH("[13306,""2311062-BR-V-O-6""]",'SKU明细'!$AE$9:$AE$1592,0)),INDEX('SKU明细'!$H$9:$H$1592,MATCH("[13306,""2311062-BR-V-O-7""]",'SKU明细'!$AE$9:$AE$1592,0)),INDEX('SKU明细'!$H$9:$H$1592,MATCH("[13306,""2311062-BR-V-O-8""]",'SKU明细'!$AE$9:$AE$1592,0)),INDEX('SKU明细'!$H$9:$H$1592,MATCH("[13306,""2311062-BR-V-O-9""]",'SKU明细'!$AE$9:$AE$1592,0)),INDEX('SKU明细'!$H$9:$H$1592,MATCH("[13306,""2311062-BR-V-O-11""]",'SKU明细'!$AE$9:$AE$1592,0))))</x:f>
        <x:v>151</x:v>
      </x:c>
      <x:c r="X44" s="19" t="str">
        <x:f>IF(COUNTIFS('SKU明细'!$AH$9:$AH$1592,"[""2311062"",""2311062-BR-V-O"",""BR-V"",""棕色锦纶""]",'SKU明细'!$E$9:$E$1592,"促销")&gt;0,"促销 ","")&amp;IF(COUNTIFS('SKU明细'!$AH$9:$AH$1592,"[""2311062"",""2311062-BR-V-O"",""BR-V"",""棕色锦纶""]",'SKU明细'!$E$9:$E$1592,"红线促销")&gt;0,"红线促销 ","")&amp;IF(COUNTIFS('SKU明细'!$AH$9:$AH$1592,"[""2311062"",""2311062-BR-V-O"",""BR-V"",""棕色锦纶""]",'SKU明细'!$E$9:$E$1592,"考虑清仓")&gt;0,"考虑清仓 ","")&amp;IF(COUNTIFS('SKU明细'!$AH$9:$AH$1592,"[""2311062"",""2311062-BR-V-O"",""BR-V"",""棕色锦纶""]",'SKU明细'!$E$9:$E$1592,"断货")&gt;0,"断货 ","")&amp;IF(COUNTIFS('SKU明细'!$AH$9:$AH$1592,"[""2311062"",""2311062-BR-V-O"",""BR-V"",""棕色锦纶""]",'SKU明细'!$E$9:$E$1592,"零日销待复核")&gt;0,"零日销待复核 ","")&amp;IF(COUNTIFS('SKU明细'!$AH$9:$AH$1592,"[""2311062"",""2311062-BR-V-O"",""BR-V"",""棕色锦纶""]",'SKU明细'!$E$9:$E$1592,"数据待核")&gt;0,"数据待核 ","")&amp;IF(COUNTIFS('SKU明细'!$AH$9:$AH$1592,"[""2311062"",""2311062-BR-V-O"",""BR-V"",""棕色锦纶""]",'SKU明细'!$E$9:$E$1592,"正常库存")&gt;0,"正常库存 ","")&amp;IF(COUNTIFS('SKU明细'!$AH$9:$AH$1592,"[""2311062"",""2311062-BR-V-O"",""BR-V"",""棕色锦纶""]",'SKU明细'!$E$9:$E$1592,"补货提醒")&gt;0,"补货提醒 ","")</x:f>
        <x:v>考虑清仓 数据待核 </x:v>
      </x:c>
      <x:c r="Y44" s="19" t="str">
        <x:f>IF(NOT(ISNUMBER(U44)),"覆盖待核／无可比基准","完整可比")</x:f>
        <x:v>覆盖待核／无可比基准</x:v>
      </x:c>
      <x:c r="Z44" s="19" t="str">
        <x:v>在售</x:v>
      </x:c>
      <x:c r="AA44" s="19" t="n">
        <x:f>IF(SUMIFS('SKU明细'!$AF$9:$AF$1592,'SKU明细'!$D$9:$D$1592,A44,'SKU明细'!$Z$9:$Z$1592,"&lt;&gt;移出")=0,"待核",SUMIFS('SKU明细'!$H$9:$H$1592,'SKU明细'!$D$9:$D$1592,A44,'SKU明细'!$Z$9:$Z$1592,"&lt;&gt;移出"))</x:f>
        <x:v>2191</x:v>
      </x:c>
    </x:row>
    <x:row r="45" ht="54" customHeight="1">
      <x:c r="A45" s="15" t="str">
        <x:v>2311062</x:v>
      </x:c>
      <x:c r="B45" s="15" t="str">
        <x:v>陈晨</x:v>
      </x:c>
      <x:c r="C45" s="15" t="str">
        <x:v>金色 PU</x:v>
      </x:c>
      <x:c r="D45" s="15" t="str">
        <x:v>GD-P</x:v>
      </x:c>
      <x:c r="E45" s="15" t="str">
        <x:v>2311062-GD-P-O</x:v>
      </x:c>
      <x:c r="F45" s="15"/>
      <x:c r="G45" s="16" t="str">
        <x:f>"—"</x:f>
        <x:v>—</x:v>
      </x:c>
      <x:c r="H45" s="16" t="n">
        <x:f>IF(AND(COUNT(INDEX('SKU明细'!$H$9:$H$1592,MATCH("[13306,""2311062-GD-P-O-6""]",'SKU明细'!$AE$9:$AE$1592,0)))=1,COUNT(INDEX('SKU明细'!$G$9:$G$1592,MATCH("[13306,""2311062-GD-P-O-6""]",'SKU明细'!$AE$9:$AE$1592,0)))=1,SUM(INDEX('SKU明细'!$G$9:$G$1592,MATCH("[13306,""2311062-GD-P-O-6""]",'SKU明细'!$AE$9:$AE$1592,0)))&gt;0),SUM(INDEX('SKU明细'!$H$9:$H$1592,MATCH("[13306,""2311062-GD-P-O-6""]",'SKU明细'!$AE$9:$AE$1592,0)))/SUM(INDEX('SKU明细'!$G$9:$G$1592,MATCH("[13306,""2311062-GD-P-O-6""]",'SKU明细'!$AE$9:$AE$1592,0))),"待核")</x:f>
        <x:v>0</x:v>
      </x:c>
      <x:c r="I45" s="16" t="str">
        <x:f>"—"</x:f>
        <x:v>—</x:v>
      </x:c>
      <x:c r="J45" s="16" t="n">
        <x:f>IF(AND(COUNT(INDEX('SKU明细'!$H$9:$H$1592,MATCH("[13306,""2311062-GD-P-O-7""]",'SKU明细'!$AE$9:$AE$1592,0)))=1,COUNT(INDEX('SKU明细'!$G$9:$G$1592,MATCH("[13306,""2311062-GD-P-O-7""]",'SKU明细'!$AE$9:$AE$1592,0)))=1,SUM(INDEX('SKU明细'!$G$9:$G$1592,MATCH("[13306,""2311062-GD-P-O-7""]",'SKU明细'!$AE$9:$AE$1592,0)))&gt;0),SUM(INDEX('SKU明细'!$H$9:$H$1592,MATCH("[13306,""2311062-GD-P-O-7""]",'SKU明细'!$AE$9:$AE$1592,0)))/SUM(INDEX('SKU明细'!$G$9:$G$1592,MATCH("[13306,""2311062-GD-P-O-7""]",'SKU明细'!$AE$9:$AE$1592,0))),"待核")</x:f>
        <x:v>12.449392712550608</x:v>
      </x:c>
      <x:c r="K45" s="16" t="str">
        <x:f>"—"</x:f>
        <x:v>—</x:v>
      </x:c>
      <x:c r="L45" s="16" t="n">
        <x:f>IF(AND(COUNT(INDEX('SKU明细'!$H$9:$H$1592,MATCH("[13306,""2311062-GD-P-O-8""]",'SKU明细'!$AE$9:$AE$1592,0)))=1,COUNT(INDEX('SKU明细'!$G$9:$G$1592,MATCH("[13306,""2311062-GD-P-O-8""]",'SKU明细'!$AE$9:$AE$1592,0)))=1,SUM(INDEX('SKU明细'!$G$9:$G$1592,MATCH("[13306,""2311062-GD-P-O-8""]",'SKU明细'!$AE$9:$AE$1592,0)))&gt;0),SUM(INDEX('SKU明细'!$H$9:$H$1592,MATCH("[13306,""2311062-GD-P-O-8""]",'SKU明细'!$AE$9:$AE$1592,0)))/SUM(INDEX('SKU明细'!$G$9:$G$1592,MATCH("[13306,""2311062-GD-P-O-8""]",'SKU明细'!$AE$9:$AE$1592,0))),"待核")</x:f>
        <x:v>3.304721030042918</x:v>
      </x:c>
      <x:c r="M45" s="16" t="str">
        <x:f>"—"</x:f>
        <x:v>—</x:v>
      </x:c>
      <x:c r="N45" s="16" t="n">
        <x:f>IF(AND(COUNT(INDEX('SKU明细'!$H$9:$H$1592,MATCH("[13306,""2311062-GD-P-O-9""]",'SKU明细'!$AE$9:$AE$1592,0)))=1,COUNT(INDEX('SKU明细'!$G$9:$G$1592,MATCH("[13306,""2311062-GD-P-O-9""]",'SKU明细'!$AE$9:$AE$1592,0)))=1,SUM(INDEX('SKU明细'!$G$9:$G$1592,MATCH("[13306,""2311062-GD-P-O-9""]",'SKU明细'!$AE$9:$AE$1592,0)))&gt;0),SUM(INDEX('SKU明细'!$H$9:$H$1592,MATCH("[13306,""2311062-GD-P-O-9""]",'SKU明细'!$AE$9:$AE$1592,0)))/SUM(INDEX('SKU明细'!$G$9:$G$1592,MATCH("[13306,""2311062-GD-P-O-9""]",'SKU明细'!$AE$9:$AE$1592,0))),"待核")</x:f>
        <x:v>8.446455505279035</x:v>
      </x:c>
      <x:c r="O45" s="16" t="str">
        <x:f>"—"</x:f>
        <x:v>—</x:v>
      </x:c>
      <x:c r="P45" s="16" t="n">
        <x:f>IF(AND(COUNT(INDEX('SKU明细'!$H$9:$H$1592,MATCH("[13306,""2311062-GD-P-O-10""]",'SKU明细'!$AE$9:$AE$1592,0)))=1,COUNT(INDEX('SKU明细'!$G$9:$G$1592,MATCH("[13306,""2311062-GD-P-O-10""]",'SKU明细'!$AE$9:$AE$1592,0)))=1,SUM(INDEX('SKU明细'!$G$9:$G$1592,MATCH("[13306,""2311062-GD-P-O-10""]",'SKU明细'!$AE$9:$AE$1592,0)))&gt;0),SUM(INDEX('SKU明细'!$H$9:$H$1592,MATCH("[13306,""2311062-GD-P-O-10""]",'SKU明细'!$AE$9:$AE$1592,0)))/SUM(INDEX('SKU明细'!$G$9:$G$1592,MATCH("[13306,""2311062-GD-P-O-10""]",'SKU明细'!$AE$9:$AE$1592,0))),"待核")</x:f>
        <x:v>13.847944142746314</x:v>
      </x:c>
      <x:c r="Q45" s="16" t="str">
        <x:f>"—"</x:f>
        <x:v>—</x:v>
      </x:c>
      <x:c r="R45" s="16" t="n">
        <x:f>IF(AND(COUNT(INDEX('SKU明细'!$H$9:$H$1592,MATCH("[13306,""2311062-GD-P-O-11""]",'SKU明细'!$AE$9:$AE$1592,0)))=1,COUNT(INDEX('SKU明细'!$G$9:$G$1592,MATCH("[13306,""2311062-GD-P-O-11""]",'SKU明细'!$AE$9:$AE$1592,0)))=1,SUM(INDEX('SKU明细'!$G$9:$G$1592,MATCH("[13306,""2311062-GD-P-O-11""]",'SKU明细'!$AE$9:$AE$1592,0)))&gt;0),SUM(INDEX('SKU明细'!$H$9:$H$1592,MATCH("[13306,""2311062-GD-P-O-11""]",'SKU明细'!$AE$9:$AE$1592,0)))/SUM(INDEX('SKU明细'!$G$9:$G$1592,MATCH("[13306,""2311062-GD-P-O-11""]",'SKU明细'!$AE$9:$AE$1592,0))),"待核")</x:f>
        <x:v>73.42657342657343</x:v>
      </x:c>
      <x:c r="S45" s="16" t="n">
        <x:f>IF(AND(COUNT(INDEX('SKU明细'!$H$9:$H$1592,MATCH("[13306,""2311062-GD-P-O-6""]",'SKU明细'!$AE$9:$AE$1592,0)),INDEX('SKU明细'!$H$9:$H$1592,MATCH("[13306,""2311062-GD-P-O-11""]",'SKU明细'!$AE$9:$AE$1592,0)),INDEX('SKU明细'!$H$9:$H$1592,MATCH("[13306,""2311062-GD-P-O-10""]",'SKU明细'!$AE$9:$AE$1592,0)),INDEX('SKU明细'!$H$9:$H$1592,MATCH("[13306,""2311062-GD-P-O-7""]",'SKU明细'!$AE$9:$AE$1592,0)),INDEX('SKU明细'!$H$9:$H$1592,MATCH("[13306,""2311062-GD-P-O-8""]",'SKU明细'!$AE$9:$AE$1592,0)),INDEX('SKU明细'!$H$9:$H$1592,MATCH("[13306,""2311062-GD-P-O-9""]",'SKU明细'!$AE$9:$AE$1592,0)))=6,COUNT(INDEX('SKU明细'!$G$9:$G$1592,MATCH("[13306,""2311062-GD-P-O-6""]",'SKU明细'!$AE$9:$AE$1592,0)),INDEX('SKU明细'!$G$9:$G$1592,MATCH("[13306,""2311062-GD-P-O-11""]",'SKU明细'!$AE$9:$AE$1592,0)),INDEX('SKU明细'!$G$9:$G$1592,MATCH("[13306,""2311062-GD-P-O-10""]",'SKU明细'!$AE$9:$AE$1592,0)),INDEX('SKU明细'!$G$9:$G$1592,MATCH("[13306,""2311062-GD-P-O-7""]",'SKU明细'!$AE$9:$AE$1592,0)),INDEX('SKU明细'!$G$9:$G$1592,MATCH("[13306,""2311062-GD-P-O-8""]",'SKU明细'!$AE$9:$AE$1592,0)),INDEX('SKU明细'!$G$9:$G$1592,MATCH("[13306,""2311062-GD-P-O-9""]",'SKU明细'!$AE$9:$AE$1592,0)))=6,SUM(INDEX('SKU明细'!$G$9:$G$1592,MATCH("[13306,""2311062-GD-P-O-6""]",'SKU明细'!$AE$9:$AE$1592,0)),INDEX('SKU明细'!$G$9:$G$1592,MATCH("[13306,""2311062-GD-P-O-11""]",'SKU明细'!$AE$9:$AE$1592,0)),INDEX('SKU明细'!$G$9:$G$1592,MATCH("[13306,""2311062-GD-P-O-10""]",'SKU明细'!$AE$9:$AE$1592,0)),INDEX('SKU明细'!$G$9:$G$1592,MATCH("[13306,""2311062-GD-P-O-7""]",'SKU明细'!$AE$9:$AE$1592,0)),INDEX('SKU明细'!$G$9:$G$1592,MATCH("[13306,""2311062-GD-P-O-8""]",'SKU明细'!$AE$9:$AE$1592,0)),INDEX('SKU明细'!$G$9:$G$1592,MATCH("[13306,""2311062-GD-P-O-9""]",'SKU明细'!$AE$9:$AE$1592,0)))&gt;0),SUM(INDEX('SKU明细'!$H$9:$H$1592,MATCH("[13306,""2311062-GD-P-O-6""]",'SKU明细'!$AE$9:$AE$1592,0)),INDEX('SKU明细'!$H$9:$H$1592,MATCH("[13306,""2311062-GD-P-O-11""]",'SKU明细'!$AE$9:$AE$1592,0)),INDEX('SKU明细'!$H$9:$H$1592,MATCH("[13306,""2311062-GD-P-O-10""]",'SKU明细'!$AE$9:$AE$1592,0)),INDEX('SKU明细'!$H$9:$H$1592,MATCH("[13306,""2311062-GD-P-O-7""]",'SKU明细'!$AE$9:$AE$1592,0)),INDEX('SKU明细'!$H$9:$H$1592,MATCH("[13306,""2311062-GD-P-O-8""]",'SKU明细'!$AE$9:$AE$1592,0)),INDEX('SKU明细'!$H$9:$H$1592,MATCH("[13306,""2311062-GD-P-O-9""]",'SKU明细'!$AE$9:$AE$1592,0)))/SUM(INDEX('SKU明细'!$G$9:$G$1592,MATCH("[13306,""2311062-GD-P-O-6""]",'SKU明细'!$AE$9:$AE$1592,0)),INDEX('SKU明细'!$G$9:$G$1592,MATCH("[13306,""2311062-GD-P-O-11""]",'SKU明细'!$AE$9:$AE$1592,0)),INDEX('SKU明细'!$G$9:$G$1592,MATCH("[13306,""2311062-GD-P-O-10""]",'SKU明细'!$AE$9:$AE$1592,0)),INDEX('SKU明细'!$G$9:$G$1592,MATCH("[13306,""2311062-GD-P-O-7""]",'SKU明细'!$AE$9:$AE$1592,0)),INDEX('SKU明细'!$G$9:$G$1592,MATCH("[13306,""2311062-GD-P-O-8""]",'SKU明细'!$AE$9:$AE$1592,0)),INDEX('SKU明细'!$G$9:$G$1592,MATCH("[13306,""2311062-GD-P-O-9""]",'SKU明细'!$AE$9:$AE$1592,0))),"待核")</x:f>
        <x:v>9.270979840600093</x:v>
      </x:c>
      <x:c r="T45" s="16" t="n">
        <x:f>IF(AND(COUNT(INDEX('SKU明细'!$I$9:$I$1592,MATCH("[13306,""2311062-GD-P-O-6""]",'SKU明细'!$AE$9:$AE$1592,0)),INDEX('SKU明细'!$I$9:$I$1592,MATCH("[13306,""2311062-GD-P-O-11""]",'SKU明细'!$AE$9:$AE$1592,0)),INDEX('SKU明细'!$I$9:$I$1592,MATCH("[13306,""2311062-GD-P-O-10""]",'SKU明细'!$AE$9:$AE$1592,0)),INDEX('SKU明细'!$I$9:$I$1592,MATCH("[13306,""2311062-GD-P-O-7""]",'SKU明细'!$AE$9:$AE$1592,0)),INDEX('SKU明细'!$I$9:$I$1592,MATCH("[13306,""2311062-GD-P-O-8""]",'SKU明细'!$AE$9:$AE$1592,0)),INDEX('SKU明细'!$I$9:$I$1592,MATCH("[13306,""2311062-GD-P-O-9""]",'SKU明细'!$AE$9:$AE$1592,0)))=6,COUNT(INDEX('SKU明细'!$AD$9:$AD$1592,MATCH("[13306,""2311062-GD-P-O-6""]",'SKU明细'!$AE$9:$AE$1592,0)),INDEX('SKU明细'!$AD$9:$AD$1592,MATCH("[13306,""2311062-GD-P-O-11""]",'SKU明细'!$AE$9:$AE$1592,0)),INDEX('SKU明细'!$AD$9:$AD$1592,MATCH("[13306,""2311062-GD-P-O-10""]",'SKU明细'!$AE$9:$AE$1592,0)),INDEX('SKU明细'!$AD$9:$AD$1592,MATCH("[13306,""2311062-GD-P-O-7""]",'SKU明细'!$AE$9:$AE$1592,0)),INDEX('SKU明细'!$AD$9:$AD$1592,MATCH("[13306,""2311062-GD-P-O-8""]",'SKU明细'!$AE$9:$AE$1592,0)),INDEX('SKU明细'!$AD$9:$AD$1592,MATCH("[13306,""2311062-GD-P-O-9""]",'SKU明细'!$AE$9:$AE$1592,0)))=6,SUM(INDEX('SKU明细'!$AD$9:$AD$1592,MATCH("[13306,""2311062-GD-P-O-6""]",'SKU明细'!$AE$9:$AE$1592,0)),INDEX('SKU明细'!$AD$9:$AD$1592,MATCH("[13306,""2311062-GD-P-O-11""]",'SKU明细'!$AE$9:$AE$1592,0)),INDEX('SKU明细'!$AD$9:$AD$1592,MATCH("[13306,""2311062-GD-P-O-10""]",'SKU明细'!$AE$9:$AE$1592,0)),INDEX('SKU明细'!$AD$9:$AD$1592,MATCH("[13306,""2311062-GD-P-O-7""]",'SKU明细'!$AE$9:$AE$1592,0)),INDEX('SKU明细'!$AD$9:$AD$1592,MATCH("[13306,""2311062-GD-P-O-8""]",'SKU明细'!$AE$9:$AE$1592,0)),INDEX('SKU明细'!$AD$9:$AD$1592,MATCH("[13306,""2311062-GD-P-O-9""]",'SKU明细'!$AE$9:$AE$1592,0)))&gt;0),SUM(INDEX('SKU明细'!$I$9:$I$1592,MATCH("[13306,""2311062-GD-P-O-6""]",'SKU明细'!$AE$9:$AE$1592,0)),INDEX('SKU明细'!$I$9:$I$1592,MATCH("[13306,""2311062-GD-P-O-11""]",'SKU明细'!$AE$9:$AE$1592,0)),INDEX('SKU明细'!$I$9:$I$1592,MATCH("[13306,""2311062-GD-P-O-10""]",'SKU明细'!$AE$9:$AE$1592,0)),INDEX('SKU明细'!$I$9:$I$1592,MATCH("[13306,""2311062-GD-P-O-7""]",'SKU明细'!$AE$9:$AE$1592,0)),INDEX('SKU明细'!$I$9:$I$1592,MATCH("[13306,""2311062-GD-P-O-8""]",'SKU明细'!$AE$9:$AE$1592,0)),INDEX('SKU明细'!$I$9:$I$1592,MATCH("[13306,""2311062-GD-P-O-9""]",'SKU明细'!$AE$9:$AE$1592,0)))/SUM(INDEX('SKU明细'!$AD$9:$AD$1592,MATCH("[13306,""2311062-GD-P-O-6""]",'SKU明细'!$AE$9:$AE$1592,0)),INDEX('SKU明细'!$AD$9:$AD$1592,MATCH("[13306,""2311062-GD-P-O-11""]",'SKU明细'!$AE$9:$AE$1592,0)),INDEX('SKU明细'!$AD$9:$AD$1592,MATCH("[13306,""2311062-GD-P-O-10""]",'SKU明细'!$AE$9:$AE$1592,0)),INDEX('SKU明细'!$AD$9:$AD$1592,MATCH("[13306,""2311062-GD-P-O-7""]",'SKU明细'!$AE$9:$AE$1592,0)),INDEX('SKU明细'!$AD$9:$AD$1592,MATCH("[13306,""2311062-GD-P-O-8""]",'SKU明细'!$AE$9:$AE$1592,0)),INDEX('SKU明细'!$AD$9:$AD$1592,MATCH("[13306,""2311062-GD-P-O-9""]",'SKU明细'!$AE$9:$AE$1592,0))),"待核")</x:f>
        <x:v>4.9504950495049505</x:v>
      </x:c>
      <x:c r="U45" s="16" t="n">
        <x:f>IF(COUNT(S45:T45)=2,S45-T45,"待核")</x:f>
        <x:v>4.320484791095143</x:v>
      </x:c>
      <x:c r="V45" s="17" t="n">
        <x:f>IF(AND(ISNUMBER(U45),ISNUMBER(T45),T45&lt;&gt;0),U45/T45,"")</x:f>
        <x:v>0.8727379278012188</x:v>
      </x:c>
      <x:c r="W45" s="18" t="n">
        <x:f>IF(COUNT(INDEX('SKU明细'!$H$9:$H$1592,MATCH("[13306,""2311062-GD-P-O-6""]",'SKU明细'!$AE$9:$AE$1592,0)),INDEX('SKU明细'!$H$9:$H$1592,MATCH("[13306,""2311062-GD-P-O-11""]",'SKU明细'!$AE$9:$AE$1592,0)),INDEX('SKU明细'!$H$9:$H$1592,MATCH("[13306,""2311062-GD-P-O-10""]",'SKU明细'!$AE$9:$AE$1592,0)),INDEX('SKU明细'!$H$9:$H$1592,MATCH("[13306,""2311062-GD-P-O-7""]",'SKU明细'!$AE$9:$AE$1592,0)),INDEX('SKU明细'!$H$9:$H$1592,MATCH("[13306,""2311062-GD-P-O-8""]",'SKU明细'!$AE$9:$AE$1592,0)),INDEX('SKU明细'!$H$9:$H$1592,MATCH("[13306,""2311062-GD-P-O-9""]",'SKU明细'!$AE$9:$AE$1592,0)))=0,"待核",SUM(INDEX('SKU明细'!$H$9:$H$1592,MATCH("[13306,""2311062-GD-P-O-6""]",'SKU明细'!$AE$9:$AE$1592,0)),INDEX('SKU明细'!$H$9:$H$1592,MATCH("[13306,""2311062-GD-P-O-11""]",'SKU明细'!$AE$9:$AE$1592,0)),INDEX('SKU明细'!$H$9:$H$1592,MATCH("[13306,""2311062-GD-P-O-10""]",'SKU明细'!$AE$9:$AE$1592,0)),INDEX('SKU明细'!$H$9:$H$1592,MATCH("[13306,""2311062-GD-P-O-7""]",'SKU明细'!$AE$9:$AE$1592,0)),INDEX('SKU明细'!$H$9:$H$1592,MATCH("[13306,""2311062-GD-P-O-8""]",'SKU明细'!$AE$9:$AE$1592,0)),INDEX('SKU明细'!$H$9:$H$1592,MATCH("[13306,""2311062-GD-P-O-9""]",'SKU明细'!$AE$9:$AE$1592,0))))</x:f>
        <x:v>113</x:v>
      </x:c>
      <x:c r="X45" s="19" t="str">
        <x:f>IF(COUNTIFS('SKU明细'!$AH$9:$AH$1592,"[""2311062"",""2311062-GD-P-O"",""GD-P"",""金色 PU""]",'SKU明细'!$E$9:$E$1592,"促销")&gt;0,"促销 ","")&amp;IF(COUNTIFS('SKU明细'!$AH$9:$AH$1592,"[""2311062"",""2311062-GD-P-O"",""GD-P"",""金色 PU""]",'SKU明细'!$E$9:$E$1592,"红线促销")&gt;0,"红线促销 ","")&amp;IF(COUNTIFS('SKU明细'!$AH$9:$AH$1592,"[""2311062"",""2311062-GD-P-O"",""GD-P"",""金色 PU""]",'SKU明细'!$E$9:$E$1592,"考虑清仓")&gt;0,"考虑清仓 ","")&amp;IF(COUNTIFS('SKU明细'!$AH$9:$AH$1592,"[""2311062"",""2311062-GD-P-O"",""GD-P"",""金色 PU""]",'SKU明细'!$E$9:$E$1592,"断货")&gt;0,"断货 ","")&amp;IF(COUNTIFS('SKU明细'!$AH$9:$AH$1592,"[""2311062"",""2311062-GD-P-O"",""GD-P"",""金色 PU""]",'SKU明细'!$E$9:$E$1592,"零日销待复核")&gt;0,"零日销待复核 ","")&amp;IF(COUNTIFS('SKU明细'!$AH$9:$AH$1592,"[""2311062"",""2311062-GD-P-O"",""GD-P"",""金色 PU""]",'SKU明细'!$E$9:$E$1592,"数据待核")&gt;0,"数据待核 ","")&amp;IF(COUNTIFS('SKU明细'!$AH$9:$AH$1592,"[""2311062"",""2311062-GD-P-O"",""GD-P"",""金色 PU""]",'SKU明细'!$E$9:$E$1592,"正常库存")&gt;0,"正常库存 ","")&amp;IF(COUNTIFS('SKU明细'!$AH$9:$AH$1592,"[""2311062"",""2311062-GD-P-O"",""GD-P"",""金色 PU""]",'SKU明细'!$E$9:$E$1592,"补货提醒")&gt;0,"补货提醒 ","")</x:f>
        <x:v>断货 正常库存 补货提醒 </x:v>
      </x:c>
      <x:c r="Y45" s="19" t="str">
        <x:f>IF(NOT(ISNUMBER(U45)),"覆盖待核／无可比基准","完整可比")</x:f>
        <x:v>完整可比</x:v>
      </x:c>
      <x:c r="Z45" s="19" t="str">
        <x:v>在售</x:v>
      </x:c>
      <x:c r="AA45" s="19" t="n">
        <x:f>IF(SUMIFS('SKU明细'!$AF$9:$AF$1592,'SKU明细'!$D$9:$D$1592,A45,'SKU明细'!$Z$9:$Z$1592,"&lt;&gt;移出")=0,"待核",SUMIFS('SKU明细'!$H$9:$H$1592,'SKU明细'!$D$9:$D$1592,A45,'SKU明细'!$Z$9:$Z$1592,"&lt;&gt;移出"))</x:f>
        <x:v>2191</x:v>
      </x:c>
    </x:row>
    <x:row r="46" ht="54" customHeight="1">
      <x:c r="A46" s="15" t="str">
        <x:v>2311062</x:v>
      </x:c>
      <x:c r="B46" s="15" t="str">
        <x:v>陈晨</x:v>
      </x:c>
      <x:c r="C46" s="15" t="str">
        <x:v>裸色 PU</x:v>
      </x:c>
      <x:c r="D46" s="15" t="str">
        <x:v>ND-P</x:v>
      </x:c>
      <x:c r="E46" s="15" t="str">
        <x:v>2311062-ND-P-O</x:v>
      </x:c>
      <x:c r="F46" s="15"/>
      <x:c r="G46" s="16" t="str">
        <x:f>"—"</x:f>
        <x:v>—</x:v>
      </x:c>
      <x:c r="H46" s="16" t="n">
        <x:f>IF(AND(COUNT(INDEX('SKU明细'!$H$9:$H$1592,MATCH("[13306,""2311062-ND-P-O-6""]",'SKU明细'!$AE$9:$AE$1592,0)))=1,COUNT(INDEX('SKU明细'!$G$9:$G$1592,MATCH("[13306,""2311062-ND-P-O-6""]",'SKU明细'!$AE$9:$AE$1592,0)))=1,SUM(INDEX('SKU明细'!$G$9:$G$1592,MATCH("[13306,""2311062-ND-P-O-6""]",'SKU明细'!$AE$9:$AE$1592,0)))&gt;0),SUM(INDEX('SKU明细'!$H$9:$H$1592,MATCH("[13306,""2311062-ND-P-O-6""]",'SKU明细'!$AE$9:$AE$1592,0)))/SUM(INDEX('SKU明细'!$G$9:$G$1592,MATCH("[13306,""2311062-ND-P-O-6""]",'SKU明细'!$AE$9:$AE$1592,0))),"待核")</x:f>
        <x:v>9.32642487046632</x:v>
      </x:c>
      <x:c r="I46" s="16" t="str">
        <x:f>"—"</x:f>
        <x:v>—</x:v>
      </x:c>
      <x:c r="J46" s="16" t="n">
        <x:f>IF(AND(COUNT(INDEX('SKU明细'!$H$9:$H$1592,MATCH("[13306,""2311062-ND-P-O-7""]",'SKU明细'!$AE$9:$AE$1592,0)))=1,COUNT(INDEX('SKU明细'!$G$9:$G$1592,MATCH("[13306,""2311062-ND-P-O-7""]",'SKU明细'!$AE$9:$AE$1592,0)))=1,SUM(INDEX('SKU明细'!$G$9:$G$1592,MATCH("[13306,""2311062-ND-P-O-7""]",'SKU明细'!$AE$9:$AE$1592,0)))&gt;0),SUM(INDEX('SKU明细'!$H$9:$H$1592,MATCH("[13306,""2311062-ND-P-O-7""]",'SKU明细'!$AE$9:$AE$1592,0)))/SUM(INDEX('SKU明细'!$G$9:$G$1592,MATCH("[13306,""2311062-ND-P-O-7""]",'SKU明细'!$AE$9:$AE$1592,0))),"待核")</x:f>
        <x:v>34.511092851273624</x:v>
      </x:c>
      <x:c r="K46" s="16" t="str">
        <x:f>"—"</x:f>
        <x:v>—</x:v>
      </x:c>
      <x:c r="L46" s="16" t="n">
        <x:f>IF(AND(COUNT(INDEX('SKU明细'!$H$9:$H$1592,MATCH("[13306,""2311062-ND-P-O-8""]",'SKU明细'!$AE$9:$AE$1592,0)))=1,COUNT(INDEX('SKU明细'!$G$9:$G$1592,MATCH("[13306,""2311062-ND-P-O-8""]",'SKU明细'!$AE$9:$AE$1592,0)))=1,SUM(INDEX('SKU明细'!$G$9:$G$1592,MATCH("[13306,""2311062-ND-P-O-8""]",'SKU明细'!$AE$9:$AE$1592,0)))&gt;0),SUM(INDEX('SKU明细'!$H$9:$H$1592,MATCH("[13306,""2311062-ND-P-O-8""]",'SKU明细'!$AE$9:$AE$1592,0)))/SUM(INDEX('SKU明细'!$G$9:$G$1592,MATCH("[13306,""2311062-ND-P-O-8""]",'SKU明细'!$AE$9:$AE$1592,0))),"待核")</x:f>
        <x:v>66.52136006974716</x:v>
      </x:c>
      <x:c r="M46" s="16" t="str">
        <x:f>"—"</x:f>
        <x:v>—</x:v>
      </x:c>
      <x:c r="N46" s="16" t="n">
        <x:f>IF(AND(COUNT(INDEX('SKU明细'!$H$9:$H$1592,MATCH("[13306,""2311062-ND-P-O-9""]",'SKU明细'!$AE$9:$AE$1592,0)))=1,COUNT(INDEX('SKU明细'!$G$9:$G$1592,MATCH("[13306,""2311062-ND-P-O-9""]",'SKU明细'!$AE$9:$AE$1592,0)))=1,SUM(INDEX('SKU明细'!$G$9:$G$1592,MATCH("[13306,""2311062-ND-P-O-9""]",'SKU明细'!$AE$9:$AE$1592,0)))&gt;0),SUM(INDEX('SKU明细'!$H$9:$H$1592,MATCH("[13306,""2311062-ND-P-O-9""]",'SKU明细'!$AE$9:$AE$1592,0)))/SUM(INDEX('SKU明细'!$G$9:$G$1592,MATCH("[13306,""2311062-ND-P-O-9""]",'SKU明细'!$AE$9:$AE$1592,0))),"待核")</x:f>
        <x:v>81.70449282075035</x:v>
      </x:c>
      <x:c r="O46" s="16" t="str">
        <x:f>"—"</x:f>
        <x:v>—</x:v>
      </x:c>
      <x:c r="P46" s="16" t="str">
        <x:f>IF(AND(COUNT(INDEX('SKU明细'!$H$9:$H$1592,MATCH("[13306,""2311062-ND-P-O-10""]",'SKU明细'!$AE$9:$AE$1592,0)))=1,COUNT(INDEX('SKU明细'!$G$9:$G$1592,MATCH("[13306,""2311062-ND-P-O-10""]",'SKU明细'!$AE$9:$AE$1592,0)))=1,SUM(INDEX('SKU明细'!$G$9:$G$1592,MATCH("[13306,""2311062-ND-P-O-10""]",'SKU明细'!$AE$9:$AE$1592,0)))&gt;0),SUM(INDEX('SKU明细'!$H$9:$H$1592,MATCH("[13306,""2311062-ND-P-O-10""]",'SKU明细'!$AE$9:$AE$1592,0)))/SUM(INDEX('SKU明细'!$G$9:$G$1592,MATCH("[13306,""2311062-ND-P-O-10""]",'SKU明细'!$AE$9:$AE$1592,0))),"待核")</x:f>
        <x:v>待核</x:v>
      </x:c>
      <x:c r="Q46" s="16" t="str">
        <x:f>"—"</x:f>
        <x:v>—</x:v>
      </x:c>
      <x:c r="R46" s="16" t="str">
        <x:f>IF(AND(COUNT(INDEX('SKU明细'!$H$9:$H$1592,MATCH("[13306,""2311062-ND-P-O-11""]",'SKU明细'!$AE$9:$AE$1592,0)))=1,COUNT(INDEX('SKU明细'!$G$9:$G$1592,MATCH("[13306,""2311062-ND-P-O-11""]",'SKU明细'!$AE$9:$AE$1592,0)))=1,SUM(INDEX('SKU明细'!$G$9:$G$1592,MATCH("[13306,""2311062-ND-P-O-11""]",'SKU明细'!$AE$9:$AE$1592,0)))&gt;0),SUM(INDEX('SKU明细'!$H$9:$H$1592,MATCH("[13306,""2311062-ND-P-O-11""]",'SKU明细'!$AE$9:$AE$1592,0)))/SUM(INDEX('SKU明细'!$G$9:$G$1592,MATCH("[13306,""2311062-ND-P-O-11""]",'SKU明细'!$AE$9:$AE$1592,0))),"待核")</x:f>
        <x:v>待核</x:v>
      </x:c>
      <x:c r="S46" s="16" t="str">
        <x:f>IF(AND(COUNT(INDEX('SKU明细'!$H$9:$H$1592,MATCH("[13306,""2311062-ND-P-O-10""]",'SKU明细'!$AE$9:$AE$1592,0)),INDEX('SKU明细'!$H$9:$H$1592,MATCH("[13306,""2311062-ND-P-O-11""]",'SKU明细'!$AE$9:$AE$1592,0)),INDEX('SKU明细'!$H$9:$H$1592,MATCH("[13306,""2311062-ND-P-O-8""]",'SKU明细'!$AE$9:$AE$1592,0)),INDEX('SKU明细'!$H$9:$H$1592,MATCH("[13306,""2311062-ND-P-O-9""]",'SKU明细'!$AE$9:$AE$1592,0)),INDEX('SKU明细'!$H$9:$H$1592,MATCH("[13306,""2311062-ND-P-O-6""]",'SKU明细'!$AE$9:$AE$1592,0)),INDEX('SKU明细'!$H$9:$H$1592,MATCH("[13306,""2311062-ND-P-O-7""]",'SKU明细'!$AE$9:$AE$1592,0)))=6,COUNT(INDEX('SKU明细'!$G$9:$G$1592,MATCH("[13306,""2311062-ND-P-O-10""]",'SKU明细'!$AE$9:$AE$1592,0)),INDEX('SKU明细'!$G$9:$G$1592,MATCH("[13306,""2311062-ND-P-O-11""]",'SKU明细'!$AE$9:$AE$1592,0)),INDEX('SKU明细'!$G$9:$G$1592,MATCH("[13306,""2311062-ND-P-O-8""]",'SKU明细'!$AE$9:$AE$1592,0)),INDEX('SKU明细'!$G$9:$G$1592,MATCH("[13306,""2311062-ND-P-O-9""]",'SKU明细'!$AE$9:$AE$1592,0)),INDEX('SKU明细'!$G$9:$G$1592,MATCH("[13306,""2311062-ND-P-O-6""]",'SKU明细'!$AE$9:$AE$1592,0)),INDEX('SKU明细'!$G$9:$G$1592,MATCH("[13306,""2311062-ND-P-O-7""]",'SKU明细'!$AE$9:$AE$1592,0)))=6,SUM(INDEX('SKU明细'!$G$9:$G$1592,MATCH("[13306,""2311062-ND-P-O-10""]",'SKU明细'!$AE$9:$AE$1592,0)),INDEX('SKU明细'!$G$9:$G$1592,MATCH("[13306,""2311062-ND-P-O-11""]",'SKU明细'!$AE$9:$AE$1592,0)),INDEX('SKU明细'!$G$9:$G$1592,MATCH("[13306,""2311062-ND-P-O-8""]",'SKU明细'!$AE$9:$AE$1592,0)),INDEX('SKU明细'!$G$9:$G$1592,MATCH("[13306,""2311062-ND-P-O-9""]",'SKU明细'!$AE$9:$AE$1592,0)),INDEX('SKU明细'!$G$9:$G$1592,MATCH("[13306,""2311062-ND-P-O-6""]",'SKU明细'!$AE$9:$AE$1592,0)),INDEX('SKU明细'!$G$9:$G$1592,MATCH("[13306,""2311062-ND-P-O-7""]",'SKU明细'!$AE$9:$AE$1592,0)))&gt;0),SUM(INDEX('SKU明细'!$H$9:$H$1592,MATCH("[13306,""2311062-ND-P-O-10""]",'SKU明细'!$AE$9:$AE$1592,0)),INDEX('SKU明细'!$H$9:$H$1592,MATCH("[13306,""2311062-ND-P-O-11""]",'SKU明细'!$AE$9:$AE$1592,0)),INDEX('SKU明细'!$H$9:$H$1592,MATCH("[13306,""2311062-ND-P-O-8""]",'SKU明细'!$AE$9:$AE$1592,0)),INDEX('SKU明细'!$H$9:$H$1592,MATCH("[13306,""2311062-ND-P-O-9""]",'SKU明细'!$AE$9:$AE$1592,0)),INDEX('SKU明细'!$H$9:$H$1592,MATCH("[13306,""2311062-ND-P-O-6""]",'SKU明细'!$AE$9:$AE$1592,0)),INDEX('SKU明细'!$H$9:$H$1592,MATCH("[13306,""2311062-ND-P-O-7""]",'SKU明细'!$AE$9:$AE$1592,0)))/SUM(INDEX('SKU明细'!$G$9:$G$1592,MATCH("[13306,""2311062-ND-P-O-10""]",'SKU明细'!$AE$9:$AE$1592,0)),INDEX('SKU明细'!$G$9:$G$1592,MATCH("[13306,""2311062-ND-P-O-11""]",'SKU明细'!$AE$9:$AE$1592,0)),INDEX('SKU明细'!$G$9:$G$1592,MATCH("[13306,""2311062-ND-P-O-8""]",'SKU明细'!$AE$9:$AE$1592,0)),INDEX('SKU明细'!$G$9:$G$1592,MATCH("[13306,""2311062-ND-P-O-9""]",'SKU明细'!$AE$9:$AE$1592,0)),INDEX('SKU明细'!$G$9:$G$1592,MATCH("[13306,""2311062-ND-P-O-6""]",'SKU明细'!$AE$9:$AE$1592,0)),INDEX('SKU明细'!$G$9:$G$1592,MATCH("[13306,""2311062-ND-P-O-7""]",'SKU明细'!$AE$9:$AE$1592,0))),"待核")</x:f>
        <x:v>待核</x:v>
      </x:c>
      <x:c r="T46" s="16" t="str">
        <x:f>IF(AND(COUNT(INDEX('SKU明细'!$I$9:$I$1592,MATCH("[13306,""2311062-ND-P-O-10""]",'SKU明细'!$AE$9:$AE$1592,0)),INDEX('SKU明细'!$I$9:$I$1592,MATCH("[13306,""2311062-ND-P-O-11""]",'SKU明细'!$AE$9:$AE$1592,0)),INDEX('SKU明细'!$I$9:$I$1592,MATCH("[13306,""2311062-ND-P-O-8""]",'SKU明细'!$AE$9:$AE$1592,0)),INDEX('SKU明细'!$I$9:$I$1592,MATCH("[13306,""2311062-ND-P-O-9""]",'SKU明细'!$AE$9:$AE$1592,0)),INDEX('SKU明细'!$I$9:$I$1592,MATCH("[13306,""2311062-ND-P-O-6""]",'SKU明细'!$AE$9:$AE$1592,0)),INDEX('SKU明细'!$I$9:$I$1592,MATCH("[13306,""2311062-ND-P-O-7""]",'SKU明细'!$AE$9:$AE$1592,0)))=6,COUNT(INDEX('SKU明细'!$AD$9:$AD$1592,MATCH("[13306,""2311062-ND-P-O-10""]",'SKU明细'!$AE$9:$AE$1592,0)),INDEX('SKU明细'!$AD$9:$AD$1592,MATCH("[13306,""2311062-ND-P-O-11""]",'SKU明细'!$AE$9:$AE$1592,0)),INDEX('SKU明细'!$AD$9:$AD$1592,MATCH("[13306,""2311062-ND-P-O-8""]",'SKU明细'!$AE$9:$AE$1592,0)),INDEX('SKU明细'!$AD$9:$AD$1592,MATCH("[13306,""2311062-ND-P-O-9""]",'SKU明细'!$AE$9:$AE$1592,0)),INDEX('SKU明细'!$AD$9:$AD$1592,MATCH("[13306,""2311062-ND-P-O-6""]",'SKU明细'!$AE$9:$AE$1592,0)),INDEX('SKU明细'!$AD$9:$AD$1592,MATCH("[13306,""2311062-ND-P-O-7""]",'SKU明细'!$AE$9:$AE$1592,0)))=6,SUM(INDEX('SKU明细'!$AD$9:$AD$1592,MATCH("[13306,""2311062-ND-P-O-10""]",'SKU明细'!$AE$9:$AE$1592,0)),INDEX('SKU明细'!$AD$9:$AD$1592,MATCH("[13306,""2311062-ND-P-O-11""]",'SKU明细'!$AE$9:$AE$1592,0)),INDEX('SKU明细'!$AD$9:$AD$1592,MATCH("[13306,""2311062-ND-P-O-8""]",'SKU明细'!$AE$9:$AE$1592,0)),INDEX('SKU明细'!$AD$9:$AD$1592,MATCH("[13306,""2311062-ND-P-O-9""]",'SKU明细'!$AE$9:$AE$1592,0)),INDEX('SKU明细'!$AD$9:$AD$1592,MATCH("[13306,""2311062-ND-P-O-6""]",'SKU明细'!$AE$9:$AE$1592,0)),INDEX('SKU明细'!$AD$9:$AD$1592,MATCH("[13306,""2311062-ND-P-O-7""]",'SKU明细'!$AE$9:$AE$1592,0)))&gt;0),SUM(INDEX('SKU明细'!$I$9:$I$1592,MATCH("[13306,""2311062-ND-P-O-10""]",'SKU明细'!$AE$9:$AE$1592,0)),INDEX('SKU明细'!$I$9:$I$1592,MATCH("[13306,""2311062-ND-P-O-11""]",'SKU明细'!$AE$9:$AE$1592,0)),INDEX('SKU明细'!$I$9:$I$1592,MATCH("[13306,""2311062-ND-P-O-8""]",'SKU明细'!$AE$9:$AE$1592,0)),INDEX('SKU明细'!$I$9:$I$1592,MATCH("[13306,""2311062-ND-P-O-9""]",'SKU明细'!$AE$9:$AE$1592,0)),INDEX('SKU明细'!$I$9:$I$1592,MATCH("[13306,""2311062-ND-P-O-6""]",'SKU明细'!$AE$9:$AE$1592,0)),INDEX('SKU明细'!$I$9:$I$1592,MATCH("[13306,""2311062-ND-P-O-7""]",'SKU明细'!$AE$9:$AE$1592,0)))/SUM(INDEX('SKU明细'!$AD$9:$AD$1592,MATCH("[13306,""2311062-ND-P-O-10""]",'SKU明细'!$AE$9:$AE$1592,0)),INDEX('SKU明细'!$AD$9:$AD$1592,MATCH("[13306,""2311062-ND-P-O-11""]",'SKU明细'!$AE$9:$AE$1592,0)),INDEX('SKU明细'!$AD$9:$AD$1592,MATCH("[13306,""2311062-ND-P-O-8""]",'SKU明细'!$AE$9:$AE$1592,0)),INDEX('SKU明细'!$AD$9:$AD$1592,MATCH("[13306,""2311062-ND-P-O-9""]",'SKU明细'!$AE$9:$AE$1592,0)),INDEX('SKU明细'!$AD$9:$AD$1592,MATCH("[13306,""2311062-ND-P-O-6""]",'SKU明细'!$AE$9:$AE$1592,0)),INDEX('SKU明细'!$AD$9:$AD$1592,MATCH("[13306,""2311062-ND-P-O-7""]",'SKU明细'!$AE$9:$AE$1592,0))),"待核")</x:f>
        <x:v>待核</x:v>
      </x:c>
      <x:c r="U46" s="16" t="str">
        <x:f>IF(COUNT(S46:T46)=2,S46-T46,"待核")</x:f>
        <x:v>待核</x:v>
      </x:c>
      <x:c r="V46" s="17" t="str">
        <x:f>IF(AND(ISNUMBER(U46),ISNUMBER(T46),T46&lt;&gt;0),U46/T46,"")</x:f>
      </x:c>
      <x:c r="W46" s="18" t="n">
        <x:f>IF(COUNT(INDEX('SKU明细'!$H$9:$H$1592,MATCH("[13306,""2311062-ND-P-O-10""]",'SKU明细'!$AE$9:$AE$1592,0)),INDEX('SKU明细'!$H$9:$H$1592,MATCH("[13306,""2311062-ND-P-O-11""]",'SKU明细'!$AE$9:$AE$1592,0)),INDEX('SKU明细'!$H$9:$H$1592,MATCH("[13306,""2311062-ND-P-O-8""]",'SKU明细'!$AE$9:$AE$1592,0)),INDEX('SKU明细'!$H$9:$H$1592,MATCH("[13306,""2311062-ND-P-O-9""]",'SKU明细'!$AE$9:$AE$1592,0)),INDEX('SKU明细'!$H$9:$H$1592,MATCH("[13306,""2311062-ND-P-O-6""]",'SKU明细'!$AE$9:$AE$1592,0)),INDEX('SKU明细'!$H$9:$H$1592,MATCH("[13306,""2311062-ND-P-O-7""]",'SKU明细'!$AE$9:$AE$1592,0)))=0,"待核",SUM(INDEX('SKU明细'!$H$9:$H$1592,MATCH("[13306,""2311062-ND-P-O-10""]",'SKU明细'!$AE$9:$AE$1592,0)),INDEX('SKU明细'!$H$9:$H$1592,MATCH("[13306,""2311062-ND-P-O-11""]",'SKU明细'!$AE$9:$AE$1592,0)),INDEX('SKU明细'!$H$9:$H$1592,MATCH("[13306,""2311062-ND-P-O-8""]",'SKU明细'!$AE$9:$AE$1592,0)),INDEX('SKU明细'!$H$9:$H$1592,MATCH("[13306,""2311062-ND-P-O-9""]",'SKU明细'!$AE$9:$AE$1592,0)),INDEX('SKU明细'!$H$9:$H$1592,MATCH("[13306,""2311062-ND-P-O-6""]",'SKU明细'!$AE$9:$AE$1592,0)),INDEX('SKU明细'!$H$9:$H$1592,MATCH("[13306,""2311062-ND-P-O-7""]",'SKU明细'!$AE$9:$AE$1592,0))))</x:f>
        <x:v>351</x:v>
      </x:c>
      <x:c r="X46" s="19" t="str">
        <x:f>IF(COUNTIFS('SKU明细'!$AH$9:$AH$1592,"[""2311062"",""2311062-ND-P-O"",""ND-P"",""裸色 PU""]",'SKU明细'!$E$9:$E$1592,"促销")&gt;0,"促销 ","")&amp;IF(COUNTIFS('SKU明细'!$AH$9:$AH$1592,"[""2311062"",""2311062-ND-P-O"",""ND-P"",""裸色 PU""]",'SKU明细'!$E$9:$E$1592,"红线促销")&gt;0,"红线促销 ","")&amp;IF(COUNTIFS('SKU明细'!$AH$9:$AH$1592,"[""2311062"",""2311062-ND-P-O"",""ND-P"",""裸色 PU""]",'SKU明细'!$E$9:$E$1592,"考虑清仓")&gt;0,"考虑清仓 ","")&amp;IF(COUNTIFS('SKU明细'!$AH$9:$AH$1592,"[""2311062"",""2311062-ND-P-O"",""ND-P"",""裸色 PU""]",'SKU明细'!$E$9:$E$1592,"断货")&gt;0,"断货 ","")&amp;IF(COUNTIFS('SKU明细'!$AH$9:$AH$1592,"[""2311062"",""2311062-ND-P-O"",""ND-P"",""裸色 PU""]",'SKU明细'!$E$9:$E$1592,"零日销待复核")&gt;0,"零日销待复核 ","")&amp;IF(COUNTIFS('SKU明细'!$AH$9:$AH$1592,"[""2311062"",""2311062-ND-P-O"",""ND-P"",""裸色 PU""]",'SKU明细'!$E$9:$E$1592,"数据待核")&gt;0,"数据待核 ","")&amp;IF(COUNTIFS('SKU明细'!$AH$9:$AH$1592,"[""2311062"",""2311062-ND-P-O"",""ND-P"",""裸色 PU""]",'SKU明细'!$E$9:$E$1592,"正常库存")&gt;0,"正常库存 ","")&amp;IF(COUNTIFS('SKU明细'!$AH$9:$AH$1592,"[""2311062"",""2311062-ND-P-O"",""ND-P"",""裸色 PU""]",'SKU明细'!$E$9:$E$1592,"补货提醒")&gt;0,"补货提醒 ","")</x:f>
        <x:v>数据待核 正常库存 补货提醒 </x:v>
      </x:c>
      <x:c r="Y46" s="19" t="str">
        <x:f>IF(NOT(ISNUMBER(U46)),"覆盖待核／无可比基准","完整可比")</x:f>
        <x:v>覆盖待核／无可比基准</x:v>
      </x:c>
      <x:c r="Z46" s="19" t="str">
        <x:v>在售</x:v>
      </x:c>
      <x:c r="AA46" s="19" t="n">
        <x:f>IF(SUMIFS('SKU明细'!$AF$9:$AF$1592,'SKU明细'!$D$9:$D$1592,A46,'SKU明细'!$Z$9:$Z$1592,"&lt;&gt;移出")=0,"待核",SUMIFS('SKU明细'!$H$9:$H$1592,'SKU明细'!$D$9:$D$1592,A46,'SKU明细'!$Z$9:$Z$1592,"&lt;&gt;移出"))</x:f>
        <x:v>2191</x:v>
      </x:c>
    </x:row>
    <x:row r="47" ht="54" customHeight="1">
      <x:c r="A47" s="15" t="str">
        <x:v>2311062</x:v>
      </x:c>
      <x:c r="B47" s="15" t="str">
        <x:v>陈晨</x:v>
      </x:c>
      <x:c r="C47" s="15" t="str">
        <x:v>酒红 PU</x:v>
      </x:c>
      <x:c r="D47" s="15" t="str">
        <x:v>RD-P</x:v>
      </x:c>
      <x:c r="E47" s="15" t="str">
        <x:v>2311062-RD-P-O</x:v>
      </x:c>
      <x:c r="F47" s="15"/>
      <x:c r="G47" s="16" t="str">
        <x:f>"—"</x:f>
        <x:v>—</x:v>
      </x:c>
      <x:c r="H47" s="16" t="str">
        <x:f>IF(AND(COUNT(INDEX('SKU明细'!$H$9:$H$1592,MATCH("[13306,""2311062-RD-P-O-6""]",'SKU明细'!$AE$9:$AE$1592,0)))=1,COUNT(INDEX('SKU明细'!$G$9:$G$1592,MATCH("[13306,""2311062-RD-P-O-6""]",'SKU明细'!$AE$9:$AE$1592,0)))=1,SUM(INDEX('SKU明细'!$G$9:$G$1592,MATCH("[13306,""2311062-RD-P-O-6""]",'SKU明细'!$AE$9:$AE$1592,0)))&gt;0),SUM(INDEX('SKU明细'!$H$9:$H$1592,MATCH("[13306,""2311062-RD-P-O-6""]",'SKU明细'!$AE$9:$AE$1592,0)))/SUM(INDEX('SKU明细'!$G$9:$G$1592,MATCH("[13306,""2311062-RD-P-O-6""]",'SKU明细'!$AE$9:$AE$1592,0))),"待核")</x:f>
        <x:v>待核</x:v>
      </x:c>
      <x:c r="I47" s="16" t="str">
        <x:f>"—"</x:f>
        <x:v>—</x:v>
      </x:c>
      <x:c r="J47" s="16" t="n">
        <x:f>IF(AND(COUNT(INDEX('SKU明细'!$H$9:$H$1592,MATCH("[13306,""2311062-RD-P-O-7""]",'SKU明细'!$AE$9:$AE$1592,0)))=1,COUNT(INDEX('SKU明细'!$G$9:$G$1592,MATCH("[13306,""2311062-RD-P-O-7""]",'SKU明细'!$AE$9:$AE$1592,0)))=1,SUM(INDEX('SKU明细'!$G$9:$G$1592,MATCH("[13306,""2311062-RD-P-O-7""]",'SKU明细'!$AE$9:$AE$1592,0)))&gt;0),SUM(INDEX('SKU明细'!$H$9:$H$1592,MATCH("[13306,""2311062-RD-P-O-7""]",'SKU明细'!$AE$9:$AE$1592,0)))/SUM(INDEX('SKU明细'!$G$9:$G$1592,MATCH("[13306,""2311062-RD-P-O-7""]",'SKU明细'!$AE$9:$AE$1592,0))),"待核")</x:f>
        <x:v>0</x:v>
      </x:c>
      <x:c r="K47" s="16" t="str">
        <x:f>"—"</x:f>
        <x:v>—</x:v>
      </x:c>
      <x:c r="L47" s="16" t="n">
        <x:f>IF(AND(COUNT(INDEX('SKU明细'!$H$9:$H$1592,MATCH("[13306,""2311062-RD-P-O-8""]",'SKU明细'!$AE$9:$AE$1592,0)))=1,COUNT(INDEX('SKU明细'!$G$9:$G$1592,MATCH("[13306,""2311062-RD-P-O-8""]",'SKU明细'!$AE$9:$AE$1592,0)))=1,SUM(INDEX('SKU明细'!$G$9:$G$1592,MATCH("[13306,""2311062-RD-P-O-8""]",'SKU明细'!$AE$9:$AE$1592,0)))&gt;0),SUM(INDEX('SKU明细'!$H$9:$H$1592,MATCH("[13306,""2311062-RD-P-O-8""]",'SKU明细'!$AE$9:$AE$1592,0)))/SUM(INDEX('SKU明细'!$G$9:$G$1592,MATCH("[13306,""2311062-RD-P-O-8""]",'SKU明细'!$AE$9:$AE$1592,0))),"待核")</x:f>
        <x:v>0</x:v>
      </x:c>
      <x:c r="M47" s="16" t="str">
        <x:f>"—"</x:f>
        <x:v>—</x:v>
      </x:c>
      <x:c r="N47" s="16" t="str">
        <x:f>IF(AND(COUNT(INDEX('SKU明细'!$H$9:$H$1592,MATCH("[13306,""2311062-RD-P-O-9""]",'SKU明细'!$AE$9:$AE$1592,0)))=1,COUNT(INDEX('SKU明细'!$G$9:$G$1592,MATCH("[13306,""2311062-RD-P-O-9""]",'SKU明细'!$AE$9:$AE$1592,0)))=1,SUM(INDEX('SKU明细'!$G$9:$G$1592,MATCH("[13306,""2311062-RD-P-O-9""]",'SKU明细'!$AE$9:$AE$1592,0)))&gt;0),SUM(INDEX('SKU明细'!$H$9:$H$1592,MATCH("[13306,""2311062-RD-P-O-9""]",'SKU明细'!$AE$9:$AE$1592,0)))/SUM(INDEX('SKU明细'!$G$9:$G$1592,MATCH("[13306,""2311062-RD-P-O-9""]",'SKU明细'!$AE$9:$AE$1592,0))),"待核")</x:f>
        <x:v>待核</x:v>
      </x:c>
      <x:c r="O47" s="16" t="str">
        <x:f>"—"</x:f>
        <x:v>—</x:v>
      </x:c>
      <x:c r="P47" s="16" t="str">
        <x:f>IF(AND(COUNT(INDEX('SKU明细'!$H$9:$H$1592,MATCH("[13306,""2311062-RD-P-O-10""]",'SKU明细'!$AE$9:$AE$1592,0)))=1,COUNT(INDEX('SKU明细'!$G$9:$G$1592,MATCH("[13306,""2311062-RD-P-O-10""]",'SKU明细'!$AE$9:$AE$1592,0)))=1,SUM(INDEX('SKU明细'!$G$9:$G$1592,MATCH("[13306,""2311062-RD-P-O-10""]",'SKU明细'!$AE$9:$AE$1592,0)))&gt;0),SUM(INDEX('SKU明细'!$H$9:$H$1592,MATCH("[13306,""2311062-RD-P-O-10""]",'SKU明细'!$AE$9:$AE$1592,0)))/SUM(INDEX('SKU明细'!$G$9:$G$1592,MATCH("[13306,""2311062-RD-P-O-10""]",'SKU明细'!$AE$9:$AE$1592,0))),"待核")</x:f>
        <x:v>待核</x:v>
      </x:c>
      <x:c r="Q47" s="16" t="str">
        <x:f>"—"</x:f>
        <x:v>—</x:v>
      </x:c>
      <x:c r="R47" s="16" t="str">
        <x:f>IF(AND(COUNT(INDEX('SKU明细'!$H$9:$H$1592,MATCH("[null,""2311062-RD-P-O-11""]",'SKU明细'!$AE$9:$AE$1592,0)))=1,COUNT(INDEX('SKU明细'!$G$9:$G$1592,MATCH("[null,""2311062-RD-P-O-11""]",'SKU明细'!$AE$9:$AE$1592,0)))=1,SUM(INDEX('SKU明细'!$G$9:$G$1592,MATCH("[null,""2311062-RD-P-O-11""]",'SKU明细'!$AE$9:$AE$1592,0)))&gt;0),SUM(INDEX('SKU明细'!$H$9:$H$1592,MATCH("[null,""2311062-RD-P-O-11""]",'SKU明细'!$AE$9:$AE$1592,0)))/SUM(INDEX('SKU明细'!$G$9:$G$1592,MATCH("[null,""2311062-RD-P-O-11""]",'SKU明细'!$AE$9:$AE$1592,0))),"待核")</x:f>
        <x:v>待核</x:v>
      </x:c>
      <x:c r="S47" s="16" t="n">
        <x:f>IF(AND(COUNT(INDEX('SKU明细'!$H$9:$H$1592,MATCH("[13306,""2311062-RD-P-O-7""]",'SKU明细'!$AE$9:$AE$1592,0)),INDEX('SKU明细'!$H$9:$H$1592,MATCH("[13306,""2311062-RD-P-O-8""]",'SKU明细'!$AE$9:$AE$1592,0)),INDEX('SKU明细'!$H$9:$H$1592,MATCH("[13306,""2311062-RD-P-O-9""]",'SKU明细'!$AE$9:$AE$1592,0)))=3,COUNT(INDEX('SKU明细'!$G$9:$G$1592,MATCH("[13306,""2311062-RD-P-O-7""]",'SKU明细'!$AE$9:$AE$1592,0)),INDEX('SKU明细'!$G$9:$G$1592,MATCH("[13306,""2311062-RD-P-O-8""]",'SKU明细'!$AE$9:$AE$1592,0)),INDEX('SKU明细'!$G$9:$G$1592,MATCH("[13306,""2311062-RD-P-O-9""]",'SKU明细'!$AE$9:$AE$1592,0)))=3,SUM(INDEX('SKU明细'!$G$9:$G$1592,MATCH("[13306,""2311062-RD-P-O-7""]",'SKU明细'!$AE$9:$AE$1592,0)),INDEX('SKU明细'!$G$9:$G$1592,MATCH("[13306,""2311062-RD-P-O-8""]",'SKU明细'!$AE$9:$AE$1592,0)),INDEX('SKU明细'!$G$9:$G$1592,MATCH("[13306,""2311062-RD-P-O-9""]",'SKU明细'!$AE$9:$AE$1592,0)))&gt;0),SUM(INDEX('SKU明细'!$H$9:$H$1592,MATCH("[13306,""2311062-RD-P-O-7""]",'SKU明细'!$AE$9:$AE$1592,0)),INDEX('SKU明细'!$H$9:$H$1592,MATCH("[13306,""2311062-RD-P-O-8""]",'SKU明细'!$AE$9:$AE$1592,0)),INDEX('SKU明细'!$H$9:$H$1592,MATCH("[13306,""2311062-RD-P-O-9""]",'SKU明细'!$AE$9:$AE$1592,0)))/SUM(INDEX('SKU明细'!$G$9:$G$1592,MATCH("[13306,""2311062-RD-P-O-7""]",'SKU明细'!$AE$9:$AE$1592,0)),INDEX('SKU明细'!$G$9:$G$1592,MATCH("[13306,""2311062-RD-P-O-8""]",'SKU明细'!$AE$9:$AE$1592,0)),INDEX('SKU明细'!$G$9:$G$1592,MATCH("[13306,""2311062-RD-P-O-9""]",'SKU明细'!$AE$9:$AE$1592,0))),"待核")</x:f>
        <x:v>0</x:v>
      </x:c>
      <x:c r="T47" s="16" t="n">
        <x:f>IF(AND(COUNT(INDEX('SKU明细'!$I$9:$I$1592,MATCH("[13306,""2311062-RD-P-O-7""]",'SKU明细'!$AE$9:$AE$1592,0)),INDEX('SKU明细'!$I$9:$I$1592,MATCH("[13306,""2311062-RD-P-O-8""]",'SKU明细'!$AE$9:$AE$1592,0)),INDEX('SKU明细'!$I$9:$I$1592,MATCH("[13306,""2311062-RD-P-O-9""]",'SKU明细'!$AE$9:$AE$1592,0)))=3,COUNT(INDEX('SKU明细'!$AD$9:$AD$1592,MATCH("[13306,""2311062-RD-P-O-7""]",'SKU明细'!$AE$9:$AE$1592,0)),INDEX('SKU明细'!$AD$9:$AD$1592,MATCH("[13306,""2311062-RD-P-O-8""]",'SKU明细'!$AE$9:$AE$1592,0)),INDEX('SKU明细'!$AD$9:$AD$1592,MATCH("[13306,""2311062-RD-P-O-9""]",'SKU明细'!$AE$9:$AE$1592,0)))=3,SUM(INDEX('SKU明细'!$AD$9:$AD$1592,MATCH("[13306,""2311062-RD-P-O-7""]",'SKU明细'!$AE$9:$AE$1592,0)),INDEX('SKU明细'!$AD$9:$AD$1592,MATCH("[13306,""2311062-RD-P-O-8""]",'SKU明细'!$AE$9:$AE$1592,0)),INDEX('SKU明细'!$AD$9:$AD$1592,MATCH("[13306,""2311062-RD-P-O-9""]",'SKU明细'!$AE$9:$AE$1592,0)))&gt;0),SUM(INDEX('SKU明细'!$I$9:$I$1592,MATCH("[13306,""2311062-RD-P-O-7""]",'SKU明细'!$AE$9:$AE$1592,0)),INDEX('SKU明细'!$I$9:$I$1592,MATCH("[13306,""2311062-RD-P-O-8""]",'SKU明细'!$AE$9:$AE$1592,0)),INDEX('SKU明细'!$I$9:$I$1592,MATCH("[13306,""2311062-RD-P-O-9""]",'SKU明细'!$AE$9:$AE$1592,0)))/SUM(INDEX('SKU明细'!$AD$9:$AD$1592,MATCH("[13306,""2311062-RD-P-O-7""]",'SKU明细'!$AE$9:$AE$1592,0)),INDEX('SKU明细'!$AD$9:$AD$1592,MATCH("[13306,""2311062-RD-P-O-8""]",'SKU明细'!$AE$9:$AE$1592,0)),INDEX('SKU明细'!$AD$9:$AD$1592,MATCH("[13306,""2311062-RD-P-O-9""]",'SKU明细'!$AE$9:$AE$1592,0))),"待核")</x:f>
        <x:v>0</x:v>
      </x:c>
      <x:c r="U47" s="16" t="n">
        <x:f>IF(COUNT(S47:T47)=2,S47-T47,"待核")</x:f>
        <x:v>0</x:v>
      </x:c>
      <x:c r="V47" s="17" t="str">
        <x:f>IF(AND(ISNUMBER(U47),ISNUMBER(T47),T47&lt;&gt;0),U47/T47,"")</x:f>
      </x:c>
      <x:c r="W47" s="18" t="n">
        <x:f>IF(COUNT(INDEX('SKU明细'!$H$9:$H$1592,MATCH("[13306,""2311062-RD-P-O-10""]",'SKU明细'!$AE$9:$AE$1592,0)),INDEX('SKU明细'!$H$9:$H$1592,MATCH("[13306,""2311062-RD-P-O-6""]",'SKU明细'!$AE$9:$AE$1592,0)),INDEX('SKU明细'!$H$9:$H$1592,MATCH("[13306,""2311062-RD-P-O-7""]",'SKU明细'!$AE$9:$AE$1592,0)),INDEX('SKU明细'!$H$9:$H$1592,MATCH("[13306,""2311062-RD-P-O-8""]",'SKU明细'!$AE$9:$AE$1592,0)),INDEX('SKU明细'!$H$9:$H$1592,MATCH("[13306,""2311062-RD-P-O-9""]",'SKU明细'!$AE$9:$AE$1592,0)),INDEX('SKU明细'!$H$9:$H$1592,MATCH("[null,""2311062-RD-P-O-11""]",'SKU明细'!$AE$9:$AE$1592,0)))=0,"待核",SUM(INDEX('SKU明细'!$H$9:$H$1592,MATCH("[13306,""2311062-RD-P-O-10""]",'SKU明细'!$AE$9:$AE$1592,0)),INDEX('SKU明细'!$H$9:$H$1592,MATCH("[13306,""2311062-RD-P-O-6""]",'SKU明细'!$AE$9:$AE$1592,0)),INDEX('SKU明细'!$H$9:$H$1592,MATCH("[13306,""2311062-RD-P-O-7""]",'SKU明细'!$AE$9:$AE$1592,0)),INDEX('SKU明细'!$H$9:$H$1592,MATCH("[13306,""2311062-RD-P-O-8""]",'SKU明细'!$AE$9:$AE$1592,0)),INDEX('SKU明细'!$H$9:$H$1592,MATCH("[13306,""2311062-RD-P-O-9""]",'SKU明细'!$AE$9:$AE$1592,0)),INDEX('SKU明细'!$H$9:$H$1592,MATCH("[null,""2311062-RD-P-O-11""]",'SKU明细'!$AE$9:$AE$1592,0))))</x:f>
        <x:v>0</x:v>
      </x:c>
      <x:c r="X47" s="19" t="str">
        <x:f>IF(COUNTIFS('SKU明细'!$AH$9:$AH$1592,"[""2311062"",""2311062-RD-P-O"",""RD-P"",""酒红 PU""]",'SKU明细'!$E$9:$E$1592,"促销")&gt;0,"促销 ","")&amp;IF(COUNTIFS('SKU明细'!$AH$9:$AH$1592,"[""2311062"",""2311062-RD-P-O"",""RD-P"",""酒红 PU""]",'SKU明细'!$E$9:$E$1592,"红线促销")&gt;0,"红线促销 ","")&amp;IF(COUNTIFS('SKU明细'!$AH$9:$AH$1592,"[""2311062"",""2311062-RD-P-O"",""RD-P"",""酒红 PU""]",'SKU明细'!$E$9:$E$1592,"考虑清仓")&gt;0,"考虑清仓 ","")&amp;IF(COUNTIFS('SKU明细'!$AH$9:$AH$1592,"[""2311062"",""2311062-RD-P-O"",""RD-P"",""酒红 PU""]",'SKU明细'!$E$9:$E$1592,"断货")&gt;0,"断货 ","")&amp;IF(COUNTIFS('SKU明细'!$AH$9:$AH$1592,"[""2311062"",""2311062-RD-P-O"",""RD-P"",""酒红 PU""]",'SKU明细'!$E$9:$E$1592,"零日销待复核")&gt;0,"零日销待复核 ","")&amp;IF(COUNTIFS('SKU明细'!$AH$9:$AH$1592,"[""2311062"",""2311062-RD-P-O"",""RD-P"",""酒红 PU""]",'SKU明细'!$E$9:$E$1592,"数据待核")&gt;0,"数据待核 ","")&amp;IF(COUNTIFS('SKU明细'!$AH$9:$AH$1592,"[""2311062"",""2311062-RD-P-O"",""RD-P"",""酒红 PU""]",'SKU明细'!$E$9:$E$1592,"正常库存")&gt;0,"正常库存 ","")&amp;IF(COUNTIFS('SKU明细'!$AH$9:$AH$1592,"[""2311062"",""2311062-RD-P-O"",""RD-P"",""酒红 PU""]",'SKU明细'!$E$9:$E$1592,"补货提醒")&gt;0,"补货提醒 ","")</x:f>
        <x:v>断货 数据待核 </x:v>
      </x:c>
      <x:c r="Y47" s="19" t="str">
        <x:f>IF(NOT(ISNUMBER(U47)),"覆盖待核／无可比基准","仅共同SKU")</x:f>
        <x:v>仅共同SKU</x:v>
      </x:c>
      <x:c r="Z47" s="19" t="str">
        <x:v>停售、在售、未匹配Listing</x:v>
      </x:c>
      <x:c r="AA47" s="19" t="n">
        <x:f>IF(SUMIFS('SKU明细'!$AF$9:$AF$1592,'SKU明细'!$D$9:$D$1592,A47,'SKU明细'!$Z$9:$Z$1592,"&lt;&gt;移出")=0,"待核",SUMIFS('SKU明细'!$H$9:$H$1592,'SKU明细'!$D$9:$D$1592,A47,'SKU明细'!$Z$9:$Z$1592,"&lt;&gt;移出"))</x:f>
        <x:v>2191</x:v>
      </x:c>
    </x:row>
    <x:row r="48" ht="54" customHeight="1">
      <x:c r="A48" s="15" t="str">
        <x:v>2311062</x:v>
      </x:c>
      <x:c r="B48" s="15" t="str">
        <x:v>陈晨</x:v>
      </x:c>
      <x:c r="C48" s="15" t="str">
        <x:v>酒红锦纶</x:v>
      </x:c>
      <x:c r="D48" s="15" t="str">
        <x:v>RD-V</x:v>
      </x:c>
      <x:c r="E48" s="15" t="str">
        <x:v>2311062-RD-V-O</x:v>
      </x:c>
      <x:c r="F48" s="15"/>
      <x:c r="G48" s="16" t="str">
        <x:f>"—"</x:f>
        <x:v>—</x:v>
      </x:c>
      <x:c r="H48" s="16" t="n">
        <x:f>IF(AND(COUNT(INDEX('SKU明细'!$H$9:$H$1592,MATCH("[13306,""2311062-RD-V-O-6""]",'SKU明细'!$AE$9:$AE$1592,0)))=1,COUNT(INDEX('SKU明细'!$G$9:$G$1592,MATCH("[13306,""2311062-RD-V-O-6""]",'SKU明细'!$AE$9:$AE$1592,0)))=1,SUM(INDEX('SKU明细'!$G$9:$G$1592,MATCH("[13306,""2311062-RD-V-O-6""]",'SKU明细'!$AE$9:$AE$1592,0)))&gt;0),SUM(INDEX('SKU明细'!$H$9:$H$1592,MATCH("[13306,""2311062-RD-V-O-6""]",'SKU明细'!$AE$9:$AE$1592,0)))/SUM(INDEX('SKU明细'!$G$9:$G$1592,MATCH("[13306,""2311062-RD-V-O-6""]",'SKU明细'!$AE$9:$AE$1592,0))),"待核")</x:f>
        <x:v>375</x:v>
      </x:c>
      <x:c r="I48" s="16" t="str">
        <x:f>"—"</x:f>
        <x:v>—</x:v>
      </x:c>
      <x:c r="J48" s="16" t="n">
        <x:f>IF(AND(COUNT(INDEX('SKU明细'!$H$9:$H$1592,MATCH("[13306,""2311062-RD-V-O-7""]",'SKU明细'!$AE$9:$AE$1592,0)))=1,COUNT(INDEX('SKU明细'!$G$9:$G$1592,MATCH("[13306,""2311062-RD-V-O-7""]",'SKU明细'!$AE$9:$AE$1592,0)))=1,SUM(INDEX('SKU明细'!$G$9:$G$1592,MATCH("[13306,""2311062-RD-V-O-7""]",'SKU明细'!$AE$9:$AE$1592,0)))&gt;0),SUM(INDEX('SKU明细'!$H$9:$H$1592,MATCH("[13306,""2311062-RD-V-O-7""]",'SKU明细'!$AE$9:$AE$1592,0)))/SUM(INDEX('SKU明细'!$G$9:$G$1592,MATCH("[13306,""2311062-RD-V-O-7""]",'SKU明细'!$AE$9:$AE$1592,0))),"待核")</x:f>
        <x:v>128.91089108910893</x:v>
      </x:c>
      <x:c r="K48" s="16" t="str">
        <x:f>"—"</x:f>
        <x:v>—</x:v>
      </x:c>
      <x:c r="L48" s="16" t="n">
        <x:f>IF(AND(COUNT(INDEX('SKU明细'!$H$9:$H$1592,MATCH("[13306,""2311062-RD-V-O-8""]",'SKU明细'!$AE$9:$AE$1592,0)))=1,COUNT(INDEX('SKU明细'!$G$9:$G$1592,MATCH("[13306,""2311062-RD-V-O-8""]",'SKU明细'!$AE$9:$AE$1592,0)))=1,SUM(INDEX('SKU明细'!$G$9:$G$1592,MATCH("[13306,""2311062-RD-V-O-8""]",'SKU明细'!$AE$9:$AE$1592,0)))&gt;0),SUM(INDEX('SKU明细'!$H$9:$H$1592,MATCH("[13306,""2311062-RD-V-O-8""]",'SKU明细'!$AE$9:$AE$1592,0)))/SUM(INDEX('SKU明细'!$G$9:$G$1592,MATCH("[13306,""2311062-RD-V-O-8""]",'SKU明细'!$AE$9:$AE$1592,0))),"待核")</x:f>
        <x:v>182.26415094339623</x:v>
      </x:c>
      <x:c r="M48" s="16" t="str">
        <x:f>"—"</x:f>
        <x:v>—</x:v>
      </x:c>
      <x:c r="N48" s="16" t="n">
        <x:f>IF(AND(COUNT(INDEX('SKU明细'!$H$9:$H$1592,MATCH("[13306,""2311062-RD-V-O-9""]",'SKU明细'!$AE$9:$AE$1592,0)))=1,COUNT(INDEX('SKU明细'!$G$9:$G$1592,MATCH("[13306,""2311062-RD-V-O-9""]",'SKU明细'!$AE$9:$AE$1592,0)))=1,SUM(INDEX('SKU明细'!$G$9:$G$1592,MATCH("[13306,""2311062-RD-V-O-9""]",'SKU明细'!$AE$9:$AE$1592,0)))&gt;0),SUM(INDEX('SKU明细'!$H$9:$H$1592,MATCH("[13306,""2311062-RD-V-O-9""]",'SKU明细'!$AE$9:$AE$1592,0)))/SUM(INDEX('SKU明细'!$G$9:$G$1592,MATCH("[13306,""2311062-RD-V-O-9""]",'SKU明细'!$AE$9:$AE$1592,0))),"待核")</x:f>
        <x:v>460.97560975609764</x:v>
      </x:c>
      <x:c r="O48" s="16" t="str">
        <x:f>"—"</x:f>
        <x:v>—</x:v>
      </x:c>
      <x:c r="P48" s="16" t="n">
        <x:f>IF(AND(COUNT(INDEX('SKU明细'!$H$9:$H$1592,MATCH("[13306,""2311062-RD-V-O-10""]",'SKU明细'!$AE$9:$AE$1592,0)))=1,COUNT(INDEX('SKU明细'!$G$9:$G$1592,MATCH("[13306,""2311062-RD-V-O-10""]",'SKU明细'!$AE$9:$AE$1592,0)))=1,SUM(INDEX('SKU明细'!$G$9:$G$1592,MATCH("[13306,""2311062-RD-V-O-10""]",'SKU明细'!$AE$9:$AE$1592,0)))&gt;0),SUM(INDEX('SKU明细'!$H$9:$H$1592,MATCH("[13306,""2311062-RD-V-O-10""]",'SKU明细'!$AE$9:$AE$1592,0)))/SUM(INDEX('SKU明细'!$G$9:$G$1592,MATCH("[13306,""2311062-RD-V-O-10""]",'SKU明细'!$AE$9:$AE$1592,0))),"待核")</x:f>
        <x:v>1174.5762711864409</x:v>
      </x:c>
      <x:c r="Q48" s="16" t="str">
        <x:f>"—"</x:f>
        <x:v>—</x:v>
      </x:c>
      <x:c r="R48" s="16" t="n">
        <x:f>IF(AND(COUNT(INDEX('SKU明细'!$H$9:$H$1592,MATCH("[13306,""2311062-RD-V-O-11""]",'SKU明细'!$AE$9:$AE$1592,0)))=1,COUNT(INDEX('SKU明细'!$G$9:$G$1592,MATCH("[13306,""2311062-RD-V-O-11""]",'SKU明细'!$AE$9:$AE$1592,0)))=1,SUM(INDEX('SKU明细'!$G$9:$G$1592,MATCH("[13306,""2311062-RD-V-O-11""]",'SKU明细'!$AE$9:$AE$1592,0)))&gt;0),SUM(INDEX('SKU明细'!$H$9:$H$1592,MATCH("[13306,""2311062-RD-V-O-11""]",'SKU明细'!$AE$9:$AE$1592,0)))/SUM(INDEX('SKU明细'!$G$9:$G$1592,MATCH("[13306,""2311062-RD-V-O-11""]",'SKU明细'!$AE$9:$AE$1592,0))),"待核")</x:f>
        <x:v>63.851351351351354</x:v>
      </x:c>
      <x:c r="S48" s="16" t="n">
        <x:f>IF(AND(COUNT(INDEX('SKU明细'!$H$9:$H$1592,MATCH("[13306,""2311062-RD-V-O-10""]",'SKU明细'!$AE$9:$AE$1592,0)),INDEX('SKU明细'!$H$9:$H$1592,MATCH("[13306,""2311062-RD-V-O-6""]",'SKU明细'!$AE$9:$AE$1592,0)),INDEX('SKU明细'!$H$9:$H$1592,MATCH("[13306,""2311062-RD-V-O-9""]",'SKU明细'!$AE$9:$AE$1592,0)),INDEX('SKU明细'!$H$9:$H$1592,MATCH("[13306,""2311062-RD-V-O-8""]",'SKU明细'!$AE$9:$AE$1592,0)),INDEX('SKU明细'!$H$9:$H$1592,MATCH("[13306,""2311062-RD-V-O-7""]",'SKU明细'!$AE$9:$AE$1592,0)),INDEX('SKU明细'!$H$9:$H$1592,MATCH("[13306,""2311062-RD-V-O-11""]",'SKU明细'!$AE$9:$AE$1592,0)))=6,COUNT(INDEX('SKU明细'!$G$9:$G$1592,MATCH("[13306,""2311062-RD-V-O-10""]",'SKU明细'!$AE$9:$AE$1592,0)),INDEX('SKU明细'!$G$9:$G$1592,MATCH("[13306,""2311062-RD-V-O-6""]",'SKU明细'!$AE$9:$AE$1592,0)),INDEX('SKU明细'!$G$9:$G$1592,MATCH("[13306,""2311062-RD-V-O-9""]",'SKU明细'!$AE$9:$AE$1592,0)),INDEX('SKU明细'!$G$9:$G$1592,MATCH("[13306,""2311062-RD-V-O-8""]",'SKU明细'!$AE$9:$AE$1592,0)),INDEX('SKU明细'!$G$9:$G$1592,MATCH("[13306,""2311062-RD-V-O-7""]",'SKU明细'!$AE$9:$AE$1592,0)),INDEX('SKU明细'!$G$9:$G$1592,MATCH("[13306,""2311062-RD-V-O-11""]",'SKU明细'!$AE$9:$AE$1592,0)))=6,SUM(INDEX('SKU明细'!$G$9:$G$1592,MATCH("[13306,""2311062-RD-V-O-10""]",'SKU明细'!$AE$9:$AE$1592,0)),INDEX('SKU明细'!$G$9:$G$1592,MATCH("[13306,""2311062-RD-V-O-6""]",'SKU明细'!$AE$9:$AE$1592,0)),INDEX('SKU明细'!$G$9:$G$1592,MATCH("[13306,""2311062-RD-V-O-9""]",'SKU明细'!$AE$9:$AE$1592,0)),INDEX('SKU明细'!$G$9:$G$1592,MATCH("[13306,""2311062-RD-V-O-8""]",'SKU明细'!$AE$9:$AE$1592,0)),INDEX('SKU明细'!$G$9:$G$1592,MATCH("[13306,""2311062-RD-V-O-7""]",'SKU明细'!$AE$9:$AE$1592,0)),INDEX('SKU明细'!$G$9:$G$1592,MATCH("[13306,""2311062-RD-V-O-11""]",'SKU明细'!$AE$9:$AE$1592,0)))&gt;0),SUM(INDEX('SKU明细'!$H$9:$H$1592,MATCH("[13306,""2311062-RD-V-O-10""]",'SKU明细'!$AE$9:$AE$1592,0)),INDEX('SKU明细'!$H$9:$H$1592,MATCH("[13306,""2311062-RD-V-O-6""]",'SKU明细'!$AE$9:$AE$1592,0)),INDEX('SKU明细'!$H$9:$H$1592,MATCH("[13306,""2311062-RD-V-O-9""]",'SKU明细'!$AE$9:$AE$1592,0)),INDEX('SKU明细'!$H$9:$H$1592,MATCH("[13306,""2311062-RD-V-O-8""]",'SKU明细'!$AE$9:$AE$1592,0)),INDEX('SKU明细'!$H$9:$H$1592,MATCH("[13306,""2311062-RD-V-O-7""]",'SKU明细'!$AE$9:$AE$1592,0)),INDEX('SKU明细'!$H$9:$H$1592,MATCH("[13306,""2311062-RD-V-O-11""]",'SKU明细'!$AE$9:$AE$1592,0)))/SUM(INDEX('SKU明细'!$G$9:$G$1592,MATCH("[13306,""2311062-RD-V-O-10""]",'SKU明细'!$AE$9:$AE$1592,0)),INDEX('SKU明细'!$G$9:$G$1592,MATCH("[13306,""2311062-RD-V-O-6""]",'SKU明细'!$AE$9:$AE$1592,0)),INDEX('SKU明细'!$G$9:$G$1592,MATCH("[13306,""2311062-RD-V-O-9""]",'SKU明细'!$AE$9:$AE$1592,0)),INDEX('SKU明细'!$G$9:$G$1592,MATCH("[13306,""2311062-RD-V-O-8""]",'SKU明细'!$AE$9:$AE$1592,0)),INDEX('SKU明细'!$G$9:$G$1592,MATCH("[13306,""2311062-RD-V-O-7""]",'SKU明细'!$AE$9:$AE$1592,0)),INDEX('SKU明细'!$G$9:$G$1592,MATCH("[13306,""2311062-RD-V-O-11""]",'SKU明细'!$AE$9:$AE$1592,0))),"待核")</x:f>
        <x:v>225.77319587628867</x:v>
      </x:c>
      <x:c r="T48" s="16" t="n">
        <x:f>IF(AND(COUNT(INDEX('SKU明细'!$I$9:$I$1592,MATCH("[13306,""2311062-RD-V-O-10""]",'SKU明细'!$AE$9:$AE$1592,0)),INDEX('SKU明细'!$I$9:$I$1592,MATCH("[13306,""2311062-RD-V-O-6""]",'SKU明细'!$AE$9:$AE$1592,0)),INDEX('SKU明细'!$I$9:$I$1592,MATCH("[13306,""2311062-RD-V-O-9""]",'SKU明细'!$AE$9:$AE$1592,0)),INDEX('SKU明细'!$I$9:$I$1592,MATCH("[13306,""2311062-RD-V-O-8""]",'SKU明细'!$AE$9:$AE$1592,0)),INDEX('SKU明细'!$I$9:$I$1592,MATCH("[13306,""2311062-RD-V-O-7""]",'SKU明细'!$AE$9:$AE$1592,0)),INDEX('SKU明细'!$I$9:$I$1592,MATCH("[13306,""2311062-RD-V-O-11""]",'SKU明细'!$AE$9:$AE$1592,0)))=6,COUNT(INDEX('SKU明细'!$AD$9:$AD$1592,MATCH("[13306,""2311062-RD-V-O-10""]",'SKU明细'!$AE$9:$AE$1592,0)),INDEX('SKU明细'!$AD$9:$AD$1592,MATCH("[13306,""2311062-RD-V-O-6""]",'SKU明细'!$AE$9:$AE$1592,0)),INDEX('SKU明细'!$AD$9:$AD$1592,MATCH("[13306,""2311062-RD-V-O-9""]",'SKU明细'!$AE$9:$AE$1592,0)),INDEX('SKU明细'!$AD$9:$AD$1592,MATCH("[13306,""2311062-RD-V-O-8""]",'SKU明细'!$AE$9:$AE$1592,0)),INDEX('SKU明细'!$AD$9:$AD$1592,MATCH("[13306,""2311062-RD-V-O-7""]",'SKU明细'!$AE$9:$AE$1592,0)),INDEX('SKU明细'!$AD$9:$AD$1592,MATCH("[13306,""2311062-RD-V-O-11""]",'SKU明细'!$AE$9:$AE$1592,0)))=6,SUM(INDEX('SKU明细'!$AD$9:$AD$1592,MATCH("[13306,""2311062-RD-V-O-10""]",'SKU明细'!$AE$9:$AE$1592,0)),INDEX('SKU明细'!$AD$9:$AD$1592,MATCH("[13306,""2311062-RD-V-O-6""]",'SKU明细'!$AE$9:$AE$1592,0)),INDEX('SKU明细'!$AD$9:$AD$1592,MATCH("[13306,""2311062-RD-V-O-9""]",'SKU明细'!$AE$9:$AE$1592,0)),INDEX('SKU明细'!$AD$9:$AD$1592,MATCH("[13306,""2311062-RD-V-O-8""]",'SKU明细'!$AE$9:$AE$1592,0)),INDEX('SKU明细'!$AD$9:$AD$1592,MATCH("[13306,""2311062-RD-V-O-7""]",'SKU明细'!$AE$9:$AE$1592,0)),INDEX('SKU明细'!$AD$9:$AD$1592,MATCH("[13306,""2311062-RD-V-O-11""]",'SKU明细'!$AE$9:$AE$1592,0)))&gt;0),SUM(INDEX('SKU明细'!$I$9:$I$1592,MATCH("[13306,""2311062-RD-V-O-10""]",'SKU明细'!$AE$9:$AE$1592,0)),INDEX('SKU明细'!$I$9:$I$1592,MATCH("[13306,""2311062-RD-V-O-6""]",'SKU明细'!$AE$9:$AE$1592,0)),INDEX('SKU明细'!$I$9:$I$1592,MATCH("[13306,""2311062-RD-V-O-9""]",'SKU明细'!$AE$9:$AE$1592,0)),INDEX('SKU明细'!$I$9:$I$1592,MATCH("[13306,""2311062-RD-V-O-8""]",'SKU明细'!$AE$9:$AE$1592,0)),INDEX('SKU明细'!$I$9:$I$1592,MATCH("[13306,""2311062-RD-V-O-7""]",'SKU明细'!$AE$9:$AE$1592,0)),INDEX('SKU明细'!$I$9:$I$1592,MATCH("[13306,""2311062-RD-V-O-11""]",'SKU明细'!$AE$9:$AE$1592,0)))/SUM(INDEX('SKU明细'!$AD$9:$AD$1592,MATCH("[13306,""2311062-RD-V-O-10""]",'SKU明细'!$AE$9:$AE$1592,0)),INDEX('SKU明细'!$AD$9:$AD$1592,MATCH("[13306,""2311062-RD-V-O-6""]",'SKU明细'!$AE$9:$AE$1592,0)),INDEX('SKU明细'!$AD$9:$AD$1592,MATCH("[13306,""2311062-RD-V-O-9""]",'SKU明细'!$AE$9:$AE$1592,0)),INDEX('SKU明细'!$AD$9:$AD$1592,MATCH("[13306,""2311062-RD-V-O-8""]",'SKU明细'!$AE$9:$AE$1592,0)),INDEX('SKU明细'!$AD$9:$AD$1592,MATCH("[13306,""2311062-RD-V-O-7""]",'SKU明细'!$AE$9:$AE$1592,0)),INDEX('SKU明细'!$AD$9:$AD$1592,MATCH("[13306,""2311062-RD-V-O-11""]",'SKU明细'!$AE$9:$AE$1592,0))),"待核")</x:f>
        <x:v>193.801652892562</x:v>
      </x:c>
      <x:c r="U48" s="16" t="n">
        <x:f>IF(COUNT(S48:T48)=2,S48-T48,"待核")</x:f>
        <x:v>31.971542983726664</x:v>
      </x:c>
      <x:c r="V48" s="17" t="n">
        <x:f>IF(AND(ISNUMBER(U48),ISNUMBER(T48),T48&lt;&gt;0),U48/T48,"")</x:f>
        <x:v>0.16497043501197978</x:v>
      </x:c>
      <x:c r="W48" s="18" t="n">
        <x:f>IF(COUNT(INDEX('SKU明细'!$H$9:$H$1592,MATCH("[13306,""2311062-RD-V-O-10""]",'SKU明细'!$AE$9:$AE$1592,0)),INDEX('SKU明细'!$H$9:$H$1592,MATCH("[13306,""2311062-RD-V-O-6""]",'SKU明细'!$AE$9:$AE$1592,0)),INDEX('SKU明细'!$H$9:$H$1592,MATCH("[13306,""2311062-RD-V-O-9""]",'SKU明细'!$AE$9:$AE$1592,0)),INDEX('SKU明细'!$H$9:$H$1592,MATCH("[13306,""2311062-RD-V-O-8""]",'SKU明细'!$AE$9:$AE$1592,0)),INDEX('SKU明细'!$H$9:$H$1592,MATCH("[13306,""2311062-RD-V-O-7""]",'SKU明细'!$AE$9:$AE$1592,0)),INDEX('SKU明细'!$H$9:$H$1592,MATCH("[13306,""2311062-RD-V-O-11""]",'SKU明细'!$AE$9:$AE$1592,0)))=0,"待核",SUM(INDEX('SKU明细'!$H$9:$H$1592,MATCH("[13306,""2311062-RD-V-O-10""]",'SKU明细'!$AE$9:$AE$1592,0)),INDEX('SKU明细'!$H$9:$H$1592,MATCH("[13306,""2311062-RD-V-O-6""]",'SKU明细'!$AE$9:$AE$1592,0)),INDEX('SKU明细'!$H$9:$H$1592,MATCH("[13306,""2311062-RD-V-O-9""]",'SKU明细'!$AE$9:$AE$1592,0)),INDEX('SKU明细'!$H$9:$H$1592,MATCH("[13306,""2311062-RD-V-O-8""]",'SKU明细'!$AE$9:$AE$1592,0)),INDEX('SKU明细'!$H$9:$H$1592,MATCH("[13306,""2311062-RD-V-O-7""]",'SKU明细'!$AE$9:$AE$1592,0)),INDEX('SKU明细'!$H$9:$H$1592,MATCH("[13306,""2311062-RD-V-O-11""]",'SKU明细'!$AE$9:$AE$1592,0))))</x:f>
        <x:v>146</x:v>
      </x:c>
      <x:c r="X48" s="19" t="str">
        <x:f>IF(COUNTIFS('SKU明细'!$AH$9:$AH$1592,"[""2311062"",""2311062-RD-V-O"",""RD-V"",""酒红锦纶""]",'SKU明细'!$E$9:$E$1592,"促销")&gt;0,"促销 ","")&amp;IF(COUNTIFS('SKU明细'!$AH$9:$AH$1592,"[""2311062"",""2311062-RD-V-O"",""RD-V"",""酒红锦纶""]",'SKU明细'!$E$9:$E$1592,"红线促销")&gt;0,"红线促销 ","")&amp;IF(COUNTIFS('SKU明细'!$AH$9:$AH$1592,"[""2311062"",""2311062-RD-V-O"",""RD-V"",""酒红锦纶""]",'SKU明细'!$E$9:$E$1592,"考虑清仓")&gt;0,"考虑清仓 ","")&amp;IF(COUNTIFS('SKU明细'!$AH$9:$AH$1592,"[""2311062"",""2311062-RD-V-O"",""RD-V"",""酒红锦纶""]",'SKU明细'!$E$9:$E$1592,"断货")&gt;0,"断货 ","")&amp;IF(COUNTIFS('SKU明细'!$AH$9:$AH$1592,"[""2311062"",""2311062-RD-V-O"",""RD-V"",""酒红锦纶""]",'SKU明细'!$E$9:$E$1592,"零日销待复核")&gt;0,"零日销待复核 ","")&amp;IF(COUNTIFS('SKU明细'!$AH$9:$AH$1592,"[""2311062"",""2311062-RD-V-O"",""RD-V"",""酒红锦纶""]",'SKU明细'!$E$9:$E$1592,"数据待核")&gt;0,"数据待核 ","")&amp;IF(COUNTIFS('SKU明细'!$AH$9:$AH$1592,"[""2311062"",""2311062-RD-V-O"",""RD-V"",""酒红锦纶""]",'SKU明细'!$E$9:$E$1592,"正常库存")&gt;0,"正常库存 ","")&amp;IF(COUNTIFS('SKU明细'!$AH$9:$AH$1592,"[""2311062"",""2311062-RD-V-O"",""RD-V"",""酒红锦纶""]",'SKU明细'!$E$9:$E$1592,"补货提醒")&gt;0,"补货提醒 ","")</x:f>
        <x:v>促销 红线促销 考虑清仓 正常库存 </x:v>
      </x:c>
      <x:c r="Y48" s="19" t="str">
        <x:f>IF(NOT(ISNUMBER(U48)),"覆盖待核／无可比基准","完整可比")</x:f>
        <x:v>完整可比</x:v>
      </x:c>
      <x:c r="Z48" s="19" t="str">
        <x:v>在售</x:v>
      </x:c>
      <x:c r="AA48" s="19" t="n">
        <x:f>IF(SUMIFS('SKU明细'!$AF$9:$AF$1592,'SKU明细'!$D$9:$D$1592,A48,'SKU明细'!$Z$9:$Z$1592,"&lt;&gt;移出")=0,"待核",SUMIFS('SKU明细'!$H$9:$H$1592,'SKU明细'!$D$9:$D$1592,A48,'SKU明细'!$Z$9:$Z$1592,"&lt;&gt;移出"))</x:f>
        <x:v>2191</x:v>
      </x:c>
    </x:row>
    <x:row r="49" ht="54" customHeight="1">
      <x:c r="A49" s="15" t="str">
        <x:v>2311062</x:v>
      </x:c>
      <x:c r="B49" s="15" t="str">
        <x:v>陈晨</x:v>
      </x:c>
      <x:c r="C49" s="15" t="str">
        <x:v>银色 PU</x:v>
      </x:c>
      <x:c r="D49" s="15" t="str">
        <x:v>SL-P</x:v>
      </x:c>
      <x:c r="E49" s="15" t="str">
        <x:v>2311062-SL-P-O</x:v>
      </x:c>
      <x:c r="F49" s="15"/>
      <x:c r="G49" s="16" t="str">
        <x:f>"—"</x:f>
        <x:v>—</x:v>
      </x:c>
      <x:c r="H49" s="16" t="n">
        <x:f>IF(AND(COUNT(INDEX('SKU明细'!$H$9:$H$1592,MATCH("[13306,""2311062-SL-P-O-6""]",'SKU明细'!$AE$9:$AE$1592,0)))=1,COUNT(INDEX('SKU明细'!$G$9:$G$1592,MATCH("[13306,""2311062-SL-P-O-6""]",'SKU明细'!$AE$9:$AE$1592,0)))=1,SUM(INDEX('SKU明细'!$G$9:$G$1592,MATCH("[13306,""2311062-SL-P-O-6""]",'SKU明细'!$AE$9:$AE$1592,0)))&gt;0),SUM(INDEX('SKU明细'!$H$9:$H$1592,MATCH("[13306,""2311062-SL-P-O-6""]",'SKU明细'!$AE$9:$AE$1592,0)))/SUM(INDEX('SKU明细'!$G$9:$G$1592,MATCH("[13306,""2311062-SL-P-O-6""]",'SKU明细'!$AE$9:$AE$1592,0))),"待核")</x:f>
        <x:v>100.398406374502</x:v>
      </x:c>
      <x:c r="I49" s="16" t="str">
        <x:f>"—"</x:f>
        <x:v>—</x:v>
      </x:c>
      <x:c r="J49" s="16" t="str">
        <x:f>IF(AND(COUNT(INDEX('SKU明细'!$H$9:$H$1592,MATCH("[13306,""2311062-SL-P-O-7""]",'SKU明细'!$AE$9:$AE$1592,0)))=1,COUNT(INDEX('SKU明细'!$G$9:$G$1592,MATCH("[13306,""2311062-SL-P-O-7""]",'SKU明细'!$AE$9:$AE$1592,0)))=1,SUM(INDEX('SKU明细'!$G$9:$G$1592,MATCH("[13306,""2311062-SL-P-O-7""]",'SKU明细'!$AE$9:$AE$1592,0)))&gt;0),SUM(INDEX('SKU明细'!$H$9:$H$1592,MATCH("[13306,""2311062-SL-P-O-7""]",'SKU明细'!$AE$9:$AE$1592,0)))/SUM(INDEX('SKU明细'!$G$9:$G$1592,MATCH("[13306,""2311062-SL-P-O-7""]",'SKU明细'!$AE$9:$AE$1592,0))),"待核")</x:f>
        <x:v>待核</x:v>
      </x:c>
      <x:c r="K49" s="16" t="str">
        <x:f>"—"</x:f>
        <x:v>—</x:v>
      </x:c>
      <x:c r="L49" s="16" t="n">
        <x:f>IF(AND(COUNT(INDEX('SKU明细'!$H$9:$H$1592,MATCH("[13306,""2311062-SL-P-O-8""]",'SKU明细'!$AE$9:$AE$1592,0)))=1,COUNT(INDEX('SKU明细'!$G$9:$G$1592,MATCH("[13306,""2311062-SL-P-O-8""]",'SKU明细'!$AE$9:$AE$1592,0)))=1,SUM(INDEX('SKU明细'!$G$9:$G$1592,MATCH("[13306,""2311062-SL-P-O-8""]",'SKU明细'!$AE$9:$AE$1592,0)))&gt;0),SUM(INDEX('SKU明细'!$H$9:$H$1592,MATCH("[13306,""2311062-SL-P-O-8""]",'SKU明细'!$AE$9:$AE$1592,0)))/SUM(INDEX('SKU明细'!$G$9:$G$1592,MATCH("[13306,""2311062-SL-P-O-8""]",'SKU明细'!$AE$9:$AE$1592,0))),"待核")</x:f>
        <x:v>197.9381443298969</x:v>
      </x:c>
      <x:c r="M49" s="16" t="str">
        <x:f>"—"</x:f>
        <x:v>—</x:v>
      </x:c>
      <x:c r="N49" s="16" t="n">
        <x:f>IF(AND(COUNT(INDEX('SKU明细'!$H$9:$H$1592,MATCH("[13306,""2311062-SL-P-O-9""]",'SKU明细'!$AE$9:$AE$1592,0)))=1,COUNT(INDEX('SKU明细'!$G$9:$G$1592,MATCH("[13306,""2311062-SL-P-O-9""]",'SKU明细'!$AE$9:$AE$1592,0)))=1,SUM(INDEX('SKU明细'!$G$9:$G$1592,MATCH("[13306,""2311062-SL-P-O-9""]",'SKU明细'!$AE$9:$AE$1592,0)))&gt;0),SUM(INDEX('SKU明细'!$H$9:$H$1592,MATCH("[13306,""2311062-SL-P-O-9""]",'SKU明细'!$AE$9:$AE$1592,0)))/SUM(INDEX('SKU明细'!$G$9:$G$1592,MATCH("[13306,""2311062-SL-P-O-9""]",'SKU明细'!$AE$9:$AE$1592,0))),"待核")</x:f>
        <x:v>184.56591639871382</x:v>
      </x:c>
      <x:c r="O49" s="16" t="str">
        <x:f>"—"</x:f>
        <x:v>—</x:v>
      </x:c>
      <x:c r="P49" s="16" t="str">
        <x:f>IF(AND(COUNT(INDEX('SKU明细'!$H$9:$H$1592,MATCH("[13306,""2311062-SL-P-O-10""]",'SKU明细'!$AE$9:$AE$1592,0)))=1,COUNT(INDEX('SKU明细'!$G$9:$G$1592,MATCH("[13306,""2311062-SL-P-O-10""]",'SKU明细'!$AE$9:$AE$1592,0)))=1,SUM(INDEX('SKU明细'!$G$9:$G$1592,MATCH("[13306,""2311062-SL-P-O-10""]",'SKU明细'!$AE$9:$AE$1592,0)))&gt;0),SUM(INDEX('SKU明细'!$H$9:$H$1592,MATCH("[13306,""2311062-SL-P-O-10""]",'SKU明细'!$AE$9:$AE$1592,0)))/SUM(INDEX('SKU明细'!$G$9:$G$1592,MATCH("[13306,""2311062-SL-P-O-10""]",'SKU明细'!$AE$9:$AE$1592,0))),"待核")</x:f>
        <x:v>待核</x:v>
      </x:c>
      <x:c r="Q49" s="16" t="str">
        <x:f>"—"</x:f>
        <x:v>—</x:v>
      </x:c>
      <x:c r="R49" s="16" t="str">
        <x:f>IF(AND(COUNT(INDEX('SKU明细'!$H$9:$H$1592,MATCH("[13306,""2311062-SL-P-O-11""]",'SKU明细'!$AE$9:$AE$1592,0)))=1,COUNT(INDEX('SKU明细'!$G$9:$G$1592,MATCH("[13306,""2311062-SL-P-O-11""]",'SKU明细'!$AE$9:$AE$1592,0)))=1,SUM(INDEX('SKU明细'!$G$9:$G$1592,MATCH("[13306,""2311062-SL-P-O-11""]",'SKU明细'!$AE$9:$AE$1592,0)))&gt;0),SUM(INDEX('SKU明细'!$H$9:$H$1592,MATCH("[13306,""2311062-SL-P-O-11""]",'SKU明细'!$AE$9:$AE$1592,0)))/SUM(INDEX('SKU明细'!$G$9:$G$1592,MATCH("[13306,""2311062-SL-P-O-11""]",'SKU明细'!$AE$9:$AE$1592,0))),"待核")</x:f>
        <x:v>待核</x:v>
      </x:c>
      <x:c r="S49" s="16" t="str">
        <x:f>IF(AND(COUNT(INDEX('SKU明细'!$H$9:$H$1592,MATCH("[13306,""2311062-SL-P-O-8""]",'SKU明细'!$AE$9:$AE$1592,0)),INDEX('SKU明细'!$H$9:$H$1592,MATCH("[13306,""2311062-SL-P-O-9""]",'SKU明细'!$AE$9:$AE$1592,0)),INDEX('SKU明细'!$H$9:$H$1592,MATCH("[13306,""2311062-SL-P-O-6""]",'SKU明细'!$AE$9:$AE$1592,0)),INDEX('SKU明细'!$H$9:$H$1592,MATCH("[13306,""2311062-SL-P-O-10""]",'SKU明细'!$AE$9:$AE$1592,0)),INDEX('SKU明细'!$H$9:$H$1592,MATCH("[13306,""2311062-SL-P-O-11""]",'SKU明细'!$AE$9:$AE$1592,0)),INDEX('SKU明细'!$H$9:$H$1592,MATCH("[13306,""2311062-SL-P-O-7""]",'SKU明细'!$AE$9:$AE$1592,0)))=6,COUNT(INDEX('SKU明细'!$G$9:$G$1592,MATCH("[13306,""2311062-SL-P-O-8""]",'SKU明细'!$AE$9:$AE$1592,0)),INDEX('SKU明细'!$G$9:$G$1592,MATCH("[13306,""2311062-SL-P-O-9""]",'SKU明细'!$AE$9:$AE$1592,0)),INDEX('SKU明细'!$G$9:$G$1592,MATCH("[13306,""2311062-SL-P-O-6""]",'SKU明细'!$AE$9:$AE$1592,0)),INDEX('SKU明细'!$G$9:$G$1592,MATCH("[13306,""2311062-SL-P-O-10""]",'SKU明细'!$AE$9:$AE$1592,0)),INDEX('SKU明细'!$G$9:$G$1592,MATCH("[13306,""2311062-SL-P-O-11""]",'SKU明细'!$AE$9:$AE$1592,0)),INDEX('SKU明细'!$G$9:$G$1592,MATCH("[13306,""2311062-SL-P-O-7""]",'SKU明细'!$AE$9:$AE$1592,0)))=6,SUM(INDEX('SKU明细'!$G$9:$G$1592,MATCH("[13306,""2311062-SL-P-O-8""]",'SKU明细'!$AE$9:$AE$1592,0)),INDEX('SKU明细'!$G$9:$G$1592,MATCH("[13306,""2311062-SL-P-O-9""]",'SKU明细'!$AE$9:$AE$1592,0)),INDEX('SKU明细'!$G$9:$G$1592,MATCH("[13306,""2311062-SL-P-O-6""]",'SKU明细'!$AE$9:$AE$1592,0)),INDEX('SKU明细'!$G$9:$G$1592,MATCH("[13306,""2311062-SL-P-O-10""]",'SKU明细'!$AE$9:$AE$1592,0)),INDEX('SKU明细'!$G$9:$G$1592,MATCH("[13306,""2311062-SL-P-O-11""]",'SKU明细'!$AE$9:$AE$1592,0)),INDEX('SKU明细'!$G$9:$G$1592,MATCH("[13306,""2311062-SL-P-O-7""]",'SKU明细'!$AE$9:$AE$1592,0)))&gt;0),SUM(INDEX('SKU明细'!$H$9:$H$1592,MATCH("[13306,""2311062-SL-P-O-8""]",'SKU明细'!$AE$9:$AE$1592,0)),INDEX('SKU明细'!$H$9:$H$1592,MATCH("[13306,""2311062-SL-P-O-9""]",'SKU明细'!$AE$9:$AE$1592,0)),INDEX('SKU明细'!$H$9:$H$1592,MATCH("[13306,""2311062-SL-P-O-6""]",'SKU明细'!$AE$9:$AE$1592,0)),INDEX('SKU明细'!$H$9:$H$1592,MATCH("[13306,""2311062-SL-P-O-10""]",'SKU明细'!$AE$9:$AE$1592,0)),INDEX('SKU明细'!$H$9:$H$1592,MATCH("[13306,""2311062-SL-P-O-11""]",'SKU明细'!$AE$9:$AE$1592,0)),INDEX('SKU明细'!$H$9:$H$1592,MATCH("[13306,""2311062-SL-P-O-7""]",'SKU明细'!$AE$9:$AE$1592,0)))/SUM(INDEX('SKU明细'!$G$9:$G$1592,MATCH("[13306,""2311062-SL-P-O-8""]",'SKU明细'!$AE$9:$AE$1592,0)),INDEX('SKU明细'!$G$9:$G$1592,MATCH("[13306,""2311062-SL-P-O-9""]",'SKU明细'!$AE$9:$AE$1592,0)),INDEX('SKU明细'!$G$9:$G$1592,MATCH("[13306,""2311062-SL-P-O-6""]",'SKU明细'!$AE$9:$AE$1592,0)),INDEX('SKU明细'!$G$9:$G$1592,MATCH("[13306,""2311062-SL-P-O-10""]",'SKU明细'!$AE$9:$AE$1592,0)),INDEX('SKU明细'!$G$9:$G$1592,MATCH("[13306,""2311062-SL-P-O-11""]",'SKU明细'!$AE$9:$AE$1592,0)),INDEX('SKU明细'!$G$9:$G$1592,MATCH("[13306,""2311062-SL-P-O-7""]",'SKU明细'!$AE$9:$AE$1592,0))),"待核")</x:f>
        <x:v>待核</x:v>
      </x:c>
      <x:c r="T49" s="16" t="str">
        <x:f>IF(AND(COUNT(INDEX('SKU明细'!$I$9:$I$1592,MATCH("[13306,""2311062-SL-P-O-8""]",'SKU明细'!$AE$9:$AE$1592,0)),INDEX('SKU明细'!$I$9:$I$1592,MATCH("[13306,""2311062-SL-P-O-9""]",'SKU明细'!$AE$9:$AE$1592,0)),INDEX('SKU明细'!$I$9:$I$1592,MATCH("[13306,""2311062-SL-P-O-6""]",'SKU明细'!$AE$9:$AE$1592,0)),INDEX('SKU明细'!$I$9:$I$1592,MATCH("[13306,""2311062-SL-P-O-10""]",'SKU明细'!$AE$9:$AE$1592,0)),INDEX('SKU明细'!$I$9:$I$1592,MATCH("[13306,""2311062-SL-P-O-11""]",'SKU明细'!$AE$9:$AE$1592,0)),INDEX('SKU明细'!$I$9:$I$1592,MATCH("[13306,""2311062-SL-P-O-7""]",'SKU明细'!$AE$9:$AE$1592,0)))=6,COUNT(INDEX('SKU明细'!$AD$9:$AD$1592,MATCH("[13306,""2311062-SL-P-O-8""]",'SKU明细'!$AE$9:$AE$1592,0)),INDEX('SKU明细'!$AD$9:$AD$1592,MATCH("[13306,""2311062-SL-P-O-9""]",'SKU明细'!$AE$9:$AE$1592,0)),INDEX('SKU明细'!$AD$9:$AD$1592,MATCH("[13306,""2311062-SL-P-O-6""]",'SKU明细'!$AE$9:$AE$1592,0)),INDEX('SKU明细'!$AD$9:$AD$1592,MATCH("[13306,""2311062-SL-P-O-10""]",'SKU明细'!$AE$9:$AE$1592,0)),INDEX('SKU明细'!$AD$9:$AD$1592,MATCH("[13306,""2311062-SL-P-O-11""]",'SKU明细'!$AE$9:$AE$1592,0)),INDEX('SKU明细'!$AD$9:$AD$1592,MATCH("[13306,""2311062-SL-P-O-7""]",'SKU明细'!$AE$9:$AE$1592,0)))=6,SUM(INDEX('SKU明细'!$AD$9:$AD$1592,MATCH("[13306,""2311062-SL-P-O-8""]",'SKU明细'!$AE$9:$AE$1592,0)),INDEX('SKU明细'!$AD$9:$AD$1592,MATCH("[13306,""2311062-SL-P-O-9""]",'SKU明细'!$AE$9:$AE$1592,0)),INDEX('SKU明细'!$AD$9:$AD$1592,MATCH("[13306,""2311062-SL-P-O-6""]",'SKU明细'!$AE$9:$AE$1592,0)),INDEX('SKU明细'!$AD$9:$AD$1592,MATCH("[13306,""2311062-SL-P-O-10""]",'SKU明细'!$AE$9:$AE$1592,0)),INDEX('SKU明细'!$AD$9:$AD$1592,MATCH("[13306,""2311062-SL-P-O-11""]",'SKU明细'!$AE$9:$AE$1592,0)),INDEX('SKU明细'!$AD$9:$AD$1592,MATCH("[13306,""2311062-SL-P-O-7""]",'SKU明细'!$AE$9:$AE$1592,0)))&gt;0),SUM(INDEX('SKU明细'!$I$9:$I$1592,MATCH("[13306,""2311062-SL-P-O-8""]",'SKU明细'!$AE$9:$AE$1592,0)),INDEX('SKU明细'!$I$9:$I$1592,MATCH("[13306,""2311062-SL-P-O-9""]",'SKU明细'!$AE$9:$AE$1592,0)),INDEX('SKU明细'!$I$9:$I$1592,MATCH("[13306,""2311062-SL-P-O-6""]",'SKU明细'!$AE$9:$AE$1592,0)),INDEX('SKU明细'!$I$9:$I$1592,MATCH("[13306,""2311062-SL-P-O-10""]",'SKU明细'!$AE$9:$AE$1592,0)),INDEX('SKU明细'!$I$9:$I$1592,MATCH("[13306,""2311062-SL-P-O-11""]",'SKU明细'!$AE$9:$AE$1592,0)),INDEX('SKU明细'!$I$9:$I$1592,MATCH("[13306,""2311062-SL-P-O-7""]",'SKU明细'!$AE$9:$AE$1592,0)))/SUM(INDEX('SKU明细'!$AD$9:$AD$1592,MATCH("[13306,""2311062-SL-P-O-8""]",'SKU明细'!$AE$9:$AE$1592,0)),INDEX('SKU明细'!$AD$9:$AD$1592,MATCH("[13306,""2311062-SL-P-O-9""]",'SKU明细'!$AE$9:$AE$1592,0)),INDEX('SKU明细'!$AD$9:$AD$1592,MATCH("[13306,""2311062-SL-P-O-6""]",'SKU明细'!$AE$9:$AE$1592,0)),INDEX('SKU明细'!$AD$9:$AD$1592,MATCH("[13306,""2311062-SL-P-O-10""]",'SKU明细'!$AE$9:$AE$1592,0)),INDEX('SKU明细'!$AD$9:$AD$1592,MATCH("[13306,""2311062-SL-P-O-11""]",'SKU明细'!$AE$9:$AE$1592,0)),INDEX('SKU明细'!$AD$9:$AD$1592,MATCH("[13306,""2311062-SL-P-O-7""]",'SKU明细'!$AE$9:$AE$1592,0))),"待核")</x:f>
        <x:v>待核</x:v>
      </x:c>
      <x:c r="U49" s="16" t="str">
        <x:f>IF(COUNT(S49:T49)=2,S49-T49,"待核")</x:f>
        <x:v>待核</x:v>
      </x:c>
      <x:c r="V49" s="17" t="str">
        <x:f>IF(AND(ISNUMBER(U49),ISNUMBER(T49),T49&lt;&gt;0),U49/T49,"")</x:f>
      </x:c>
      <x:c r="W49" s="18" t="n">
        <x:f>IF(COUNT(INDEX('SKU明细'!$H$9:$H$1592,MATCH("[13306,""2311062-SL-P-O-8""]",'SKU明细'!$AE$9:$AE$1592,0)),INDEX('SKU明细'!$H$9:$H$1592,MATCH("[13306,""2311062-SL-P-O-9""]",'SKU明细'!$AE$9:$AE$1592,0)),INDEX('SKU明细'!$H$9:$H$1592,MATCH("[13306,""2311062-SL-P-O-6""]",'SKU明细'!$AE$9:$AE$1592,0)),INDEX('SKU明细'!$H$9:$H$1592,MATCH("[13306,""2311062-SL-P-O-10""]",'SKU明细'!$AE$9:$AE$1592,0)),INDEX('SKU明细'!$H$9:$H$1592,MATCH("[13306,""2311062-SL-P-O-11""]",'SKU明细'!$AE$9:$AE$1592,0)),INDEX('SKU明细'!$H$9:$H$1592,MATCH("[13306,""2311062-SL-P-O-7""]",'SKU明细'!$AE$9:$AE$1592,0)))=0,"待核",SUM(INDEX('SKU明细'!$H$9:$H$1592,MATCH("[13306,""2311062-SL-P-O-8""]",'SKU明细'!$AE$9:$AE$1592,0)),INDEX('SKU明细'!$H$9:$H$1592,MATCH("[13306,""2311062-SL-P-O-9""]",'SKU明细'!$AE$9:$AE$1592,0)),INDEX('SKU明细'!$H$9:$H$1592,MATCH("[13306,""2311062-SL-P-O-6""]",'SKU明细'!$AE$9:$AE$1592,0)),INDEX('SKU明细'!$H$9:$H$1592,MATCH("[13306,""2311062-SL-P-O-10""]",'SKU明细'!$AE$9:$AE$1592,0)),INDEX('SKU明细'!$H$9:$H$1592,MATCH("[13306,""2311062-SL-P-O-11""]",'SKU明细'!$AE$9:$AE$1592,0)),INDEX('SKU明细'!$H$9:$H$1592,MATCH("[13306,""2311062-SL-P-O-7""]",'SKU明细'!$AE$9:$AE$1592,0))))</x:f>
        <x:v>194</x:v>
      </x:c>
      <x:c r="X49" s="19" t="str">
        <x:f>IF(COUNTIFS('SKU明细'!$AH$9:$AH$1592,"[""2311062"",""2311062-SL-P-O"",""SL-P"",""银色 PU""]",'SKU明细'!$E$9:$E$1592,"促销")&gt;0,"促销 ","")&amp;IF(COUNTIFS('SKU明细'!$AH$9:$AH$1592,"[""2311062"",""2311062-SL-P-O"",""SL-P"",""银色 PU""]",'SKU明细'!$E$9:$E$1592,"红线促销")&gt;0,"红线促销 ","")&amp;IF(COUNTIFS('SKU明细'!$AH$9:$AH$1592,"[""2311062"",""2311062-SL-P-O"",""SL-P"",""银色 PU""]",'SKU明细'!$E$9:$E$1592,"考虑清仓")&gt;0,"考虑清仓 ","")&amp;IF(COUNTIFS('SKU明细'!$AH$9:$AH$1592,"[""2311062"",""2311062-SL-P-O"",""SL-P"",""银色 PU""]",'SKU明细'!$E$9:$E$1592,"断货")&gt;0,"断货 ","")&amp;IF(COUNTIFS('SKU明细'!$AH$9:$AH$1592,"[""2311062"",""2311062-SL-P-O"",""SL-P"",""银色 PU""]",'SKU明细'!$E$9:$E$1592,"零日销待复核")&gt;0,"零日销待复核 ","")&amp;IF(COUNTIFS('SKU明细'!$AH$9:$AH$1592,"[""2311062"",""2311062-SL-P-O"",""SL-P"",""银色 PU""]",'SKU明细'!$E$9:$E$1592,"数据待核")&gt;0,"数据待核 ","")&amp;IF(COUNTIFS('SKU明细'!$AH$9:$AH$1592,"[""2311062"",""2311062-SL-P-O"",""SL-P"",""银色 PU""]",'SKU明细'!$E$9:$E$1592,"正常库存")&gt;0,"正常库存 ","")&amp;IF(COUNTIFS('SKU明细'!$AH$9:$AH$1592,"[""2311062"",""2311062-SL-P-O"",""SL-P"",""银色 PU""]",'SKU明细'!$E$9:$E$1592,"补货提醒")&gt;0,"补货提醒 ","")</x:f>
        <x:v>促销 红线促销 数据待核 </x:v>
      </x:c>
      <x:c r="Y49" s="19" t="str">
        <x:f>IF(NOT(ISNUMBER(U49)),"覆盖待核／无可比基准","完整可比")</x:f>
        <x:v>覆盖待核／无可比基准</x:v>
      </x:c>
      <x:c r="Z49" s="19" t="str">
        <x:v>在售</x:v>
      </x:c>
      <x:c r="AA49" s="19" t="n">
        <x:f>IF(SUMIFS('SKU明细'!$AF$9:$AF$1592,'SKU明细'!$D$9:$D$1592,A49,'SKU明细'!$Z$9:$Z$1592,"&lt;&gt;移出")=0,"待核",SUMIFS('SKU明细'!$H$9:$H$1592,'SKU明细'!$D$9:$D$1592,A49,'SKU明细'!$Z$9:$Z$1592,"&lt;&gt;移出"))</x:f>
        <x:v>2191</x:v>
      </x:c>
    </x:row>
    <x:row r="50" ht="54" customHeight="1">
      <x:c r="A50" s="15" t="str">
        <x:v>2311062</x:v>
      </x:c>
      <x:c r="B50" s="15" t="str">
        <x:v>陈晨</x:v>
      </x:c>
      <x:c r="C50" s="15" t="str">
        <x:v>驼色 PU</x:v>
      </x:c>
      <x:c r="D50" s="15" t="str">
        <x:v>TN-P</x:v>
      </x:c>
      <x:c r="E50" s="15" t="str">
        <x:v>2311062-TN-P-O</x:v>
      </x:c>
      <x:c r="F50" s="15"/>
      <x:c r="G50" s="16" t="str">
        <x:f>"—"</x:f>
        <x:v>—</x:v>
      </x:c>
      <x:c r="H50" s="16" t="str">
        <x:f>IF(AND(COUNT(INDEX('SKU明细'!$H$9:$H$1592,MATCH("[13306,""2311062-TN-P-O-6""]",'SKU明细'!$AE$9:$AE$1592,0)))=1,COUNT(INDEX('SKU明细'!$G$9:$G$1592,MATCH("[13306,""2311062-TN-P-O-6""]",'SKU明细'!$AE$9:$AE$1592,0)))=1,SUM(INDEX('SKU明细'!$G$9:$G$1592,MATCH("[13306,""2311062-TN-P-O-6""]",'SKU明细'!$AE$9:$AE$1592,0)))&gt;0),SUM(INDEX('SKU明细'!$H$9:$H$1592,MATCH("[13306,""2311062-TN-P-O-6""]",'SKU明细'!$AE$9:$AE$1592,0)))/SUM(INDEX('SKU明细'!$G$9:$G$1592,MATCH("[13306,""2311062-TN-P-O-6""]",'SKU明细'!$AE$9:$AE$1592,0))),"待核")</x:f>
        <x:v>待核</x:v>
      </x:c>
      <x:c r="I50" s="16" t="str">
        <x:f>"—"</x:f>
        <x:v>—</x:v>
      </x:c>
      <x:c r="J50" s="16" t="n">
        <x:f>IF(AND(COUNT(INDEX('SKU明细'!$H$9:$H$1592,MATCH("[13306,""2311062-TN-P-O-7""]",'SKU明细'!$AE$9:$AE$1592,0)))=1,COUNT(INDEX('SKU明细'!$G$9:$G$1592,MATCH("[13306,""2311062-TN-P-O-7""]",'SKU明细'!$AE$9:$AE$1592,0)))=1,SUM(INDEX('SKU明细'!$G$9:$G$1592,MATCH("[13306,""2311062-TN-P-O-7""]",'SKU明细'!$AE$9:$AE$1592,0)))&gt;0),SUM(INDEX('SKU明细'!$H$9:$H$1592,MATCH("[13306,""2311062-TN-P-O-7""]",'SKU明细'!$AE$9:$AE$1592,0)))/SUM(INDEX('SKU明细'!$G$9:$G$1592,MATCH("[13306,""2311062-TN-P-O-7""]",'SKU明细'!$AE$9:$AE$1592,0))),"待核")</x:f>
        <x:v>197.75784753363232</x:v>
      </x:c>
      <x:c r="K50" s="16" t="str">
        <x:f>"—"</x:f>
        <x:v>—</x:v>
      </x:c>
      <x:c r="L50" s="16" t="n">
        <x:f>IF(AND(COUNT(INDEX('SKU明细'!$H$9:$H$1592,MATCH("[13306,""2311062-TN-P-O-8""]",'SKU明细'!$AE$9:$AE$1592,0)))=1,COUNT(INDEX('SKU明细'!$G$9:$G$1592,MATCH("[13306,""2311062-TN-P-O-8""]",'SKU明细'!$AE$9:$AE$1592,0)))=1,SUM(INDEX('SKU明细'!$G$9:$G$1592,MATCH("[13306,""2311062-TN-P-O-8""]",'SKU明细'!$AE$9:$AE$1592,0)))&gt;0),SUM(INDEX('SKU明细'!$H$9:$H$1592,MATCH("[13306,""2311062-TN-P-O-8""]",'SKU明细'!$AE$9:$AE$1592,0)))/SUM(INDEX('SKU明细'!$G$9:$G$1592,MATCH("[13306,""2311062-TN-P-O-8""]",'SKU明细'!$AE$9:$AE$1592,0))),"待核")</x:f>
        <x:v>70.76663858466723</x:v>
      </x:c>
      <x:c r="M50" s="16" t="str">
        <x:f>"—"</x:f>
        <x:v>—</x:v>
      </x:c>
      <x:c r="N50" s="16" t="n">
        <x:f>IF(AND(COUNT(INDEX('SKU明细'!$H$9:$H$1592,MATCH("[13306,""2311062-TN-P-O-9""]",'SKU明细'!$AE$9:$AE$1592,0)))=1,COUNT(INDEX('SKU明细'!$G$9:$G$1592,MATCH("[13306,""2311062-TN-P-O-9""]",'SKU明细'!$AE$9:$AE$1592,0)))=1,SUM(INDEX('SKU明细'!$G$9:$G$1592,MATCH("[13306,""2311062-TN-P-O-9""]",'SKU明细'!$AE$9:$AE$1592,0)))&gt;0),SUM(INDEX('SKU明细'!$H$9:$H$1592,MATCH("[13306,""2311062-TN-P-O-9""]",'SKU明细'!$AE$9:$AE$1592,0)))/SUM(INDEX('SKU明细'!$G$9:$G$1592,MATCH("[13306,""2311062-TN-P-O-9""]",'SKU明细'!$AE$9:$AE$1592,0))),"待核")</x:f>
        <x:v>41.1764705882353</x:v>
      </x:c>
      <x:c r="O50" s="16" t="str">
        <x:f>"—"</x:f>
        <x:v>—</x:v>
      </x:c>
      <x:c r="P50" s="16" t="str">
        <x:f>IF(AND(COUNT(INDEX('SKU明细'!$H$9:$H$1592,MATCH("[null,""2311062-TN-P-O-10""]",'SKU明细'!$AE$9:$AE$1592,0)))=1,COUNT(INDEX('SKU明细'!$G$9:$G$1592,MATCH("[null,""2311062-TN-P-O-10""]",'SKU明细'!$AE$9:$AE$1592,0)))=1,SUM(INDEX('SKU明细'!$G$9:$G$1592,MATCH("[null,""2311062-TN-P-O-10""]",'SKU明细'!$AE$9:$AE$1592,0)))&gt;0),SUM(INDEX('SKU明细'!$H$9:$H$1592,MATCH("[null,""2311062-TN-P-O-10""]",'SKU明细'!$AE$9:$AE$1592,0)))/SUM(INDEX('SKU明细'!$G$9:$G$1592,MATCH("[null,""2311062-TN-P-O-10""]",'SKU明细'!$AE$9:$AE$1592,0))),"待核")</x:f>
        <x:v>待核</x:v>
      </x:c>
      <x:c r="Q50" s="16" t="str">
        <x:f>"—"</x:f>
        <x:v>—</x:v>
      </x:c>
      <x:c r="R50" s="16" t="str">
        <x:f>IF(AND(COUNT(INDEX('SKU明细'!$H$9:$H$1592,MATCH("[null,""2311062-TN-P-O-11""]",'SKU明细'!$AE$9:$AE$1592,0)))=1,COUNT(INDEX('SKU明细'!$G$9:$G$1592,MATCH("[null,""2311062-TN-P-O-11""]",'SKU明细'!$AE$9:$AE$1592,0)))=1,SUM(INDEX('SKU明细'!$G$9:$G$1592,MATCH("[null,""2311062-TN-P-O-11""]",'SKU明细'!$AE$9:$AE$1592,0)))&gt;0),SUM(INDEX('SKU明细'!$H$9:$H$1592,MATCH("[null,""2311062-TN-P-O-11""]",'SKU明细'!$AE$9:$AE$1592,0)))/SUM(INDEX('SKU明细'!$G$9:$G$1592,MATCH("[null,""2311062-TN-P-O-11""]",'SKU明细'!$AE$9:$AE$1592,0))),"待核")</x:f>
        <x:v>待核</x:v>
      </x:c>
      <x:c r="S50" s="16" t="n">
        <x:f>IF(AND(COUNT(INDEX('SKU明细'!$H$9:$H$1592,MATCH("[13306,""2311062-TN-P-O-7""]",'SKU明细'!$AE$9:$AE$1592,0)),INDEX('SKU明细'!$H$9:$H$1592,MATCH("[13306,""2311062-TN-P-O-8""]",'SKU明细'!$AE$9:$AE$1592,0)),INDEX('SKU明细'!$H$9:$H$1592,MATCH("[13306,""2311062-TN-P-O-9""]",'SKU明细'!$AE$9:$AE$1592,0)))=3,COUNT(INDEX('SKU明细'!$G$9:$G$1592,MATCH("[13306,""2311062-TN-P-O-7""]",'SKU明细'!$AE$9:$AE$1592,0)),INDEX('SKU明细'!$G$9:$G$1592,MATCH("[13306,""2311062-TN-P-O-8""]",'SKU明细'!$AE$9:$AE$1592,0)),INDEX('SKU明细'!$G$9:$G$1592,MATCH("[13306,""2311062-TN-P-O-9""]",'SKU明细'!$AE$9:$AE$1592,0)))=3,SUM(INDEX('SKU明细'!$G$9:$G$1592,MATCH("[13306,""2311062-TN-P-O-7""]",'SKU明细'!$AE$9:$AE$1592,0)),INDEX('SKU明细'!$G$9:$G$1592,MATCH("[13306,""2311062-TN-P-O-8""]",'SKU明细'!$AE$9:$AE$1592,0)),INDEX('SKU明细'!$G$9:$G$1592,MATCH("[13306,""2311062-TN-P-O-9""]",'SKU明细'!$AE$9:$AE$1592,0)))&gt;0),SUM(INDEX('SKU明细'!$H$9:$H$1592,MATCH("[13306,""2311062-TN-P-O-7""]",'SKU明细'!$AE$9:$AE$1592,0)),INDEX('SKU明细'!$H$9:$H$1592,MATCH("[13306,""2311062-TN-P-O-8""]",'SKU明细'!$AE$9:$AE$1592,0)),INDEX('SKU明细'!$H$9:$H$1592,MATCH("[13306,""2311062-TN-P-O-9""]",'SKU明细'!$AE$9:$AE$1592,0)))/SUM(INDEX('SKU明细'!$G$9:$G$1592,MATCH("[13306,""2311062-TN-P-O-7""]",'SKU明细'!$AE$9:$AE$1592,0)),INDEX('SKU明细'!$G$9:$G$1592,MATCH("[13306,""2311062-TN-P-O-8""]",'SKU明细'!$AE$9:$AE$1592,0)),INDEX('SKU明细'!$G$9:$G$1592,MATCH("[13306,""2311062-TN-P-O-9""]",'SKU明细'!$AE$9:$AE$1592,0))),"待核")</x:f>
        <x:v>78.65168539325843</x:v>
      </x:c>
      <x:c r="T50" s="16" t="n">
        <x:f>IF(AND(COUNT(INDEX('SKU明细'!$I$9:$I$1592,MATCH("[13306,""2311062-TN-P-O-7""]",'SKU明细'!$AE$9:$AE$1592,0)),INDEX('SKU明细'!$I$9:$I$1592,MATCH("[13306,""2311062-TN-P-O-8""]",'SKU明细'!$AE$9:$AE$1592,0)),INDEX('SKU明细'!$I$9:$I$1592,MATCH("[13306,""2311062-TN-P-O-9""]",'SKU明细'!$AE$9:$AE$1592,0)))=3,COUNT(INDEX('SKU明细'!$AD$9:$AD$1592,MATCH("[13306,""2311062-TN-P-O-7""]",'SKU明细'!$AE$9:$AE$1592,0)),INDEX('SKU明细'!$AD$9:$AD$1592,MATCH("[13306,""2311062-TN-P-O-8""]",'SKU明细'!$AE$9:$AE$1592,0)),INDEX('SKU明细'!$AD$9:$AD$1592,MATCH("[13306,""2311062-TN-P-O-9""]",'SKU明细'!$AE$9:$AE$1592,0)))=3,SUM(INDEX('SKU明细'!$AD$9:$AD$1592,MATCH("[13306,""2311062-TN-P-O-7""]",'SKU明细'!$AE$9:$AE$1592,0)),INDEX('SKU明细'!$AD$9:$AD$1592,MATCH("[13306,""2311062-TN-P-O-8""]",'SKU明细'!$AE$9:$AE$1592,0)),INDEX('SKU明细'!$AD$9:$AD$1592,MATCH("[13306,""2311062-TN-P-O-9""]",'SKU明细'!$AE$9:$AE$1592,0)))&gt;0),SUM(INDEX('SKU明细'!$I$9:$I$1592,MATCH("[13306,""2311062-TN-P-O-7""]",'SKU明细'!$AE$9:$AE$1592,0)),INDEX('SKU明细'!$I$9:$I$1592,MATCH("[13306,""2311062-TN-P-O-8""]",'SKU明细'!$AE$9:$AE$1592,0)),INDEX('SKU明细'!$I$9:$I$1592,MATCH("[13306,""2311062-TN-P-O-9""]",'SKU明细'!$AE$9:$AE$1592,0)))/SUM(INDEX('SKU明细'!$AD$9:$AD$1592,MATCH("[13306,""2311062-TN-P-O-7""]",'SKU明细'!$AE$9:$AE$1592,0)),INDEX('SKU明细'!$AD$9:$AD$1592,MATCH("[13306,""2311062-TN-P-O-8""]",'SKU明细'!$AE$9:$AE$1592,0)),INDEX('SKU明细'!$AD$9:$AD$1592,MATCH("[13306,""2311062-TN-P-O-9""]",'SKU明细'!$AE$9:$AE$1592,0))),"待核")</x:f>
        <x:v>145.33600802407224</x:v>
      </x:c>
      <x:c r="U50" s="16" t="n">
        <x:f>IF(COUNT(S50:T50)=2,S50-T50,"待核")</x:f>
        <x:v>-66.68432263081381</x:v>
      </x:c>
      <x:c r="V50" s="17" t="n">
        <x:f>IF(AND(ISNUMBER(U50),ISNUMBER(T50),T50&lt;&gt;0),U50/T50,"")</x:f>
        <x:v>-0.4588286381153993</x:v>
      </x:c>
      <x:c r="W50" s="18" t="n">
        <x:f>IF(COUNT(INDEX('SKU明细'!$H$9:$H$1592,MATCH("[13306,""2311062-TN-P-O-7""]",'SKU明细'!$AE$9:$AE$1592,0)),INDEX('SKU明细'!$H$9:$H$1592,MATCH("[13306,""2311062-TN-P-O-6""]",'SKU明细'!$AE$9:$AE$1592,0)),INDEX('SKU明细'!$H$9:$H$1592,MATCH("[null,""2311062-TN-P-O-10""]",'SKU明细'!$AE$9:$AE$1592,0)),INDEX('SKU明细'!$H$9:$H$1592,MATCH("[null,""2311062-TN-P-O-11""]",'SKU明细'!$AE$9:$AE$1592,0)),INDEX('SKU明细'!$H$9:$H$1592,MATCH("[13306,""2311062-TN-P-O-8""]",'SKU明细'!$AE$9:$AE$1592,0)),INDEX('SKU明细'!$H$9:$H$1592,MATCH("[13306,""2311062-TN-P-O-9""]",'SKU明细'!$AE$9:$AE$1592,0)))=0,"待核",SUM(INDEX('SKU明细'!$H$9:$H$1592,MATCH("[13306,""2311062-TN-P-O-7""]",'SKU明细'!$AE$9:$AE$1592,0)),INDEX('SKU明细'!$H$9:$H$1592,MATCH("[13306,""2311062-TN-P-O-6""]",'SKU明细'!$AE$9:$AE$1592,0)),INDEX('SKU明细'!$H$9:$H$1592,MATCH("[null,""2311062-TN-P-O-10""]",'SKU明细'!$AE$9:$AE$1592,0)),INDEX('SKU明细'!$H$9:$H$1592,MATCH("[null,""2311062-TN-P-O-11""]",'SKU明细'!$AE$9:$AE$1592,0)),INDEX('SKU明细'!$H$9:$H$1592,MATCH("[13306,""2311062-TN-P-O-8""]",'SKU明细'!$AE$9:$AE$1592,0)),INDEX('SKU明细'!$H$9:$H$1592,MATCH("[13306,""2311062-TN-P-O-9""]",'SKU明细'!$AE$9:$AE$1592,0))))</x:f>
        <x:v>70</x:v>
      </x:c>
      <x:c r="X50" s="19" t="str">
        <x:f>IF(COUNTIFS('SKU明细'!$AH$9:$AH$1592,"[""2311062"",""2311062-TN-P-O"",""TN-P"",""驼色 PU""]",'SKU明细'!$E$9:$E$1592,"促销")&gt;0,"促销 ","")&amp;IF(COUNTIFS('SKU明细'!$AH$9:$AH$1592,"[""2311062"",""2311062-TN-P-O"",""TN-P"",""驼色 PU""]",'SKU明细'!$E$9:$E$1592,"红线促销")&gt;0,"红线促销 ","")&amp;IF(COUNTIFS('SKU明细'!$AH$9:$AH$1592,"[""2311062"",""2311062-TN-P-O"",""TN-P"",""驼色 PU""]",'SKU明细'!$E$9:$E$1592,"考虑清仓")&gt;0,"考虑清仓 ","")&amp;IF(COUNTIFS('SKU明细'!$AH$9:$AH$1592,"[""2311062"",""2311062-TN-P-O"",""TN-P"",""驼色 PU""]",'SKU明细'!$E$9:$E$1592,"断货")&gt;0,"断货 ","")&amp;IF(COUNTIFS('SKU明细'!$AH$9:$AH$1592,"[""2311062"",""2311062-TN-P-O"",""TN-P"",""驼色 PU""]",'SKU明细'!$E$9:$E$1592,"零日销待复核")&gt;0,"零日销待复核 ","")&amp;IF(COUNTIFS('SKU明细'!$AH$9:$AH$1592,"[""2311062"",""2311062-TN-P-O"",""TN-P"",""驼色 PU""]",'SKU明细'!$E$9:$E$1592,"数据待核")&gt;0,"数据待核 ","")&amp;IF(COUNTIFS('SKU明细'!$AH$9:$AH$1592,"[""2311062"",""2311062-TN-P-O"",""TN-P"",""驼色 PU""]",'SKU明细'!$E$9:$E$1592,"正常库存")&gt;0,"正常库存 ","")&amp;IF(COUNTIFS('SKU明细'!$AH$9:$AH$1592,"[""2311062"",""2311062-TN-P-O"",""TN-P"",""驼色 PU""]",'SKU明细'!$E$9:$E$1592,"补货提醒")&gt;0,"补货提醒 ","")</x:f>
        <x:v>红线促销 断货 数据待核 正常库存 补货提醒 </x:v>
      </x:c>
      <x:c r="Y50" s="19" t="str">
        <x:f>IF(NOT(ISNUMBER(U50)),"覆盖待核／无可比基准","仅共同SKU")</x:f>
        <x:v>仅共同SKU</x:v>
      </x:c>
      <x:c r="Z50" s="19" t="str">
        <x:v>在售、停售、未匹配Listing</x:v>
      </x:c>
      <x:c r="AA50" s="19" t="n">
        <x:f>IF(SUMIFS('SKU明细'!$AF$9:$AF$1592,'SKU明细'!$D$9:$D$1592,A50,'SKU明细'!$Z$9:$Z$1592,"&lt;&gt;移出")=0,"待核",SUMIFS('SKU明细'!$H$9:$H$1592,'SKU明细'!$D$9:$D$1592,A50,'SKU明细'!$Z$9:$Z$1592,"&lt;&gt;移出"))</x:f>
        <x:v>2191</x:v>
      </x:c>
    </x:row>
    <x:row r="51" ht="54" customHeight="1">
      <x:c r="A51" s="15" t="str">
        <x:v>2311062</x:v>
      </x:c>
      <x:c r="B51" s="15" t="str">
        <x:v>陈晨</x:v>
      </x:c>
      <x:c r="C51" s="15" t="str">
        <x:v>白色 PU</x:v>
      </x:c>
      <x:c r="D51" s="15" t="str">
        <x:v>WT-P</x:v>
      </x:c>
      <x:c r="E51" s="15" t="str">
        <x:v>2311062-WT-P-O</x:v>
      </x:c>
      <x:c r="F51" s="15"/>
      <x:c r="G51" s="16" t="str">
        <x:f>"—"</x:f>
        <x:v>—</x:v>
      </x:c>
      <x:c r="H51" s="16" t="n">
        <x:f>IF(AND(COUNT(INDEX('SKU明细'!$H$9:$H$1592,MATCH("[13306,""2311062-WT-P-O-6""]",'SKU明细'!$AE$9:$AE$1592,0)))=1,COUNT(INDEX('SKU明细'!$G$9:$G$1592,MATCH("[13306,""2311062-WT-P-O-6""]",'SKU明细'!$AE$9:$AE$1592,0)))=1,SUM(INDEX('SKU明细'!$G$9:$G$1592,MATCH("[13306,""2311062-WT-P-O-6""]",'SKU明细'!$AE$9:$AE$1592,0)))&gt;0),SUM(INDEX('SKU明细'!$H$9:$H$1592,MATCH("[13306,""2311062-WT-P-O-6""]",'SKU明细'!$AE$9:$AE$1592,0)))/SUM(INDEX('SKU明细'!$G$9:$G$1592,MATCH("[13306,""2311062-WT-P-O-6""]",'SKU明细'!$AE$9:$AE$1592,0))),"待核")</x:f>
        <x:v>8.740894901144642</x:v>
      </x:c>
      <x:c r="I51" s="16" t="str">
        <x:f>"—"</x:f>
        <x:v>—</x:v>
      </x:c>
      <x:c r="J51" s="16" t="n">
        <x:f>IF(AND(COUNT(INDEX('SKU明细'!$H$9:$H$1592,MATCH("[13306,""2311062-WT-P-O-7""]",'SKU明细'!$AE$9:$AE$1592,0)))=1,COUNT(INDEX('SKU明细'!$G$9:$G$1592,MATCH("[13306,""2311062-WT-P-O-7""]",'SKU明细'!$AE$9:$AE$1592,0)))=1,SUM(INDEX('SKU明细'!$G$9:$G$1592,MATCH("[13306,""2311062-WT-P-O-7""]",'SKU明细'!$AE$9:$AE$1592,0)))&gt;0),SUM(INDEX('SKU明细'!$H$9:$H$1592,MATCH("[13306,""2311062-WT-P-O-7""]",'SKU明细'!$AE$9:$AE$1592,0)))/SUM(INDEX('SKU明细'!$G$9:$G$1592,MATCH("[13306,""2311062-WT-P-O-7""]",'SKU明细'!$AE$9:$AE$1592,0))),"待核")</x:f>
        <x:v>43.52640545144804</x:v>
      </x:c>
      <x:c r="K51" s="16" t="str">
        <x:f>"—"</x:f>
        <x:v>—</x:v>
      </x:c>
      <x:c r="L51" s="16" t="n">
        <x:f>IF(AND(COUNT(INDEX('SKU明细'!$H$9:$H$1592,MATCH("[13306,""2311062-WT-P-O-8""]",'SKU明细'!$AE$9:$AE$1592,0)))=1,COUNT(INDEX('SKU明细'!$G$9:$G$1592,MATCH("[13306,""2311062-WT-P-O-8""]",'SKU明细'!$AE$9:$AE$1592,0)))=1,SUM(INDEX('SKU明细'!$G$9:$G$1592,MATCH("[13306,""2311062-WT-P-O-8""]",'SKU明细'!$AE$9:$AE$1592,0)))&gt;0),SUM(INDEX('SKU明细'!$H$9:$H$1592,MATCH("[13306,""2311062-WT-P-O-8""]",'SKU明细'!$AE$9:$AE$1592,0)))/SUM(INDEX('SKU明细'!$G$9:$G$1592,MATCH("[13306,""2311062-WT-P-O-8""]",'SKU明细'!$AE$9:$AE$1592,0))),"待核")</x:f>
        <x:v>100.18832391713748</x:v>
      </x:c>
      <x:c r="M51" s="16" t="str">
        <x:f>"—"</x:f>
        <x:v>—</x:v>
      </x:c>
      <x:c r="N51" s="16" t="n">
        <x:f>IF(AND(COUNT(INDEX('SKU明细'!$H$9:$H$1592,MATCH("[13306,""2311062-WT-P-O-9""]",'SKU明细'!$AE$9:$AE$1592,0)))=1,COUNT(INDEX('SKU明细'!$G$9:$G$1592,MATCH("[13306,""2311062-WT-P-O-9""]",'SKU明细'!$AE$9:$AE$1592,0)))=1,SUM(INDEX('SKU明细'!$G$9:$G$1592,MATCH("[13306,""2311062-WT-P-O-9""]",'SKU明细'!$AE$9:$AE$1592,0)))&gt;0),SUM(INDEX('SKU明细'!$H$9:$H$1592,MATCH("[13306,""2311062-WT-P-O-9""]",'SKU明细'!$AE$9:$AE$1592,0)))/SUM(INDEX('SKU明细'!$G$9:$G$1592,MATCH("[13306,""2311062-WT-P-O-9""]",'SKU明细'!$AE$9:$AE$1592,0))),"待核")</x:f>
        <x:v>68.29906542056074</x:v>
      </x:c>
      <x:c r="O51" s="16" t="str">
        <x:f>"—"</x:f>
        <x:v>—</x:v>
      </x:c>
      <x:c r="P51" s="16" t="n">
        <x:f>IF(AND(COUNT(INDEX('SKU明细'!$H$9:$H$1592,MATCH("[13306,""2311062-WT-P-O-10""]",'SKU明细'!$AE$9:$AE$1592,0)))=1,COUNT(INDEX('SKU明细'!$G$9:$G$1592,MATCH("[13306,""2311062-WT-P-O-10""]",'SKU明细'!$AE$9:$AE$1592,0)))=1,SUM(INDEX('SKU明细'!$G$9:$G$1592,MATCH("[13306,""2311062-WT-P-O-10""]",'SKU明细'!$AE$9:$AE$1592,0)))&gt;0),SUM(INDEX('SKU明细'!$H$9:$H$1592,MATCH("[13306,""2311062-WT-P-O-10""]",'SKU明细'!$AE$9:$AE$1592,0)))/SUM(INDEX('SKU明细'!$G$9:$G$1592,MATCH("[13306,""2311062-WT-P-O-10""]",'SKU明细'!$AE$9:$AE$1592,0))),"待核")</x:f>
        <x:v>70.63063063063063</x:v>
      </x:c>
      <x:c r="Q51" s="16" t="str">
        <x:f>"—"</x:f>
        <x:v>—</x:v>
      </x:c>
      <x:c r="R51" s="16" t="n">
        <x:f>IF(AND(COUNT(INDEX('SKU明细'!$H$9:$H$1592,MATCH("[13306,""2311062-WT-P-O-11""]",'SKU明细'!$AE$9:$AE$1592,0)))=1,COUNT(INDEX('SKU明细'!$G$9:$G$1592,MATCH("[13306,""2311062-WT-P-O-11""]",'SKU明细'!$AE$9:$AE$1592,0)))=1,SUM(INDEX('SKU明细'!$G$9:$G$1592,MATCH("[13306,""2311062-WT-P-O-11""]",'SKU明细'!$AE$9:$AE$1592,0)))&gt;0),SUM(INDEX('SKU明细'!$H$9:$H$1592,MATCH("[13306,""2311062-WT-P-O-11""]",'SKU明细'!$AE$9:$AE$1592,0)))/SUM(INDEX('SKU明细'!$G$9:$G$1592,MATCH("[13306,""2311062-WT-P-O-11""]",'SKU明细'!$AE$9:$AE$1592,0))),"待核")</x:f>
        <x:v>0</x:v>
      </x:c>
      <x:c r="S51" s="16" t="n">
        <x:f>IF(AND(COUNT(INDEX('SKU明细'!$H$9:$H$1592,MATCH("[13306,""2311062-WT-P-O-8""]",'SKU明细'!$AE$9:$AE$1592,0)),INDEX('SKU明细'!$H$9:$H$1592,MATCH("[13306,""2311062-WT-P-O-11""]",'SKU明细'!$AE$9:$AE$1592,0)),INDEX('SKU明细'!$H$9:$H$1592,MATCH("[13306,""2311062-WT-P-O-10""]",'SKU明细'!$AE$9:$AE$1592,0)),INDEX('SKU明细'!$H$9:$H$1592,MATCH("[13306,""2311062-WT-P-O-9""]",'SKU明细'!$AE$9:$AE$1592,0)),INDEX('SKU明细'!$H$9:$H$1592,MATCH("[13306,""2311062-WT-P-O-6""]",'SKU明细'!$AE$9:$AE$1592,0)),INDEX('SKU明细'!$H$9:$H$1592,MATCH("[13306,""2311062-WT-P-O-7""]",'SKU明细'!$AE$9:$AE$1592,0)))=6,COUNT(INDEX('SKU明细'!$G$9:$G$1592,MATCH("[13306,""2311062-WT-P-O-8""]",'SKU明细'!$AE$9:$AE$1592,0)),INDEX('SKU明细'!$G$9:$G$1592,MATCH("[13306,""2311062-WT-P-O-11""]",'SKU明细'!$AE$9:$AE$1592,0)),INDEX('SKU明细'!$G$9:$G$1592,MATCH("[13306,""2311062-WT-P-O-10""]",'SKU明细'!$AE$9:$AE$1592,0)),INDEX('SKU明细'!$G$9:$G$1592,MATCH("[13306,""2311062-WT-P-O-9""]",'SKU明细'!$AE$9:$AE$1592,0)),INDEX('SKU明细'!$G$9:$G$1592,MATCH("[13306,""2311062-WT-P-O-6""]",'SKU明细'!$AE$9:$AE$1592,0)),INDEX('SKU明细'!$G$9:$G$1592,MATCH("[13306,""2311062-WT-P-O-7""]",'SKU明细'!$AE$9:$AE$1592,0)))=6,SUM(INDEX('SKU明细'!$G$9:$G$1592,MATCH("[13306,""2311062-WT-P-O-8""]",'SKU明细'!$AE$9:$AE$1592,0)),INDEX('SKU明细'!$G$9:$G$1592,MATCH("[13306,""2311062-WT-P-O-11""]",'SKU明细'!$AE$9:$AE$1592,0)),INDEX('SKU明细'!$G$9:$G$1592,MATCH("[13306,""2311062-WT-P-O-10""]",'SKU明细'!$AE$9:$AE$1592,0)),INDEX('SKU明细'!$G$9:$G$1592,MATCH("[13306,""2311062-WT-P-O-9""]",'SKU明细'!$AE$9:$AE$1592,0)),INDEX('SKU明细'!$G$9:$G$1592,MATCH("[13306,""2311062-WT-P-O-6""]",'SKU明细'!$AE$9:$AE$1592,0)),INDEX('SKU明细'!$G$9:$G$1592,MATCH("[13306,""2311062-WT-P-O-7""]",'SKU明细'!$AE$9:$AE$1592,0)))&gt;0),SUM(INDEX('SKU明细'!$H$9:$H$1592,MATCH("[13306,""2311062-WT-P-O-8""]",'SKU明细'!$AE$9:$AE$1592,0)),INDEX('SKU明细'!$H$9:$H$1592,MATCH("[13306,""2311062-WT-P-O-11""]",'SKU明细'!$AE$9:$AE$1592,0)),INDEX('SKU明细'!$H$9:$H$1592,MATCH("[13306,""2311062-WT-P-O-10""]",'SKU明细'!$AE$9:$AE$1592,0)),INDEX('SKU明细'!$H$9:$H$1592,MATCH("[13306,""2311062-WT-P-O-9""]",'SKU明细'!$AE$9:$AE$1592,0)),INDEX('SKU明细'!$H$9:$H$1592,MATCH("[13306,""2311062-WT-P-O-6""]",'SKU明细'!$AE$9:$AE$1592,0)),INDEX('SKU明细'!$H$9:$H$1592,MATCH("[13306,""2311062-WT-P-O-7""]",'SKU明细'!$AE$9:$AE$1592,0)))/SUM(INDEX('SKU明细'!$G$9:$G$1592,MATCH("[13306,""2311062-WT-P-O-8""]",'SKU明细'!$AE$9:$AE$1592,0)),INDEX('SKU明细'!$G$9:$G$1592,MATCH("[13306,""2311062-WT-P-O-11""]",'SKU明细'!$AE$9:$AE$1592,0)),INDEX('SKU明细'!$G$9:$G$1592,MATCH("[13306,""2311062-WT-P-O-10""]",'SKU明细'!$AE$9:$AE$1592,0)),INDEX('SKU明细'!$G$9:$G$1592,MATCH("[13306,""2311062-WT-P-O-9""]",'SKU明细'!$AE$9:$AE$1592,0)),INDEX('SKU明细'!$G$9:$G$1592,MATCH("[13306,""2311062-WT-P-O-6""]",'SKU明细'!$AE$9:$AE$1592,0)),INDEX('SKU明细'!$G$9:$G$1592,MATCH("[13306,""2311062-WT-P-O-7""]",'SKU明细'!$AE$9:$AE$1592,0))),"待核")</x:f>
        <x:v>63.938451465051564</x:v>
      </x:c>
      <x:c r="T51" s="16" t="str">
        <x:f>IF(AND(COUNT(INDEX('SKU明细'!$I$9:$I$1592,MATCH("[13306,""2311062-WT-P-O-8""]",'SKU明细'!$AE$9:$AE$1592,0)),INDEX('SKU明细'!$I$9:$I$1592,MATCH("[13306,""2311062-WT-P-O-11""]",'SKU明细'!$AE$9:$AE$1592,0)),INDEX('SKU明细'!$I$9:$I$1592,MATCH("[13306,""2311062-WT-P-O-10""]",'SKU明细'!$AE$9:$AE$1592,0)),INDEX('SKU明细'!$I$9:$I$1592,MATCH("[13306,""2311062-WT-P-O-9""]",'SKU明细'!$AE$9:$AE$1592,0)),INDEX('SKU明细'!$I$9:$I$1592,MATCH("[13306,""2311062-WT-P-O-6""]",'SKU明细'!$AE$9:$AE$1592,0)),INDEX('SKU明细'!$I$9:$I$1592,MATCH("[13306,""2311062-WT-P-O-7""]",'SKU明细'!$AE$9:$AE$1592,0)))=6,COUNT(INDEX('SKU明细'!$AD$9:$AD$1592,MATCH("[13306,""2311062-WT-P-O-8""]",'SKU明细'!$AE$9:$AE$1592,0)),INDEX('SKU明细'!$AD$9:$AD$1592,MATCH("[13306,""2311062-WT-P-O-11""]",'SKU明细'!$AE$9:$AE$1592,0)),INDEX('SKU明细'!$AD$9:$AD$1592,MATCH("[13306,""2311062-WT-P-O-10""]",'SKU明细'!$AE$9:$AE$1592,0)),INDEX('SKU明细'!$AD$9:$AD$1592,MATCH("[13306,""2311062-WT-P-O-9""]",'SKU明细'!$AE$9:$AE$1592,0)),INDEX('SKU明细'!$AD$9:$AD$1592,MATCH("[13306,""2311062-WT-P-O-6""]",'SKU明细'!$AE$9:$AE$1592,0)),INDEX('SKU明细'!$AD$9:$AD$1592,MATCH("[13306,""2311062-WT-P-O-7""]",'SKU明细'!$AE$9:$AE$1592,0)))=6,SUM(INDEX('SKU明细'!$AD$9:$AD$1592,MATCH("[13306,""2311062-WT-P-O-8""]",'SKU明细'!$AE$9:$AE$1592,0)),INDEX('SKU明细'!$AD$9:$AD$1592,MATCH("[13306,""2311062-WT-P-O-11""]",'SKU明细'!$AE$9:$AE$1592,0)),INDEX('SKU明细'!$AD$9:$AD$1592,MATCH("[13306,""2311062-WT-P-O-10""]",'SKU明细'!$AE$9:$AE$1592,0)),INDEX('SKU明细'!$AD$9:$AD$1592,MATCH("[13306,""2311062-WT-P-O-9""]",'SKU明细'!$AE$9:$AE$1592,0)),INDEX('SKU明细'!$AD$9:$AD$1592,MATCH("[13306,""2311062-WT-P-O-6""]",'SKU明细'!$AE$9:$AE$1592,0)),INDEX('SKU明细'!$AD$9:$AD$1592,MATCH("[13306,""2311062-WT-P-O-7""]",'SKU明细'!$AE$9:$AE$1592,0)))&gt;0),SUM(INDEX('SKU明细'!$I$9:$I$1592,MATCH("[13306,""2311062-WT-P-O-8""]",'SKU明细'!$AE$9:$AE$1592,0)),INDEX('SKU明细'!$I$9:$I$1592,MATCH("[13306,""2311062-WT-P-O-11""]",'SKU明细'!$AE$9:$AE$1592,0)),INDEX('SKU明细'!$I$9:$I$1592,MATCH("[13306,""2311062-WT-P-O-10""]",'SKU明细'!$AE$9:$AE$1592,0)),INDEX('SKU明细'!$I$9:$I$1592,MATCH("[13306,""2311062-WT-P-O-9""]",'SKU明细'!$AE$9:$AE$1592,0)),INDEX('SKU明细'!$I$9:$I$1592,MATCH("[13306,""2311062-WT-P-O-6""]",'SKU明细'!$AE$9:$AE$1592,0)),INDEX('SKU明细'!$I$9:$I$1592,MATCH("[13306,""2311062-WT-P-O-7""]",'SKU明细'!$AE$9:$AE$1592,0)))/SUM(INDEX('SKU明细'!$AD$9:$AD$1592,MATCH("[13306,""2311062-WT-P-O-8""]",'SKU明细'!$AE$9:$AE$1592,0)),INDEX('SKU明细'!$AD$9:$AD$1592,MATCH("[13306,""2311062-WT-P-O-11""]",'SKU明细'!$AE$9:$AE$1592,0)),INDEX('SKU明细'!$AD$9:$AD$1592,MATCH("[13306,""2311062-WT-P-O-10""]",'SKU明细'!$AE$9:$AE$1592,0)),INDEX('SKU明细'!$AD$9:$AD$1592,MATCH("[13306,""2311062-WT-P-O-9""]",'SKU明细'!$AE$9:$AE$1592,0)),INDEX('SKU明细'!$AD$9:$AD$1592,MATCH("[13306,""2311062-WT-P-O-6""]",'SKU明细'!$AE$9:$AE$1592,0)),INDEX('SKU明细'!$AD$9:$AD$1592,MATCH("[13306,""2311062-WT-P-O-7""]",'SKU明细'!$AE$9:$AE$1592,0))),"待核")</x:f>
        <x:v>待核</x:v>
      </x:c>
      <x:c r="U51" s="16" t="str">
        <x:f>IF(COUNT(S51:T51)=2,S51-T51,"待核")</x:f>
        <x:v>待核</x:v>
      </x:c>
      <x:c r="V51" s="17" t="str">
        <x:f>IF(AND(ISNUMBER(U51),ISNUMBER(T51),T51&lt;&gt;0),U51/T51,"")</x:f>
      </x:c>
      <x:c r="W51" s="18" t="n">
        <x:f>IF(COUNT(INDEX('SKU明细'!$H$9:$H$1592,MATCH("[13306,""2311062-WT-P-O-8""]",'SKU明细'!$AE$9:$AE$1592,0)),INDEX('SKU明细'!$H$9:$H$1592,MATCH("[13306,""2311062-WT-P-O-11""]",'SKU明细'!$AE$9:$AE$1592,0)),INDEX('SKU明细'!$H$9:$H$1592,MATCH("[13306,""2311062-WT-P-O-10""]",'SKU明细'!$AE$9:$AE$1592,0)),INDEX('SKU明细'!$H$9:$H$1592,MATCH("[13306,""2311062-WT-P-O-9""]",'SKU明细'!$AE$9:$AE$1592,0)),INDEX('SKU明细'!$H$9:$H$1592,MATCH("[13306,""2311062-WT-P-O-6""]",'SKU明细'!$AE$9:$AE$1592,0)),INDEX('SKU明细'!$H$9:$H$1592,MATCH("[13306,""2311062-WT-P-O-7""]",'SKU明细'!$AE$9:$AE$1592,0)))=0,"待核",SUM(INDEX('SKU明细'!$H$9:$H$1592,MATCH("[13306,""2311062-WT-P-O-8""]",'SKU明细'!$AE$9:$AE$1592,0)),INDEX('SKU明细'!$H$9:$H$1592,MATCH("[13306,""2311062-WT-P-O-11""]",'SKU明细'!$AE$9:$AE$1592,0)),INDEX('SKU明细'!$H$9:$H$1592,MATCH("[13306,""2311062-WT-P-O-10""]",'SKU明细'!$AE$9:$AE$1592,0)),INDEX('SKU明细'!$H$9:$H$1592,MATCH("[13306,""2311062-WT-P-O-9""]",'SKU明细'!$AE$9:$AE$1592,0)),INDEX('SKU明细'!$H$9:$H$1592,MATCH("[13306,""2311062-WT-P-O-6""]",'SKU明细'!$AE$9:$AE$1592,0)),INDEX('SKU明细'!$H$9:$H$1592,MATCH("[13306,""2311062-WT-P-O-7""]",'SKU明细'!$AE$9:$AE$1592,0))))</x:f>
        <x:v>372</x:v>
      </x:c>
      <x:c r="X51" s="19" t="str">
        <x:f>IF(COUNTIFS('SKU明细'!$AH$9:$AH$1592,"[""2311062"",""2311062-WT-P-O"",""WT-P"",""白色 PU""]",'SKU明细'!$E$9:$E$1592,"促销")&gt;0,"促销 ","")&amp;IF(COUNTIFS('SKU明细'!$AH$9:$AH$1592,"[""2311062"",""2311062-WT-P-O"",""WT-P"",""白色 PU""]",'SKU明细'!$E$9:$E$1592,"红线促销")&gt;0,"红线促销 ","")&amp;IF(COUNTIFS('SKU明细'!$AH$9:$AH$1592,"[""2311062"",""2311062-WT-P-O"",""WT-P"",""白色 PU""]",'SKU明细'!$E$9:$E$1592,"考虑清仓")&gt;0,"考虑清仓 ","")&amp;IF(COUNTIFS('SKU明细'!$AH$9:$AH$1592,"[""2311062"",""2311062-WT-P-O"",""WT-P"",""白色 PU""]",'SKU明细'!$E$9:$E$1592,"断货")&gt;0,"断货 ","")&amp;IF(COUNTIFS('SKU明细'!$AH$9:$AH$1592,"[""2311062"",""2311062-WT-P-O"",""WT-P"",""白色 PU""]",'SKU明细'!$E$9:$E$1592,"零日销待复核")&gt;0,"零日销待复核 ","")&amp;IF(COUNTIFS('SKU明细'!$AH$9:$AH$1592,"[""2311062"",""2311062-WT-P-O"",""WT-P"",""白色 PU""]",'SKU明细'!$E$9:$E$1592,"数据待核")&gt;0,"数据待核 ","")&amp;IF(COUNTIFS('SKU明细'!$AH$9:$AH$1592,"[""2311062"",""2311062-WT-P-O"",""WT-P"",""白色 PU""]",'SKU明细'!$E$9:$E$1592,"正常库存")&gt;0,"正常库存 ","")&amp;IF(COUNTIFS('SKU明细'!$AH$9:$AH$1592,"[""2311062"",""2311062-WT-P-O"",""WT-P"",""白色 PU""]",'SKU明细'!$E$9:$E$1592,"补货提醒")&gt;0,"补货提醒 ","")</x:f>
        <x:v>促销 断货 正常库存 补货提醒 </x:v>
      </x:c>
      <x:c r="Y51" s="19" t="str">
        <x:f>IF(NOT(ISNUMBER(U51)),"覆盖待核／无可比基准","完整可比")</x:f>
        <x:v>覆盖待核／无可比基准</x:v>
      </x:c>
      <x:c r="Z51" s="19" t="str">
        <x:v>在售</x:v>
      </x:c>
      <x:c r="AA51" s="19" t="n">
        <x:f>IF(SUMIFS('SKU明细'!$AF$9:$AF$1592,'SKU明细'!$D$9:$D$1592,A51,'SKU明细'!$Z$9:$Z$1592,"&lt;&gt;移出")=0,"待核",SUMIFS('SKU明细'!$H$9:$H$1592,'SKU明细'!$D$9:$D$1592,A51,'SKU明细'!$Z$9:$Z$1592,"&lt;&gt;移出"))</x:f>
        <x:v>2191</x:v>
      </x:c>
    </x:row>
    <x:row r="52" ht="54" customHeight="1">
      <x:c r="A52" s="20" t="str">
        <x:v>B06</x:v>
      </x:c>
      <x:c r="B52" s="20" t="str">
        <x:v>艾年</x:v>
      </x:c>
      <x:c r="C52" s="20" t="str">
        <x:v>米色PU</x:v>
      </x:c>
      <x:c r="D52" s="20" t="str">
        <x:v>BGP</x:v>
      </x:c>
      <x:c r="E52" s="20" t="str">
        <x:v>B06-BGP</x:v>
      </x:c>
      <x:c r="F52" s="20"/>
      <x:c r="G52" s="21" t="str">
        <x:f>"—"</x:f>
        <x:v>—</x:v>
      </x:c>
      <x:c r="H52" s="21" t="n">
        <x:f>IF(AND(COUNT(INDEX('SKU明细'!$H$9:$H$1592,MATCH("[13120,""B06-BGP-37-N""]",'SKU明细'!$AE$9:$AE$1592,0)))=1,COUNT(INDEX('SKU明细'!$G$9:$G$1592,MATCH("[13120,""B06-BGP-37-N""]",'SKU明细'!$AE$9:$AE$1592,0)))=1,SUM(INDEX('SKU明细'!$G$9:$G$1592,MATCH("[13120,""B06-BGP-37-N""]",'SKU明细'!$AE$9:$AE$1592,0)))&gt;0),SUM(INDEX('SKU明细'!$H$9:$H$1592,MATCH("[13120,""B06-BGP-37-N""]",'SKU明细'!$AE$9:$AE$1592,0)))/SUM(INDEX('SKU明细'!$G$9:$G$1592,MATCH("[13120,""B06-BGP-37-N""]",'SKU明细'!$AE$9:$AE$1592,0))),"待核")</x:f>
        <x:v>84.46069469835466</x:v>
      </x:c>
      <x:c r="I52" s="21" t="n">
        <x:f>IF(AND(COUNT(INDEX('SKU明细'!$H$9:$H$1592,MATCH("[13120,""B06-BGP-37.5""]",'SKU明细'!$AE$9:$AE$1592,0)))=1,COUNT(INDEX('SKU明细'!$G$9:$G$1592,MATCH("[13120,""B06-BGP-37.5""]",'SKU明细'!$AE$9:$AE$1592,0)))=1,SUM(INDEX('SKU明细'!$G$9:$G$1592,MATCH("[13120,""B06-BGP-37.5""]",'SKU明细'!$AE$9:$AE$1592,0)))&gt;0),SUM(INDEX('SKU明细'!$H$9:$H$1592,MATCH("[13120,""B06-BGP-37.5""]",'SKU明细'!$AE$9:$AE$1592,0)))/SUM(INDEX('SKU明细'!$G$9:$G$1592,MATCH("[13120,""B06-BGP-37.5""]",'SKU明细'!$AE$9:$AE$1592,0))),"待核")</x:f>
        <x:v>216.260162601626</x:v>
      </x:c>
      <x:c r="J52" s="21" t="n">
        <x:f>IF(AND(COUNT(INDEX('SKU明细'!$H$9:$H$1592,MATCH("[13120,""B06-BGP-38-N""]",'SKU明细'!$AE$9:$AE$1592,0)))=1,COUNT(INDEX('SKU明细'!$G$9:$G$1592,MATCH("[13120,""B06-BGP-38-N""]",'SKU明细'!$AE$9:$AE$1592,0)))=1,SUM(INDEX('SKU明细'!$G$9:$G$1592,MATCH("[13120,""B06-BGP-38-N""]",'SKU明细'!$AE$9:$AE$1592,0)))&gt;0),SUM(INDEX('SKU明细'!$H$9:$H$1592,MATCH("[13120,""B06-BGP-38-N""]",'SKU明细'!$AE$9:$AE$1592,0)))/SUM(INDEX('SKU明细'!$G$9:$G$1592,MATCH("[13120,""B06-BGP-38-N""]",'SKU明细'!$AE$9:$AE$1592,0))),"待核")</x:f>
        <x:v>9.424083769633507</x:v>
      </x:c>
      <x:c r="K52" s="21" t="n">
        <x:f>IF(AND(COUNT(INDEX('SKU明细'!$H$9:$H$1592,MATCH("[13120,""B06-BGP-38.5""]",'SKU明细'!$AE$9:$AE$1592,0)))=1,COUNT(INDEX('SKU明细'!$G$9:$G$1592,MATCH("[13120,""B06-BGP-38.5""]",'SKU明细'!$AE$9:$AE$1592,0)))=1,SUM(INDEX('SKU明细'!$G$9:$G$1592,MATCH("[13120,""B06-BGP-38.5""]",'SKU明细'!$AE$9:$AE$1592,0)))&gt;0),SUM(INDEX('SKU明细'!$H$9:$H$1592,MATCH("[13120,""B06-BGP-38.5""]",'SKU明细'!$AE$9:$AE$1592,0)))/SUM(INDEX('SKU明细'!$G$9:$G$1592,MATCH("[13120,""B06-BGP-38.5""]",'SKU明细'!$AE$9:$AE$1592,0))),"待核")</x:f>
        <x:v>48.87931034482758</x:v>
      </x:c>
      <x:c r="L52" s="21" t="n">
        <x:f>IF(AND(COUNT(INDEX('SKU明细'!$H$9:$H$1592,MATCH("[13120,""B06-BGP-39-N""]",'SKU明细'!$AE$9:$AE$1592,0)))=1,COUNT(INDEX('SKU明细'!$G$9:$G$1592,MATCH("[13120,""B06-BGP-39-N""]",'SKU明细'!$AE$9:$AE$1592,0)))=1,SUM(INDEX('SKU明细'!$G$9:$G$1592,MATCH("[13120,""B06-BGP-39-N""]",'SKU明细'!$AE$9:$AE$1592,0)))&gt;0),SUM(INDEX('SKU明细'!$H$9:$H$1592,MATCH("[13120,""B06-BGP-39-N""]",'SKU明细'!$AE$9:$AE$1592,0)))/SUM(INDEX('SKU明细'!$G$9:$G$1592,MATCH("[13120,""B06-BGP-39-N""]",'SKU明细'!$AE$9:$AE$1592,0))),"待核")</x:f>
        <x:v>41.37931034482758</x:v>
      </x:c>
      <x:c r="M52" s="21" t="n">
        <x:f>IF(AND(COUNT(INDEX('SKU明细'!$H$9:$H$1592,MATCH("[13120,""B06-BGP-39.5""]",'SKU明细'!$AE$9:$AE$1592,0)))=1,COUNT(INDEX('SKU明细'!$G$9:$G$1592,MATCH("[13120,""B06-BGP-39.5""]",'SKU明细'!$AE$9:$AE$1592,0)))=1,SUM(INDEX('SKU明细'!$G$9:$G$1592,MATCH("[13120,""B06-BGP-39.5""]",'SKU明细'!$AE$9:$AE$1592,0)))&gt;0),SUM(INDEX('SKU明细'!$H$9:$H$1592,MATCH("[13120,""B06-BGP-39.5""]",'SKU明细'!$AE$9:$AE$1592,0)))/SUM(INDEX('SKU明细'!$G$9:$G$1592,MATCH("[13120,""B06-BGP-39.5""]",'SKU明细'!$AE$9:$AE$1592,0))),"待核")</x:f>
        <x:v>67.17171717171718</x:v>
      </x:c>
      <x:c r="N52" s="21" t="n">
        <x:f>IF(AND(COUNT(INDEX('SKU明细'!$H$9:$H$1592,MATCH("[13120,""B06-BGP-40-N""]",'SKU明细'!$AE$9:$AE$1592,0)))=1,COUNT(INDEX('SKU明细'!$G$9:$G$1592,MATCH("[13120,""B06-BGP-40-N""]",'SKU明细'!$AE$9:$AE$1592,0)))=1,SUM(INDEX('SKU明细'!$G$9:$G$1592,MATCH("[13120,""B06-BGP-40-N""]",'SKU明细'!$AE$9:$AE$1592,0)))&gt;0),SUM(INDEX('SKU明细'!$H$9:$H$1592,MATCH("[13120,""B06-BGP-40-N""]",'SKU明细'!$AE$9:$AE$1592,0)))/SUM(INDEX('SKU明细'!$G$9:$G$1592,MATCH("[13120,""B06-BGP-40-N""]",'SKU明细'!$AE$9:$AE$1592,0))),"待核")</x:f>
        <x:v>61.85567010309278</x:v>
      </x:c>
      <x:c r="O52" s="21" t="n">
        <x:f>IF(AND(COUNT(INDEX('SKU明细'!$H$9:$H$1592,MATCH("[13120,""B06-BGP-40.5""]",'SKU明细'!$AE$9:$AE$1592,0)))=1,COUNT(INDEX('SKU明细'!$G$9:$G$1592,MATCH("[13120,""B06-BGP-40.5""]",'SKU明细'!$AE$9:$AE$1592,0)))=1,SUM(INDEX('SKU明细'!$G$9:$G$1592,MATCH("[13120,""B06-BGP-40.5""]",'SKU明细'!$AE$9:$AE$1592,0)))&gt;0),SUM(INDEX('SKU明细'!$H$9:$H$1592,MATCH("[13120,""B06-BGP-40.5""]",'SKU明细'!$AE$9:$AE$1592,0)))/SUM(INDEX('SKU明细'!$G$9:$G$1592,MATCH("[13120,""B06-BGP-40.5""]",'SKU明细'!$AE$9:$AE$1592,0))),"待核")</x:f>
        <x:v>149.4915254237288</x:v>
      </x:c>
      <x:c r="P52" s="21" t="n">
        <x:f>IF(AND(COUNT(INDEX('SKU明细'!$H$9:$H$1592,MATCH("[13120,""B06-BGP-41""]",'SKU明细'!$AE$9:$AE$1592,0)))=1,COUNT(INDEX('SKU明细'!$G$9:$G$1592,MATCH("[13120,""B06-BGP-41""]",'SKU明细'!$AE$9:$AE$1592,0)))=1,SUM(INDEX('SKU明细'!$G$9:$G$1592,MATCH("[13120,""B06-BGP-41""]",'SKU明细'!$AE$9:$AE$1592,0)))&gt;0),SUM(INDEX('SKU明细'!$H$9:$H$1592,MATCH("[13120,""B06-BGP-41""]",'SKU明细'!$AE$9:$AE$1592,0)))/SUM(INDEX('SKU明细'!$G$9:$G$1592,MATCH("[13120,""B06-BGP-41""]",'SKU明细'!$AE$9:$AE$1592,0))),"待核")</x:f>
        <x:v>0</x:v>
      </x:c>
      <x:c r="Q52" s="21" t="str">
        <x:f>IF(AND(COUNT(INDEX('SKU明细'!$H$9:$H$1592,MATCH("[13120,""B06-BGP-41.5""]",'SKU明细'!$AE$9:$AE$1592,0)))=1,COUNT(INDEX('SKU明细'!$G$9:$G$1592,MATCH("[13120,""B06-BGP-41.5""]",'SKU明细'!$AE$9:$AE$1592,0)))=1,SUM(INDEX('SKU明细'!$G$9:$G$1592,MATCH("[13120,""B06-BGP-41.5""]",'SKU明细'!$AE$9:$AE$1592,0)))&gt;0),SUM(INDEX('SKU明细'!$H$9:$H$1592,MATCH("[13120,""B06-BGP-41.5""]",'SKU明细'!$AE$9:$AE$1592,0)))/SUM(INDEX('SKU明细'!$G$9:$G$1592,MATCH("[13120,""B06-BGP-41.5""]",'SKU明细'!$AE$9:$AE$1592,0))),"待核")</x:f>
        <x:v>待核</x:v>
      </x:c>
      <x:c r="R52" s="21" t="n">
        <x:f>IF(AND(COUNT(INDEX('SKU明细'!$H$9:$H$1592,MATCH("[13120,""B06-BGP-42-N""]",'SKU明细'!$AE$9:$AE$1592,0)))=1,COUNT(INDEX('SKU明细'!$G$9:$G$1592,MATCH("[13120,""B06-BGP-42-N""]",'SKU明细'!$AE$9:$AE$1592,0)))=1,SUM(INDEX('SKU明细'!$G$9:$G$1592,MATCH("[13120,""B06-BGP-42-N""]",'SKU明细'!$AE$9:$AE$1592,0)))&gt;0),SUM(INDEX('SKU明细'!$H$9:$H$1592,MATCH("[13120,""B06-BGP-42-N""]",'SKU明细'!$AE$9:$AE$1592,0)))/SUM(INDEX('SKU明细'!$G$9:$G$1592,MATCH("[13120,""B06-BGP-42-N""]",'SKU明细'!$AE$9:$AE$1592,0))),"待核")</x:f>
        <x:v>225.8964143426295</x:v>
      </x:c>
      <x:c r="S52" s="21" t="n">
        <x:f>IF(AND(COUNT(INDEX('SKU明细'!$H$9:$H$1592,MATCH("[13120,""B06-BGP-37.5""]",'SKU明细'!$AE$9:$AE$1592,0)),INDEX('SKU明细'!$H$9:$H$1592,MATCH("[13120,""B06-BGP-42-N""]",'SKU明细'!$AE$9:$AE$1592,0)),INDEX('SKU明细'!$H$9:$H$1592,MATCH("[13120,""B06-BGP-40.5""]",'SKU明细'!$AE$9:$AE$1592,0)),INDEX('SKU明细'!$H$9:$H$1592,MATCH("[13120,""B06-BGP-41""]",'SKU明细'!$AE$9:$AE$1592,0)),INDEX('SKU明细'!$H$9:$H$1592,MATCH("[13120,""B06-BGP-41.5""]",'SKU明细'!$AE$9:$AE$1592,0)),INDEX('SKU明细'!$H$9:$H$1592,MATCH("[13120,""B06-BGP-37-N""]",'SKU明细'!$AE$9:$AE$1592,0)),INDEX('SKU明细'!$H$9:$H$1592,MATCH("[13120,""B06-BGP-39.5""]",'SKU明细'!$AE$9:$AE$1592,0)),INDEX('SKU明细'!$H$9:$H$1592,MATCH("[13120,""B06-BGP-40-N""]",'SKU明细'!$AE$9:$AE$1592,0)),INDEX('SKU明细'!$H$9:$H$1592,MATCH("[13120,""B06-BGP-38-N""]",'SKU明细'!$AE$9:$AE$1592,0)),INDEX('SKU明细'!$H$9:$H$1592,MATCH("[13120,""B06-BGP-38.5""]",'SKU明细'!$AE$9:$AE$1592,0)),INDEX('SKU明细'!$H$9:$H$1592,MATCH("[13120,""B06-BGP-39-N""]",'SKU明细'!$AE$9:$AE$1592,0)))=11,COUNT(INDEX('SKU明细'!$G$9:$G$1592,MATCH("[13120,""B06-BGP-37.5""]",'SKU明细'!$AE$9:$AE$1592,0)),INDEX('SKU明细'!$G$9:$G$1592,MATCH("[13120,""B06-BGP-42-N""]",'SKU明细'!$AE$9:$AE$1592,0)),INDEX('SKU明细'!$G$9:$G$1592,MATCH("[13120,""B06-BGP-40.5""]",'SKU明细'!$AE$9:$AE$1592,0)),INDEX('SKU明细'!$G$9:$G$1592,MATCH("[13120,""B06-BGP-41""]",'SKU明细'!$AE$9:$AE$1592,0)),INDEX('SKU明细'!$G$9:$G$1592,MATCH("[13120,""B06-BGP-41.5""]",'SKU明细'!$AE$9:$AE$1592,0)),INDEX('SKU明细'!$G$9:$G$1592,MATCH("[13120,""B06-BGP-37-N""]",'SKU明细'!$AE$9:$AE$1592,0)),INDEX('SKU明细'!$G$9:$G$1592,MATCH("[13120,""B06-BGP-39.5""]",'SKU明细'!$AE$9:$AE$1592,0)),INDEX('SKU明细'!$G$9:$G$1592,MATCH("[13120,""B06-BGP-40-N""]",'SKU明细'!$AE$9:$AE$1592,0)),INDEX('SKU明细'!$G$9:$G$1592,MATCH("[13120,""B06-BGP-38-N""]",'SKU明细'!$AE$9:$AE$1592,0)),INDEX('SKU明细'!$G$9:$G$1592,MATCH("[13120,""B06-BGP-38.5""]",'SKU明细'!$AE$9:$AE$1592,0)),INDEX('SKU明细'!$G$9:$G$1592,MATCH("[13120,""B06-BGP-39-N""]",'SKU明细'!$AE$9:$AE$1592,0)))=11,SUM(INDEX('SKU明细'!$G$9:$G$1592,MATCH("[13120,""B06-BGP-37.5""]",'SKU明细'!$AE$9:$AE$1592,0)),INDEX('SKU明细'!$G$9:$G$1592,MATCH("[13120,""B06-BGP-42-N""]",'SKU明细'!$AE$9:$AE$1592,0)),INDEX('SKU明细'!$G$9:$G$1592,MATCH("[13120,""B06-BGP-40.5""]",'SKU明细'!$AE$9:$AE$1592,0)),INDEX('SKU明细'!$G$9:$G$1592,MATCH("[13120,""B06-BGP-41""]",'SKU明细'!$AE$9:$AE$1592,0)),INDEX('SKU明细'!$G$9:$G$1592,MATCH("[13120,""B06-BGP-41.5""]",'SKU明细'!$AE$9:$AE$1592,0)),INDEX('SKU明细'!$G$9:$G$1592,MATCH("[13120,""B06-BGP-37-N""]",'SKU明细'!$AE$9:$AE$1592,0)),INDEX('SKU明细'!$G$9:$G$1592,MATCH("[13120,""B06-BGP-39.5""]",'SKU明细'!$AE$9:$AE$1592,0)),INDEX('SKU明细'!$G$9:$G$1592,MATCH("[13120,""B06-BGP-40-N""]",'SKU明细'!$AE$9:$AE$1592,0)),INDEX('SKU明细'!$G$9:$G$1592,MATCH("[13120,""B06-BGP-38-N""]",'SKU明细'!$AE$9:$AE$1592,0)),INDEX('SKU明细'!$G$9:$G$1592,MATCH("[13120,""B06-BGP-38.5""]",'SKU明细'!$AE$9:$AE$1592,0)),INDEX('SKU明细'!$G$9:$G$1592,MATCH("[13120,""B06-BGP-39-N""]",'SKU明细'!$AE$9:$AE$1592,0)))&gt;0),SUM(INDEX('SKU明细'!$H$9:$H$1592,MATCH("[13120,""B06-BGP-37.5""]",'SKU明细'!$AE$9:$AE$1592,0)),INDEX('SKU明细'!$H$9:$H$1592,MATCH("[13120,""B06-BGP-42-N""]",'SKU明细'!$AE$9:$AE$1592,0)),INDEX('SKU明细'!$H$9:$H$1592,MATCH("[13120,""B06-BGP-40.5""]",'SKU明细'!$AE$9:$AE$1592,0)),INDEX('SKU明细'!$H$9:$H$1592,MATCH("[13120,""B06-BGP-41""]",'SKU明细'!$AE$9:$AE$1592,0)),INDEX('SKU明细'!$H$9:$H$1592,MATCH("[13120,""B06-BGP-41.5""]",'SKU明细'!$AE$9:$AE$1592,0)),INDEX('SKU明细'!$H$9:$H$1592,MATCH("[13120,""B06-BGP-37-N""]",'SKU明细'!$AE$9:$AE$1592,0)),INDEX('SKU明细'!$H$9:$H$1592,MATCH("[13120,""B06-BGP-39.5""]",'SKU明细'!$AE$9:$AE$1592,0)),INDEX('SKU明细'!$H$9:$H$1592,MATCH("[13120,""B06-BGP-40-N""]",'SKU明细'!$AE$9:$AE$1592,0)),INDEX('SKU明细'!$H$9:$H$1592,MATCH("[13120,""B06-BGP-38-N""]",'SKU明细'!$AE$9:$AE$1592,0)),INDEX('SKU明细'!$H$9:$H$1592,MATCH("[13120,""B06-BGP-38.5""]",'SKU明细'!$AE$9:$AE$1592,0)),INDEX('SKU明细'!$H$9:$H$1592,MATCH("[13120,""B06-BGP-39-N""]",'SKU明细'!$AE$9:$AE$1592,0)))/SUM(INDEX('SKU明细'!$G$9:$G$1592,MATCH("[13120,""B06-BGP-37.5""]",'SKU明细'!$AE$9:$AE$1592,0)),INDEX('SKU明细'!$G$9:$G$1592,MATCH("[13120,""B06-BGP-42-N""]",'SKU明细'!$AE$9:$AE$1592,0)),INDEX('SKU明细'!$G$9:$G$1592,MATCH("[13120,""B06-BGP-40.5""]",'SKU明细'!$AE$9:$AE$1592,0)),INDEX('SKU明细'!$G$9:$G$1592,MATCH("[13120,""B06-BGP-41""]",'SKU明细'!$AE$9:$AE$1592,0)),INDEX('SKU明细'!$G$9:$G$1592,MATCH("[13120,""B06-BGP-41.5""]",'SKU明细'!$AE$9:$AE$1592,0)),INDEX('SKU明细'!$G$9:$G$1592,MATCH("[13120,""B06-BGP-37-N""]",'SKU明细'!$AE$9:$AE$1592,0)),INDEX('SKU明细'!$G$9:$G$1592,MATCH("[13120,""B06-BGP-39.5""]",'SKU明细'!$AE$9:$AE$1592,0)),INDEX('SKU明细'!$G$9:$G$1592,MATCH("[13120,""B06-BGP-40-N""]",'SKU明细'!$AE$9:$AE$1592,0)),INDEX('SKU明细'!$G$9:$G$1592,MATCH("[13120,""B06-BGP-38-N""]",'SKU明细'!$AE$9:$AE$1592,0)),INDEX('SKU明细'!$G$9:$G$1592,MATCH("[13120,""B06-BGP-38.5""]",'SKU明细'!$AE$9:$AE$1592,0)),INDEX('SKU明细'!$G$9:$G$1592,MATCH("[13120,""B06-BGP-39-N""]",'SKU明细'!$AE$9:$AE$1592,0))),"待核")</x:f>
        <x:v>63.93508583690986</x:v>
      </x:c>
      <x:c r="T52" s="21" t="str">
        <x:f>IF(AND(COUNT(INDEX('SKU明细'!$I$9:$I$1592,MATCH("[13120,""B06-BGP-37.5""]",'SKU明细'!$AE$9:$AE$1592,0)),INDEX('SKU明细'!$I$9:$I$1592,MATCH("[13120,""B06-BGP-42-N""]",'SKU明细'!$AE$9:$AE$1592,0)),INDEX('SKU明细'!$I$9:$I$1592,MATCH("[13120,""B06-BGP-40.5""]",'SKU明细'!$AE$9:$AE$1592,0)),INDEX('SKU明细'!$I$9:$I$1592,MATCH("[13120,""B06-BGP-41""]",'SKU明细'!$AE$9:$AE$1592,0)),INDEX('SKU明细'!$I$9:$I$1592,MATCH("[13120,""B06-BGP-41.5""]",'SKU明细'!$AE$9:$AE$1592,0)),INDEX('SKU明细'!$I$9:$I$1592,MATCH("[13120,""B06-BGP-37-N""]",'SKU明细'!$AE$9:$AE$1592,0)),INDEX('SKU明细'!$I$9:$I$1592,MATCH("[13120,""B06-BGP-39.5""]",'SKU明细'!$AE$9:$AE$1592,0)),INDEX('SKU明细'!$I$9:$I$1592,MATCH("[13120,""B06-BGP-40-N""]",'SKU明细'!$AE$9:$AE$1592,0)),INDEX('SKU明细'!$I$9:$I$1592,MATCH("[13120,""B06-BGP-38-N""]",'SKU明细'!$AE$9:$AE$1592,0)),INDEX('SKU明细'!$I$9:$I$1592,MATCH("[13120,""B06-BGP-38.5""]",'SKU明细'!$AE$9:$AE$1592,0)),INDEX('SKU明细'!$I$9:$I$1592,MATCH("[13120,""B06-BGP-39-N""]",'SKU明细'!$AE$9:$AE$1592,0)))=11,COUNT(INDEX('SKU明细'!$AD$9:$AD$1592,MATCH("[13120,""B06-BGP-37.5""]",'SKU明细'!$AE$9:$AE$1592,0)),INDEX('SKU明细'!$AD$9:$AD$1592,MATCH("[13120,""B06-BGP-42-N""]",'SKU明细'!$AE$9:$AE$1592,0)),INDEX('SKU明细'!$AD$9:$AD$1592,MATCH("[13120,""B06-BGP-40.5""]",'SKU明细'!$AE$9:$AE$1592,0)),INDEX('SKU明细'!$AD$9:$AD$1592,MATCH("[13120,""B06-BGP-41""]",'SKU明细'!$AE$9:$AE$1592,0)),INDEX('SKU明细'!$AD$9:$AD$1592,MATCH("[13120,""B06-BGP-41.5""]",'SKU明细'!$AE$9:$AE$1592,0)),INDEX('SKU明细'!$AD$9:$AD$1592,MATCH("[13120,""B06-BGP-37-N""]",'SKU明细'!$AE$9:$AE$1592,0)),INDEX('SKU明细'!$AD$9:$AD$1592,MATCH("[13120,""B06-BGP-39.5""]",'SKU明细'!$AE$9:$AE$1592,0)),INDEX('SKU明细'!$AD$9:$AD$1592,MATCH("[13120,""B06-BGP-40-N""]",'SKU明细'!$AE$9:$AE$1592,0)),INDEX('SKU明细'!$AD$9:$AD$1592,MATCH("[13120,""B06-BGP-38-N""]",'SKU明细'!$AE$9:$AE$1592,0)),INDEX('SKU明细'!$AD$9:$AD$1592,MATCH("[13120,""B06-BGP-38.5""]",'SKU明细'!$AE$9:$AE$1592,0)),INDEX('SKU明细'!$AD$9:$AD$1592,MATCH("[13120,""B06-BGP-39-N""]",'SKU明细'!$AE$9:$AE$1592,0)))=11,SUM(INDEX('SKU明细'!$AD$9:$AD$1592,MATCH("[13120,""B06-BGP-37.5""]",'SKU明细'!$AE$9:$AE$1592,0)),INDEX('SKU明细'!$AD$9:$AD$1592,MATCH("[13120,""B06-BGP-42-N""]",'SKU明细'!$AE$9:$AE$1592,0)),INDEX('SKU明细'!$AD$9:$AD$1592,MATCH("[13120,""B06-BGP-40.5""]",'SKU明细'!$AE$9:$AE$1592,0)),INDEX('SKU明细'!$AD$9:$AD$1592,MATCH("[13120,""B06-BGP-41""]",'SKU明细'!$AE$9:$AE$1592,0)),INDEX('SKU明细'!$AD$9:$AD$1592,MATCH("[13120,""B06-BGP-41.5""]",'SKU明细'!$AE$9:$AE$1592,0)),INDEX('SKU明细'!$AD$9:$AD$1592,MATCH("[13120,""B06-BGP-37-N""]",'SKU明细'!$AE$9:$AE$1592,0)),INDEX('SKU明细'!$AD$9:$AD$1592,MATCH("[13120,""B06-BGP-39.5""]",'SKU明细'!$AE$9:$AE$1592,0)),INDEX('SKU明细'!$AD$9:$AD$1592,MATCH("[13120,""B06-BGP-40-N""]",'SKU明细'!$AE$9:$AE$1592,0)),INDEX('SKU明细'!$AD$9:$AD$1592,MATCH("[13120,""B06-BGP-38-N""]",'SKU明细'!$AE$9:$AE$1592,0)),INDEX('SKU明细'!$AD$9:$AD$1592,MATCH("[13120,""B06-BGP-38.5""]",'SKU明细'!$AE$9:$AE$1592,0)),INDEX('SKU明细'!$AD$9:$AD$1592,MATCH("[13120,""B06-BGP-39-N""]",'SKU明细'!$AE$9:$AE$1592,0)))&gt;0),SUM(INDEX('SKU明细'!$I$9:$I$1592,MATCH("[13120,""B06-BGP-37.5""]",'SKU明细'!$AE$9:$AE$1592,0)),INDEX('SKU明细'!$I$9:$I$1592,MATCH("[13120,""B06-BGP-42-N""]",'SKU明细'!$AE$9:$AE$1592,0)),INDEX('SKU明细'!$I$9:$I$1592,MATCH("[13120,""B06-BGP-40.5""]",'SKU明细'!$AE$9:$AE$1592,0)),INDEX('SKU明细'!$I$9:$I$1592,MATCH("[13120,""B06-BGP-41""]",'SKU明细'!$AE$9:$AE$1592,0)),INDEX('SKU明细'!$I$9:$I$1592,MATCH("[13120,""B06-BGP-41.5""]",'SKU明细'!$AE$9:$AE$1592,0)),INDEX('SKU明细'!$I$9:$I$1592,MATCH("[13120,""B06-BGP-37-N""]",'SKU明细'!$AE$9:$AE$1592,0)),INDEX('SKU明细'!$I$9:$I$1592,MATCH("[13120,""B06-BGP-39.5""]",'SKU明细'!$AE$9:$AE$1592,0)),INDEX('SKU明细'!$I$9:$I$1592,MATCH("[13120,""B06-BGP-40-N""]",'SKU明细'!$AE$9:$AE$1592,0)),INDEX('SKU明细'!$I$9:$I$1592,MATCH("[13120,""B06-BGP-38-N""]",'SKU明细'!$AE$9:$AE$1592,0)),INDEX('SKU明细'!$I$9:$I$1592,MATCH("[13120,""B06-BGP-38.5""]",'SKU明细'!$AE$9:$AE$1592,0)),INDEX('SKU明细'!$I$9:$I$1592,MATCH("[13120,""B06-BGP-39-N""]",'SKU明细'!$AE$9:$AE$1592,0)))/SUM(INDEX('SKU明细'!$AD$9:$AD$1592,MATCH("[13120,""B06-BGP-37.5""]",'SKU明细'!$AE$9:$AE$1592,0)),INDEX('SKU明细'!$AD$9:$AD$1592,MATCH("[13120,""B06-BGP-42-N""]",'SKU明细'!$AE$9:$AE$1592,0)),INDEX('SKU明细'!$AD$9:$AD$1592,MATCH("[13120,""B06-BGP-40.5""]",'SKU明细'!$AE$9:$AE$1592,0)),INDEX('SKU明细'!$AD$9:$AD$1592,MATCH("[13120,""B06-BGP-41""]",'SKU明细'!$AE$9:$AE$1592,0)),INDEX('SKU明细'!$AD$9:$AD$1592,MATCH("[13120,""B06-BGP-41.5""]",'SKU明细'!$AE$9:$AE$1592,0)),INDEX('SKU明细'!$AD$9:$AD$1592,MATCH("[13120,""B06-BGP-37-N""]",'SKU明细'!$AE$9:$AE$1592,0)),INDEX('SKU明细'!$AD$9:$AD$1592,MATCH("[13120,""B06-BGP-39.5""]",'SKU明细'!$AE$9:$AE$1592,0)),INDEX('SKU明细'!$AD$9:$AD$1592,MATCH("[13120,""B06-BGP-40-N""]",'SKU明细'!$AE$9:$AE$1592,0)),INDEX('SKU明细'!$AD$9:$AD$1592,MATCH("[13120,""B06-BGP-38-N""]",'SKU明细'!$AE$9:$AE$1592,0)),INDEX('SKU明细'!$AD$9:$AD$1592,MATCH("[13120,""B06-BGP-38.5""]",'SKU明细'!$AE$9:$AE$1592,0)),INDEX('SKU明细'!$AD$9:$AD$1592,MATCH("[13120,""B06-BGP-39-N""]",'SKU明细'!$AE$9:$AE$1592,0))),"待核")</x:f>
        <x:v>待核</x:v>
      </x:c>
      <x:c r="U52" s="21" t="str">
        <x:f>IF(COUNT(S52:T52)=2,S52-T52,"待核")</x:f>
        <x:v>待核</x:v>
      </x:c>
      <x:c r="V52" s="22" t="str">
        <x:f>IF(AND(ISNUMBER(U52),ISNUMBER(T52),T52&lt;&gt;0),U52/T52,"")</x:f>
      </x:c>
      <x:c r="W52" s="23" t="n">
        <x:f>IF(COUNT(INDEX('SKU明细'!$H$9:$H$1592,MATCH("[13120,""B06-BGP-37.5""]",'SKU明细'!$AE$9:$AE$1592,0)),INDEX('SKU明细'!$H$9:$H$1592,MATCH("[13120,""B06-BGP-42-N""]",'SKU明细'!$AE$9:$AE$1592,0)),INDEX('SKU明细'!$H$9:$H$1592,MATCH("[13120,""B06-BGP-40.5""]",'SKU明细'!$AE$9:$AE$1592,0)),INDEX('SKU明细'!$H$9:$H$1592,MATCH("[13120,""B06-BGP-41""]",'SKU明细'!$AE$9:$AE$1592,0)),INDEX('SKU明细'!$H$9:$H$1592,MATCH("[13120,""B06-BGP-41.5""]",'SKU明细'!$AE$9:$AE$1592,0)),INDEX('SKU明细'!$H$9:$H$1592,MATCH("[13120,""B06-BGP-37-N""]",'SKU明细'!$AE$9:$AE$1592,0)),INDEX('SKU明细'!$H$9:$H$1592,MATCH("[13120,""B06-BGP-39.5""]",'SKU明细'!$AE$9:$AE$1592,0)),INDEX('SKU明细'!$H$9:$H$1592,MATCH("[13120,""B06-BGP-40-N""]",'SKU明细'!$AE$9:$AE$1592,0)),INDEX('SKU明细'!$H$9:$H$1592,MATCH("[13120,""B06-BGP-38-N""]",'SKU明细'!$AE$9:$AE$1592,0)),INDEX('SKU明细'!$H$9:$H$1592,MATCH("[13120,""B06-BGP-38.5""]",'SKU明细'!$AE$9:$AE$1592,0)),INDEX('SKU明细'!$H$9:$H$1592,MATCH("[13120,""B06-BGP-39-N""]",'SKU明细'!$AE$9:$AE$1592,0)))=0,"待核",SUM(INDEX('SKU明细'!$H$9:$H$1592,MATCH("[13120,""B06-BGP-37.5""]",'SKU明细'!$AE$9:$AE$1592,0)),INDEX('SKU明细'!$H$9:$H$1592,MATCH("[13120,""B06-BGP-42-N""]",'SKU明细'!$AE$9:$AE$1592,0)),INDEX('SKU明细'!$H$9:$H$1592,MATCH("[13120,""B06-BGP-40.5""]",'SKU明细'!$AE$9:$AE$1592,0)),INDEX('SKU明细'!$H$9:$H$1592,MATCH("[13120,""B06-BGP-41""]",'SKU明细'!$AE$9:$AE$1592,0)),INDEX('SKU明细'!$H$9:$H$1592,MATCH("[13120,""B06-BGP-41.5""]",'SKU明细'!$AE$9:$AE$1592,0)),INDEX('SKU明细'!$H$9:$H$1592,MATCH("[13120,""B06-BGP-37-N""]",'SKU明细'!$AE$9:$AE$1592,0)),INDEX('SKU明细'!$H$9:$H$1592,MATCH("[13120,""B06-BGP-39.5""]",'SKU明细'!$AE$9:$AE$1592,0)),INDEX('SKU明细'!$H$9:$H$1592,MATCH("[13120,""B06-BGP-40-N""]",'SKU明细'!$AE$9:$AE$1592,0)),INDEX('SKU明细'!$H$9:$H$1592,MATCH("[13120,""B06-BGP-38-N""]",'SKU明细'!$AE$9:$AE$1592,0)),INDEX('SKU明细'!$H$9:$H$1592,MATCH("[13120,""B06-BGP-38.5""]",'SKU明细'!$AE$9:$AE$1592,0)),INDEX('SKU明细'!$H$9:$H$1592,MATCH("[13120,""B06-BGP-39-N""]",'SKU明细'!$AE$9:$AE$1592,0))))</x:f>
        <x:v>227</x:v>
      </x:c>
      <x:c r="X52" s="24" t="str">
        <x:f>IF(COUNTIFS('SKU明细'!$AH$9:$AH$1592,"[""B06"",""B06-BGP"",""BGP"",""米色PU""]",'SKU明细'!$E$9:$E$1592,"促销")&gt;0,"促销 ","")&amp;IF(COUNTIFS('SKU明细'!$AH$9:$AH$1592,"[""B06"",""B06-BGP"",""BGP"",""米色PU""]",'SKU明细'!$E$9:$E$1592,"红线促销")&gt;0,"红线促销 ","")&amp;IF(COUNTIFS('SKU明细'!$AH$9:$AH$1592,"[""B06"",""B06-BGP"",""BGP"",""米色PU""]",'SKU明细'!$E$9:$E$1592,"考虑清仓")&gt;0,"考虑清仓 ","")&amp;IF(COUNTIFS('SKU明细'!$AH$9:$AH$1592,"[""B06"",""B06-BGP"",""BGP"",""米色PU""]",'SKU明细'!$E$9:$E$1592,"断货")&gt;0,"断货 ","")&amp;IF(COUNTIFS('SKU明细'!$AH$9:$AH$1592,"[""B06"",""B06-BGP"",""BGP"",""米色PU""]",'SKU明细'!$E$9:$E$1592,"零日销待复核")&gt;0,"零日销待复核 ","")&amp;IF(COUNTIFS('SKU明细'!$AH$9:$AH$1592,"[""B06"",""B06-BGP"",""BGP"",""米色PU""]",'SKU明细'!$E$9:$E$1592,"数据待核")&gt;0,"数据待核 ","")&amp;IF(COUNTIFS('SKU明细'!$AH$9:$AH$1592,"[""B06"",""B06-BGP"",""BGP"",""米色PU""]",'SKU明细'!$E$9:$E$1592,"正常库存")&gt;0,"正常库存 ","")&amp;IF(COUNTIFS('SKU明细'!$AH$9:$AH$1592,"[""B06"",""B06-BGP"",""BGP"",""米色PU""]",'SKU明细'!$E$9:$E$1592,"补货提醒")&gt;0,"补货提醒 ","")</x:f>
        <x:v>促销 红线促销 断货 正常库存 补货提醒 </x:v>
      </x:c>
      <x:c r="Y52" s="24" t="str">
        <x:f>IF(NOT(ISNUMBER(U52)),"覆盖待核／无可比基准","完整可比")</x:f>
        <x:v>覆盖待核／无可比基准</x:v>
      </x:c>
      <x:c r="Z52" s="24" t="str">
        <x:v>在售</x:v>
      </x:c>
      <x:c r="AA52" s="24" t="n">
        <x:f>IF(SUMIFS('SKU明细'!$AF$9:$AF$1592,'SKU明细'!$D$9:$D$1592,A52,'SKU明细'!$Z$9:$Z$1592,"&lt;&gt;移出")=0,"待核",SUMIFS('SKU明细'!$H$9:$H$1592,'SKU明细'!$D$9:$D$1592,A52,'SKU明细'!$Z$9:$Z$1592,"&lt;&gt;移出"))</x:f>
        <x:v>2095</x:v>
      </x:c>
    </x:row>
    <x:row r="53" ht="54" customHeight="1">
      <x:c r="A53" s="20" t="str">
        <x:v>B06</x:v>
      </x:c>
      <x:c r="B53" s="20" t="str">
        <x:v>艾年</x:v>
      </x:c>
      <x:c r="C53" s="20" t="str">
        <x:v>黑色羊京绒</x:v>
      </x:c>
      <x:c r="D53" s="20" t="str">
        <x:v>BK</x:v>
      </x:c>
      <x:c r="E53" s="20" t="str">
        <x:v>B06-BK</x:v>
      </x:c>
      <x:c r="F53" s="20"/>
      <x:c r="G53" s="21" t="str">
        <x:f>"—"</x:f>
        <x:v>—</x:v>
      </x:c>
      <x:c r="H53" s="21" t="n">
        <x:f>IF(AND(COUNT(INDEX('SKU明细'!$H$9:$H$1592,MATCH("[13120,""B06-BK-37-new""]",'SKU明细'!$AE$9:$AE$1592,0)))=1,COUNT(INDEX('SKU明细'!$G$9:$G$1592,MATCH("[13120,""B06-BK-37-new""]",'SKU明细'!$AE$9:$AE$1592,0)))=1,SUM(INDEX('SKU明细'!$G$9:$G$1592,MATCH("[13120,""B06-BK-37-new""]",'SKU明细'!$AE$9:$AE$1592,0)))&gt;0),SUM(INDEX('SKU明细'!$H$9:$H$1592,MATCH("[13120,""B06-BK-37-new""]",'SKU明细'!$AE$9:$AE$1592,0)))/SUM(INDEX('SKU明细'!$G$9:$G$1592,MATCH("[13120,""B06-BK-37-new""]",'SKU明细'!$AE$9:$AE$1592,0))),"待核")</x:f>
        <x:v>34.898213543830494</x:v>
      </x:c>
      <x:c r="I53" s="21" t="n">
        <x:f>IF(AND(COUNT(INDEX('SKU明细'!$H$9:$H$1592,MATCH("[13120,""B06-BK-37.5""]",'SKU明细'!$AE$9:$AE$1592,0)))=1,COUNT(INDEX('SKU明细'!$G$9:$G$1592,MATCH("[13120,""B06-BK-37.5""]",'SKU明细'!$AE$9:$AE$1592,0)))=1,SUM(INDEX('SKU明细'!$G$9:$G$1592,MATCH("[13120,""B06-BK-37.5""]",'SKU明细'!$AE$9:$AE$1592,0)))&gt;0),SUM(INDEX('SKU明细'!$H$9:$H$1592,MATCH("[13120,""B06-BK-37.5""]",'SKU明细'!$AE$9:$AE$1592,0)))/SUM(INDEX('SKU明细'!$G$9:$G$1592,MATCH("[13120,""B06-BK-37.5""]",'SKU明细'!$AE$9:$AE$1592,0))),"待核")</x:f>
        <x:v>68.78198567041966</x:v>
      </x:c>
      <x:c r="J53" s="21" t="n">
        <x:f>IF(AND(COUNT(INDEX('SKU明细'!$H$9:$H$1592,MATCH("[13120,""B06-BK-38""]",'SKU明细'!$AE$9:$AE$1592,0)))=1,COUNT(INDEX('SKU明细'!$G$9:$G$1592,MATCH("[13120,""B06-BK-38""]",'SKU明细'!$AE$9:$AE$1592,0)))=1,SUM(INDEX('SKU明细'!$G$9:$G$1592,MATCH("[13120,""B06-BK-38""]",'SKU明细'!$AE$9:$AE$1592,0)))&gt;0),SUM(INDEX('SKU明细'!$H$9:$H$1592,MATCH("[13120,""B06-BK-38""]",'SKU明细'!$AE$9:$AE$1592,0)))/SUM(INDEX('SKU明细'!$G$9:$G$1592,MATCH("[13120,""B06-BK-38""]",'SKU明细'!$AE$9:$AE$1592,0))),"待核")</x:f>
        <x:v>18.982552028589446</x:v>
      </x:c>
      <x:c r="K53" s="21" t="n">
        <x:f>IF(AND(COUNT(INDEX('SKU明细'!$H$9:$H$1592,MATCH("[13120,""B06-BK-38.5""]",'SKU明细'!$AE$9:$AE$1592,0)))=1,COUNT(INDEX('SKU明细'!$G$9:$G$1592,MATCH("[13120,""B06-BK-38.5""]",'SKU明细'!$AE$9:$AE$1592,0)))=1,SUM(INDEX('SKU明细'!$G$9:$G$1592,MATCH("[13120,""B06-BK-38.5""]",'SKU明细'!$AE$9:$AE$1592,0)))&gt;0),SUM(INDEX('SKU明细'!$H$9:$H$1592,MATCH("[13120,""B06-BK-38.5""]",'SKU明细'!$AE$9:$AE$1592,0)))/SUM(INDEX('SKU明细'!$G$9:$G$1592,MATCH("[13120,""B06-BK-38.5""]",'SKU明细'!$AE$9:$AE$1592,0))),"待核")</x:f>
        <x:v>47.700504767246215</x:v>
      </x:c>
      <x:c r="L53" s="21" t="n">
        <x:f>IF(AND(COUNT(INDEX('SKU明细'!$H$9:$H$1592,MATCH("[13120,""B06-BK-39-NEW""]",'SKU明细'!$AE$9:$AE$1592,0)))=1,COUNT(INDEX('SKU明细'!$G$9:$G$1592,MATCH("[13120,""B06-BK-39-NEW""]",'SKU明细'!$AE$9:$AE$1592,0)))=1,SUM(INDEX('SKU明细'!$G$9:$G$1592,MATCH("[13120,""B06-BK-39-NEW""]",'SKU明细'!$AE$9:$AE$1592,0)))&gt;0),SUM(INDEX('SKU明细'!$H$9:$H$1592,MATCH("[13120,""B06-BK-39-NEW""]",'SKU明细'!$AE$9:$AE$1592,0)))/SUM(INDEX('SKU明细'!$G$9:$G$1592,MATCH("[13120,""B06-BK-39-NEW""]",'SKU明细'!$AE$9:$AE$1592,0))),"待核")</x:f>
        <x:v>8.4501179408908</x:v>
      </x:c>
      <x:c r="M53" s="21" t="n">
        <x:f>IF(AND(COUNT(INDEX('SKU明细'!$H$9:$H$1592,MATCH("[13120,""B06-BK-39.5""]",'SKU明细'!$AE$9:$AE$1592,0)))=1,COUNT(INDEX('SKU明细'!$G$9:$G$1592,MATCH("[13120,""B06-BK-39.5""]",'SKU明细'!$AE$9:$AE$1592,0)))=1,SUM(INDEX('SKU明细'!$G$9:$G$1592,MATCH("[13120,""B06-BK-39.5""]",'SKU明细'!$AE$9:$AE$1592,0)))&gt;0),SUM(INDEX('SKU明细'!$H$9:$H$1592,MATCH("[13120,""B06-BK-39.5""]",'SKU明细'!$AE$9:$AE$1592,0)))/SUM(INDEX('SKU明细'!$G$9:$G$1592,MATCH("[13120,""B06-BK-39.5""]",'SKU明细'!$AE$9:$AE$1592,0))),"待核")</x:f>
        <x:v>7.491550882463388</x:v>
      </x:c>
      <x:c r="N53" s="21" t="n">
        <x:f>IF(AND(COUNT(INDEX('SKU明细'!$H$9:$H$1592,MATCH("[13120,""B06-BK-40""]",'SKU明细'!$AE$9:$AE$1592,0)))=1,COUNT(INDEX('SKU明细'!$G$9:$G$1592,MATCH("[13120,""B06-BK-40""]",'SKU明细'!$AE$9:$AE$1592,0)))=1,SUM(INDEX('SKU明细'!$G$9:$G$1592,MATCH("[13120,""B06-BK-40""]",'SKU明细'!$AE$9:$AE$1592,0)))&gt;0),SUM(INDEX('SKU明细'!$H$9:$H$1592,MATCH("[13120,""B06-BK-40""]",'SKU明细'!$AE$9:$AE$1592,0)))/SUM(INDEX('SKU明细'!$G$9:$G$1592,MATCH("[13120,""B06-BK-40""]",'SKU明细'!$AE$9:$AE$1592,0))),"待核")</x:f>
        <x:v>21.108114734003433</x:v>
      </x:c>
      <x:c r="O53" s="21" t="n">
        <x:f>IF(AND(COUNT(INDEX('SKU明细'!$H$9:$H$1592,MATCH("[13120,""B06-BK-40.5""]",'SKU明细'!$AE$9:$AE$1592,0)))=1,COUNT(INDEX('SKU明细'!$G$9:$G$1592,MATCH("[13120,""B06-BK-40.5""]",'SKU明细'!$AE$9:$AE$1592,0)))=1,SUM(INDEX('SKU明细'!$G$9:$G$1592,MATCH("[13120,""B06-BK-40.5""]",'SKU明细'!$AE$9:$AE$1592,0)))&gt;0),SUM(INDEX('SKU明细'!$H$9:$H$1592,MATCH("[13120,""B06-BK-40.5""]",'SKU明细'!$AE$9:$AE$1592,0)))/SUM(INDEX('SKU明细'!$G$9:$G$1592,MATCH("[13120,""B06-BK-40.5""]",'SKU明细'!$AE$9:$AE$1592,0))),"待核")</x:f>
        <x:v>13.588568347263415</x:v>
      </x:c>
      <x:c r="P53" s="21" t="n">
        <x:f>IF(AND(COUNT(INDEX('SKU明细'!$H$9:$H$1592,MATCH("[13120,""B06-BK-41""]",'SKU明细'!$AE$9:$AE$1592,0)))=1,COUNT(INDEX('SKU明细'!$G$9:$G$1592,MATCH("[13120,""B06-BK-41""]",'SKU明细'!$AE$9:$AE$1592,0)))=1,SUM(INDEX('SKU明细'!$G$9:$G$1592,MATCH("[13120,""B06-BK-41""]",'SKU明细'!$AE$9:$AE$1592,0)))&gt;0),SUM(INDEX('SKU明细'!$H$9:$H$1592,MATCH("[13120,""B06-BK-41""]",'SKU明细'!$AE$9:$AE$1592,0)))/SUM(INDEX('SKU明细'!$G$9:$G$1592,MATCH("[13120,""B06-BK-41""]",'SKU明细'!$AE$9:$AE$1592,0))),"待核")</x:f>
        <x:v>28.668941979522184</x:v>
      </x:c>
      <x:c r="Q53" s="21" t="n">
        <x:f>IF(AND(COUNT(INDEX('SKU明细'!$H$9:$H$1592,MATCH("[13120,""B06-BK-41.5""]",'SKU明细'!$AE$9:$AE$1592,0)))=1,COUNT(INDEX('SKU明细'!$G$9:$G$1592,MATCH("[13120,""B06-BK-41.5""]",'SKU明细'!$AE$9:$AE$1592,0)))=1,SUM(INDEX('SKU明细'!$G$9:$G$1592,MATCH("[13120,""B06-BK-41.5""]",'SKU明细'!$AE$9:$AE$1592,0)))&gt;0),SUM(INDEX('SKU明细'!$H$9:$H$1592,MATCH("[13120,""B06-BK-41.5""]",'SKU明细'!$AE$9:$AE$1592,0)))/SUM(INDEX('SKU明细'!$G$9:$G$1592,MATCH("[13120,""B06-BK-41.5""]",'SKU明细'!$AE$9:$AE$1592,0))),"待核")</x:f>
        <x:v>0</x:v>
      </x:c>
      <x:c r="R53" s="21" t="str">
        <x:f>"—"</x:f>
        <x:v>—</x:v>
      </x:c>
      <x:c r="S53" s="21" t="n">
        <x:f>IF(AND(COUNT(INDEX('SKU明细'!$H$9:$H$1592,MATCH("[13120,""B06-BK-41.5""]",'SKU明细'!$AE$9:$AE$1592,0)),INDEX('SKU明细'!$H$9:$H$1592,MATCH("[13120,""B06-BK-37.5""]",'SKU明细'!$AE$9:$AE$1592,0)),INDEX('SKU明细'!$H$9:$H$1592,MATCH("[13120,""B06-BK-37-new""]",'SKU明细'!$AE$9:$AE$1592,0)),INDEX('SKU明细'!$H$9:$H$1592,MATCH("[13120,""B06-BK-38""]",'SKU明细'!$AE$9:$AE$1592,0)),INDEX('SKU明细'!$H$9:$H$1592,MATCH("[13120,""B06-BK-38.5""]",'SKU明细'!$AE$9:$AE$1592,0)),INDEX('SKU明细'!$H$9:$H$1592,MATCH("[13120,""B06-BK-39-NEW""]",'SKU明细'!$AE$9:$AE$1592,0)),INDEX('SKU明细'!$H$9:$H$1592,MATCH("[13120,""B06-BK-39.5""]",'SKU明细'!$AE$9:$AE$1592,0)),INDEX('SKU明细'!$H$9:$H$1592,MATCH("[13120,""B06-BK-40""]",'SKU明细'!$AE$9:$AE$1592,0)),INDEX('SKU明细'!$H$9:$H$1592,MATCH("[13120,""B06-BK-40.5""]",'SKU明细'!$AE$9:$AE$1592,0)),INDEX('SKU明细'!$H$9:$H$1592,MATCH("[13120,""B06-BK-41""]",'SKU明细'!$AE$9:$AE$1592,0)))=10,COUNT(INDEX('SKU明细'!$G$9:$G$1592,MATCH("[13120,""B06-BK-41.5""]",'SKU明细'!$AE$9:$AE$1592,0)),INDEX('SKU明细'!$G$9:$G$1592,MATCH("[13120,""B06-BK-37.5""]",'SKU明细'!$AE$9:$AE$1592,0)),INDEX('SKU明细'!$G$9:$G$1592,MATCH("[13120,""B06-BK-37-new""]",'SKU明细'!$AE$9:$AE$1592,0)),INDEX('SKU明细'!$G$9:$G$1592,MATCH("[13120,""B06-BK-38""]",'SKU明细'!$AE$9:$AE$1592,0)),INDEX('SKU明细'!$G$9:$G$1592,MATCH("[13120,""B06-BK-38.5""]",'SKU明细'!$AE$9:$AE$1592,0)),INDEX('SKU明细'!$G$9:$G$1592,MATCH("[13120,""B06-BK-39-NEW""]",'SKU明细'!$AE$9:$AE$1592,0)),INDEX('SKU明细'!$G$9:$G$1592,MATCH("[13120,""B06-BK-39.5""]",'SKU明细'!$AE$9:$AE$1592,0)),INDEX('SKU明细'!$G$9:$G$1592,MATCH("[13120,""B06-BK-40""]",'SKU明细'!$AE$9:$AE$1592,0)),INDEX('SKU明细'!$G$9:$G$1592,MATCH("[13120,""B06-BK-40.5""]",'SKU明细'!$AE$9:$AE$1592,0)),INDEX('SKU明细'!$G$9:$G$1592,MATCH("[13120,""B06-BK-41""]",'SKU明细'!$AE$9:$AE$1592,0)))=10,SUM(INDEX('SKU明细'!$G$9:$G$1592,MATCH("[13120,""B06-BK-41.5""]",'SKU明细'!$AE$9:$AE$1592,0)),INDEX('SKU明细'!$G$9:$G$1592,MATCH("[13120,""B06-BK-37.5""]",'SKU明细'!$AE$9:$AE$1592,0)),INDEX('SKU明细'!$G$9:$G$1592,MATCH("[13120,""B06-BK-37-new""]",'SKU明细'!$AE$9:$AE$1592,0)),INDEX('SKU明细'!$G$9:$G$1592,MATCH("[13120,""B06-BK-38""]",'SKU明细'!$AE$9:$AE$1592,0)),INDEX('SKU明细'!$G$9:$G$1592,MATCH("[13120,""B06-BK-38.5""]",'SKU明细'!$AE$9:$AE$1592,0)),INDEX('SKU明细'!$G$9:$G$1592,MATCH("[13120,""B06-BK-39-NEW""]",'SKU明细'!$AE$9:$AE$1592,0)),INDEX('SKU明细'!$G$9:$G$1592,MATCH("[13120,""B06-BK-39.5""]",'SKU明细'!$AE$9:$AE$1592,0)),INDEX('SKU明细'!$G$9:$G$1592,MATCH("[13120,""B06-BK-40""]",'SKU明细'!$AE$9:$AE$1592,0)),INDEX('SKU明细'!$G$9:$G$1592,MATCH("[13120,""B06-BK-40.5""]",'SKU明细'!$AE$9:$AE$1592,0)),INDEX('SKU明细'!$G$9:$G$1592,MATCH("[13120,""B06-BK-41""]",'SKU明细'!$AE$9:$AE$1592,0)))&gt;0),SUM(INDEX('SKU明细'!$H$9:$H$1592,MATCH("[13120,""B06-BK-41.5""]",'SKU明细'!$AE$9:$AE$1592,0)),INDEX('SKU明细'!$H$9:$H$1592,MATCH("[13120,""B06-BK-37.5""]",'SKU明细'!$AE$9:$AE$1592,0)),INDEX('SKU明细'!$H$9:$H$1592,MATCH("[13120,""B06-BK-37-new""]",'SKU明细'!$AE$9:$AE$1592,0)),INDEX('SKU明细'!$H$9:$H$1592,MATCH("[13120,""B06-BK-38""]",'SKU明细'!$AE$9:$AE$1592,0)),INDEX('SKU明细'!$H$9:$H$1592,MATCH("[13120,""B06-BK-38.5""]",'SKU明细'!$AE$9:$AE$1592,0)),INDEX('SKU明细'!$H$9:$H$1592,MATCH("[13120,""B06-BK-39-NEW""]",'SKU明细'!$AE$9:$AE$1592,0)),INDEX('SKU明细'!$H$9:$H$1592,MATCH("[13120,""B06-BK-39.5""]",'SKU明细'!$AE$9:$AE$1592,0)),INDEX('SKU明细'!$H$9:$H$1592,MATCH("[13120,""B06-BK-40""]",'SKU明细'!$AE$9:$AE$1592,0)),INDEX('SKU明细'!$H$9:$H$1592,MATCH("[13120,""B06-BK-40.5""]",'SKU明细'!$AE$9:$AE$1592,0)),INDEX('SKU明细'!$H$9:$H$1592,MATCH("[13120,""B06-BK-41""]",'SKU明细'!$AE$9:$AE$1592,0)))/SUM(INDEX('SKU明细'!$G$9:$G$1592,MATCH("[13120,""B06-BK-41.5""]",'SKU明细'!$AE$9:$AE$1592,0)),INDEX('SKU明细'!$G$9:$G$1592,MATCH("[13120,""B06-BK-37.5""]",'SKU明细'!$AE$9:$AE$1592,0)),INDEX('SKU明细'!$G$9:$G$1592,MATCH("[13120,""B06-BK-37-new""]",'SKU明细'!$AE$9:$AE$1592,0)),INDEX('SKU明细'!$G$9:$G$1592,MATCH("[13120,""B06-BK-38""]",'SKU明细'!$AE$9:$AE$1592,0)),INDEX('SKU明细'!$G$9:$G$1592,MATCH("[13120,""B06-BK-38.5""]",'SKU明细'!$AE$9:$AE$1592,0)),INDEX('SKU明细'!$G$9:$G$1592,MATCH("[13120,""B06-BK-39-NEW""]",'SKU明细'!$AE$9:$AE$1592,0)),INDEX('SKU明细'!$G$9:$G$1592,MATCH("[13120,""B06-BK-39.5""]",'SKU明细'!$AE$9:$AE$1592,0)),INDEX('SKU明细'!$G$9:$G$1592,MATCH("[13120,""B06-BK-40""]",'SKU明细'!$AE$9:$AE$1592,0)),INDEX('SKU明细'!$G$9:$G$1592,MATCH("[13120,""B06-BK-40.5""]",'SKU明细'!$AE$9:$AE$1592,0)),INDEX('SKU明细'!$G$9:$G$1592,MATCH("[13120,""B06-BK-41""]",'SKU明细'!$AE$9:$AE$1592,0))),"待核")</x:f>
        <x:v>21.72875807928098</x:v>
      </x:c>
      <x:c r="T53" s="21" t="n">
        <x:f>IF(AND(COUNT(INDEX('SKU明细'!$I$9:$I$1592,MATCH("[13120,""B06-BK-41.5""]",'SKU明细'!$AE$9:$AE$1592,0)),INDEX('SKU明细'!$I$9:$I$1592,MATCH("[13120,""B06-BK-37.5""]",'SKU明细'!$AE$9:$AE$1592,0)),INDEX('SKU明细'!$I$9:$I$1592,MATCH("[13120,""B06-BK-37-new""]",'SKU明细'!$AE$9:$AE$1592,0)),INDEX('SKU明细'!$I$9:$I$1592,MATCH("[13120,""B06-BK-38""]",'SKU明细'!$AE$9:$AE$1592,0)),INDEX('SKU明细'!$I$9:$I$1592,MATCH("[13120,""B06-BK-38.5""]",'SKU明细'!$AE$9:$AE$1592,0)),INDEX('SKU明细'!$I$9:$I$1592,MATCH("[13120,""B06-BK-39-NEW""]",'SKU明细'!$AE$9:$AE$1592,0)),INDEX('SKU明细'!$I$9:$I$1592,MATCH("[13120,""B06-BK-39.5""]",'SKU明细'!$AE$9:$AE$1592,0)),INDEX('SKU明细'!$I$9:$I$1592,MATCH("[13120,""B06-BK-40""]",'SKU明细'!$AE$9:$AE$1592,0)),INDEX('SKU明细'!$I$9:$I$1592,MATCH("[13120,""B06-BK-40.5""]",'SKU明细'!$AE$9:$AE$1592,0)),INDEX('SKU明细'!$I$9:$I$1592,MATCH("[13120,""B06-BK-41""]",'SKU明细'!$AE$9:$AE$1592,0)))=10,COUNT(INDEX('SKU明细'!$AD$9:$AD$1592,MATCH("[13120,""B06-BK-41.5""]",'SKU明细'!$AE$9:$AE$1592,0)),INDEX('SKU明细'!$AD$9:$AD$1592,MATCH("[13120,""B06-BK-37.5""]",'SKU明细'!$AE$9:$AE$1592,0)),INDEX('SKU明细'!$AD$9:$AD$1592,MATCH("[13120,""B06-BK-37-new""]",'SKU明细'!$AE$9:$AE$1592,0)),INDEX('SKU明细'!$AD$9:$AD$1592,MATCH("[13120,""B06-BK-38""]",'SKU明细'!$AE$9:$AE$1592,0)),INDEX('SKU明细'!$AD$9:$AD$1592,MATCH("[13120,""B06-BK-38.5""]",'SKU明细'!$AE$9:$AE$1592,0)),INDEX('SKU明细'!$AD$9:$AD$1592,MATCH("[13120,""B06-BK-39-NEW""]",'SKU明细'!$AE$9:$AE$1592,0)),INDEX('SKU明细'!$AD$9:$AD$1592,MATCH("[13120,""B06-BK-39.5""]",'SKU明细'!$AE$9:$AE$1592,0)),INDEX('SKU明细'!$AD$9:$AD$1592,MATCH("[13120,""B06-BK-40""]",'SKU明细'!$AE$9:$AE$1592,0)),INDEX('SKU明细'!$AD$9:$AD$1592,MATCH("[13120,""B06-BK-40.5""]",'SKU明细'!$AE$9:$AE$1592,0)),INDEX('SKU明细'!$AD$9:$AD$1592,MATCH("[13120,""B06-BK-41""]",'SKU明细'!$AE$9:$AE$1592,0)))=10,SUM(INDEX('SKU明细'!$AD$9:$AD$1592,MATCH("[13120,""B06-BK-41.5""]",'SKU明细'!$AE$9:$AE$1592,0)),INDEX('SKU明细'!$AD$9:$AD$1592,MATCH("[13120,""B06-BK-37.5""]",'SKU明细'!$AE$9:$AE$1592,0)),INDEX('SKU明细'!$AD$9:$AD$1592,MATCH("[13120,""B06-BK-37-new""]",'SKU明细'!$AE$9:$AE$1592,0)),INDEX('SKU明细'!$AD$9:$AD$1592,MATCH("[13120,""B06-BK-38""]",'SKU明细'!$AE$9:$AE$1592,0)),INDEX('SKU明细'!$AD$9:$AD$1592,MATCH("[13120,""B06-BK-38.5""]",'SKU明细'!$AE$9:$AE$1592,0)),INDEX('SKU明细'!$AD$9:$AD$1592,MATCH("[13120,""B06-BK-39-NEW""]",'SKU明细'!$AE$9:$AE$1592,0)),INDEX('SKU明细'!$AD$9:$AD$1592,MATCH("[13120,""B06-BK-39.5""]",'SKU明细'!$AE$9:$AE$1592,0)),INDEX('SKU明细'!$AD$9:$AD$1592,MATCH("[13120,""B06-BK-40""]",'SKU明细'!$AE$9:$AE$1592,0)),INDEX('SKU明细'!$AD$9:$AD$1592,MATCH("[13120,""B06-BK-40.5""]",'SKU明细'!$AE$9:$AE$1592,0)),INDEX('SKU明细'!$AD$9:$AD$1592,MATCH("[13120,""B06-BK-41""]",'SKU明细'!$AE$9:$AE$1592,0)))&gt;0),SUM(INDEX('SKU明细'!$I$9:$I$1592,MATCH("[13120,""B06-BK-41.5""]",'SKU明细'!$AE$9:$AE$1592,0)),INDEX('SKU明细'!$I$9:$I$1592,MATCH("[13120,""B06-BK-37.5""]",'SKU明细'!$AE$9:$AE$1592,0)),INDEX('SKU明细'!$I$9:$I$1592,MATCH("[13120,""B06-BK-37-new""]",'SKU明细'!$AE$9:$AE$1592,0)),INDEX('SKU明细'!$I$9:$I$1592,MATCH("[13120,""B06-BK-38""]",'SKU明细'!$AE$9:$AE$1592,0)),INDEX('SKU明细'!$I$9:$I$1592,MATCH("[13120,""B06-BK-38.5""]",'SKU明细'!$AE$9:$AE$1592,0)),INDEX('SKU明细'!$I$9:$I$1592,MATCH("[13120,""B06-BK-39-NEW""]",'SKU明细'!$AE$9:$AE$1592,0)),INDEX('SKU明细'!$I$9:$I$1592,MATCH("[13120,""B06-BK-39.5""]",'SKU明细'!$AE$9:$AE$1592,0)),INDEX('SKU明细'!$I$9:$I$1592,MATCH("[13120,""B06-BK-40""]",'SKU明细'!$AE$9:$AE$1592,0)),INDEX('SKU明细'!$I$9:$I$1592,MATCH("[13120,""B06-BK-40.5""]",'SKU明细'!$AE$9:$AE$1592,0)),INDEX('SKU明细'!$I$9:$I$1592,MATCH("[13120,""B06-BK-41""]",'SKU明细'!$AE$9:$AE$1592,0)))/SUM(INDEX('SKU明细'!$AD$9:$AD$1592,MATCH("[13120,""B06-BK-41.5""]",'SKU明细'!$AE$9:$AE$1592,0)),INDEX('SKU明细'!$AD$9:$AD$1592,MATCH("[13120,""B06-BK-37.5""]",'SKU明细'!$AE$9:$AE$1592,0)),INDEX('SKU明细'!$AD$9:$AD$1592,MATCH("[13120,""B06-BK-37-new""]",'SKU明细'!$AE$9:$AE$1592,0)),INDEX('SKU明细'!$AD$9:$AD$1592,MATCH("[13120,""B06-BK-38""]",'SKU明细'!$AE$9:$AE$1592,0)),INDEX('SKU明细'!$AD$9:$AD$1592,MATCH("[13120,""B06-BK-38.5""]",'SKU明细'!$AE$9:$AE$1592,0)),INDEX('SKU明细'!$AD$9:$AD$1592,MATCH("[13120,""B06-BK-39-NEW""]",'SKU明细'!$AE$9:$AE$1592,0)),INDEX('SKU明细'!$AD$9:$AD$1592,MATCH("[13120,""B06-BK-39.5""]",'SKU明细'!$AE$9:$AE$1592,0)),INDEX('SKU明细'!$AD$9:$AD$1592,MATCH("[13120,""B06-BK-40""]",'SKU明细'!$AE$9:$AE$1592,0)),INDEX('SKU明细'!$AD$9:$AD$1592,MATCH("[13120,""B06-BK-40.5""]",'SKU明细'!$AE$9:$AE$1592,0)),INDEX('SKU明细'!$AD$9:$AD$1592,MATCH("[13120,""B06-BK-41""]",'SKU明细'!$AE$9:$AE$1592,0))),"待核")</x:f>
        <x:v>51.870649651972165</x:v>
      </x:c>
      <x:c r="U53" s="21" t="n">
        <x:f>IF(COUNT(S53:T53)=2,S53-T53,"待核")</x:f>
        <x:v>-30.141891572691186</x:v>
      </x:c>
      <x:c r="V53" s="22" t="n">
        <x:f>IF(AND(ISNUMBER(U53),ISNUMBER(T53),T53&lt;&gt;0),U53/T53,"")</x:f>
        <x:v>-0.5810972442976751</x:v>
      </x:c>
      <x:c r="W53" s="23" t="n">
        <x:f>IF(COUNT(INDEX('SKU明细'!$H$9:$H$1592,MATCH("[13120,""B06-BK-41.5""]",'SKU明细'!$AE$9:$AE$1592,0)),INDEX('SKU明细'!$H$9:$H$1592,MATCH("[13120,""B06-BK-37.5""]",'SKU明细'!$AE$9:$AE$1592,0)),INDEX('SKU明细'!$H$9:$H$1592,MATCH("[13120,""B06-BK-37-new""]",'SKU明细'!$AE$9:$AE$1592,0)),INDEX('SKU明细'!$H$9:$H$1592,MATCH("[13120,""B06-BK-38""]",'SKU明细'!$AE$9:$AE$1592,0)),INDEX('SKU明细'!$H$9:$H$1592,MATCH("[13120,""B06-BK-38.5""]",'SKU明细'!$AE$9:$AE$1592,0)),INDEX('SKU明细'!$H$9:$H$1592,MATCH("[13120,""B06-BK-39-NEW""]",'SKU明细'!$AE$9:$AE$1592,0)),INDEX('SKU明细'!$H$9:$H$1592,MATCH("[13120,""B06-BK-39.5""]",'SKU明细'!$AE$9:$AE$1592,0)),INDEX('SKU明细'!$H$9:$H$1592,MATCH("[13120,""B06-BK-40""]",'SKU明细'!$AE$9:$AE$1592,0)),INDEX('SKU明细'!$H$9:$H$1592,MATCH("[13120,""B06-BK-40.5""]",'SKU明细'!$AE$9:$AE$1592,0)),INDEX('SKU明细'!$H$9:$H$1592,MATCH("[13120,""B06-BK-41""]",'SKU明细'!$AE$9:$AE$1592,0)))=0,"待核",SUM(INDEX('SKU明细'!$H$9:$H$1592,MATCH("[13120,""B06-BK-41.5""]",'SKU明细'!$AE$9:$AE$1592,0)),INDEX('SKU明细'!$H$9:$H$1592,MATCH("[13120,""B06-BK-37.5""]",'SKU明细'!$AE$9:$AE$1592,0)),INDEX('SKU明细'!$H$9:$H$1592,MATCH("[13120,""B06-BK-37-new""]",'SKU明细'!$AE$9:$AE$1592,0)),INDEX('SKU明细'!$H$9:$H$1592,MATCH("[13120,""B06-BK-38""]",'SKU明细'!$AE$9:$AE$1592,0)),INDEX('SKU明细'!$H$9:$H$1592,MATCH("[13120,""B06-BK-38.5""]",'SKU明细'!$AE$9:$AE$1592,0)),INDEX('SKU明细'!$H$9:$H$1592,MATCH("[13120,""B06-BK-39-NEW""]",'SKU明细'!$AE$9:$AE$1592,0)),INDEX('SKU明细'!$H$9:$H$1592,MATCH("[13120,""B06-BK-39.5""]",'SKU明细'!$AE$9:$AE$1592,0)),INDEX('SKU明细'!$H$9:$H$1592,MATCH("[13120,""B06-BK-40""]",'SKU明细'!$AE$9:$AE$1592,0)),INDEX('SKU明细'!$H$9:$H$1592,MATCH("[13120,""B06-BK-40.5""]",'SKU明细'!$AE$9:$AE$1592,0)),INDEX('SKU明细'!$H$9:$H$1592,MATCH("[13120,""B06-BK-41""]",'SKU明细'!$AE$9:$AE$1592,0))))</x:f>
        <x:v>373</x:v>
      </x:c>
      <x:c r="X53" s="24" t="str">
        <x:f>IF(COUNTIFS('SKU明细'!$AH$9:$AH$1592,"[""B06"",""B06-BK"",""BK"",""黑色羊京绒""]",'SKU明细'!$E$9:$E$1592,"促销")&gt;0,"促销 ","")&amp;IF(COUNTIFS('SKU明细'!$AH$9:$AH$1592,"[""B06"",""B06-BK"",""BK"",""黑色羊京绒""]",'SKU明细'!$E$9:$E$1592,"红线促销")&gt;0,"红线促销 ","")&amp;IF(COUNTIFS('SKU明细'!$AH$9:$AH$1592,"[""B06"",""B06-BK"",""BK"",""黑色羊京绒""]",'SKU明细'!$E$9:$E$1592,"考虑清仓")&gt;0,"考虑清仓 ","")&amp;IF(COUNTIFS('SKU明细'!$AH$9:$AH$1592,"[""B06"",""B06-BK"",""BK"",""黑色羊京绒""]",'SKU明细'!$E$9:$E$1592,"断货")&gt;0,"断货 ","")&amp;IF(COUNTIFS('SKU明细'!$AH$9:$AH$1592,"[""B06"",""B06-BK"",""BK"",""黑色羊京绒""]",'SKU明细'!$E$9:$E$1592,"零日销待复核")&gt;0,"零日销待复核 ","")&amp;IF(COUNTIFS('SKU明细'!$AH$9:$AH$1592,"[""B06"",""B06-BK"",""BK"",""黑色羊京绒""]",'SKU明细'!$E$9:$E$1592,"数据待核")&gt;0,"数据待核 ","")&amp;IF(COUNTIFS('SKU明细'!$AH$9:$AH$1592,"[""B06"",""B06-BK"",""BK"",""黑色羊京绒""]",'SKU明细'!$E$9:$E$1592,"正常库存")&gt;0,"正常库存 ","")&amp;IF(COUNTIFS('SKU明细'!$AH$9:$AH$1592,"[""B06"",""B06-BK"",""BK"",""黑色羊京绒""]",'SKU明细'!$E$9:$E$1592,"补货提醒")&gt;0,"补货提醒 ","")</x:f>
        <x:v>断货 正常库存 补货提醒 </x:v>
      </x:c>
      <x:c r="Y53" s="24" t="str">
        <x:f>IF(NOT(ISNUMBER(U53)),"覆盖待核／无可比基准","完整可比")</x:f>
        <x:v>完整可比</x:v>
      </x:c>
      <x:c r="Z53" s="24" t="str">
        <x:v>在售</x:v>
      </x:c>
      <x:c r="AA53" s="24" t="n">
        <x:f>IF(SUMIFS('SKU明细'!$AF$9:$AF$1592,'SKU明细'!$D$9:$D$1592,A53,'SKU明细'!$Z$9:$Z$1592,"&lt;&gt;移出")=0,"待核",SUMIFS('SKU明细'!$H$9:$H$1592,'SKU明细'!$D$9:$D$1592,A53,'SKU明细'!$Z$9:$Z$1592,"&lt;&gt;移出"))</x:f>
        <x:v>2095</x:v>
      </x:c>
    </x:row>
    <x:row r="54" ht="54" customHeight="1">
      <x:c r="A54" s="20" t="str">
        <x:v>B06</x:v>
      </x:c>
      <x:c r="B54" s="20" t="str">
        <x:v>艾年</x:v>
      </x:c>
      <x:c r="C54" s="20" t="str">
        <x:v>黑色天鹅绒</x:v>
      </x:c>
      <x:c r="D54" s="20" t="str">
        <x:v>BK-V</x:v>
      </x:c>
      <x:c r="E54" s="20" t="str">
        <x:v>B06-BK-V-0</x:v>
      </x:c>
      <x:c r="F54" s="20"/>
      <x:c r="G54" s="21" t="str">
        <x:f>"—"</x:f>
        <x:v>—</x:v>
      </x:c>
      <x:c r="H54" s="21" t="str">
        <x:f>"—"</x:f>
        <x:v>—</x:v>
      </x:c>
      <x:c r="I54" s="21" t="str">
        <x:f>"—"</x:f>
        <x:v>—</x:v>
      </x:c>
      <x:c r="J54" s="21" t="n">
        <x:f>IF(AND(COUNT(INDEX('SKU明细'!$H$9:$H$1592,MATCH("[13120,""B06-BK-V-0-38""]",'SKU明细'!$AE$9:$AE$1592,0)))=1,COUNT(INDEX('SKU明细'!$G$9:$G$1592,MATCH("[13120,""B06-BK-V-0-38""]",'SKU明细'!$AE$9:$AE$1592,0)))=1,SUM(INDEX('SKU明细'!$G$9:$G$1592,MATCH("[13120,""B06-BK-V-0-38""]",'SKU明细'!$AE$9:$AE$1592,0)))&gt;0),SUM(INDEX('SKU明细'!$H$9:$H$1592,MATCH("[13120,""B06-BK-V-0-38""]",'SKU明细'!$AE$9:$AE$1592,0)))/SUM(INDEX('SKU明细'!$G$9:$G$1592,MATCH("[13120,""B06-BK-V-0-38""]",'SKU明细'!$AE$9:$AE$1592,0))),"待核")</x:f>
        <x:v>0</x:v>
      </x:c>
      <x:c r="K54" s="21" t="str">
        <x:f>"—"</x:f>
        <x:v>—</x:v>
      </x:c>
      <x:c r="L54" s="21" t="str">
        <x:f>"—"</x:f>
        <x:v>—</x:v>
      </x:c>
      <x:c r="M54" s="21" t="n">
        <x:f>IF(AND(COUNT(INDEX('SKU明细'!$H$9:$H$1592,MATCH("[13120,""B06-BK-V-0-39.5""]",'SKU明细'!$AE$9:$AE$1592,0)))=1,COUNT(INDEX('SKU明细'!$G$9:$G$1592,MATCH("[13120,""B06-BK-V-0-39.5""]",'SKU明细'!$AE$9:$AE$1592,0)))=1,SUM(INDEX('SKU明细'!$G$9:$G$1592,MATCH("[13120,""B06-BK-V-0-39.5""]",'SKU明细'!$AE$9:$AE$1592,0)))&gt;0),SUM(INDEX('SKU明细'!$H$9:$H$1592,MATCH("[13120,""B06-BK-V-0-39.5""]",'SKU明细'!$AE$9:$AE$1592,0)))/SUM(INDEX('SKU明细'!$G$9:$G$1592,MATCH("[13120,""B06-BK-V-0-39.5""]",'SKU明细'!$AE$9:$AE$1592,0))),"待核")</x:f>
        <x:v>66.66666666666667</x:v>
      </x:c>
      <x:c r="N54" s="21" t="n">
        <x:f>IF(AND(COUNT(INDEX('SKU明细'!$H$9:$H$1592,MATCH("[13120,""B06-BK-V-0-40""]",'SKU明细'!$AE$9:$AE$1592,0)))=1,COUNT(INDEX('SKU明细'!$G$9:$G$1592,MATCH("[13120,""B06-BK-V-0-40""]",'SKU明细'!$AE$9:$AE$1592,0)))=1,SUM(INDEX('SKU明细'!$G$9:$G$1592,MATCH("[13120,""B06-BK-V-0-40""]",'SKU明细'!$AE$9:$AE$1592,0)))&gt;0),SUM(INDEX('SKU明细'!$H$9:$H$1592,MATCH("[13120,""B06-BK-V-0-40""]",'SKU明细'!$AE$9:$AE$1592,0)))/SUM(INDEX('SKU明细'!$G$9:$G$1592,MATCH("[13120,""B06-BK-V-0-40""]",'SKU明细'!$AE$9:$AE$1592,0))),"待核")</x:f>
        <x:v>2.896551724137931</x:v>
      </x:c>
      <x:c r="O54" s="21" t="str">
        <x:f>"—"</x:f>
        <x:v>—</x:v>
      </x:c>
      <x:c r="P54" s="21" t="str">
        <x:f>"—"</x:f>
        <x:v>—</x:v>
      </x:c>
      <x:c r="Q54" s="21" t="str">
        <x:f>IF(AND(COUNT(INDEX('SKU明细'!$H$9:$H$1592,MATCH("[13120,""B06-BK-V-0-41""]",'SKU明细'!$AE$9:$AE$1592,0)))=1,COUNT(INDEX('SKU明细'!$G$9:$G$1592,MATCH("[13120,""B06-BK-V-0-41""]",'SKU明细'!$AE$9:$AE$1592,0)))=1,SUM(INDEX('SKU明细'!$G$9:$G$1592,MATCH("[13120,""B06-BK-V-0-41""]",'SKU明细'!$AE$9:$AE$1592,0)))&gt;0),SUM(INDEX('SKU明细'!$H$9:$H$1592,MATCH("[13120,""B06-BK-V-0-41""]",'SKU明细'!$AE$9:$AE$1592,0)))/SUM(INDEX('SKU明细'!$G$9:$G$1592,MATCH("[13120,""B06-BK-V-0-41""]",'SKU明细'!$AE$9:$AE$1592,0))),"待核")</x:f>
        <x:v>待核</x:v>
      </x:c>
      <x:c r="R54" s="21" t="str">
        <x:f>"—"</x:f>
        <x:v>—</x:v>
      </x:c>
      <x:c r="S54" s="21" t="n">
        <x:f>IF(AND(COUNT(INDEX('SKU明细'!$H$9:$H$1592,MATCH("[13120,""B06-BK-V-0-38""]",'SKU明细'!$AE$9:$AE$1592,0)),INDEX('SKU明细'!$H$9:$H$1592,MATCH("[13120,""B06-BK-V-0-41""]",'SKU明细'!$AE$9:$AE$1592,0)),INDEX('SKU明细'!$H$9:$H$1592,MATCH("[13120,""B06-BK-V-0-39.5""]",'SKU明细'!$AE$9:$AE$1592,0)),INDEX('SKU明细'!$H$9:$H$1592,MATCH("[13120,""B06-BK-V-0-40""]",'SKU明细'!$AE$9:$AE$1592,0)))=4,COUNT(INDEX('SKU明细'!$G$9:$G$1592,MATCH("[13120,""B06-BK-V-0-38""]",'SKU明细'!$AE$9:$AE$1592,0)),INDEX('SKU明细'!$G$9:$G$1592,MATCH("[13120,""B06-BK-V-0-41""]",'SKU明细'!$AE$9:$AE$1592,0)),INDEX('SKU明细'!$G$9:$G$1592,MATCH("[13120,""B06-BK-V-0-39.5""]",'SKU明细'!$AE$9:$AE$1592,0)),INDEX('SKU明细'!$G$9:$G$1592,MATCH("[13120,""B06-BK-V-0-40""]",'SKU明细'!$AE$9:$AE$1592,0)))=4,SUM(INDEX('SKU明细'!$G$9:$G$1592,MATCH("[13120,""B06-BK-V-0-38""]",'SKU明细'!$AE$9:$AE$1592,0)),INDEX('SKU明细'!$G$9:$G$1592,MATCH("[13120,""B06-BK-V-0-41""]",'SKU明细'!$AE$9:$AE$1592,0)),INDEX('SKU明细'!$G$9:$G$1592,MATCH("[13120,""B06-BK-V-0-39.5""]",'SKU明细'!$AE$9:$AE$1592,0)),INDEX('SKU明细'!$G$9:$G$1592,MATCH("[13120,""B06-BK-V-0-40""]",'SKU明细'!$AE$9:$AE$1592,0)))&gt;0),SUM(INDEX('SKU明细'!$H$9:$H$1592,MATCH("[13120,""B06-BK-V-0-38""]",'SKU明细'!$AE$9:$AE$1592,0)),INDEX('SKU明细'!$H$9:$H$1592,MATCH("[13120,""B06-BK-V-0-41""]",'SKU明细'!$AE$9:$AE$1592,0)),INDEX('SKU明细'!$H$9:$H$1592,MATCH("[13120,""B06-BK-V-0-39.5""]",'SKU明细'!$AE$9:$AE$1592,0)),INDEX('SKU明细'!$H$9:$H$1592,MATCH("[13120,""B06-BK-V-0-40""]",'SKU明细'!$AE$9:$AE$1592,0)))/SUM(INDEX('SKU明细'!$G$9:$G$1592,MATCH("[13120,""B06-BK-V-0-38""]",'SKU明细'!$AE$9:$AE$1592,0)),INDEX('SKU明细'!$G$9:$G$1592,MATCH("[13120,""B06-BK-V-0-41""]",'SKU明细'!$AE$9:$AE$1592,0)),INDEX('SKU明细'!$G$9:$G$1592,MATCH("[13120,""B06-BK-V-0-39.5""]",'SKU明细'!$AE$9:$AE$1592,0)),INDEX('SKU明细'!$G$9:$G$1592,MATCH("[13120,""B06-BK-V-0-40""]",'SKU明细'!$AE$9:$AE$1592,0))),"待核")</x:f>
        <x:v>11.576626240352812</x:v>
      </x:c>
      <x:c r="T54" s="21" t="n">
        <x:f>IF(AND(COUNT(INDEX('SKU明细'!$I$9:$I$1592,MATCH("[13120,""B06-BK-V-0-38""]",'SKU明细'!$AE$9:$AE$1592,0)),INDEX('SKU明细'!$I$9:$I$1592,MATCH("[13120,""B06-BK-V-0-41""]",'SKU明细'!$AE$9:$AE$1592,0)),INDEX('SKU明细'!$I$9:$I$1592,MATCH("[13120,""B06-BK-V-0-39.5""]",'SKU明细'!$AE$9:$AE$1592,0)),INDEX('SKU明细'!$I$9:$I$1592,MATCH("[13120,""B06-BK-V-0-40""]",'SKU明细'!$AE$9:$AE$1592,0)))=4,COUNT(INDEX('SKU明细'!$AD$9:$AD$1592,MATCH("[13120,""B06-BK-V-0-38""]",'SKU明细'!$AE$9:$AE$1592,0)),INDEX('SKU明细'!$AD$9:$AD$1592,MATCH("[13120,""B06-BK-V-0-41""]",'SKU明细'!$AE$9:$AE$1592,0)),INDEX('SKU明细'!$AD$9:$AD$1592,MATCH("[13120,""B06-BK-V-0-39.5""]",'SKU明细'!$AE$9:$AE$1592,0)),INDEX('SKU明细'!$AD$9:$AD$1592,MATCH("[13120,""B06-BK-V-0-40""]",'SKU明细'!$AE$9:$AE$1592,0)))=4,SUM(INDEX('SKU明细'!$AD$9:$AD$1592,MATCH("[13120,""B06-BK-V-0-38""]",'SKU明细'!$AE$9:$AE$1592,0)),INDEX('SKU明细'!$AD$9:$AD$1592,MATCH("[13120,""B06-BK-V-0-41""]",'SKU明细'!$AE$9:$AE$1592,0)),INDEX('SKU明细'!$AD$9:$AD$1592,MATCH("[13120,""B06-BK-V-0-39.5""]",'SKU明细'!$AE$9:$AE$1592,0)),INDEX('SKU明细'!$AD$9:$AD$1592,MATCH("[13120,""B06-BK-V-0-40""]",'SKU明细'!$AE$9:$AE$1592,0)))&gt;0),SUM(INDEX('SKU明细'!$I$9:$I$1592,MATCH("[13120,""B06-BK-V-0-38""]",'SKU明细'!$AE$9:$AE$1592,0)),INDEX('SKU明细'!$I$9:$I$1592,MATCH("[13120,""B06-BK-V-0-41""]",'SKU明细'!$AE$9:$AE$1592,0)),INDEX('SKU明细'!$I$9:$I$1592,MATCH("[13120,""B06-BK-V-0-39.5""]",'SKU明细'!$AE$9:$AE$1592,0)),INDEX('SKU明细'!$I$9:$I$1592,MATCH("[13120,""B06-BK-V-0-40""]",'SKU明细'!$AE$9:$AE$1592,0)))/SUM(INDEX('SKU明细'!$AD$9:$AD$1592,MATCH("[13120,""B06-BK-V-0-38""]",'SKU明细'!$AE$9:$AE$1592,0)),INDEX('SKU明细'!$AD$9:$AD$1592,MATCH("[13120,""B06-BK-V-0-41""]",'SKU明细'!$AE$9:$AE$1592,0)),INDEX('SKU明细'!$AD$9:$AD$1592,MATCH("[13120,""B06-BK-V-0-39.5""]",'SKU明细'!$AE$9:$AE$1592,0)),INDEX('SKU明细'!$AD$9:$AD$1592,MATCH("[13120,""B06-BK-V-0-40""]",'SKU明细'!$AE$9:$AE$1592,0))),"待核")</x:f>
        <x:v>4.487179487179487</x:v>
      </x:c>
      <x:c r="U54" s="21" t="n">
        <x:f>IF(COUNT(S54:T54)=2,S54-T54,"待核")</x:f>
        <x:v>7.089446753173325</x:v>
      </x:c>
      <x:c r="V54" s="22" t="n">
        <x:f>IF(AND(ISNUMBER(U54),ISNUMBER(T54),T54&lt;&gt;0),U54/T54,"")</x:f>
        <x:v>1.5799338478500553</x:v>
      </x:c>
      <x:c r="W54" s="23" t="n">
        <x:f>IF(COUNT(INDEX('SKU明细'!$H$9:$H$1592,MATCH("[13120,""B06-BK-V-0-38""]",'SKU明细'!$AE$9:$AE$1592,0)),INDEX('SKU明细'!$H$9:$H$1592,MATCH("[13120,""B06-BK-V-0-41""]",'SKU明细'!$AE$9:$AE$1592,0)),INDEX('SKU明细'!$H$9:$H$1592,MATCH("[13120,""B06-BK-V-0-39.5""]",'SKU明细'!$AE$9:$AE$1592,0)),INDEX('SKU明细'!$H$9:$H$1592,MATCH("[13120,""B06-BK-V-0-40""]",'SKU明细'!$AE$9:$AE$1592,0)))=0,"待核",SUM(INDEX('SKU明细'!$H$9:$H$1592,MATCH("[13120,""B06-BK-V-0-38""]",'SKU明细'!$AE$9:$AE$1592,0)),INDEX('SKU明细'!$H$9:$H$1592,MATCH("[13120,""B06-BK-V-0-41""]",'SKU明细'!$AE$9:$AE$1592,0)),INDEX('SKU明细'!$H$9:$H$1592,MATCH("[13120,""B06-BK-V-0-39.5""]",'SKU明细'!$AE$9:$AE$1592,0)),INDEX('SKU明细'!$H$9:$H$1592,MATCH("[13120,""B06-BK-V-0-40""]",'SKU明细'!$AE$9:$AE$1592,0))))</x:f>
        <x:v>5</x:v>
      </x:c>
      <x:c r="X54" s="24" t="str">
        <x:f>IF(COUNTIFS('SKU明细'!$AH$9:$AH$1592,"[""B06"",""B06-BK-V-0"",""BK-V"",""黑色天鹅绒""]",'SKU明细'!$E$9:$E$1592,"促销")&gt;0,"促销 ","")&amp;IF(COUNTIFS('SKU明细'!$AH$9:$AH$1592,"[""B06"",""B06-BK-V-0"",""BK-V"",""黑色天鹅绒""]",'SKU明细'!$E$9:$E$1592,"红线促销")&gt;0,"红线促销 ","")&amp;IF(COUNTIFS('SKU明细'!$AH$9:$AH$1592,"[""B06"",""B06-BK-V-0"",""BK-V"",""黑色天鹅绒""]",'SKU明细'!$E$9:$E$1592,"考虑清仓")&gt;0,"考虑清仓 ","")&amp;IF(COUNTIFS('SKU明细'!$AH$9:$AH$1592,"[""B06"",""B06-BK-V-0"",""BK-V"",""黑色天鹅绒""]",'SKU明细'!$E$9:$E$1592,"断货")&gt;0,"断货 ","")&amp;IF(COUNTIFS('SKU明细'!$AH$9:$AH$1592,"[""B06"",""B06-BK-V-0"",""BK-V"",""黑色天鹅绒""]",'SKU明细'!$E$9:$E$1592,"零日销待复核")&gt;0,"零日销待复核 ","")&amp;IF(COUNTIFS('SKU明细'!$AH$9:$AH$1592,"[""B06"",""B06-BK-V-0"",""BK-V"",""黑色天鹅绒""]",'SKU明细'!$E$9:$E$1592,"数据待核")&gt;0,"数据待核 ","")&amp;IF(COUNTIFS('SKU明细'!$AH$9:$AH$1592,"[""B06"",""B06-BK-V-0"",""BK-V"",""黑色天鹅绒""]",'SKU明细'!$E$9:$E$1592,"正常库存")&gt;0,"正常库存 ","")&amp;IF(COUNTIFS('SKU明细'!$AH$9:$AH$1592,"[""B06"",""B06-BK-V-0"",""BK-V"",""黑色天鹅绒""]",'SKU明细'!$E$9:$E$1592,"补货提醒")&gt;0,"补货提醒 ","")</x:f>
        <x:v>断货 正常库存 补货提醒 </x:v>
      </x:c>
      <x:c r="Y54" s="24" t="str">
        <x:f>IF(NOT(ISNUMBER(U54)),"覆盖待核／无可比基准","完整可比")</x:f>
        <x:v>完整可比</x:v>
      </x:c>
      <x:c r="Z54" s="24" t="str">
        <x:v>停售、在售</x:v>
      </x:c>
      <x:c r="AA54" s="24" t="n">
        <x:f>IF(SUMIFS('SKU明细'!$AF$9:$AF$1592,'SKU明细'!$D$9:$D$1592,A54,'SKU明细'!$Z$9:$Z$1592,"&lt;&gt;移出")=0,"待核",SUMIFS('SKU明细'!$H$9:$H$1592,'SKU明细'!$D$9:$D$1592,A54,'SKU明细'!$Z$9:$Z$1592,"&lt;&gt;移出"))</x:f>
        <x:v>2095</x:v>
      </x:c>
    </x:row>
    <x:row r="55" ht="54" customHeight="1">
      <x:c r="A55" s="20" t="str">
        <x:v>B06</x:v>
      </x:c>
      <x:c r="B55" s="20" t="str">
        <x:v>艾年</x:v>
      </x:c>
      <x:c r="C55" s="20" t="str">
        <x:v>黑色羊京绒</x:v>
      </x:c>
      <x:c r="D55" s="20" t="str">
        <x:v>BK1</x:v>
      </x:c>
      <x:c r="E55" s="20" t="str">
        <x:v>B06-BK1</x:v>
      </x:c>
      <x:c r="F55" s="20"/>
      <x:c r="G55" s="21" t="str">
        <x:f>"—"</x:f>
        <x:v>—</x:v>
      </x:c>
      <x:c r="H55" s="21" t="str">
        <x:f>"—"</x:f>
        <x:v>—</x:v>
      </x:c>
      <x:c r="I55" s="21" t="str">
        <x:f>"—"</x:f>
        <x:v>—</x:v>
      </x:c>
      <x:c r="J55" s="21" t="str">
        <x:f>"—"</x:f>
        <x:v>—</x:v>
      </x:c>
      <x:c r="K55" s="21" t="str">
        <x:f>"—"</x:f>
        <x:v>—</x:v>
      </x:c>
      <x:c r="L55" s="21" t="str">
        <x:f>"—"</x:f>
        <x:v>—</x:v>
      </x:c>
      <x:c r="M55" s="21" t="str">
        <x:f>"—"</x:f>
        <x:v>—</x:v>
      </x:c>
      <x:c r="N55" s="21" t="str">
        <x:f>"—"</x:f>
        <x:v>—</x:v>
      </x:c>
      <x:c r="O55" s="21" t="str">
        <x:f>"—"</x:f>
        <x:v>—</x:v>
      </x:c>
      <x:c r="P55" s="21" t="str">
        <x:f>"—"</x:f>
        <x:v>—</x:v>
      </x:c>
      <x:c r="Q55" s="21" t="str">
        <x:f>"—"</x:f>
        <x:v>—</x:v>
      </x:c>
      <x:c r="R55" s="21" t="n">
        <x:f>IF(AND(COUNT(INDEX('SKU明细'!$H$9:$H$1592,MATCH("[13120,""B06-BK1-42""]",'SKU明细'!$AE$9:$AE$1592,0)))=1,COUNT(INDEX('SKU明细'!$G$9:$G$1592,MATCH("[13120,""B06-BK1-42""]",'SKU明细'!$AE$9:$AE$1592,0)))=1,SUM(INDEX('SKU明细'!$G$9:$G$1592,MATCH("[13120,""B06-BK1-42""]",'SKU明细'!$AE$9:$AE$1592,0)))&gt;0),SUM(INDEX('SKU明细'!$H$9:$H$1592,MATCH("[13120,""B06-BK1-42""]",'SKU明细'!$AE$9:$AE$1592,0)))/SUM(INDEX('SKU明细'!$G$9:$G$1592,MATCH("[13120,""B06-BK1-42""]",'SKU明细'!$AE$9:$AE$1592,0))),"待核")</x:f>
        <x:v>3.6162361623616235</x:v>
      </x:c>
      <x:c r="S55" s="21" t="n">
        <x:f>IF(AND(COUNT(INDEX('SKU明细'!$H$9:$H$1592,MATCH("[13120,""B06-BK1-42""]",'SKU明细'!$AE$9:$AE$1592,0)))=1,COUNT(INDEX('SKU明细'!$G$9:$G$1592,MATCH("[13120,""B06-BK1-42""]",'SKU明细'!$AE$9:$AE$1592,0)))=1,SUM(INDEX('SKU明细'!$G$9:$G$1592,MATCH("[13120,""B06-BK1-42""]",'SKU明细'!$AE$9:$AE$1592,0)))&gt;0),SUM(INDEX('SKU明细'!$H$9:$H$1592,MATCH("[13120,""B06-BK1-42""]",'SKU明细'!$AE$9:$AE$1592,0)))/SUM(INDEX('SKU明细'!$G$9:$G$1592,MATCH("[13120,""B06-BK1-42""]",'SKU明细'!$AE$9:$AE$1592,0))),"待核")</x:f>
        <x:v>3.6162361623616235</x:v>
      </x:c>
      <x:c r="T55" s="21" t="n">
        <x:f>IF(AND(COUNT(INDEX('SKU明细'!$I$9:$I$1592,MATCH("[13120,""B06-BK1-42""]",'SKU明细'!$AE$9:$AE$1592,0)))=1,COUNT(INDEX('SKU明细'!$AD$9:$AD$1592,MATCH("[13120,""B06-BK1-42""]",'SKU明细'!$AE$9:$AE$1592,0)))=1,SUM(INDEX('SKU明细'!$AD$9:$AD$1592,MATCH("[13120,""B06-BK1-42""]",'SKU明细'!$AE$9:$AE$1592,0)))&gt;0),SUM(INDEX('SKU明细'!$I$9:$I$1592,MATCH("[13120,""B06-BK1-42""]",'SKU明细'!$AE$9:$AE$1592,0)))/SUM(INDEX('SKU明细'!$AD$9:$AD$1592,MATCH("[13120,""B06-BK1-42""]",'SKU明细'!$AE$9:$AE$1592,0))),"待核")</x:f>
        <x:v>35.54502369668246</x:v>
      </x:c>
      <x:c r="U55" s="21" t="n">
        <x:f>IF(COUNT(S55:T55)=2,S55-T55,"待核")</x:f>
        <x:v>-31.92878753432084</x:v>
      </x:c>
      <x:c r="V55" s="22" t="n">
        <x:f>IF(AND(ISNUMBER(U55),ISNUMBER(T55),T55&lt;&gt;0),U55/T55,"")</x:f>
        <x:v>-0.8982632226322264</x:v>
      </x:c>
      <x:c r="W55" s="23" t="n">
        <x:f>IF(COUNT(INDEX('SKU明细'!$H$9:$H$1592,MATCH("[13120,""B06-BK1-42""]",'SKU明细'!$AE$9:$AE$1592,0)))=0,"待核",SUM(INDEX('SKU明细'!$H$9:$H$1592,MATCH("[13120,""B06-BK1-42""]",'SKU明细'!$AE$9:$AE$1592,0))))</x:f>
        <x:v>7</x:v>
      </x:c>
      <x:c r="X55" s="24" t="str">
        <x:f>IF(COUNTIFS('SKU明细'!$AH$9:$AH$1592,"[""B06"",""B06-BK1"",""BK1"",""黑色羊京绒""]",'SKU明细'!$E$9:$E$1592,"促销")&gt;0,"促销 ","")&amp;IF(COUNTIFS('SKU明细'!$AH$9:$AH$1592,"[""B06"",""B06-BK1"",""BK1"",""黑色羊京绒""]",'SKU明细'!$E$9:$E$1592,"红线促销")&gt;0,"红线促销 ","")&amp;IF(COUNTIFS('SKU明细'!$AH$9:$AH$1592,"[""B06"",""B06-BK1"",""BK1"",""黑色羊京绒""]",'SKU明细'!$E$9:$E$1592,"考虑清仓")&gt;0,"考虑清仓 ","")&amp;IF(COUNTIFS('SKU明细'!$AH$9:$AH$1592,"[""B06"",""B06-BK1"",""BK1"",""黑色羊京绒""]",'SKU明细'!$E$9:$E$1592,"断货")&gt;0,"断货 ","")&amp;IF(COUNTIFS('SKU明细'!$AH$9:$AH$1592,"[""B06"",""B06-BK1"",""BK1"",""黑色羊京绒""]",'SKU明细'!$E$9:$E$1592,"零日销待复核")&gt;0,"零日销待复核 ","")&amp;IF(COUNTIFS('SKU明细'!$AH$9:$AH$1592,"[""B06"",""B06-BK1"",""BK1"",""黑色羊京绒""]",'SKU明细'!$E$9:$E$1592,"数据待核")&gt;0,"数据待核 ","")&amp;IF(COUNTIFS('SKU明细'!$AH$9:$AH$1592,"[""B06"",""B06-BK1"",""BK1"",""黑色羊京绒""]",'SKU明细'!$E$9:$E$1592,"正常库存")&gt;0,"正常库存 ","")&amp;IF(COUNTIFS('SKU明细'!$AH$9:$AH$1592,"[""B06"",""B06-BK1"",""BK1"",""黑色羊京绒""]",'SKU明细'!$E$9:$E$1592,"补货提醒")&gt;0,"补货提醒 ","")</x:f>
        <x:v>补货提醒 </x:v>
      </x:c>
      <x:c r="Y55" s="24" t="str">
        <x:f>IF(NOT(ISNUMBER(U55)),"覆盖待核／无可比基准","完整可比")</x:f>
        <x:v>完整可比</x:v>
      </x:c>
      <x:c r="Z55" s="24" t="str">
        <x:v>在售</x:v>
      </x:c>
      <x:c r="AA55" s="24" t="n">
        <x:f>IF(SUMIFS('SKU明细'!$AF$9:$AF$1592,'SKU明细'!$D$9:$D$1592,A55,'SKU明细'!$Z$9:$Z$1592,"&lt;&gt;移出")=0,"待核",SUMIFS('SKU明细'!$H$9:$H$1592,'SKU明细'!$D$9:$D$1592,A55,'SKU明细'!$Z$9:$Z$1592,"&lt;&gt;移出"))</x:f>
        <x:v>2095</x:v>
      </x:c>
    </x:row>
    <x:row r="56" ht="54" customHeight="1">
      <x:c r="A56" s="20" t="str">
        <x:v>B06</x:v>
      </x:c>
      <x:c r="B56" s="20" t="str">
        <x:v>艾年</x:v>
      </x:c>
      <x:c r="C56" s="20" t="str">
        <x:v>黑色PU</x:v>
      </x:c>
      <x:c r="D56" s="20" t="str">
        <x:v>BKP</x:v>
      </x:c>
      <x:c r="E56" s="20" t="str">
        <x:v>B06-BKP</x:v>
      </x:c>
      <x:c r="F56" s="20"/>
      <x:c r="G56" s="21" t="str">
        <x:f>"—"</x:f>
        <x:v>—</x:v>
      </x:c>
      <x:c r="H56" s="21" t="n">
        <x:f>IF(AND(COUNT(INDEX('SKU明细'!$H$9:$H$1592,MATCH("[13120,""B06-BKP-37""]",'SKU明细'!$AE$9:$AE$1592,0)))=1,COUNT(INDEX('SKU明细'!$G$9:$G$1592,MATCH("[13120,""B06-BKP-37""]",'SKU明细'!$AE$9:$AE$1592,0)))=1,SUM(INDEX('SKU明细'!$G$9:$G$1592,MATCH("[13120,""B06-BKP-37""]",'SKU明细'!$AE$9:$AE$1592,0)))&gt;0),SUM(INDEX('SKU明细'!$H$9:$H$1592,MATCH("[13120,""B06-BKP-37""]",'SKU明细'!$AE$9:$AE$1592,0)))/SUM(INDEX('SKU明细'!$G$9:$G$1592,MATCH("[13120,""B06-BKP-37""]",'SKU明细'!$AE$9:$AE$1592,0))),"待核")</x:f>
        <x:v>0</x:v>
      </x:c>
      <x:c r="I56" s="21" t="n">
        <x:f>IF(AND(COUNT(INDEX('SKU明细'!$H$9:$H$1592,MATCH("[13120,""B06-BKP-37.5""]",'SKU明细'!$AE$9:$AE$1592,0)))=1,COUNT(INDEX('SKU明细'!$G$9:$G$1592,MATCH("[13120,""B06-BKP-37.5""]",'SKU明细'!$AE$9:$AE$1592,0)))=1,SUM(INDEX('SKU明细'!$G$9:$G$1592,MATCH("[13120,""B06-BKP-37.5""]",'SKU明细'!$AE$9:$AE$1592,0)))&gt;0),SUM(INDEX('SKU明细'!$H$9:$H$1592,MATCH("[13120,""B06-BKP-37.5""]",'SKU明细'!$AE$9:$AE$1592,0)))/SUM(INDEX('SKU明细'!$G$9:$G$1592,MATCH("[13120,""B06-BKP-37.5""]",'SKU明细'!$AE$9:$AE$1592,0))),"待核")</x:f>
        <x:v>133.0188679245283</x:v>
      </x:c>
      <x:c r="J56" s="21" t="n">
        <x:f>IF(AND(COUNT(INDEX('SKU明细'!$H$9:$H$1592,MATCH("[13120,""B06-BKP-38-N""]",'SKU明细'!$AE$9:$AE$1592,0)))=1,COUNT(INDEX('SKU明细'!$G$9:$G$1592,MATCH("[13120,""B06-BKP-38-N""]",'SKU明细'!$AE$9:$AE$1592,0)))=1,SUM(INDEX('SKU明细'!$G$9:$G$1592,MATCH("[13120,""B06-BKP-38-N""]",'SKU明细'!$AE$9:$AE$1592,0)))&gt;0),SUM(INDEX('SKU明细'!$H$9:$H$1592,MATCH("[13120,""B06-BKP-38-N""]",'SKU明细'!$AE$9:$AE$1592,0)))/SUM(INDEX('SKU明细'!$G$9:$G$1592,MATCH("[13120,""B06-BKP-38-N""]",'SKU明细'!$AE$9:$AE$1592,0))),"待核")</x:f>
        <x:v>45.36</x:v>
      </x:c>
      <x:c r="K56" s="21" t="n">
        <x:f>IF(AND(COUNT(INDEX('SKU明细'!$H$9:$H$1592,MATCH("[13120,""B06-BKP-38.5""]",'SKU明细'!$AE$9:$AE$1592,0)))=1,COUNT(INDEX('SKU明细'!$G$9:$G$1592,MATCH("[13120,""B06-BKP-38.5""]",'SKU明细'!$AE$9:$AE$1592,0)))=1,SUM(INDEX('SKU明细'!$G$9:$G$1592,MATCH("[13120,""B06-BKP-38.5""]",'SKU明细'!$AE$9:$AE$1592,0)))&gt;0),SUM(INDEX('SKU明细'!$H$9:$H$1592,MATCH("[13120,""B06-BKP-38.5""]",'SKU明细'!$AE$9:$AE$1592,0)))/SUM(INDEX('SKU明细'!$G$9:$G$1592,MATCH("[13120,""B06-BKP-38.5""]",'SKU明细'!$AE$9:$AE$1592,0))),"待核")</x:f>
        <x:v>88.1559220389805</x:v>
      </x:c>
      <x:c r="L56" s="21" t="n">
        <x:f>IF(AND(COUNT(INDEX('SKU明细'!$H$9:$H$1592,MATCH("[13120,""B06-BKP-39-N""]",'SKU明细'!$AE$9:$AE$1592,0)))=1,COUNT(INDEX('SKU明细'!$G$9:$G$1592,MATCH("[13120,""B06-BKP-39-N""]",'SKU明细'!$AE$9:$AE$1592,0)))=1,SUM(INDEX('SKU明细'!$G$9:$G$1592,MATCH("[13120,""B06-BKP-39-N""]",'SKU明细'!$AE$9:$AE$1592,0)))&gt;0),SUM(INDEX('SKU明细'!$H$9:$H$1592,MATCH("[13120,""B06-BKP-39-N""]",'SKU明细'!$AE$9:$AE$1592,0)))/SUM(INDEX('SKU明细'!$G$9:$G$1592,MATCH("[13120,""B06-BKP-39-N""]",'SKU明细'!$AE$9:$AE$1592,0))),"待核")</x:f>
        <x:v>15.460122699386504</x:v>
      </x:c>
      <x:c r="M56" s="21" t="n">
        <x:f>IF(AND(COUNT(INDEX('SKU明细'!$H$9:$H$1592,MATCH("[13120,""B06-BKP-39.5""]",'SKU明细'!$AE$9:$AE$1592,0)))=1,COUNT(INDEX('SKU明细'!$G$9:$G$1592,MATCH("[13120,""B06-BKP-39.5""]",'SKU明细'!$AE$9:$AE$1592,0)))=1,SUM(INDEX('SKU明细'!$G$9:$G$1592,MATCH("[13120,""B06-BKP-39.5""]",'SKU明细'!$AE$9:$AE$1592,0)))&gt;0),SUM(INDEX('SKU明细'!$H$9:$H$1592,MATCH("[13120,""B06-BKP-39.5""]",'SKU明细'!$AE$9:$AE$1592,0)))/SUM(INDEX('SKU明细'!$G$9:$G$1592,MATCH("[13120,""B06-BKP-39.5""]",'SKU明细'!$AE$9:$AE$1592,0))),"待核")</x:f>
        <x:v>0</x:v>
      </x:c>
      <x:c r="N56" s="21" t="n">
        <x:f>IF(AND(COUNT(INDEX('SKU明细'!$H$9:$H$1592,MATCH("[13120,""B06-BKP-40-N""]",'SKU明细'!$AE$9:$AE$1592,0)))=1,COUNT(INDEX('SKU明细'!$G$9:$G$1592,MATCH("[13120,""B06-BKP-40-N""]",'SKU明细'!$AE$9:$AE$1592,0)))=1,SUM(INDEX('SKU明细'!$G$9:$G$1592,MATCH("[13120,""B06-BKP-40-N""]",'SKU明细'!$AE$9:$AE$1592,0)))&gt;0),SUM(INDEX('SKU明细'!$H$9:$H$1592,MATCH("[13120,""B06-BKP-40-N""]",'SKU明细'!$AE$9:$AE$1592,0)))/SUM(INDEX('SKU明细'!$G$9:$G$1592,MATCH("[13120,""B06-BKP-40-N""]",'SKU明细'!$AE$9:$AE$1592,0))),"待核")</x:f>
        <x:v>23.578947368421055</x:v>
      </x:c>
      <x:c r="O56" s="21" t="n">
        <x:f>IF(AND(COUNT(INDEX('SKU明细'!$H$9:$H$1592,MATCH("[13120,""B06-BKP-40.5""]",'SKU明细'!$AE$9:$AE$1592,0)))=1,COUNT(INDEX('SKU明细'!$G$9:$G$1592,MATCH("[13120,""B06-BKP-40.5""]",'SKU明细'!$AE$9:$AE$1592,0)))=1,SUM(INDEX('SKU明细'!$G$9:$G$1592,MATCH("[13120,""B06-BKP-40.5""]",'SKU明细'!$AE$9:$AE$1592,0)))&gt;0),SUM(INDEX('SKU明细'!$H$9:$H$1592,MATCH("[13120,""B06-BKP-40.5""]",'SKU明细'!$AE$9:$AE$1592,0)))/SUM(INDEX('SKU明细'!$G$9:$G$1592,MATCH("[13120,""B06-BKP-40.5""]",'SKU明细'!$AE$9:$AE$1592,0))),"待核")</x:f>
        <x:v>78.65168539325843</x:v>
      </x:c>
      <x:c r="P56" s="21" t="n">
        <x:f>IF(AND(COUNT(INDEX('SKU明细'!$H$9:$H$1592,MATCH("[13120,""B06-BKP-41-N""]",'SKU明细'!$AE$9:$AE$1592,0)))=1,COUNT(INDEX('SKU明细'!$G$9:$G$1592,MATCH("[13120,""B06-BKP-41-N""]",'SKU明细'!$AE$9:$AE$1592,0)))=1,SUM(INDEX('SKU明细'!$G$9:$G$1592,MATCH("[13120,""B06-BKP-41-N""]",'SKU明细'!$AE$9:$AE$1592,0)))&gt;0),SUM(INDEX('SKU明细'!$H$9:$H$1592,MATCH("[13120,""B06-BKP-41-N""]",'SKU明细'!$AE$9:$AE$1592,0)))/SUM(INDEX('SKU明细'!$G$9:$G$1592,MATCH("[13120,""B06-BKP-41-N""]",'SKU明细'!$AE$9:$AE$1592,0))),"待核")</x:f>
        <x:v>0</x:v>
      </x:c>
      <x:c r="Q56" s="21" t="n">
        <x:f>IF(AND(COUNT(INDEX('SKU明细'!$H$9:$H$1592,MATCH("[13120,""B06-BKP-41.5""]",'SKU明细'!$AE$9:$AE$1592,0)))=1,COUNT(INDEX('SKU明细'!$G$9:$G$1592,MATCH("[13120,""B06-BKP-41.5""]",'SKU明细'!$AE$9:$AE$1592,0)))=1,SUM(INDEX('SKU明细'!$G$9:$G$1592,MATCH("[13120,""B06-BKP-41.5""]",'SKU明细'!$AE$9:$AE$1592,0)))&gt;0),SUM(INDEX('SKU明细'!$H$9:$H$1592,MATCH("[13120,""B06-BKP-41.5""]",'SKU明细'!$AE$9:$AE$1592,0)))/SUM(INDEX('SKU明细'!$G$9:$G$1592,MATCH("[13120,""B06-BKP-41.5""]",'SKU明细'!$AE$9:$AE$1592,0))),"待核")</x:f>
        <x:v>3.9399624765478425</x:v>
      </x:c>
      <x:c r="R56" s="21" t="n">
        <x:f>IF(AND(COUNT(INDEX('SKU明细'!$H$9:$H$1592,MATCH("[13120,""B06-BKP-42-N""]",'SKU明细'!$AE$9:$AE$1592,0)))=1,COUNT(INDEX('SKU明细'!$G$9:$G$1592,MATCH("[13120,""B06-BKP-42-N""]",'SKU明细'!$AE$9:$AE$1592,0)))=1,SUM(INDEX('SKU明细'!$G$9:$G$1592,MATCH("[13120,""B06-BKP-42-N""]",'SKU明细'!$AE$9:$AE$1592,0)))&gt;0),SUM(INDEX('SKU明细'!$H$9:$H$1592,MATCH("[13120,""B06-BKP-42-N""]",'SKU明细'!$AE$9:$AE$1592,0)))/SUM(INDEX('SKU明细'!$G$9:$G$1592,MATCH("[13120,""B06-BKP-42-N""]",'SKU明细'!$AE$9:$AE$1592,0))),"待核")</x:f>
        <x:v>0</x:v>
      </x:c>
      <x:c r="S56" s="21" t="n">
        <x:f>IF(AND(COUNT(INDEX('SKU明细'!$H$9:$H$1592,MATCH("[13120,""B06-BKP-37.5""]",'SKU明细'!$AE$9:$AE$1592,0)),INDEX('SKU明细'!$H$9:$H$1592,MATCH("[13120,""B06-BKP-37""]",'SKU明细'!$AE$9:$AE$1592,0)),INDEX('SKU明细'!$H$9:$H$1592,MATCH("[13120,""B06-BKP-39.5""]",'SKU明细'!$AE$9:$AE$1592,0)),INDEX('SKU明细'!$H$9:$H$1592,MATCH("[13120,""B06-BKP-41-N""]",'SKU明细'!$AE$9:$AE$1592,0)),INDEX('SKU明细'!$H$9:$H$1592,MATCH("[13120,""B06-BKP-42-N""]",'SKU明细'!$AE$9:$AE$1592,0)),INDEX('SKU明细'!$H$9:$H$1592,MATCH("[13120,""B06-BKP-38.5""]",'SKU明细'!$AE$9:$AE$1592,0)),INDEX('SKU明细'!$H$9:$H$1592,MATCH("[13120,""B06-BKP-40.5""]",'SKU明细'!$AE$9:$AE$1592,0)),INDEX('SKU明细'!$H$9:$H$1592,MATCH("[13120,""B06-BKP-38-N""]",'SKU明细'!$AE$9:$AE$1592,0)),INDEX('SKU明细'!$H$9:$H$1592,MATCH("[13120,""B06-BKP-39-N""]",'SKU明细'!$AE$9:$AE$1592,0)),INDEX('SKU明细'!$H$9:$H$1592,MATCH("[13120,""B06-BKP-40-N""]",'SKU明细'!$AE$9:$AE$1592,0)),INDEX('SKU明细'!$H$9:$H$1592,MATCH("[13120,""B06-BKP-41.5""]",'SKU明细'!$AE$9:$AE$1592,0)))=11,COUNT(INDEX('SKU明细'!$G$9:$G$1592,MATCH("[13120,""B06-BKP-37.5""]",'SKU明细'!$AE$9:$AE$1592,0)),INDEX('SKU明细'!$G$9:$G$1592,MATCH("[13120,""B06-BKP-37""]",'SKU明细'!$AE$9:$AE$1592,0)),INDEX('SKU明细'!$G$9:$G$1592,MATCH("[13120,""B06-BKP-39.5""]",'SKU明细'!$AE$9:$AE$1592,0)),INDEX('SKU明细'!$G$9:$G$1592,MATCH("[13120,""B06-BKP-41-N""]",'SKU明细'!$AE$9:$AE$1592,0)),INDEX('SKU明细'!$G$9:$G$1592,MATCH("[13120,""B06-BKP-42-N""]",'SKU明细'!$AE$9:$AE$1592,0)),INDEX('SKU明细'!$G$9:$G$1592,MATCH("[13120,""B06-BKP-38.5""]",'SKU明细'!$AE$9:$AE$1592,0)),INDEX('SKU明细'!$G$9:$G$1592,MATCH("[13120,""B06-BKP-40.5""]",'SKU明细'!$AE$9:$AE$1592,0)),INDEX('SKU明细'!$G$9:$G$1592,MATCH("[13120,""B06-BKP-38-N""]",'SKU明细'!$AE$9:$AE$1592,0)),INDEX('SKU明细'!$G$9:$G$1592,MATCH("[13120,""B06-BKP-39-N""]",'SKU明细'!$AE$9:$AE$1592,0)),INDEX('SKU明细'!$G$9:$G$1592,MATCH("[13120,""B06-BKP-40-N""]",'SKU明细'!$AE$9:$AE$1592,0)),INDEX('SKU明细'!$G$9:$G$1592,MATCH("[13120,""B06-BKP-41.5""]",'SKU明细'!$AE$9:$AE$1592,0)))=11,SUM(INDEX('SKU明细'!$G$9:$G$1592,MATCH("[13120,""B06-BKP-37.5""]",'SKU明细'!$AE$9:$AE$1592,0)),INDEX('SKU明细'!$G$9:$G$1592,MATCH("[13120,""B06-BKP-37""]",'SKU明细'!$AE$9:$AE$1592,0)),INDEX('SKU明细'!$G$9:$G$1592,MATCH("[13120,""B06-BKP-39.5""]",'SKU明细'!$AE$9:$AE$1592,0)),INDEX('SKU明细'!$G$9:$G$1592,MATCH("[13120,""B06-BKP-41-N""]",'SKU明细'!$AE$9:$AE$1592,0)),INDEX('SKU明细'!$G$9:$G$1592,MATCH("[13120,""B06-BKP-42-N""]",'SKU明细'!$AE$9:$AE$1592,0)),INDEX('SKU明细'!$G$9:$G$1592,MATCH("[13120,""B06-BKP-38.5""]",'SKU明细'!$AE$9:$AE$1592,0)),INDEX('SKU明细'!$G$9:$G$1592,MATCH("[13120,""B06-BKP-40.5""]",'SKU明细'!$AE$9:$AE$1592,0)),INDEX('SKU明细'!$G$9:$G$1592,MATCH("[13120,""B06-BKP-38-N""]",'SKU明细'!$AE$9:$AE$1592,0)),INDEX('SKU明细'!$G$9:$G$1592,MATCH("[13120,""B06-BKP-39-N""]",'SKU明细'!$AE$9:$AE$1592,0)),INDEX('SKU明细'!$G$9:$G$1592,MATCH("[13120,""B06-BKP-40-N""]",'SKU明细'!$AE$9:$AE$1592,0)),INDEX('SKU明细'!$G$9:$G$1592,MATCH("[13120,""B06-BKP-41.5""]",'SKU明细'!$AE$9:$AE$1592,0)))&gt;0),SUM(INDEX('SKU明细'!$H$9:$H$1592,MATCH("[13120,""B06-BKP-37.5""]",'SKU明细'!$AE$9:$AE$1592,0)),INDEX('SKU明细'!$H$9:$H$1592,MATCH("[13120,""B06-BKP-37""]",'SKU明细'!$AE$9:$AE$1592,0)),INDEX('SKU明细'!$H$9:$H$1592,MATCH("[13120,""B06-BKP-39.5""]",'SKU明细'!$AE$9:$AE$1592,0)),INDEX('SKU明细'!$H$9:$H$1592,MATCH("[13120,""B06-BKP-41-N""]",'SKU明细'!$AE$9:$AE$1592,0)),INDEX('SKU明细'!$H$9:$H$1592,MATCH("[13120,""B06-BKP-42-N""]",'SKU明细'!$AE$9:$AE$1592,0)),INDEX('SKU明细'!$H$9:$H$1592,MATCH("[13120,""B06-BKP-38.5""]",'SKU明细'!$AE$9:$AE$1592,0)),INDEX('SKU明细'!$H$9:$H$1592,MATCH("[13120,""B06-BKP-40.5""]",'SKU明细'!$AE$9:$AE$1592,0)),INDEX('SKU明细'!$H$9:$H$1592,MATCH("[13120,""B06-BKP-38-N""]",'SKU明细'!$AE$9:$AE$1592,0)),INDEX('SKU明细'!$H$9:$H$1592,MATCH("[13120,""B06-BKP-39-N""]",'SKU明细'!$AE$9:$AE$1592,0)),INDEX('SKU明细'!$H$9:$H$1592,MATCH("[13120,""B06-BKP-40-N""]",'SKU明细'!$AE$9:$AE$1592,0)),INDEX('SKU明细'!$H$9:$H$1592,MATCH("[13120,""B06-BKP-41.5""]",'SKU明细'!$AE$9:$AE$1592,0)))/SUM(INDEX('SKU明细'!$G$9:$G$1592,MATCH("[13120,""B06-BKP-37.5""]",'SKU明细'!$AE$9:$AE$1592,0)),INDEX('SKU明细'!$G$9:$G$1592,MATCH("[13120,""B06-BKP-37""]",'SKU明细'!$AE$9:$AE$1592,0)),INDEX('SKU明细'!$G$9:$G$1592,MATCH("[13120,""B06-BKP-39.5""]",'SKU明细'!$AE$9:$AE$1592,0)),INDEX('SKU明细'!$G$9:$G$1592,MATCH("[13120,""B06-BKP-41-N""]",'SKU明细'!$AE$9:$AE$1592,0)),INDEX('SKU明细'!$G$9:$G$1592,MATCH("[13120,""B06-BKP-42-N""]",'SKU明细'!$AE$9:$AE$1592,0)),INDEX('SKU明细'!$G$9:$G$1592,MATCH("[13120,""B06-BKP-38.5""]",'SKU明细'!$AE$9:$AE$1592,0)),INDEX('SKU明细'!$G$9:$G$1592,MATCH("[13120,""B06-BKP-40.5""]",'SKU明细'!$AE$9:$AE$1592,0)),INDEX('SKU明细'!$G$9:$G$1592,MATCH("[13120,""B06-BKP-38-N""]",'SKU明细'!$AE$9:$AE$1592,0)),INDEX('SKU明细'!$G$9:$G$1592,MATCH("[13120,""B06-BKP-39-N""]",'SKU明细'!$AE$9:$AE$1592,0)),INDEX('SKU明细'!$G$9:$G$1592,MATCH("[13120,""B06-BKP-40-N""]",'SKU明细'!$AE$9:$AE$1592,0)),INDEX('SKU明细'!$G$9:$G$1592,MATCH("[13120,""B06-BKP-41.5""]",'SKU明细'!$AE$9:$AE$1592,0))),"待核")</x:f>
        <x:v>36.52005888847994</x:v>
      </x:c>
      <x:c r="T56" s="21" t="n">
        <x:f>IF(AND(COUNT(INDEX('SKU明细'!$I$9:$I$1592,MATCH("[13120,""B06-BKP-37.5""]",'SKU明细'!$AE$9:$AE$1592,0)),INDEX('SKU明细'!$I$9:$I$1592,MATCH("[13120,""B06-BKP-37""]",'SKU明细'!$AE$9:$AE$1592,0)),INDEX('SKU明细'!$I$9:$I$1592,MATCH("[13120,""B06-BKP-39.5""]",'SKU明细'!$AE$9:$AE$1592,0)),INDEX('SKU明细'!$I$9:$I$1592,MATCH("[13120,""B06-BKP-41-N""]",'SKU明细'!$AE$9:$AE$1592,0)),INDEX('SKU明细'!$I$9:$I$1592,MATCH("[13120,""B06-BKP-42-N""]",'SKU明细'!$AE$9:$AE$1592,0)),INDEX('SKU明细'!$I$9:$I$1592,MATCH("[13120,""B06-BKP-38.5""]",'SKU明细'!$AE$9:$AE$1592,0)),INDEX('SKU明细'!$I$9:$I$1592,MATCH("[13120,""B06-BKP-40.5""]",'SKU明细'!$AE$9:$AE$1592,0)),INDEX('SKU明细'!$I$9:$I$1592,MATCH("[13120,""B06-BKP-38-N""]",'SKU明细'!$AE$9:$AE$1592,0)),INDEX('SKU明细'!$I$9:$I$1592,MATCH("[13120,""B06-BKP-39-N""]",'SKU明细'!$AE$9:$AE$1592,0)),INDEX('SKU明细'!$I$9:$I$1592,MATCH("[13120,""B06-BKP-40-N""]",'SKU明细'!$AE$9:$AE$1592,0)),INDEX('SKU明细'!$I$9:$I$1592,MATCH("[13120,""B06-BKP-41.5""]",'SKU明细'!$AE$9:$AE$1592,0)))=11,COUNT(INDEX('SKU明细'!$AD$9:$AD$1592,MATCH("[13120,""B06-BKP-37.5""]",'SKU明细'!$AE$9:$AE$1592,0)),INDEX('SKU明细'!$AD$9:$AD$1592,MATCH("[13120,""B06-BKP-37""]",'SKU明细'!$AE$9:$AE$1592,0)),INDEX('SKU明细'!$AD$9:$AD$1592,MATCH("[13120,""B06-BKP-39.5""]",'SKU明细'!$AE$9:$AE$1592,0)),INDEX('SKU明细'!$AD$9:$AD$1592,MATCH("[13120,""B06-BKP-41-N""]",'SKU明细'!$AE$9:$AE$1592,0)),INDEX('SKU明细'!$AD$9:$AD$1592,MATCH("[13120,""B06-BKP-42-N""]",'SKU明细'!$AE$9:$AE$1592,0)),INDEX('SKU明细'!$AD$9:$AD$1592,MATCH("[13120,""B06-BKP-38.5""]",'SKU明细'!$AE$9:$AE$1592,0)),INDEX('SKU明细'!$AD$9:$AD$1592,MATCH("[13120,""B06-BKP-40.5""]",'SKU明细'!$AE$9:$AE$1592,0)),INDEX('SKU明细'!$AD$9:$AD$1592,MATCH("[13120,""B06-BKP-38-N""]",'SKU明细'!$AE$9:$AE$1592,0)),INDEX('SKU明细'!$AD$9:$AD$1592,MATCH("[13120,""B06-BKP-39-N""]",'SKU明细'!$AE$9:$AE$1592,0)),INDEX('SKU明细'!$AD$9:$AD$1592,MATCH("[13120,""B06-BKP-40-N""]",'SKU明细'!$AE$9:$AE$1592,0)),INDEX('SKU明细'!$AD$9:$AD$1592,MATCH("[13120,""B06-BKP-41.5""]",'SKU明细'!$AE$9:$AE$1592,0)))=11,SUM(INDEX('SKU明细'!$AD$9:$AD$1592,MATCH("[13120,""B06-BKP-37.5""]",'SKU明细'!$AE$9:$AE$1592,0)),INDEX('SKU明细'!$AD$9:$AD$1592,MATCH("[13120,""B06-BKP-37""]",'SKU明细'!$AE$9:$AE$1592,0)),INDEX('SKU明细'!$AD$9:$AD$1592,MATCH("[13120,""B06-BKP-39.5""]",'SKU明细'!$AE$9:$AE$1592,0)),INDEX('SKU明细'!$AD$9:$AD$1592,MATCH("[13120,""B06-BKP-41-N""]",'SKU明细'!$AE$9:$AE$1592,0)),INDEX('SKU明细'!$AD$9:$AD$1592,MATCH("[13120,""B06-BKP-42-N""]",'SKU明细'!$AE$9:$AE$1592,0)),INDEX('SKU明细'!$AD$9:$AD$1592,MATCH("[13120,""B06-BKP-38.5""]",'SKU明细'!$AE$9:$AE$1592,0)),INDEX('SKU明细'!$AD$9:$AD$1592,MATCH("[13120,""B06-BKP-40.5""]",'SKU明细'!$AE$9:$AE$1592,0)),INDEX('SKU明细'!$AD$9:$AD$1592,MATCH("[13120,""B06-BKP-38-N""]",'SKU明细'!$AE$9:$AE$1592,0)),INDEX('SKU明细'!$AD$9:$AD$1592,MATCH("[13120,""B06-BKP-39-N""]",'SKU明细'!$AE$9:$AE$1592,0)),INDEX('SKU明细'!$AD$9:$AD$1592,MATCH("[13120,""B06-BKP-40-N""]",'SKU明细'!$AE$9:$AE$1592,0)),INDEX('SKU明细'!$AD$9:$AD$1592,MATCH("[13120,""B06-BKP-41.5""]",'SKU明细'!$AE$9:$AE$1592,0)))&gt;0),SUM(INDEX('SKU明细'!$I$9:$I$1592,MATCH("[13120,""B06-BKP-37.5""]",'SKU明细'!$AE$9:$AE$1592,0)),INDEX('SKU明细'!$I$9:$I$1592,MATCH("[13120,""B06-BKP-37""]",'SKU明细'!$AE$9:$AE$1592,0)),INDEX('SKU明细'!$I$9:$I$1592,MATCH("[13120,""B06-BKP-39.5""]",'SKU明细'!$AE$9:$AE$1592,0)),INDEX('SKU明细'!$I$9:$I$1592,MATCH("[13120,""B06-BKP-41-N""]",'SKU明细'!$AE$9:$AE$1592,0)),INDEX('SKU明细'!$I$9:$I$1592,MATCH("[13120,""B06-BKP-42-N""]",'SKU明细'!$AE$9:$AE$1592,0)),INDEX('SKU明细'!$I$9:$I$1592,MATCH("[13120,""B06-BKP-38.5""]",'SKU明细'!$AE$9:$AE$1592,0)),INDEX('SKU明细'!$I$9:$I$1592,MATCH("[13120,""B06-BKP-40.5""]",'SKU明细'!$AE$9:$AE$1592,0)),INDEX('SKU明细'!$I$9:$I$1592,MATCH("[13120,""B06-BKP-38-N""]",'SKU明细'!$AE$9:$AE$1592,0)),INDEX('SKU明细'!$I$9:$I$1592,MATCH("[13120,""B06-BKP-39-N""]",'SKU明细'!$AE$9:$AE$1592,0)),INDEX('SKU明细'!$I$9:$I$1592,MATCH("[13120,""B06-BKP-40-N""]",'SKU明细'!$AE$9:$AE$1592,0)),INDEX('SKU明细'!$I$9:$I$1592,MATCH("[13120,""B06-BKP-41.5""]",'SKU明细'!$AE$9:$AE$1592,0)))/SUM(INDEX('SKU明细'!$AD$9:$AD$1592,MATCH("[13120,""B06-BKP-37.5""]",'SKU明细'!$AE$9:$AE$1592,0)),INDEX('SKU明细'!$AD$9:$AD$1592,MATCH("[13120,""B06-BKP-37""]",'SKU明细'!$AE$9:$AE$1592,0)),INDEX('SKU明细'!$AD$9:$AD$1592,MATCH("[13120,""B06-BKP-39.5""]",'SKU明细'!$AE$9:$AE$1592,0)),INDEX('SKU明细'!$AD$9:$AD$1592,MATCH("[13120,""B06-BKP-41-N""]",'SKU明细'!$AE$9:$AE$1592,0)),INDEX('SKU明细'!$AD$9:$AD$1592,MATCH("[13120,""B06-BKP-42-N""]",'SKU明细'!$AE$9:$AE$1592,0)),INDEX('SKU明细'!$AD$9:$AD$1592,MATCH("[13120,""B06-BKP-38.5""]",'SKU明细'!$AE$9:$AE$1592,0)),INDEX('SKU明细'!$AD$9:$AD$1592,MATCH("[13120,""B06-BKP-40.5""]",'SKU明细'!$AE$9:$AE$1592,0)),INDEX('SKU明细'!$AD$9:$AD$1592,MATCH("[13120,""B06-BKP-38-N""]",'SKU明细'!$AE$9:$AE$1592,0)),INDEX('SKU明细'!$AD$9:$AD$1592,MATCH("[13120,""B06-BKP-39-N""]",'SKU明细'!$AE$9:$AE$1592,0)),INDEX('SKU明细'!$AD$9:$AD$1592,MATCH("[13120,""B06-BKP-40-N""]",'SKU明细'!$AE$9:$AE$1592,0)),INDEX('SKU明细'!$AD$9:$AD$1592,MATCH("[13120,""B06-BKP-41.5""]",'SKU明细'!$AE$9:$AE$1592,0))),"待核")</x:f>
        <x:v>43.256616800920604</x:v>
      </x:c>
      <x:c r="U56" s="21" t="n">
        <x:f>IF(COUNT(S56:T56)=2,S56-T56,"待核")</x:f>
        <x:v>-6.7365579124406665</x:v>
      </x:c>
      <x:c r="V56" s="22" t="n">
        <x:f>IF(AND(ISNUMBER(U56),ISNUMBER(T56),T56&lt;&gt;0),U56/T56,"")</x:f>
        <x:v>-0.15573473865152804</x:v>
      </x:c>
      <x:c r="W56" s="23" t="n">
        <x:f>IF(COUNT(INDEX('SKU明细'!$H$9:$H$1592,MATCH("[13120,""B06-BKP-37.5""]",'SKU明细'!$AE$9:$AE$1592,0)),INDEX('SKU明细'!$H$9:$H$1592,MATCH("[13120,""B06-BKP-37""]",'SKU明细'!$AE$9:$AE$1592,0)),INDEX('SKU明细'!$H$9:$H$1592,MATCH("[13120,""B06-BKP-39.5""]",'SKU明细'!$AE$9:$AE$1592,0)),INDEX('SKU明细'!$H$9:$H$1592,MATCH("[13120,""B06-BKP-41-N""]",'SKU明细'!$AE$9:$AE$1592,0)),INDEX('SKU明细'!$H$9:$H$1592,MATCH("[13120,""B06-BKP-42-N""]",'SKU明细'!$AE$9:$AE$1592,0)),INDEX('SKU明细'!$H$9:$H$1592,MATCH("[13120,""B06-BKP-38.5""]",'SKU明细'!$AE$9:$AE$1592,0)),INDEX('SKU明细'!$H$9:$H$1592,MATCH("[13120,""B06-BKP-40.5""]",'SKU明细'!$AE$9:$AE$1592,0)),INDEX('SKU明细'!$H$9:$H$1592,MATCH("[13120,""B06-BKP-38-N""]",'SKU明细'!$AE$9:$AE$1592,0)),INDEX('SKU明细'!$H$9:$H$1592,MATCH("[13120,""B06-BKP-39-N""]",'SKU明细'!$AE$9:$AE$1592,0)),INDEX('SKU明细'!$H$9:$H$1592,MATCH("[13120,""B06-BKP-40-N""]",'SKU明细'!$AE$9:$AE$1592,0)),INDEX('SKU明细'!$H$9:$H$1592,MATCH("[13120,""B06-BKP-41.5""]",'SKU明细'!$AE$9:$AE$1592,0)))=0,"待核",SUM(INDEX('SKU明细'!$H$9:$H$1592,MATCH("[13120,""B06-BKP-37.5""]",'SKU明细'!$AE$9:$AE$1592,0)),INDEX('SKU明细'!$H$9:$H$1592,MATCH("[13120,""B06-BKP-37""]",'SKU明细'!$AE$9:$AE$1592,0)),INDEX('SKU明细'!$H$9:$H$1592,MATCH("[13120,""B06-BKP-39.5""]",'SKU明细'!$AE$9:$AE$1592,0)),INDEX('SKU明细'!$H$9:$H$1592,MATCH("[13120,""B06-BKP-41-N""]",'SKU明细'!$AE$9:$AE$1592,0)),INDEX('SKU明细'!$H$9:$H$1592,MATCH("[13120,""B06-BKP-42-N""]",'SKU明细'!$AE$9:$AE$1592,0)),INDEX('SKU明细'!$H$9:$H$1592,MATCH("[13120,""B06-BKP-38.5""]",'SKU明细'!$AE$9:$AE$1592,0)),INDEX('SKU明细'!$H$9:$H$1592,MATCH("[13120,""B06-BKP-40.5""]",'SKU明细'!$AE$9:$AE$1592,0)),INDEX('SKU明细'!$H$9:$H$1592,MATCH("[13120,""B06-BKP-38-N""]",'SKU明细'!$AE$9:$AE$1592,0)),INDEX('SKU明细'!$H$9:$H$1592,MATCH("[13120,""B06-BKP-39-N""]",'SKU明细'!$AE$9:$AE$1592,0)),INDEX('SKU明细'!$H$9:$H$1592,MATCH("[13120,""B06-BKP-40-N""]",'SKU明细'!$AE$9:$AE$1592,0)),INDEX('SKU明细'!$H$9:$H$1592,MATCH("[13120,""B06-BKP-41.5""]",'SKU明细'!$AE$9:$AE$1592,0))))</x:f>
        <x:v>189</x:v>
      </x:c>
      <x:c r="X56" s="24" t="str">
        <x:f>IF(COUNTIFS('SKU明细'!$AH$9:$AH$1592,"[""B06"",""B06-BKP"",""BKP"",""黑色PU""]",'SKU明细'!$E$9:$E$1592,"促销")&gt;0,"促销 ","")&amp;IF(COUNTIFS('SKU明细'!$AH$9:$AH$1592,"[""B06"",""B06-BKP"",""BKP"",""黑色PU""]",'SKU明细'!$E$9:$E$1592,"红线促销")&gt;0,"红线促销 ","")&amp;IF(COUNTIFS('SKU明细'!$AH$9:$AH$1592,"[""B06"",""B06-BKP"",""BKP"",""黑色PU""]",'SKU明细'!$E$9:$E$1592,"考虑清仓")&gt;0,"考虑清仓 ","")&amp;IF(COUNTIFS('SKU明细'!$AH$9:$AH$1592,"[""B06"",""B06-BKP"",""BKP"",""黑色PU""]",'SKU明细'!$E$9:$E$1592,"断货")&gt;0,"断货 ","")&amp;IF(COUNTIFS('SKU明细'!$AH$9:$AH$1592,"[""B06"",""B06-BKP"",""BKP"",""黑色PU""]",'SKU明细'!$E$9:$E$1592,"零日销待复核")&gt;0,"零日销待复核 ","")&amp;IF(COUNTIFS('SKU明细'!$AH$9:$AH$1592,"[""B06"",""B06-BKP"",""BKP"",""黑色PU""]",'SKU明细'!$E$9:$E$1592,"数据待核")&gt;0,"数据待核 ","")&amp;IF(COUNTIFS('SKU明细'!$AH$9:$AH$1592,"[""B06"",""B06-BKP"",""BKP"",""黑色PU""]",'SKU明细'!$E$9:$E$1592,"正常库存")&gt;0,"正常库存 ","")&amp;IF(COUNTIFS('SKU明细'!$AH$9:$AH$1592,"[""B06"",""B06-BKP"",""BKP"",""黑色PU""]",'SKU明细'!$E$9:$E$1592,"补货提醒")&gt;0,"补货提醒 ","")</x:f>
        <x:v>促销 断货 正常库存 补货提醒 </x:v>
      </x:c>
      <x:c r="Y56" s="24" t="str">
        <x:f>IF(NOT(ISNUMBER(U56)),"覆盖待核／无可比基准","完整可比")</x:f>
        <x:v>完整可比</x:v>
      </x:c>
      <x:c r="Z56" s="24" t="str">
        <x:v>在售、停售</x:v>
      </x:c>
      <x:c r="AA56" s="24" t="n">
        <x:f>IF(SUMIFS('SKU明细'!$AF$9:$AF$1592,'SKU明细'!$D$9:$D$1592,A56,'SKU明细'!$Z$9:$Z$1592,"&lt;&gt;移出")=0,"待核",SUMIFS('SKU明细'!$H$9:$H$1592,'SKU明细'!$D$9:$D$1592,A56,'SKU明细'!$Z$9:$Z$1592,"&lt;&gt;移出"))</x:f>
        <x:v>2095</x:v>
      </x:c>
    </x:row>
    <x:row r="57" ht="54" customHeight="1">
      <x:c r="A57" s="20" t="str">
        <x:v>B06</x:v>
      </x:c>
      <x:c r="B57" s="20" t="str">
        <x:v>艾年</x:v>
      </x:c>
      <x:c r="C57" s="20" t="str">
        <x:v>黑色镜面PU</x:v>
      </x:c>
      <x:c r="D57" s="20" t="str">
        <x:v>BP</x:v>
      </x:c>
      <x:c r="E57" s="20" t="str">
        <x:v>B06-BP</x:v>
      </x:c>
      <x:c r="F57" s="20"/>
      <x:c r="G57" s="21" t="str">
        <x:f>"—"</x:f>
        <x:v>—</x:v>
      </x:c>
      <x:c r="H57" s="21" t="str">
        <x:f>"—"</x:f>
        <x:v>—</x:v>
      </x:c>
      <x:c r="I57" s="21" t="n">
        <x:f>IF(AND(COUNT(INDEX('SKU明细'!$H$9:$H$1592,MATCH("[13120,""B06-BP-37.5""]",'SKU明细'!$AE$9:$AE$1592,0)))=1,COUNT(INDEX('SKU明细'!$G$9:$G$1592,MATCH("[13120,""B06-BP-37.5""]",'SKU明细'!$AE$9:$AE$1592,0)))=1,SUM(INDEX('SKU明细'!$G$9:$G$1592,MATCH("[13120,""B06-BP-37.5""]",'SKU明细'!$AE$9:$AE$1592,0)))&gt;0),SUM(INDEX('SKU明细'!$H$9:$H$1592,MATCH("[13120,""B06-BP-37.5""]",'SKU明细'!$AE$9:$AE$1592,0)))/SUM(INDEX('SKU明细'!$G$9:$G$1592,MATCH("[13120,""B06-BP-37.5""]",'SKU明细'!$AE$9:$AE$1592,0))),"待核")</x:f>
        <x:v>499.9999999999999</x:v>
      </x:c>
      <x:c r="J57" s="21" t="str">
        <x:f>"—"</x:f>
        <x:v>—</x:v>
      </x:c>
      <x:c r="K57" s="21" t="str">
        <x:f>IF(AND(COUNT(INDEX('SKU明细'!$H$9:$H$1592,MATCH("[13120,""B06-BP-38.5""]",'SKU明细'!$AE$9:$AE$1592,0)))=1,COUNT(INDEX('SKU明细'!$G$9:$G$1592,MATCH("[13120,""B06-BP-38.5""]",'SKU明细'!$AE$9:$AE$1592,0)))=1,SUM(INDEX('SKU明细'!$G$9:$G$1592,MATCH("[13120,""B06-BP-38.5""]",'SKU明细'!$AE$9:$AE$1592,0)))&gt;0),SUM(INDEX('SKU明细'!$H$9:$H$1592,MATCH("[13120,""B06-BP-38.5""]",'SKU明细'!$AE$9:$AE$1592,0)))/SUM(INDEX('SKU明细'!$G$9:$G$1592,MATCH("[13120,""B06-BP-38.5""]",'SKU明细'!$AE$9:$AE$1592,0))),"待核")</x:f>
        <x:v>待核</x:v>
      </x:c>
      <x:c r="L57" s="21" t="str">
        <x:f>"—"</x:f>
        <x:v>—</x:v>
      </x:c>
      <x:c r="M57" s="21" t="n">
        <x:f>IF(AND(COUNT(INDEX('SKU明细'!$H$9:$H$1592,MATCH("[13120,""B06-BP-39.5""]",'SKU明细'!$AE$9:$AE$1592,0)))=1,COUNT(INDEX('SKU明细'!$G$9:$G$1592,MATCH("[13120,""B06-BP-39.5""]",'SKU明细'!$AE$9:$AE$1592,0)))=1,SUM(INDEX('SKU明细'!$G$9:$G$1592,MATCH("[13120,""B06-BP-39.5""]",'SKU明细'!$AE$9:$AE$1592,0)))&gt;0),SUM(INDEX('SKU明细'!$H$9:$H$1592,MATCH("[13120,""B06-BP-39.5""]",'SKU明细'!$AE$9:$AE$1592,0)))/SUM(INDEX('SKU明细'!$G$9:$G$1592,MATCH("[13120,""B06-BP-39.5""]",'SKU明细'!$AE$9:$AE$1592,0))),"待核")</x:f>
        <x:v>28.378378378378383</x:v>
      </x:c>
      <x:c r="N57" s="21" t="str">
        <x:f>"—"</x:f>
        <x:v>—</x:v>
      </x:c>
      <x:c r="O57" s="21" t="str">
        <x:f>"—"</x:f>
        <x:v>—</x:v>
      </x:c>
      <x:c r="P57" s="21" t="str">
        <x:f>"—"</x:f>
        <x:v>—</x:v>
      </x:c>
      <x:c r="Q57" s="21" t="str">
        <x:f>"—"</x:f>
        <x:v>—</x:v>
      </x:c>
      <x:c r="R57" s="21" t="str">
        <x:f>"—"</x:f>
        <x:v>—</x:v>
      </x:c>
      <x:c r="S57" s="21" t="n">
        <x:f>IF(AND(COUNT(INDEX('SKU明细'!$H$9:$H$1592,MATCH("[13120,""B06-BP-37.5""]",'SKU明细'!$AE$9:$AE$1592,0)),INDEX('SKU明细'!$H$9:$H$1592,MATCH("[13120,""B06-BP-38.5""]",'SKU明细'!$AE$9:$AE$1592,0)),INDEX('SKU明细'!$H$9:$H$1592,MATCH("[13120,""B06-BP-39.5""]",'SKU明细'!$AE$9:$AE$1592,0)))=3,COUNT(INDEX('SKU明细'!$G$9:$G$1592,MATCH("[13120,""B06-BP-37.5""]",'SKU明细'!$AE$9:$AE$1592,0)),INDEX('SKU明细'!$G$9:$G$1592,MATCH("[13120,""B06-BP-38.5""]",'SKU明细'!$AE$9:$AE$1592,0)),INDEX('SKU明细'!$G$9:$G$1592,MATCH("[13120,""B06-BP-39.5""]",'SKU明细'!$AE$9:$AE$1592,0)))=3,SUM(INDEX('SKU明细'!$G$9:$G$1592,MATCH("[13120,""B06-BP-37.5""]",'SKU明细'!$AE$9:$AE$1592,0)),INDEX('SKU明细'!$G$9:$G$1592,MATCH("[13120,""B06-BP-38.5""]",'SKU明细'!$AE$9:$AE$1592,0)),INDEX('SKU明细'!$G$9:$G$1592,MATCH("[13120,""B06-BP-39.5""]",'SKU明细'!$AE$9:$AE$1592,0)))&gt;0),SUM(INDEX('SKU明细'!$H$9:$H$1592,MATCH("[13120,""B06-BP-37.5""]",'SKU明细'!$AE$9:$AE$1592,0)),INDEX('SKU明细'!$H$9:$H$1592,MATCH("[13120,""B06-BP-38.5""]",'SKU明细'!$AE$9:$AE$1592,0)),INDEX('SKU明细'!$H$9:$H$1592,MATCH("[13120,""B06-BP-39.5""]",'SKU明细'!$AE$9:$AE$1592,0)))/SUM(INDEX('SKU明细'!$G$9:$G$1592,MATCH("[13120,""B06-BP-37.5""]",'SKU明细'!$AE$9:$AE$1592,0)),INDEX('SKU明细'!$G$9:$G$1592,MATCH("[13120,""B06-BP-38.5""]",'SKU明细'!$AE$9:$AE$1592,0)),INDEX('SKU明细'!$G$9:$G$1592,MATCH("[13120,""B06-BP-39.5""]",'SKU明细'!$AE$9:$AE$1592,0))),"待核")</x:f>
        <x:v>86.98224852071006</x:v>
      </x:c>
      <x:c r="T57" s="21" t="str">
        <x:f>IF(AND(COUNT(INDEX('SKU明细'!$I$9:$I$1592,MATCH("[13120,""B06-BP-37.5""]",'SKU明细'!$AE$9:$AE$1592,0)),INDEX('SKU明细'!$I$9:$I$1592,MATCH("[13120,""B06-BP-38.5""]",'SKU明细'!$AE$9:$AE$1592,0)),INDEX('SKU明细'!$I$9:$I$1592,MATCH("[13120,""B06-BP-39.5""]",'SKU明细'!$AE$9:$AE$1592,0)))=3,COUNT(INDEX('SKU明细'!$AD$9:$AD$1592,MATCH("[13120,""B06-BP-37.5""]",'SKU明细'!$AE$9:$AE$1592,0)),INDEX('SKU明细'!$AD$9:$AD$1592,MATCH("[13120,""B06-BP-38.5""]",'SKU明细'!$AE$9:$AE$1592,0)),INDEX('SKU明细'!$AD$9:$AD$1592,MATCH("[13120,""B06-BP-39.5""]",'SKU明细'!$AE$9:$AE$1592,0)))=3,SUM(INDEX('SKU明细'!$AD$9:$AD$1592,MATCH("[13120,""B06-BP-37.5""]",'SKU明细'!$AE$9:$AE$1592,0)),INDEX('SKU明细'!$AD$9:$AD$1592,MATCH("[13120,""B06-BP-38.5""]",'SKU明细'!$AE$9:$AE$1592,0)),INDEX('SKU明细'!$AD$9:$AD$1592,MATCH("[13120,""B06-BP-39.5""]",'SKU明细'!$AE$9:$AE$1592,0)))&gt;0),SUM(INDEX('SKU明细'!$I$9:$I$1592,MATCH("[13120,""B06-BP-37.5""]",'SKU明细'!$AE$9:$AE$1592,0)),INDEX('SKU明细'!$I$9:$I$1592,MATCH("[13120,""B06-BP-38.5""]",'SKU明细'!$AE$9:$AE$1592,0)),INDEX('SKU明细'!$I$9:$I$1592,MATCH("[13120,""B06-BP-39.5""]",'SKU明细'!$AE$9:$AE$1592,0)))/SUM(INDEX('SKU明细'!$AD$9:$AD$1592,MATCH("[13120,""B06-BP-37.5""]",'SKU明细'!$AE$9:$AE$1592,0)),INDEX('SKU明细'!$AD$9:$AD$1592,MATCH("[13120,""B06-BP-38.5""]",'SKU明细'!$AE$9:$AE$1592,0)),INDEX('SKU明细'!$AD$9:$AD$1592,MATCH("[13120,""B06-BP-39.5""]",'SKU明细'!$AE$9:$AE$1592,0))),"待核")</x:f>
        <x:v>待核</x:v>
      </x:c>
      <x:c r="U57" s="21" t="str">
        <x:f>IF(COUNT(S57:T57)=2,S57-T57,"待核")</x:f>
        <x:v>待核</x:v>
      </x:c>
      <x:c r="V57" s="22" t="str">
        <x:f>IF(AND(ISNUMBER(U57),ISNUMBER(T57),T57&lt;&gt;0),U57/T57,"")</x:f>
      </x:c>
      <x:c r="W57" s="23" t="n">
        <x:f>IF(COUNT(INDEX('SKU明细'!$H$9:$H$1592,MATCH("[13120,""B06-BP-37.5""]",'SKU明细'!$AE$9:$AE$1592,0)),INDEX('SKU明细'!$H$9:$H$1592,MATCH("[13120,""B06-BP-38.5""]",'SKU明细'!$AE$9:$AE$1592,0)),INDEX('SKU明细'!$H$9:$H$1592,MATCH("[13120,""B06-BP-39.5""]",'SKU明细'!$AE$9:$AE$1592,0)))=0,"待核",SUM(INDEX('SKU明细'!$H$9:$H$1592,MATCH("[13120,""B06-BP-37.5""]",'SKU明细'!$AE$9:$AE$1592,0)),INDEX('SKU明细'!$H$9:$H$1592,MATCH("[13120,""B06-BP-38.5""]",'SKU明细'!$AE$9:$AE$1592,0)),INDEX('SKU明细'!$H$9:$H$1592,MATCH("[13120,""B06-BP-39.5""]",'SKU明细'!$AE$9:$AE$1592,0))))</x:f>
        <x:v>14</x:v>
      </x:c>
      <x:c r="X57" s="24" t="str">
        <x:f>IF(COUNTIFS('SKU明细'!$AH$9:$AH$1592,"[""B06"",""B06-BP"",""BP"",""黑色镜面PU""]",'SKU明细'!$E$9:$E$1592,"促销")&gt;0,"促销 ","")&amp;IF(COUNTIFS('SKU明细'!$AH$9:$AH$1592,"[""B06"",""B06-BP"",""BP"",""黑色镜面PU""]",'SKU明细'!$E$9:$E$1592,"红线促销")&gt;0,"红线促销 ","")&amp;IF(COUNTIFS('SKU明细'!$AH$9:$AH$1592,"[""B06"",""B06-BP"",""BP"",""黑色镜面PU""]",'SKU明细'!$E$9:$E$1592,"考虑清仓")&gt;0,"考虑清仓 ","")&amp;IF(COUNTIFS('SKU明细'!$AH$9:$AH$1592,"[""B06"",""B06-BP"",""BP"",""黑色镜面PU""]",'SKU明细'!$E$9:$E$1592,"断货")&gt;0,"断货 ","")&amp;IF(COUNTIFS('SKU明细'!$AH$9:$AH$1592,"[""B06"",""B06-BP"",""BP"",""黑色镜面PU""]",'SKU明细'!$E$9:$E$1592,"零日销待复核")&gt;0,"零日销待复核 ","")&amp;IF(COUNTIFS('SKU明细'!$AH$9:$AH$1592,"[""B06"",""B06-BP"",""BP"",""黑色镜面PU""]",'SKU明细'!$E$9:$E$1592,"数据待核")&gt;0,"数据待核 ","")&amp;IF(COUNTIFS('SKU明细'!$AH$9:$AH$1592,"[""B06"",""B06-BP"",""BP"",""黑色镜面PU""]",'SKU明细'!$E$9:$E$1592,"正常库存")&gt;0,"正常库存 ","")&amp;IF(COUNTIFS('SKU明细'!$AH$9:$AH$1592,"[""B06"",""B06-BP"",""BP"",""黑色镜面PU""]",'SKU明细'!$E$9:$E$1592,"补货提醒")&gt;0,"补货提醒 ","")</x:f>
        <x:v>考虑清仓 断货 补货提醒 </x:v>
      </x:c>
      <x:c r="Y57" s="24" t="str">
        <x:f>IF(NOT(ISNUMBER(U57)),"覆盖待核／无可比基准","完整可比")</x:f>
        <x:v>覆盖待核／无可比基准</x:v>
      </x:c>
      <x:c r="Z57" s="24" t="str">
        <x:v>在售、停售</x:v>
      </x:c>
      <x:c r="AA57" s="24" t="n">
        <x:f>IF(SUMIFS('SKU明细'!$AF$9:$AF$1592,'SKU明细'!$D$9:$D$1592,A57,'SKU明细'!$Z$9:$Z$1592,"&lt;&gt;移出")=0,"待核",SUMIFS('SKU明细'!$H$9:$H$1592,'SKU明细'!$D$9:$D$1592,A57,'SKU明细'!$Z$9:$Z$1592,"&lt;&gt;移出"))</x:f>
        <x:v>2095</x:v>
      </x:c>
    </x:row>
    <x:row r="58" ht="54" customHeight="1">
      <x:c r="A58" s="20" t="str">
        <x:v>B06</x:v>
      </x:c>
      <x:c r="B58" s="20" t="str">
        <x:v>艾年</x:v>
      </x:c>
      <x:c r="C58" s="20" t="str">
        <x:v>黑色镜面</x:v>
      </x:c>
      <x:c r="D58" s="20" t="str">
        <x:v>BP</x:v>
      </x:c>
      <x:c r="E58" s="20" t="str">
        <x:v>B06-BP</x:v>
      </x:c>
      <x:c r="F58" s="20"/>
      <x:c r="G58" s="21" t="str">
        <x:f>"—"</x:f>
        <x:v>—</x:v>
      </x:c>
      <x:c r="H58" s="21" t="str">
        <x:f>"—"</x:f>
        <x:v>—</x:v>
      </x:c>
      <x:c r="I58" s="21" t="str">
        <x:f>"—"</x:f>
        <x:v>—</x:v>
      </x:c>
      <x:c r="J58" s="21" t="str">
        <x:f>"—"</x:f>
        <x:v>—</x:v>
      </x:c>
      <x:c r="K58" s="21" t="str">
        <x:f>"—"</x:f>
        <x:v>—</x:v>
      </x:c>
      <x:c r="L58" s="21" t="n">
        <x:f>IF(AND(COUNT(INDEX('SKU明细'!$H$9:$H$1592,MATCH("[13120,""B06-BP-39""]",'SKU明细'!$AE$9:$AE$1592,0)))=1,COUNT(INDEX('SKU明细'!$G$9:$G$1592,MATCH("[13120,""B06-BP-39""]",'SKU明细'!$AE$9:$AE$1592,0)))=1,SUM(INDEX('SKU明细'!$G$9:$G$1592,MATCH("[13120,""B06-BP-39""]",'SKU明细'!$AE$9:$AE$1592,0)))&gt;0),SUM(INDEX('SKU明细'!$H$9:$H$1592,MATCH("[13120,""B06-BP-39""]",'SKU明细'!$AE$9:$AE$1592,0)))/SUM(INDEX('SKU明细'!$G$9:$G$1592,MATCH("[13120,""B06-BP-39""]",'SKU明细'!$AE$9:$AE$1592,0))),"待核")</x:f>
        <x:v>525</x:v>
      </x:c>
      <x:c r="M58" s="21" t="str">
        <x:f>"—"</x:f>
        <x:v>—</x:v>
      </x:c>
      <x:c r="N58" s="21" t="n">
        <x:f>IF(AND(COUNT(INDEX('SKU明细'!$H$9:$H$1592,MATCH("[13120,""B06-BP-40""]",'SKU明细'!$AE$9:$AE$1592,0)))=1,COUNT(INDEX('SKU明细'!$G$9:$G$1592,MATCH("[13120,""B06-BP-40""]",'SKU明细'!$AE$9:$AE$1592,0)))=1,SUM(INDEX('SKU明细'!$G$9:$G$1592,MATCH("[13120,""B06-BP-40""]",'SKU明细'!$AE$9:$AE$1592,0)))&gt;0),SUM(INDEX('SKU明细'!$H$9:$H$1592,MATCH("[13120,""B06-BP-40""]",'SKU明细'!$AE$9:$AE$1592,0)))/SUM(INDEX('SKU明细'!$G$9:$G$1592,MATCH("[13120,""B06-BP-40""]",'SKU明细'!$AE$9:$AE$1592,0))),"待核")</x:f>
        <x:v>0</x:v>
      </x:c>
      <x:c r="O58" s="21" t="str">
        <x:f>"—"</x:f>
        <x:v>—</x:v>
      </x:c>
      <x:c r="P58" s="21" t="n">
        <x:f>IF(AND(COUNT(INDEX('SKU明细'!$H$9:$H$1592,MATCH("[13120,""B06-BP-41""]",'SKU明细'!$AE$9:$AE$1592,0)))=1,COUNT(INDEX('SKU明细'!$G$9:$G$1592,MATCH("[13120,""B06-BP-41""]",'SKU明细'!$AE$9:$AE$1592,0)))=1,SUM(INDEX('SKU明细'!$G$9:$G$1592,MATCH("[13120,""B06-BP-41""]",'SKU明细'!$AE$9:$AE$1592,0)))&gt;0),SUM(INDEX('SKU明细'!$H$9:$H$1592,MATCH("[13120,""B06-BP-41""]",'SKU明细'!$AE$9:$AE$1592,0)))/SUM(INDEX('SKU明细'!$G$9:$G$1592,MATCH("[13120,""B06-BP-41""]",'SKU明细'!$AE$9:$AE$1592,0))),"待核")</x:f>
        <x:v>1236.9863013698632</x:v>
      </x:c>
      <x:c r="Q58" s="21" t="str">
        <x:f>"—"</x:f>
        <x:v>—</x:v>
      </x:c>
      <x:c r="R58" s="21" t="str">
        <x:f>IF(AND(COUNT(INDEX('SKU明细'!$H$9:$H$1592,MATCH("[13120,""B06-BP-42""]",'SKU明细'!$AE$9:$AE$1592,0)))=1,COUNT(INDEX('SKU明细'!$G$9:$G$1592,MATCH("[13120,""B06-BP-42""]",'SKU明细'!$AE$9:$AE$1592,0)))=1,SUM(INDEX('SKU明细'!$G$9:$G$1592,MATCH("[13120,""B06-BP-42""]",'SKU明细'!$AE$9:$AE$1592,0)))&gt;0),SUM(INDEX('SKU明细'!$H$9:$H$1592,MATCH("[13120,""B06-BP-42""]",'SKU明细'!$AE$9:$AE$1592,0)))/SUM(INDEX('SKU明细'!$G$9:$G$1592,MATCH("[13120,""B06-BP-42""]",'SKU明细'!$AE$9:$AE$1592,0))),"待核")</x:f>
        <x:v>待核</x:v>
      </x:c>
      <x:c r="S58" s="21" t="n">
        <x:f>IF(AND(COUNT(INDEX('SKU明细'!$H$9:$H$1592,MATCH("[13120,""B06-BP-39""]",'SKU明细'!$AE$9:$AE$1592,0)),INDEX('SKU明细'!$H$9:$H$1592,MATCH("[13120,""B06-BP-41""]",'SKU明细'!$AE$9:$AE$1592,0)),INDEX('SKU明细'!$H$9:$H$1592,MATCH("[13120,""B06-BP-40""]",'SKU明细'!$AE$9:$AE$1592,0)),INDEX('SKU明细'!$H$9:$H$1592,MATCH("[13120,""B06-BP-42""]",'SKU明细'!$AE$9:$AE$1592,0)))=4,COUNT(INDEX('SKU明细'!$G$9:$G$1592,MATCH("[13120,""B06-BP-39""]",'SKU明细'!$AE$9:$AE$1592,0)),INDEX('SKU明细'!$G$9:$G$1592,MATCH("[13120,""B06-BP-41""]",'SKU明细'!$AE$9:$AE$1592,0)),INDEX('SKU明细'!$G$9:$G$1592,MATCH("[13120,""B06-BP-40""]",'SKU明细'!$AE$9:$AE$1592,0)),INDEX('SKU明细'!$G$9:$G$1592,MATCH("[13120,""B06-BP-42""]",'SKU明细'!$AE$9:$AE$1592,0)))=4,SUM(INDEX('SKU明细'!$G$9:$G$1592,MATCH("[13120,""B06-BP-39""]",'SKU明细'!$AE$9:$AE$1592,0)),INDEX('SKU明细'!$G$9:$G$1592,MATCH("[13120,""B06-BP-41""]",'SKU明细'!$AE$9:$AE$1592,0)),INDEX('SKU明细'!$G$9:$G$1592,MATCH("[13120,""B06-BP-40""]",'SKU明细'!$AE$9:$AE$1592,0)),INDEX('SKU明细'!$G$9:$G$1592,MATCH("[13120,""B06-BP-42""]",'SKU明细'!$AE$9:$AE$1592,0)))&gt;0),SUM(INDEX('SKU明细'!$H$9:$H$1592,MATCH("[13120,""B06-BP-39""]",'SKU明细'!$AE$9:$AE$1592,0)),INDEX('SKU明细'!$H$9:$H$1592,MATCH("[13120,""B06-BP-41""]",'SKU明细'!$AE$9:$AE$1592,0)),INDEX('SKU明细'!$H$9:$H$1592,MATCH("[13120,""B06-BP-40""]",'SKU明细'!$AE$9:$AE$1592,0)),INDEX('SKU明细'!$H$9:$H$1592,MATCH("[13120,""B06-BP-42""]",'SKU明细'!$AE$9:$AE$1592,0)))/SUM(INDEX('SKU明细'!$G$9:$G$1592,MATCH("[13120,""B06-BP-39""]",'SKU明细'!$AE$9:$AE$1592,0)),INDEX('SKU明细'!$G$9:$G$1592,MATCH("[13120,""B06-BP-41""]",'SKU明细'!$AE$9:$AE$1592,0)),INDEX('SKU明细'!$G$9:$G$1592,MATCH("[13120,""B06-BP-40""]",'SKU明细'!$AE$9:$AE$1592,0)),INDEX('SKU明细'!$G$9:$G$1592,MATCH("[13120,""B06-BP-42""]",'SKU明细'!$AE$9:$AE$1592,0))),"待核")</x:f>
        <x:v>284.5528455284553</x:v>
      </x:c>
      <x:c r="T58" s="21" t="str">
        <x:f>IF(AND(COUNT(INDEX('SKU明细'!$I$9:$I$1592,MATCH("[13120,""B06-BP-39""]",'SKU明细'!$AE$9:$AE$1592,0)),INDEX('SKU明细'!$I$9:$I$1592,MATCH("[13120,""B06-BP-41""]",'SKU明细'!$AE$9:$AE$1592,0)),INDEX('SKU明细'!$I$9:$I$1592,MATCH("[13120,""B06-BP-40""]",'SKU明细'!$AE$9:$AE$1592,0)),INDEX('SKU明细'!$I$9:$I$1592,MATCH("[13120,""B06-BP-42""]",'SKU明细'!$AE$9:$AE$1592,0)))=4,COUNT(INDEX('SKU明细'!$AD$9:$AD$1592,MATCH("[13120,""B06-BP-39""]",'SKU明细'!$AE$9:$AE$1592,0)),INDEX('SKU明细'!$AD$9:$AD$1592,MATCH("[13120,""B06-BP-41""]",'SKU明细'!$AE$9:$AE$1592,0)),INDEX('SKU明细'!$AD$9:$AD$1592,MATCH("[13120,""B06-BP-40""]",'SKU明细'!$AE$9:$AE$1592,0)),INDEX('SKU明细'!$AD$9:$AD$1592,MATCH("[13120,""B06-BP-42""]",'SKU明细'!$AE$9:$AE$1592,0)))=4,SUM(INDEX('SKU明细'!$AD$9:$AD$1592,MATCH("[13120,""B06-BP-39""]",'SKU明细'!$AE$9:$AE$1592,0)),INDEX('SKU明细'!$AD$9:$AD$1592,MATCH("[13120,""B06-BP-41""]",'SKU明细'!$AE$9:$AE$1592,0)),INDEX('SKU明细'!$AD$9:$AD$1592,MATCH("[13120,""B06-BP-40""]",'SKU明细'!$AE$9:$AE$1592,0)),INDEX('SKU明细'!$AD$9:$AD$1592,MATCH("[13120,""B06-BP-42""]",'SKU明细'!$AE$9:$AE$1592,0)))&gt;0),SUM(INDEX('SKU明细'!$I$9:$I$1592,MATCH("[13120,""B06-BP-39""]",'SKU明细'!$AE$9:$AE$1592,0)),INDEX('SKU明细'!$I$9:$I$1592,MATCH("[13120,""B06-BP-41""]",'SKU明细'!$AE$9:$AE$1592,0)),INDEX('SKU明细'!$I$9:$I$1592,MATCH("[13120,""B06-BP-40""]",'SKU明细'!$AE$9:$AE$1592,0)),INDEX('SKU明细'!$I$9:$I$1592,MATCH("[13120,""B06-BP-42""]",'SKU明细'!$AE$9:$AE$1592,0)))/SUM(INDEX('SKU明细'!$AD$9:$AD$1592,MATCH("[13120,""B06-BP-39""]",'SKU明细'!$AE$9:$AE$1592,0)),INDEX('SKU明细'!$AD$9:$AD$1592,MATCH("[13120,""B06-BP-41""]",'SKU明细'!$AE$9:$AE$1592,0)),INDEX('SKU明细'!$AD$9:$AD$1592,MATCH("[13120,""B06-BP-40""]",'SKU明细'!$AE$9:$AE$1592,0)),INDEX('SKU明细'!$AD$9:$AD$1592,MATCH("[13120,""B06-BP-42""]",'SKU明细'!$AE$9:$AE$1592,0))),"待核")</x:f>
        <x:v>待核</x:v>
      </x:c>
      <x:c r="U58" s="21" t="str">
        <x:f>IF(COUNT(S58:T58)=2,S58-T58,"待核")</x:f>
        <x:v>待核</x:v>
      </x:c>
      <x:c r="V58" s="22" t="str">
        <x:f>IF(AND(ISNUMBER(U58),ISNUMBER(T58),T58&lt;&gt;0),U58/T58,"")</x:f>
      </x:c>
      <x:c r="W58" s="23" t="n">
        <x:f>IF(COUNT(INDEX('SKU明细'!$H$9:$H$1592,MATCH("[13120,""B06-BP-39""]",'SKU明细'!$AE$9:$AE$1592,0)),INDEX('SKU明细'!$H$9:$H$1592,MATCH("[13120,""B06-BP-41""]",'SKU明细'!$AE$9:$AE$1592,0)),INDEX('SKU明细'!$H$9:$H$1592,MATCH("[13120,""B06-BP-40""]",'SKU明细'!$AE$9:$AE$1592,0)),INDEX('SKU明细'!$H$9:$H$1592,MATCH("[13120,""B06-BP-42""]",'SKU明细'!$AE$9:$AE$1592,0)))=0,"待核",SUM(INDEX('SKU明细'!$H$9:$H$1592,MATCH("[13120,""B06-BP-39""]",'SKU明细'!$AE$9:$AE$1592,0)),INDEX('SKU明细'!$H$9:$H$1592,MATCH("[13120,""B06-BP-41""]",'SKU明细'!$AE$9:$AE$1592,0)),INDEX('SKU明细'!$H$9:$H$1592,MATCH("[13120,""B06-BP-40""]",'SKU明细'!$AE$9:$AE$1592,0)),INDEX('SKU明细'!$H$9:$H$1592,MATCH("[13120,""B06-BP-42""]",'SKU明细'!$AE$9:$AE$1592,0))))</x:f>
        <x:v>50</x:v>
      </x:c>
      <x:c r="X58" s="24" t="str">
        <x:f>IF(COUNTIFS('SKU明细'!$AH$9:$AH$1592,"[""B06"",""B06-BP"",""BP"",""黑色镜面""]",'SKU明细'!$E$9:$E$1592,"促销")&gt;0,"促销 ","")&amp;IF(COUNTIFS('SKU明细'!$AH$9:$AH$1592,"[""B06"",""B06-BP"",""BP"",""黑色镜面""]",'SKU明细'!$E$9:$E$1592,"红线促销")&gt;0,"红线促销 ","")&amp;IF(COUNTIFS('SKU明细'!$AH$9:$AH$1592,"[""B06"",""B06-BP"",""BP"",""黑色镜面""]",'SKU明细'!$E$9:$E$1592,"考虑清仓")&gt;0,"考虑清仓 ","")&amp;IF(COUNTIFS('SKU明细'!$AH$9:$AH$1592,"[""B06"",""B06-BP"",""BP"",""黑色镜面""]",'SKU明细'!$E$9:$E$1592,"断货")&gt;0,"断货 ","")&amp;IF(COUNTIFS('SKU明细'!$AH$9:$AH$1592,"[""B06"",""B06-BP"",""BP"",""黑色镜面""]",'SKU明细'!$E$9:$E$1592,"零日销待复核")&gt;0,"零日销待复核 ","")&amp;IF(COUNTIFS('SKU明细'!$AH$9:$AH$1592,"[""B06"",""B06-BP"",""BP"",""黑色镜面""]",'SKU明细'!$E$9:$E$1592,"数据待核")&gt;0,"数据待核 ","")&amp;IF(COUNTIFS('SKU明细'!$AH$9:$AH$1592,"[""B06"",""B06-BP"",""BP"",""黑色镜面""]",'SKU明细'!$E$9:$E$1592,"正常库存")&gt;0,"正常库存 ","")&amp;IF(COUNTIFS('SKU明细'!$AH$9:$AH$1592,"[""B06"",""B06-BP"",""BP"",""黑色镜面""]",'SKU明细'!$E$9:$E$1592,"补货提醒")&gt;0,"补货提醒 ","")</x:f>
        <x:v>考虑清仓 断货 </x:v>
      </x:c>
      <x:c r="Y58" s="24" t="str">
        <x:f>IF(NOT(ISNUMBER(U58)),"覆盖待核／无可比基准","完整可比")</x:f>
        <x:v>覆盖待核／无可比基准</x:v>
      </x:c>
      <x:c r="Z58" s="24" t="str">
        <x:v>在售、停售</x:v>
      </x:c>
      <x:c r="AA58" s="24" t="n">
        <x:f>IF(SUMIFS('SKU明细'!$AF$9:$AF$1592,'SKU明细'!$D$9:$D$1592,A58,'SKU明细'!$Z$9:$Z$1592,"&lt;&gt;移出")=0,"待核",SUMIFS('SKU明细'!$H$9:$H$1592,'SKU明细'!$D$9:$D$1592,A58,'SKU明细'!$Z$9:$Z$1592,"&lt;&gt;移出"))</x:f>
        <x:v>2095</x:v>
      </x:c>
    </x:row>
    <x:row r="59" ht="54" customHeight="1">
      <x:c r="A59" s="20" t="str">
        <x:v>B06</x:v>
      </x:c>
      <x:c r="B59" s="20" t="str">
        <x:v>艾年</x:v>
      </x:c>
      <x:c r="C59" s="20" t="str">
        <x:v>咖色PU</x:v>
      </x:c>
      <x:c r="D59" s="20" t="str">
        <x:v>CFP</x:v>
      </x:c>
      <x:c r="E59" s="20" t="str">
        <x:v>B06-CFP</x:v>
      </x:c>
      <x:c r="F59" s="20"/>
      <x:c r="G59" s="21" t="str">
        <x:f>"—"</x:f>
        <x:v>—</x:v>
      </x:c>
      <x:c r="H59" s="21" t="n">
        <x:f>IF(AND(COUNT(INDEX('SKU明细'!$H$9:$H$1592,MATCH("[13120,""B06-CFP-37""]",'SKU明细'!$AE$9:$AE$1592,0)))=1,COUNT(INDEX('SKU明细'!$G$9:$G$1592,MATCH("[13120,""B06-CFP-37""]",'SKU明细'!$AE$9:$AE$1592,0)))=1,SUM(INDEX('SKU明细'!$G$9:$G$1592,MATCH("[13120,""B06-CFP-37""]",'SKU明细'!$AE$9:$AE$1592,0)))&gt;0),SUM(INDEX('SKU明细'!$H$9:$H$1592,MATCH("[13120,""B06-CFP-37""]",'SKU明细'!$AE$9:$AE$1592,0)))/SUM(INDEX('SKU明细'!$G$9:$G$1592,MATCH("[13120,""B06-CFP-37""]",'SKU明细'!$AE$9:$AE$1592,0))),"待核")</x:f>
        <x:v>226.0089686098655</x:v>
      </x:c>
      <x:c r="I59" s="21" t="n">
        <x:f>IF(AND(COUNT(INDEX('SKU明细'!$H$9:$H$1592,MATCH("[13120,""B06-CFP-37.5""]",'SKU明细'!$AE$9:$AE$1592,0)))=1,COUNT(INDEX('SKU明细'!$G$9:$G$1592,MATCH("[13120,""B06-CFP-37.5""]",'SKU明细'!$AE$9:$AE$1592,0)))=1,SUM(INDEX('SKU明细'!$G$9:$G$1592,MATCH("[13120,""B06-CFP-37.5""]",'SKU明细'!$AE$9:$AE$1592,0)))&gt;0),SUM(INDEX('SKU明细'!$H$9:$H$1592,MATCH("[13120,""B06-CFP-37.5""]",'SKU明细'!$AE$9:$AE$1592,0)))/SUM(INDEX('SKU明细'!$G$9:$G$1592,MATCH("[13120,""B06-CFP-37.5""]",'SKU明细'!$AE$9:$AE$1592,0))),"待核")</x:f>
        <x:v>409.3220338983051</x:v>
      </x:c>
      <x:c r="J59" s="21" t="n">
        <x:f>IF(AND(COUNT(INDEX('SKU明细'!$H$9:$H$1592,MATCH("[13120,""B06-CFP-38""]",'SKU明细'!$AE$9:$AE$1592,0)))=1,COUNT(INDEX('SKU明细'!$G$9:$G$1592,MATCH("[13120,""B06-CFP-38""]",'SKU明细'!$AE$9:$AE$1592,0)))=1,SUM(INDEX('SKU明细'!$G$9:$G$1592,MATCH("[13120,""B06-CFP-38""]",'SKU明细'!$AE$9:$AE$1592,0)))&gt;0),SUM(INDEX('SKU明细'!$H$9:$H$1592,MATCH("[13120,""B06-CFP-38""]",'SKU明细'!$AE$9:$AE$1592,0)))/SUM(INDEX('SKU明细'!$G$9:$G$1592,MATCH("[13120,""B06-CFP-38""]",'SKU明细'!$AE$9:$AE$1592,0))),"待核")</x:f>
        <x:v>27.896678966789672</x:v>
      </x:c>
      <x:c r="K59" s="21" t="n">
        <x:f>IF(AND(COUNT(INDEX('SKU明细'!$H$9:$H$1592,MATCH("[13120,""B06-CFP-38.5""]",'SKU明细'!$AE$9:$AE$1592,0)))=1,COUNT(INDEX('SKU明细'!$G$9:$G$1592,MATCH("[13120,""B06-CFP-38.5""]",'SKU明细'!$AE$9:$AE$1592,0)))=1,SUM(INDEX('SKU明细'!$G$9:$G$1592,MATCH("[13120,""B06-CFP-38.5""]",'SKU明细'!$AE$9:$AE$1592,0)))&gt;0),SUM(INDEX('SKU明细'!$H$9:$H$1592,MATCH("[13120,""B06-CFP-38.5""]",'SKU明细'!$AE$9:$AE$1592,0)))/SUM(INDEX('SKU明细'!$G$9:$G$1592,MATCH("[13120,""B06-CFP-38.5""]",'SKU明细'!$AE$9:$AE$1592,0))),"待核")</x:f>
        <x:v>153.1764705882353</x:v>
      </x:c>
      <x:c r="L59" s="21" t="n">
        <x:f>IF(AND(COUNT(INDEX('SKU明细'!$H$9:$H$1592,MATCH("[13120,""B06-CFP-39""]",'SKU明细'!$AE$9:$AE$1592,0)))=1,COUNT(INDEX('SKU明细'!$G$9:$G$1592,MATCH("[13120,""B06-CFP-39""]",'SKU明细'!$AE$9:$AE$1592,0)))=1,SUM(INDEX('SKU明细'!$G$9:$G$1592,MATCH("[13120,""B06-CFP-39""]",'SKU明细'!$AE$9:$AE$1592,0)))&gt;0),SUM(INDEX('SKU明细'!$H$9:$H$1592,MATCH("[13120,""B06-CFP-39""]",'SKU明细'!$AE$9:$AE$1592,0)))/SUM(INDEX('SKU明细'!$G$9:$G$1592,MATCH("[13120,""B06-CFP-39""]",'SKU明细'!$AE$9:$AE$1592,0))),"待核")</x:f>
        <x:v>0</x:v>
      </x:c>
      <x:c r="M59" s="21" t="n">
        <x:f>IF(AND(COUNT(INDEX('SKU明细'!$H$9:$H$1592,MATCH("[13120,""B06-CFP-39.5""]",'SKU明细'!$AE$9:$AE$1592,0)))=1,COUNT(INDEX('SKU明细'!$G$9:$G$1592,MATCH("[13120,""B06-CFP-39.5""]",'SKU明细'!$AE$9:$AE$1592,0)))=1,SUM(INDEX('SKU明细'!$G$9:$G$1592,MATCH("[13120,""B06-CFP-39.5""]",'SKU明细'!$AE$9:$AE$1592,0)))&gt;0),SUM(INDEX('SKU明细'!$H$9:$H$1592,MATCH("[13120,""B06-CFP-39.5""]",'SKU明细'!$AE$9:$AE$1592,0)))/SUM(INDEX('SKU明细'!$G$9:$G$1592,MATCH("[13120,""B06-CFP-39.5""]",'SKU明细'!$AE$9:$AE$1592,0))),"待核")</x:f>
        <x:v>0</x:v>
      </x:c>
      <x:c r="N59" s="21" t="n">
        <x:f>IF(AND(COUNT(INDEX('SKU明细'!$H$9:$H$1592,MATCH("[13120,""B06-CFP-40""]",'SKU明细'!$AE$9:$AE$1592,0)))=1,COUNT(INDEX('SKU明细'!$G$9:$G$1592,MATCH("[13120,""B06-CFP-40""]",'SKU明细'!$AE$9:$AE$1592,0)))=1,SUM(INDEX('SKU明细'!$G$9:$G$1592,MATCH("[13120,""B06-CFP-40""]",'SKU明细'!$AE$9:$AE$1592,0)))&gt;0),SUM(INDEX('SKU明细'!$H$9:$H$1592,MATCH("[13120,""B06-CFP-40""]",'SKU明细'!$AE$9:$AE$1592,0)))/SUM(INDEX('SKU明细'!$G$9:$G$1592,MATCH("[13120,""B06-CFP-40""]",'SKU明细'!$AE$9:$AE$1592,0))),"待核")</x:f>
        <x:v>34.21588594704684</x:v>
      </x:c>
      <x:c r="O59" s="21" t="n">
        <x:f>IF(AND(COUNT(INDEX('SKU明细'!$H$9:$H$1592,MATCH("[13120,""B06-CFP-40.5""]",'SKU明细'!$AE$9:$AE$1592,0)))=1,COUNT(INDEX('SKU明细'!$G$9:$G$1592,MATCH("[13120,""B06-CFP-40.5""]",'SKU明细'!$AE$9:$AE$1592,0)))=1,SUM(INDEX('SKU明细'!$G$9:$G$1592,MATCH("[13120,""B06-CFP-40.5""]",'SKU明细'!$AE$9:$AE$1592,0)))&gt;0),SUM(INDEX('SKU明细'!$H$9:$H$1592,MATCH("[13120,""B06-CFP-40.5""]",'SKU明细'!$AE$9:$AE$1592,0)))/SUM(INDEX('SKU明细'!$G$9:$G$1592,MATCH("[13120,""B06-CFP-40.5""]",'SKU明细'!$AE$9:$AE$1592,0))),"待核")</x:f>
        <x:v>54</x:v>
      </x:c>
      <x:c r="P59" s="21" t="n">
        <x:f>IF(AND(COUNT(INDEX('SKU明细'!$H$9:$H$1592,MATCH("[13120,""B06-CFP-41""]",'SKU明细'!$AE$9:$AE$1592,0)))=1,COUNT(INDEX('SKU明细'!$G$9:$G$1592,MATCH("[13120,""B06-CFP-41""]",'SKU明细'!$AE$9:$AE$1592,0)))=1,SUM(INDEX('SKU明细'!$G$9:$G$1592,MATCH("[13120,""B06-CFP-41""]",'SKU明细'!$AE$9:$AE$1592,0)))&gt;0),SUM(INDEX('SKU明细'!$H$9:$H$1592,MATCH("[13120,""B06-CFP-41""]",'SKU明细'!$AE$9:$AE$1592,0)))/SUM(INDEX('SKU明细'!$G$9:$G$1592,MATCH("[13120,""B06-CFP-41""]",'SKU明细'!$AE$9:$AE$1592,0))),"待核")</x:f>
        <x:v>21</x:v>
      </x:c>
      <x:c r="Q59" s="21" t="n">
        <x:f>IF(AND(COUNT(INDEX('SKU明细'!$H$9:$H$1592,MATCH("[13120,""B06-CFP-41.5""]",'SKU明细'!$AE$9:$AE$1592,0)))=1,COUNT(INDEX('SKU明细'!$G$9:$G$1592,MATCH("[13120,""B06-CFP-41.5""]",'SKU明细'!$AE$9:$AE$1592,0)))=1,SUM(INDEX('SKU明细'!$G$9:$G$1592,MATCH("[13120,""B06-CFP-41.5""]",'SKU明细'!$AE$9:$AE$1592,0)))&gt;0),SUM(INDEX('SKU明细'!$H$9:$H$1592,MATCH("[13120,""B06-CFP-41.5""]",'SKU明细'!$AE$9:$AE$1592,0)))/SUM(INDEX('SKU明细'!$G$9:$G$1592,MATCH("[13120,""B06-CFP-41.5""]",'SKU明细'!$AE$9:$AE$1592,0))),"待核")</x:f>
        <x:v>135.64593301435409</x:v>
      </x:c>
      <x:c r="R59" s="21" t="n">
        <x:f>IF(AND(COUNT(INDEX('SKU明细'!$H$9:$H$1592,MATCH("[13120,""B06-CFP-42""]",'SKU明细'!$AE$9:$AE$1592,0)))=1,COUNT(INDEX('SKU明细'!$G$9:$G$1592,MATCH("[13120,""B06-CFP-42""]",'SKU明细'!$AE$9:$AE$1592,0)))=1,SUM(INDEX('SKU明细'!$G$9:$G$1592,MATCH("[13120,""B06-CFP-42""]",'SKU明细'!$AE$9:$AE$1592,0)))&gt;0),SUM(INDEX('SKU明细'!$H$9:$H$1592,MATCH("[13120,""B06-CFP-42""]",'SKU明细'!$AE$9:$AE$1592,0)))/SUM(INDEX('SKU明细'!$G$9:$G$1592,MATCH("[13120,""B06-CFP-42""]",'SKU明细'!$AE$9:$AE$1592,0))),"待核")</x:f>
        <x:v>41.832669322709165</x:v>
      </x:c>
      <x:c r="S59" s="21" t="n">
        <x:f>IF(AND(COUNT(INDEX('SKU明细'!$H$9:$H$1592,MATCH("[13120,""B06-CFP-37.5""]",'SKU明细'!$AE$9:$AE$1592,0)),INDEX('SKU明细'!$H$9:$H$1592,MATCH("[13120,""B06-CFP-37""]",'SKU明细'!$AE$9:$AE$1592,0)),INDEX('SKU明细'!$H$9:$H$1592,MATCH("[13120,""B06-CFP-38.5""]",'SKU明细'!$AE$9:$AE$1592,0)),INDEX('SKU明细'!$H$9:$H$1592,MATCH("[13120,""B06-CFP-41.5""]",'SKU明细'!$AE$9:$AE$1592,0)),INDEX('SKU明细'!$H$9:$H$1592,MATCH("[13120,""B06-CFP-39""]",'SKU明细'!$AE$9:$AE$1592,0)),INDEX('SKU明细'!$H$9:$H$1592,MATCH("[13120,""B06-CFP-39.5""]",'SKU明细'!$AE$9:$AE$1592,0)),INDEX('SKU明细'!$H$9:$H$1592,MATCH("[13120,""B06-CFP-38""]",'SKU明细'!$AE$9:$AE$1592,0)),INDEX('SKU明细'!$H$9:$H$1592,MATCH("[13120,""B06-CFP-40""]",'SKU明细'!$AE$9:$AE$1592,0)),INDEX('SKU明细'!$H$9:$H$1592,MATCH("[13120,""B06-CFP-40.5""]",'SKU明细'!$AE$9:$AE$1592,0)),INDEX('SKU明细'!$H$9:$H$1592,MATCH("[13120,""B06-CFP-41""]",'SKU明细'!$AE$9:$AE$1592,0)),INDEX('SKU明细'!$H$9:$H$1592,MATCH("[13120,""B06-CFP-42""]",'SKU明细'!$AE$9:$AE$1592,0)))=11,COUNT(INDEX('SKU明细'!$G$9:$G$1592,MATCH("[13120,""B06-CFP-37.5""]",'SKU明细'!$AE$9:$AE$1592,0)),INDEX('SKU明细'!$G$9:$G$1592,MATCH("[13120,""B06-CFP-37""]",'SKU明细'!$AE$9:$AE$1592,0)),INDEX('SKU明细'!$G$9:$G$1592,MATCH("[13120,""B06-CFP-38.5""]",'SKU明细'!$AE$9:$AE$1592,0)),INDEX('SKU明细'!$G$9:$G$1592,MATCH("[13120,""B06-CFP-41.5""]",'SKU明细'!$AE$9:$AE$1592,0)),INDEX('SKU明细'!$G$9:$G$1592,MATCH("[13120,""B06-CFP-39""]",'SKU明细'!$AE$9:$AE$1592,0)),INDEX('SKU明细'!$G$9:$G$1592,MATCH("[13120,""B06-CFP-39.5""]",'SKU明细'!$AE$9:$AE$1592,0)),INDEX('SKU明细'!$G$9:$G$1592,MATCH("[13120,""B06-CFP-38""]",'SKU明细'!$AE$9:$AE$1592,0)),INDEX('SKU明细'!$G$9:$G$1592,MATCH("[13120,""B06-CFP-40""]",'SKU明细'!$AE$9:$AE$1592,0)),INDEX('SKU明细'!$G$9:$G$1592,MATCH("[13120,""B06-CFP-40.5""]",'SKU明细'!$AE$9:$AE$1592,0)),INDEX('SKU明细'!$G$9:$G$1592,MATCH("[13120,""B06-CFP-41""]",'SKU明细'!$AE$9:$AE$1592,0)),INDEX('SKU明细'!$G$9:$G$1592,MATCH("[13120,""B06-CFP-42""]",'SKU明细'!$AE$9:$AE$1592,0)))=11,SUM(INDEX('SKU明细'!$G$9:$G$1592,MATCH("[13120,""B06-CFP-37.5""]",'SKU明细'!$AE$9:$AE$1592,0)),INDEX('SKU明细'!$G$9:$G$1592,MATCH("[13120,""B06-CFP-37""]",'SKU明细'!$AE$9:$AE$1592,0)),INDEX('SKU明细'!$G$9:$G$1592,MATCH("[13120,""B06-CFP-38.5""]",'SKU明细'!$AE$9:$AE$1592,0)),INDEX('SKU明细'!$G$9:$G$1592,MATCH("[13120,""B06-CFP-41.5""]",'SKU明细'!$AE$9:$AE$1592,0)),INDEX('SKU明细'!$G$9:$G$1592,MATCH("[13120,""B06-CFP-39""]",'SKU明细'!$AE$9:$AE$1592,0)),INDEX('SKU明细'!$G$9:$G$1592,MATCH("[13120,""B06-CFP-39.5""]",'SKU明细'!$AE$9:$AE$1592,0)),INDEX('SKU明细'!$G$9:$G$1592,MATCH("[13120,""B06-CFP-38""]",'SKU明细'!$AE$9:$AE$1592,0)),INDEX('SKU明细'!$G$9:$G$1592,MATCH("[13120,""B06-CFP-40""]",'SKU明细'!$AE$9:$AE$1592,0)),INDEX('SKU明细'!$G$9:$G$1592,MATCH("[13120,""B06-CFP-40.5""]",'SKU明细'!$AE$9:$AE$1592,0)),INDEX('SKU明细'!$G$9:$G$1592,MATCH("[13120,""B06-CFP-41""]",'SKU明细'!$AE$9:$AE$1592,0)),INDEX('SKU明细'!$G$9:$G$1592,MATCH("[13120,""B06-CFP-42""]",'SKU明细'!$AE$9:$AE$1592,0)))&gt;0),SUM(INDEX('SKU明细'!$H$9:$H$1592,MATCH("[13120,""B06-CFP-37.5""]",'SKU明细'!$AE$9:$AE$1592,0)),INDEX('SKU明细'!$H$9:$H$1592,MATCH("[13120,""B06-CFP-37""]",'SKU明细'!$AE$9:$AE$1592,0)),INDEX('SKU明细'!$H$9:$H$1592,MATCH("[13120,""B06-CFP-38.5""]",'SKU明细'!$AE$9:$AE$1592,0)),INDEX('SKU明细'!$H$9:$H$1592,MATCH("[13120,""B06-CFP-41.5""]",'SKU明细'!$AE$9:$AE$1592,0)),INDEX('SKU明细'!$H$9:$H$1592,MATCH("[13120,""B06-CFP-39""]",'SKU明细'!$AE$9:$AE$1592,0)),INDEX('SKU明细'!$H$9:$H$1592,MATCH("[13120,""B06-CFP-39.5""]",'SKU明细'!$AE$9:$AE$1592,0)),INDEX('SKU明细'!$H$9:$H$1592,MATCH("[13120,""B06-CFP-38""]",'SKU明细'!$AE$9:$AE$1592,0)),INDEX('SKU明细'!$H$9:$H$1592,MATCH("[13120,""B06-CFP-40""]",'SKU明细'!$AE$9:$AE$1592,0)),INDEX('SKU明细'!$H$9:$H$1592,MATCH("[13120,""B06-CFP-40.5""]",'SKU明细'!$AE$9:$AE$1592,0)),INDEX('SKU明细'!$H$9:$H$1592,MATCH("[13120,""B06-CFP-41""]",'SKU明细'!$AE$9:$AE$1592,0)),INDEX('SKU明细'!$H$9:$H$1592,MATCH("[13120,""B06-CFP-42""]",'SKU明细'!$AE$9:$AE$1592,0)))/SUM(INDEX('SKU明细'!$G$9:$G$1592,MATCH("[13120,""B06-CFP-37.5""]",'SKU明细'!$AE$9:$AE$1592,0)),INDEX('SKU明细'!$G$9:$G$1592,MATCH("[13120,""B06-CFP-37""]",'SKU明细'!$AE$9:$AE$1592,0)),INDEX('SKU明细'!$G$9:$G$1592,MATCH("[13120,""B06-CFP-38.5""]",'SKU明细'!$AE$9:$AE$1592,0)),INDEX('SKU明细'!$G$9:$G$1592,MATCH("[13120,""B06-CFP-41.5""]",'SKU明细'!$AE$9:$AE$1592,0)),INDEX('SKU明细'!$G$9:$G$1592,MATCH("[13120,""B06-CFP-39""]",'SKU明细'!$AE$9:$AE$1592,0)),INDEX('SKU明细'!$G$9:$G$1592,MATCH("[13120,""B06-CFP-39.5""]",'SKU明细'!$AE$9:$AE$1592,0)),INDEX('SKU明细'!$G$9:$G$1592,MATCH("[13120,""B06-CFP-38""]",'SKU明细'!$AE$9:$AE$1592,0)),INDEX('SKU明细'!$G$9:$G$1592,MATCH("[13120,""B06-CFP-40""]",'SKU明细'!$AE$9:$AE$1592,0)),INDEX('SKU明细'!$G$9:$G$1592,MATCH("[13120,""B06-CFP-40.5""]",'SKU明细'!$AE$9:$AE$1592,0)),INDEX('SKU明细'!$G$9:$G$1592,MATCH("[13120,""B06-CFP-41""]",'SKU明细'!$AE$9:$AE$1592,0)),INDEX('SKU明细'!$G$9:$G$1592,MATCH("[13120,""B06-CFP-42""]",'SKU明细'!$AE$9:$AE$1592,0))),"待核")</x:f>
        <x:v>49.383765405864864</x:v>
      </x:c>
      <x:c r="T59" s="21" t="n">
        <x:f>IF(AND(COUNT(INDEX('SKU明细'!$I$9:$I$1592,MATCH("[13120,""B06-CFP-37.5""]",'SKU明细'!$AE$9:$AE$1592,0)),INDEX('SKU明细'!$I$9:$I$1592,MATCH("[13120,""B06-CFP-37""]",'SKU明细'!$AE$9:$AE$1592,0)),INDEX('SKU明细'!$I$9:$I$1592,MATCH("[13120,""B06-CFP-38.5""]",'SKU明细'!$AE$9:$AE$1592,0)),INDEX('SKU明细'!$I$9:$I$1592,MATCH("[13120,""B06-CFP-41.5""]",'SKU明细'!$AE$9:$AE$1592,0)),INDEX('SKU明细'!$I$9:$I$1592,MATCH("[13120,""B06-CFP-39""]",'SKU明细'!$AE$9:$AE$1592,0)),INDEX('SKU明细'!$I$9:$I$1592,MATCH("[13120,""B06-CFP-39.5""]",'SKU明细'!$AE$9:$AE$1592,0)),INDEX('SKU明细'!$I$9:$I$1592,MATCH("[13120,""B06-CFP-38""]",'SKU明细'!$AE$9:$AE$1592,0)),INDEX('SKU明细'!$I$9:$I$1592,MATCH("[13120,""B06-CFP-40""]",'SKU明细'!$AE$9:$AE$1592,0)),INDEX('SKU明细'!$I$9:$I$1592,MATCH("[13120,""B06-CFP-40.5""]",'SKU明细'!$AE$9:$AE$1592,0)),INDEX('SKU明细'!$I$9:$I$1592,MATCH("[13120,""B06-CFP-41""]",'SKU明细'!$AE$9:$AE$1592,0)),INDEX('SKU明细'!$I$9:$I$1592,MATCH("[13120,""B06-CFP-42""]",'SKU明细'!$AE$9:$AE$1592,0)))=11,COUNT(INDEX('SKU明细'!$AD$9:$AD$1592,MATCH("[13120,""B06-CFP-37.5""]",'SKU明细'!$AE$9:$AE$1592,0)),INDEX('SKU明细'!$AD$9:$AD$1592,MATCH("[13120,""B06-CFP-37""]",'SKU明细'!$AE$9:$AE$1592,0)),INDEX('SKU明细'!$AD$9:$AD$1592,MATCH("[13120,""B06-CFP-38.5""]",'SKU明细'!$AE$9:$AE$1592,0)),INDEX('SKU明细'!$AD$9:$AD$1592,MATCH("[13120,""B06-CFP-41.5""]",'SKU明细'!$AE$9:$AE$1592,0)),INDEX('SKU明细'!$AD$9:$AD$1592,MATCH("[13120,""B06-CFP-39""]",'SKU明细'!$AE$9:$AE$1592,0)),INDEX('SKU明细'!$AD$9:$AD$1592,MATCH("[13120,""B06-CFP-39.5""]",'SKU明细'!$AE$9:$AE$1592,0)),INDEX('SKU明细'!$AD$9:$AD$1592,MATCH("[13120,""B06-CFP-38""]",'SKU明细'!$AE$9:$AE$1592,0)),INDEX('SKU明细'!$AD$9:$AD$1592,MATCH("[13120,""B06-CFP-40""]",'SKU明细'!$AE$9:$AE$1592,0)),INDEX('SKU明细'!$AD$9:$AD$1592,MATCH("[13120,""B06-CFP-40.5""]",'SKU明细'!$AE$9:$AE$1592,0)),INDEX('SKU明细'!$AD$9:$AD$1592,MATCH("[13120,""B06-CFP-41""]",'SKU明细'!$AE$9:$AE$1592,0)),INDEX('SKU明细'!$AD$9:$AD$1592,MATCH("[13120,""B06-CFP-42""]",'SKU明细'!$AE$9:$AE$1592,0)))=11,SUM(INDEX('SKU明细'!$AD$9:$AD$1592,MATCH("[13120,""B06-CFP-37.5""]",'SKU明细'!$AE$9:$AE$1592,0)),INDEX('SKU明细'!$AD$9:$AD$1592,MATCH("[13120,""B06-CFP-37""]",'SKU明细'!$AE$9:$AE$1592,0)),INDEX('SKU明细'!$AD$9:$AD$1592,MATCH("[13120,""B06-CFP-38.5""]",'SKU明细'!$AE$9:$AE$1592,0)),INDEX('SKU明细'!$AD$9:$AD$1592,MATCH("[13120,""B06-CFP-41.5""]",'SKU明细'!$AE$9:$AE$1592,0)),INDEX('SKU明细'!$AD$9:$AD$1592,MATCH("[13120,""B06-CFP-39""]",'SKU明细'!$AE$9:$AE$1592,0)),INDEX('SKU明细'!$AD$9:$AD$1592,MATCH("[13120,""B06-CFP-39.5""]",'SKU明细'!$AE$9:$AE$1592,0)),INDEX('SKU明细'!$AD$9:$AD$1592,MATCH("[13120,""B06-CFP-38""]",'SKU明细'!$AE$9:$AE$1592,0)),INDEX('SKU明细'!$AD$9:$AD$1592,MATCH("[13120,""B06-CFP-40""]",'SKU明细'!$AE$9:$AE$1592,0)),INDEX('SKU明细'!$AD$9:$AD$1592,MATCH("[13120,""B06-CFP-40.5""]",'SKU明细'!$AE$9:$AE$1592,0)),INDEX('SKU明细'!$AD$9:$AD$1592,MATCH("[13120,""B06-CFP-41""]",'SKU明细'!$AE$9:$AE$1592,0)),INDEX('SKU明细'!$AD$9:$AD$1592,MATCH("[13120,""B06-CFP-42""]",'SKU明细'!$AE$9:$AE$1592,0)))&gt;0),SUM(INDEX('SKU明细'!$I$9:$I$1592,MATCH("[13120,""B06-CFP-37.5""]",'SKU明细'!$AE$9:$AE$1592,0)),INDEX('SKU明细'!$I$9:$I$1592,MATCH("[13120,""B06-CFP-37""]",'SKU明细'!$AE$9:$AE$1592,0)),INDEX('SKU明细'!$I$9:$I$1592,MATCH("[13120,""B06-CFP-38.5""]",'SKU明细'!$AE$9:$AE$1592,0)),INDEX('SKU明细'!$I$9:$I$1592,MATCH("[13120,""B06-CFP-41.5""]",'SKU明细'!$AE$9:$AE$1592,0)),INDEX('SKU明细'!$I$9:$I$1592,MATCH("[13120,""B06-CFP-39""]",'SKU明细'!$AE$9:$AE$1592,0)),INDEX('SKU明细'!$I$9:$I$1592,MATCH("[13120,""B06-CFP-39.5""]",'SKU明细'!$AE$9:$AE$1592,0)),INDEX('SKU明细'!$I$9:$I$1592,MATCH("[13120,""B06-CFP-38""]",'SKU明细'!$AE$9:$AE$1592,0)),INDEX('SKU明细'!$I$9:$I$1592,MATCH("[13120,""B06-CFP-40""]",'SKU明细'!$AE$9:$AE$1592,0)),INDEX('SKU明细'!$I$9:$I$1592,MATCH("[13120,""B06-CFP-40.5""]",'SKU明细'!$AE$9:$AE$1592,0)),INDEX('SKU明细'!$I$9:$I$1592,MATCH("[13120,""B06-CFP-41""]",'SKU明细'!$AE$9:$AE$1592,0)),INDEX('SKU明细'!$I$9:$I$1592,MATCH("[13120,""B06-CFP-42""]",'SKU明细'!$AE$9:$AE$1592,0)))/SUM(INDEX('SKU明细'!$AD$9:$AD$1592,MATCH("[13120,""B06-CFP-37.5""]",'SKU明细'!$AE$9:$AE$1592,0)),INDEX('SKU明细'!$AD$9:$AD$1592,MATCH("[13120,""B06-CFP-37""]",'SKU明细'!$AE$9:$AE$1592,0)),INDEX('SKU明细'!$AD$9:$AD$1592,MATCH("[13120,""B06-CFP-38.5""]",'SKU明细'!$AE$9:$AE$1592,0)),INDEX('SKU明细'!$AD$9:$AD$1592,MATCH("[13120,""B06-CFP-41.5""]",'SKU明细'!$AE$9:$AE$1592,0)),INDEX('SKU明细'!$AD$9:$AD$1592,MATCH("[13120,""B06-CFP-39""]",'SKU明细'!$AE$9:$AE$1592,0)),INDEX('SKU明细'!$AD$9:$AD$1592,MATCH("[13120,""B06-CFP-39.5""]",'SKU明细'!$AE$9:$AE$1592,0)),INDEX('SKU明细'!$AD$9:$AD$1592,MATCH("[13120,""B06-CFP-38""]",'SKU明细'!$AE$9:$AE$1592,0)),INDEX('SKU明细'!$AD$9:$AD$1592,MATCH("[13120,""B06-CFP-40""]",'SKU明细'!$AE$9:$AE$1592,0)),INDEX('SKU明细'!$AD$9:$AD$1592,MATCH("[13120,""B06-CFP-40.5""]",'SKU明细'!$AE$9:$AE$1592,0)),INDEX('SKU明细'!$AD$9:$AD$1592,MATCH("[13120,""B06-CFP-41""]",'SKU明细'!$AE$9:$AE$1592,0)),INDEX('SKU明细'!$AD$9:$AD$1592,MATCH("[13120,""B06-CFP-42""]",'SKU明细'!$AE$9:$AE$1592,0))),"待核")</x:f>
        <x:v>70.85714285714286</x:v>
      </x:c>
      <x:c r="U59" s="21" t="n">
        <x:f>IF(COUNT(S59:T59)=2,S59-T59,"待核")</x:f>
        <x:v>-21.473377451277997</x:v>
      </x:c>
      <x:c r="V59" s="22" t="n">
        <x:f>IF(AND(ISNUMBER(U59),ISNUMBER(T59),T59&lt;&gt;0),U59/T59,"")</x:f>
        <x:v>-0.30305169790110076</x:v>
      </x:c>
      <x:c r="W59" s="23" t="n">
        <x:f>IF(COUNT(INDEX('SKU明细'!$H$9:$H$1592,MATCH("[13120,""B06-CFP-37.5""]",'SKU明细'!$AE$9:$AE$1592,0)),INDEX('SKU明细'!$H$9:$H$1592,MATCH("[13120,""B06-CFP-37""]",'SKU明细'!$AE$9:$AE$1592,0)),INDEX('SKU明细'!$H$9:$H$1592,MATCH("[13120,""B06-CFP-38.5""]",'SKU明细'!$AE$9:$AE$1592,0)),INDEX('SKU明细'!$H$9:$H$1592,MATCH("[13120,""B06-CFP-41.5""]",'SKU明细'!$AE$9:$AE$1592,0)),INDEX('SKU明细'!$H$9:$H$1592,MATCH("[13120,""B06-CFP-39""]",'SKU明细'!$AE$9:$AE$1592,0)),INDEX('SKU明细'!$H$9:$H$1592,MATCH("[13120,""B06-CFP-39.5""]",'SKU明细'!$AE$9:$AE$1592,0)),INDEX('SKU明细'!$H$9:$H$1592,MATCH("[13120,""B06-CFP-38""]",'SKU明细'!$AE$9:$AE$1592,0)),INDEX('SKU明细'!$H$9:$H$1592,MATCH("[13120,""B06-CFP-40""]",'SKU明细'!$AE$9:$AE$1592,0)),INDEX('SKU明细'!$H$9:$H$1592,MATCH("[13120,""B06-CFP-40.5""]",'SKU明细'!$AE$9:$AE$1592,0)),INDEX('SKU明细'!$H$9:$H$1592,MATCH("[13120,""B06-CFP-41""]",'SKU明细'!$AE$9:$AE$1592,0)),INDEX('SKU明细'!$H$9:$H$1592,MATCH("[13120,""B06-CFP-42""]",'SKU明细'!$AE$9:$AE$1592,0)))=0,"待核",SUM(INDEX('SKU明细'!$H$9:$H$1592,MATCH("[13120,""B06-CFP-37.5""]",'SKU明细'!$AE$9:$AE$1592,0)),INDEX('SKU明细'!$H$9:$H$1592,MATCH("[13120,""B06-CFP-37""]",'SKU明细'!$AE$9:$AE$1592,0)),INDEX('SKU明细'!$H$9:$H$1592,MATCH("[13120,""B06-CFP-38.5""]",'SKU明细'!$AE$9:$AE$1592,0)),INDEX('SKU明细'!$H$9:$H$1592,MATCH("[13120,""B06-CFP-41.5""]",'SKU明细'!$AE$9:$AE$1592,0)),INDEX('SKU明细'!$H$9:$H$1592,MATCH("[13120,""B06-CFP-39""]",'SKU明细'!$AE$9:$AE$1592,0)),INDEX('SKU明细'!$H$9:$H$1592,MATCH("[13120,""B06-CFP-39.5""]",'SKU明细'!$AE$9:$AE$1592,0)),INDEX('SKU明细'!$H$9:$H$1592,MATCH("[13120,""B06-CFP-38""]",'SKU明细'!$AE$9:$AE$1592,0)),INDEX('SKU明细'!$H$9:$H$1592,MATCH("[13120,""B06-CFP-40""]",'SKU明细'!$AE$9:$AE$1592,0)),INDEX('SKU明细'!$H$9:$H$1592,MATCH("[13120,""B06-CFP-40.5""]",'SKU明细'!$AE$9:$AE$1592,0)),INDEX('SKU明细'!$H$9:$H$1592,MATCH("[13120,""B06-CFP-41""]",'SKU明细'!$AE$9:$AE$1592,0)),INDEX('SKU明细'!$H$9:$H$1592,MATCH("[13120,""B06-CFP-42""]",'SKU明细'!$AE$9:$AE$1592,0))))</x:f>
        <x:v>166</x:v>
      </x:c>
      <x:c r="X59" s="24" t="str">
        <x:f>IF(COUNTIFS('SKU明细'!$AH$9:$AH$1592,"[""B06"",""B06-CFP"",""CFP"",""咖色PU""]",'SKU明细'!$E$9:$E$1592,"促销")&gt;0,"促销 ","")&amp;IF(COUNTIFS('SKU明细'!$AH$9:$AH$1592,"[""B06"",""B06-CFP"",""CFP"",""咖色PU""]",'SKU明细'!$E$9:$E$1592,"红线促销")&gt;0,"红线促销 ","")&amp;IF(COUNTIFS('SKU明细'!$AH$9:$AH$1592,"[""B06"",""B06-CFP"",""CFP"",""咖色PU""]",'SKU明细'!$E$9:$E$1592,"考虑清仓")&gt;0,"考虑清仓 ","")&amp;IF(COUNTIFS('SKU明细'!$AH$9:$AH$1592,"[""B06"",""B06-CFP"",""CFP"",""咖色PU""]",'SKU明细'!$E$9:$E$1592,"断货")&gt;0,"断货 ","")&amp;IF(COUNTIFS('SKU明细'!$AH$9:$AH$1592,"[""B06"",""B06-CFP"",""CFP"",""咖色PU""]",'SKU明细'!$E$9:$E$1592,"零日销待复核")&gt;0,"零日销待复核 ","")&amp;IF(COUNTIFS('SKU明细'!$AH$9:$AH$1592,"[""B06"",""B06-CFP"",""CFP"",""咖色PU""]",'SKU明细'!$E$9:$E$1592,"数据待核")&gt;0,"数据待核 ","")&amp;IF(COUNTIFS('SKU明细'!$AH$9:$AH$1592,"[""B06"",""B06-CFP"",""CFP"",""咖色PU""]",'SKU明细'!$E$9:$E$1592,"正常库存")&gt;0,"正常库存 ","")&amp;IF(COUNTIFS('SKU明细'!$AH$9:$AH$1592,"[""B06"",""B06-CFP"",""CFP"",""咖色PU""]",'SKU明细'!$E$9:$E$1592,"补货提醒")&gt;0,"补货提醒 ","")</x:f>
        <x:v>促销 红线促销 考虑清仓 断货 补货提醒 </x:v>
      </x:c>
      <x:c r="Y59" s="24" t="str">
        <x:f>IF(NOT(ISNUMBER(U59)),"覆盖待核／无可比基准","完整可比")</x:f>
        <x:v>完整可比</x:v>
      </x:c>
      <x:c r="Z59" s="24" t="str">
        <x:v>在售</x:v>
      </x:c>
      <x:c r="AA59" s="24" t="n">
        <x:f>IF(SUMIFS('SKU明细'!$AF$9:$AF$1592,'SKU明细'!$D$9:$D$1592,A59,'SKU明细'!$Z$9:$Z$1592,"&lt;&gt;移出")=0,"待核",SUMIFS('SKU明细'!$H$9:$H$1592,'SKU明细'!$D$9:$D$1592,A59,'SKU明细'!$Z$9:$Z$1592,"&lt;&gt;移出"))</x:f>
        <x:v>2095</x:v>
      </x:c>
    </x:row>
    <x:row r="60" ht="54" customHeight="1">
      <x:c r="A60" s="20" t="str">
        <x:v>B06</x:v>
      </x:c>
      <x:c r="B60" s="20" t="str">
        <x:v>艾年</x:v>
      </x:c>
      <x:c r="C60" s="20" t="str">
        <x:v>香槟金PU</x:v>
      </x:c>
      <x:c r="D60" s="20" t="str">
        <x:v>CPG</x:v>
      </x:c>
      <x:c r="E60" s="20" t="str">
        <x:v>B06-CPG</x:v>
      </x:c>
      <x:c r="F60" s="20"/>
      <x:c r="G60" s="21" t="str">
        <x:f>"—"</x:f>
        <x:v>—</x:v>
      </x:c>
      <x:c r="H60" s="21" t="str">
        <x:f>"—"</x:f>
        <x:v>—</x:v>
      </x:c>
      <x:c r="I60" s="21" t="str">
        <x:f>"—"</x:f>
        <x:v>—</x:v>
      </x:c>
      <x:c r="J60" s="21" t="str">
        <x:f>"—"</x:f>
        <x:v>—</x:v>
      </x:c>
      <x:c r="K60" s="21" t="str">
        <x:f>"—"</x:f>
        <x:v>—</x:v>
      </x:c>
      <x:c r="L60" s="21" t="str">
        <x:f>"—"</x:f>
        <x:v>—</x:v>
      </x:c>
      <x:c r="M60" s="21" t="str">
        <x:f>IF(AND(COUNT(INDEX('SKU明细'!$H$9:$H$1592,MATCH("[13120,""B06-CPG-39.5""]",'SKU明细'!$AE$9:$AE$1592,0)))=1,COUNT(INDEX('SKU明细'!$G$9:$G$1592,MATCH("[13120,""B06-CPG-39.5""]",'SKU明细'!$AE$9:$AE$1592,0)))=1,SUM(INDEX('SKU明细'!$G$9:$G$1592,MATCH("[13120,""B06-CPG-39.5""]",'SKU明细'!$AE$9:$AE$1592,0)))&gt;0),SUM(INDEX('SKU明细'!$H$9:$H$1592,MATCH("[13120,""B06-CPG-39.5""]",'SKU明细'!$AE$9:$AE$1592,0)))/SUM(INDEX('SKU明细'!$G$9:$G$1592,MATCH("[13120,""B06-CPG-39.5""]",'SKU明细'!$AE$9:$AE$1592,0))),"待核")</x:f>
        <x:v>待核</x:v>
      </x:c>
      <x:c r="N60" s="21" t="str">
        <x:f>"—"</x:f>
        <x:v>—</x:v>
      </x:c>
      <x:c r="O60" s="21" t="str">
        <x:f>"—"</x:f>
        <x:v>—</x:v>
      </x:c>
      <x:c r="P60" s="21" t="str">
        <x:f>IF(AND(COUNT(INDEX('SKU明细'!$H$9:$H$1592,MATCH("[13120,""B06-CPG-41""]",'SKU明细'!$AE$9:$AE$1592,0)))=1,COUNT(INDEX('SKU明细'!$G$9:$G$1592,MATCH("[13120,""B06-CPG-41""]",'SKU明细'!$AE$9:$AE$1592,0)))=1,SUM(INDEX('SKU明细'!$G$9:$G$1592,MATCH("[13120,""B06-CPG-41""]",'SKU明细'!$AE$9:$AE$1592,0)))&gt;0),SUM(INDEX('SKU明细'!$H$9:$H$1592,MATCH("[13120,""B06-CPG-41""]",'SKU明细'!$AE$9:$AE$1592,0)))/SUM(INDEX('SKU明细'!$G$9:$G$1592,MATCH("[13120,""B06-CPG-41""]",'SKU明细'!$AE$9:$AE$1592,0))),"待核")</x:f>
        <x:v>待核</x:v>
      </x:c>
      <x:c r="Q60" s="21" t="str">
        <x:f>IF(AND(COUNT(INDEX('SKU明细'!$H$9:$H$1592,MATCH("[13120,""B06-CPG-41.5""]",'SKU明细'!$AE$9:$AE$1592,0)))=1,COUNT(INDEX('SKU明细'!$G$9:$G$1592,MATCH("[13120,""B06-CPG-41.5""]",'SKU明细'!$AE$9:$AE$1592,0)))=1,SUM(INDEX('SKU明细'!$G$9:$G$1592,MATCH("[13120,""B06-CPG-41.5""]",'SKU明细'!$AE$9:$AE$1592,0)))&gt;0),SUM(INDEX('SKU明细'!$H$9:$H$1592,MATCH("[13120,""B06-CPG-41.5""]",'SKU明细'!$AE$9:$AE$1592,0)))/SUM(INDEX('SKU明细'!$G$9:$G$1592,MATCH("[13120,""B06-CPG-41.5""]",'SKU明细'!$AE$9:$AE$1592,0))),"待核")</x:f>
        <x:v>待核</x:v>
      </x:c>
      <x:c r="R60" s="21" t="str">
        <x:f>IF(AND(COUNT(INDEX('SKU明细'!$H$9:$H$1592,MATCH("[13120,""B06-CPG-42""]",'SKU明细'!$AE$9:$AE$1592,0)))=1,COUNT(INDEX('SKU明细'!$G$9:$G$1592,MATCH("[13120,""B06-CPG-42""]",'SKU明细'!$AE$9:$AE$1592,0)))=1,SUM(INDEX('SKU明细'!$G$9:$G$1592,MATCH("[13120,""B06-CPG-42""]",'SKU明细'!$AE$9:$AE$1592,0)))&gt;0),SUM(INDEX('SKU明细'!$H$9:$H$1592,MATCH("[13120,""B06-CPG-42""]",'SKU明细'!$AE$9:$AE$1592,0)))/SUM(INDEX('SKU明细'!$G$9:$G$1592,MATCH("[13120,""B06-CPG-42""]",'SKU明细'!$AE$9:$AE$1592,0))),"待核")</x:f>
        <x:v>待核</x:v>
      </x:c>
      <x:c r="S60" s="21" t="str">
        <x:f>"—"</x:f>
        <x:v>—</x:v>
      </x:c>
      <x:c r="T60" s="21" t="str">
        <x:f>"—"</x:f>
        <x:v>—</x:v>
      </x:c>
      <x:c r="U60" s="21" t="str">
        <x:f>IF(COUNT(S60:T60)=2,S60-T60,"待核")</x:f>
        <x:v>待核</x:v>
      </x:c>
      <x:c r="V60" s="22" t="str">
        <x:f>IF(AND(ISNUMBER(U60),ISNUMBER(T60),T60&lt;&gt;0),U60/T60,"")</x:f>
      </x:c>
      <x:c r="W60" s="23" t="n">
        <x:f>IF(COUNT(INDEX('SKU明细'!$H$9:$H$1592,MATCH("[13120,""B06-CPG-39.5""]",'SKU明细'!$AE$9:$AE$1592,0)),INDEX('SKU明细'!$H$9:$H$1592,MATCH("[13120,""B06-CPG-41""]",'SKU明细'!$AE$9:$AE$1592,0)),INDEX('SKU明细'!$H$9:$H$1592,MATCH("[13120,""B06-CPG-42""]",'SKU明细'!$AE$9:$AE$1592,0)),INDEX('SKU明细'!$H$9:$H$1592,MATCH("[13120,""B06-CPG-41.5""]",'SKU明细'!$AE$9:$AE$1592,0)))=0,"待核",SUM(INDEX('SKU明细'!$H$9:$H$1592,MATCH("[13120,""B06-CPG-39.5""]",'SKU明细'!$AE$9:$AE$1592,0)),INDEX('SKU明细'!$H$9:$H$1592,MATCH("[13120,""B06-CPG-41""]",'SKU明细'!$AE$9:$AE$1592,0)),INDEX('SKU明细'!$H$9:$H$1592,MATCH("[13120,""B06-CPG-42""]",'SKU明细'!$AE$9:$AE$1592,0)),INDEX('SKU明细'!$H$9:$H$1592,MATCH("[13120,""B06-CPG-41.5""]",'SKU明细'!$AE$9:$AE$1592,0))))</x:f>
        <x:v>1</x:v>
      </x:c>
      <x:c r="X60" s="24" t="str">
        <x:f>IF(COUNTIFS('SKU明细'!$AH$9:$AH$1592,"[""B06"",""B06-CPG"",""CPG"",""香槟金PU""]",'SKU明细'!$E$9:$E$1592,"促销")&gt;0,"促销 ","")&amp;IF(COUNTIFS('SKU明细'!$AH$9:$AH$1592,"[""B06"",""B06-CPG"",""CPG"",""香槟金PU""]",'SKU明细'!$E$9:$E$1592,"红线促销")&gt;0,"红线促销 ","")&amp;IF(COUNTIFS('SKU明细'!$AH$9:$AH$1592,"[""B06"",""B06-CPG"",""CPG"",""香槟金PU""]",'SKU明细'!$E$9:$E$1592,"考虑清仓")&gt;0,"考虑清仓 ","")&amp;IF(COUNTIFS('SKU明细'!$AH$9:$AH$1592,"[""B06"",""B06-CPG"",""CPG"",""香槟金PU""]",'SKU明细'!$E$9:$E$1592,"断货")&gt;0,"断货 ","")&amp;IF(COUNTIFS('SKU明细'!$AH$9:$AH$1592,"[""B06"",""B06-CPG"",""CPG"",""香槟金PU""]",'SKU明细'!$E$9:$E$1592,"零日销待复核")&gt;0,"零日销待复核 ","")&amp;IF(COUNTIFS('SKU明细'!$AH$9:$AH$1592,"[""B06"",""B06-CPG"",""CPG"",""香槟金PU""]",'SKU明细'!$E$9:$E$1592,"数据待核")&gt;0,"数据待核 ","")&amp;IF(COUNTIFS('SKU明细'!$AH$9:$AH$1592,"[""B06"",""B06-CPG"",""CPG"",""香槟金PU""]",'SKU明细'!$E$9:$E$1592,"正常库存")&gt;0,"正常库存 ","")&amp;IF(COUNTIFS('SKU明细'!$AH$9:$AH$1592,"[""B06"",""B06-CPG"",""CPG"",""香槟金PU""]",'SKU明细'!$E$9:$E$1592,"补货提醒")&gt;0,"补货提醒 ","")</x:f>
        <x:v>断货 零日销待复核 </x:v>
      </x:c>
      <x:c r="Y60" s="24" t="str">
        <x:f>IF(NOT(ISNUMBER(U60)),"覆盖待核／无可比基准","仅共同SKU")</x:f>
        <x:v>覆盖待核／无可比基准</x:v>
      </x:c>
      <x:c r="Z60" s="24" t="str">
        <x:v>停售、在售</x:v>
      </x:c>
      <x:c r="AA60" s="24" t="n">
        <x:f>IF(SUMIFS('SKU明细'!$AF$9:$AF$1592,'SKU明细'!$D$9:$D$1592,A60,'SKU明细'!$Z$9:$Z$1592,"&lt;&gt;移出")=0,"待核",SUMIFS('SKU明细'!$H$9:$H$1592,'SKU明细'!$D$9:$D$1592,A60,'SKU明细'!$Z$9:$Z$1592,"&lt;&gt;移出"))</x:f>
        <x:v>2095</x:v>
      </x:c>
    </x:row>
    <x:row r="61" ht="54" customHeight="1">
      <x:c r="A61" s="20" t="str">
        <x:v>B06</x:v>
      </x:c>
      <x:c r="B61" s="20" t="str">
        <x:v>艾年</x:v>
      </x:c>
      <x:c r="C61" s="20" t="str">
        <x:v>金色格利特</x:v>
      </x:c>
      <x:c r="D61" s="20" t="str">
        <x:v>GG</x:v>
      </x:c>
      <x:c r="E61" s="20" t="str">
        <x:v>B06-GG</x:v>
      </x:c>
      <x:c r="F61" s="20"/>
      <x:c r="G61" s="21" t="str">
        <x:f>"—"</x:f>
        <x:v>—</x:v>
      </x:c>
      <x:c r="H61" s="21" t="str">
        <x:f>"—"</x:f>
        <x:v>—</x:v>
      </x:c>
      <x:c r="I61" s="21" t="str">
        <x:f>"—"</x:f>
        <x:v>—</x:v>
      </x:c>
      <x:c r="J61" s="21" t="str">
        <x:f>"—"</x:f>
        <x:v>—</x:v>
      </x:c>
      <x:c r="K61" s="21" t="str">
        <x:f>"—"</x:f>
        <x:v>—</x:v>
      </x:c>
      <x:c r="L61" s="21" t="str">
        <x:f>"—"</x:f>
        <x:v>—</x:v>
      </x:c>
      <x:c r="M61" s="21" t="str">
        <x:f>"—"</x:f>
        <x:v>—</x:v>
      </x:c>
      <x:c r="N61" s="21" t="str">
        <x:f>IF(AND(COUNT(INDEX('SKU明细'!$H$9:$H$1592,MATCH("[13120,""B06-GG-40""]",'SKU明细'!$AE$9:$AE$1592,0)))=1,COUNT(INDEX('SKU明细'!$G$9:$G$1592,MATCH("[13120,""B06-GG-40""]",'SKU明细'!$AE$9:$AE$1592,0)))=1,SUM(INDEX('SKU明细'!$G$9:$G$1592,MATCH("[13120,""B06-GG-40""]",'SKU明细'!$AE$9:$AE$1592,0)))&gt;0),SUM(INDEX('SKU明细'!$H$9:$H$1592,MATCH("[13120,""B06-GG-40""]",'SKU明细'!$AE$9:$AE$1592,0)))/SUM(INDEX('SKU明细'!$G$9:$G$1592,MATCH("[13120,""B06-GG-40""]",'SKU明细'!$AE$9:$AE$1592,0))),"待核")</x:f>
        <x:v>待核</x:v>
      </x:c>
      <x:c r="O61" s="21" t="str">
        <x:f>"—"</x:f>
        <x:v>—</x:v>
      </x:c>
      <x:c r="P61" s="21" t="str">
        <x:f>IF(AND(COUNT(INDEX('SKU明细'!$H$9:$H$1592,MATCH("[13120,""B06-GG-41""]",'SKU明细'!$AE$9:$AE$1592,0)))=1,COUNT(INDEX('SKU明细'!$G$9:$G$1592,MATCH("[13120,""B06-GG-41""]",'SKU明细'!$AE$9:$AE$1592,0)))=1,SUM(INDEX('SKU明细'!$G$9:$G$1592,MATCH("[13120,""B06-GG-41""]",'SKU明细'!$AE$9:$AE$1592,0)))&gt;0),SUM(INDEX('SKU明细'!$H$9:$H$1592,MATCH("[13120,""B06-GG-41""]",'SKU明细'!$AE$9:$AE$1592,0)))/SUM(INDEX('SKU明细'!$G$9:$G$1592,MATCH("[13120,""B06-GG-41""]",'SKU明细'!$AE$9:$AE$1592,0))),"待核")</x:f>
        <x:v>待核</x:v>
      </x:c>
      <x:c r="Q61" s="21" t="str">
        <x:f>"—"</x:f>
        <x:v>—</x:v>
      </x:c>
      <x:c r="R61" s="21" t="str">
        <x:f>"—"</x:f>
        <x:v>—</x:v>
      </x:c>
      <x:c r="S61" s="21" t="str">
        <x:f>"—"</x:f>
        <x:v>—</x:v>
      </x:c>
      <x:c r="T61" s="21" t="str">
        <x:f>"—"</x:f>
        <x:v>—</x:v>
      </x:c>
      <x:c r="U61" s="21" t="str">
        <x:f>IF(COUNT(S61:T61)=2,S61-T61,"待核")</x:f>
        <x:v>待核</x:v>
      </x:c>
      <x:c r="V61" s="22" t="str">
        <x:f>IF(AND(ISNUMBER(U61),ISNUMBER(T61),T61&lt;&gt;0),U61/T61,"")</x:f>
      </x:c>
      <x:c r="W61" s="23" t="n">
        <x:f>IF(COUNT(INDEX('SKU明细'!$H$9:$H$1592,MATCH("[13120,""B06-GG-40""]",'SKU明细'!$AE$9:$AE$1592,0)),INDEX('SKU明细'!$H$9:$H$1592,MATCH("[13120,""B06-GG-41""]",'SKU明细'!$AE$9:$AE$1592,0)))=0,"待核",SUM(INDEX('SKU明细'!$H$9:$H$1592,MATCH("[13120,""B06-GG-40""]",'SKU明细'!$AE$9:$AE$1592,0)),INDEX('SKU明细'!$H$9:$H$1592,MATCH("[13120,""B06-GG-41""]",'SKU明细'!$AE$9:$AE$1592,0))))</x:f>
        <x:v>0</x:v>
      </x:c>
      <x:c r="X61" s="24" t="str">
        <x:f>IF(COUNTIFS('SKU明细'!$AH$9:$AH$1592,"[""B06"",""B06-GG"",""GG"",""金色格利特""]",'SKU明细'!$E$9:$E$1592,"促销")&gt;0,"促销 ","")&amp;IF(COUNTIFS('SKU明细'!$AH$9:$AH$1592,"[""B06"",""B06-GG"",""GG"",""金色格利特""]",'SKU明细'!$E$9:$E$1592,"红线促销")&gt;0,"红线促销 ","")&amp;IF(COUNTIFS('SKU明细'!$AH$9:$AH$1592,"[""B06"",""B06-GG"",""GG"",""金色格利特""]",'SKU明细'!$E$9:$E$1592,"考虑清仓")&gt;0,"考虑清仓 ","")&amp;IF(COUNTIFS('SKU明细'!$AH$9:$AH$1592,"[""B06"",""B06-GG"",""GG"",""金色格利特""]",'SKU明细'!$E$9:$E$1592,"断货")&gt;0,"断货 ","")&amp;IF(COUNTIFS('SKU明细'!$AH$9:$AH$1592,"[""B06"",""B06-GG"",""GG"",""金色格利特""]",'SKU明细'!$E$9:$E$1592,"零日销待复核")&gt;0,"零日销待复核 ","")&amp;IF(COUNTIFS('SKU明细'!$AH$9:$AH$1592,"[""B06"",""B06-GG"",""GG"",""金色格利特""]",'SKU明细'!$E$9:$E$1592,"数据待核")&gt;0,"数据待核 ","")&amp;IF(COUNTIFS('SKU明细'!$AH$9:$AH$1592,"[""B06"",""B06-GG"",""GG"",""金色格利特""]",'SKU明细'!$E$9:$E$1592,"正常库存")&gt;0,"正常库存 ","")&amp;IF(COUNTIFS('SKU明细'!$AH$9:$AH$1592,"[""B06"",""B06-GG"",""GG"",""金色格利特""]",'SKU明细'!$E$9:$E$1592,"补货提醒")&gt;0,"补货提醒 ","")</x:f>
        <x:v>断货 </x:v>
      </x:c>
      <x:c r="Y61" s="24" t="str">
        <x:f>IF(NOT(ISNUMBER(U61)),"覆盖待核／无可比基准","仅共同SKU")</x:f>
        <x:v>覆盖待核／无可比基准</x:v>
      </x:c>
      <x:c r="Z61" s="24" t="str">
        <x:v>停售</x:v>
      </x:c>
      <x:c r="AA61" s="24" t="n">
        <x:f>IF(SUMIFS('SKU明细'!$AF$9:$AF$1592,'SKU明细'!$D$9:$D$1592,A61,'SKU明细'!$Z$9:$Z$1592,"&lt;&gt;移出")=0,"待核",SUMIFS('SKU明细'!$H$9:$H$1592,'SKU明细'!$D$9:$D$1592,A61,'SKU明细'!$Z$9:$Z$1592,"&lt;&gt;移出"))</x:f>
        <x:v>2095</x:v>
      </x:c>
    </x:row>
    <x:row r="62" ht="54" customHeight="1">
      <x:c r="A62" s="20" t="str">
        <x:v>B06</x:v>
      </x:c>
      <x:c r="B62" s="20" t="str">
        <x:v>艾年</x:v>
      </x:c>
      <x:c r="C62" s="20" t="str">
        <x:v>绿色羊京绒</x:v>
      </x:c>
      <x:c r="D62" s="20" t="str">
        <x:v>GN</x:v>
      </x:c>
      <x:c r="E62" s="20" t="str">
        <x:v>B06-GN</x:v>
      </x:c>
      <x:c r="F62" s="20"/>
      <x:c r="G62" s="21" t="str">
        <x:f>"—"</x:f>
        <x:v>—</x:v>
      </x:c>
      <x:c r="H62" s="21" t="str">
        <x:f>"—"</x:f>
        <x:v>—</x:v>
      </x:c>
      <x:c r="I62" s="21" t="str">
        <x:f>"—"</x:f>
        <x:v>—</x:v>
      </x:c>
      <x:c r="J62" s="21" t="str">
        <x:f>"—"</x:f>
        <x:v>—</x:v>
      </x:c>
      <x:c r="K62" s="21" t="str">
        <x:f>"—"</x:f>
        <x:v>—</x:v>
      </x:c>
      <x:c r="L62" s="21" t="str">
        <x:f>"—"</x:f>
        <x:v>—</x:v>
      </x:c>
      <x:c r="M62" s="21" t="str">
        <x:f>"—"</x:f>
        <x:v>—</x:v>
      </x:c>
      <x:c r="N62" s="21" t="str">
        <x:f>"—"</x:f>
        <x:v>—</x:v>
      </x:c>
      <x:c r="O62" s="21" t="n">
        <x:f>IF(AND(COUNT(INDEX('SKU明细'!$H$9:$H$1592,MATCH("[13120,""B06-GN-40.5""]",'SKU明细'!$AE$9:$AE$1592,0)))=1,COUNT(INDEX('SKU明细'!$G$9:$G$1592,MATCH("[13120,""B06-GN-40.5""]",'SKU明细'!$AE$9:$AE$1592,0)))=1,SUM(INDEX('SKU明细'!$G$9:$G$1592,MATCH("[13120,""B06-GN-40.5""]",'SKU明细'!$AE$9:$AE$1592,0)))&gt;0),SUM(INDEX('SKU明细'!$H$9:$H$1592,MATCH("[13120,""B06-GN-40.5""]",'SKU明细'!$AE$9:$AE$1592,0)))/SUM(INDEX('SKU明细'!$G$9:$G$1592,MATCH("[13120,""B06-GN-40.5""]",'SKU明细'!$AE$9:$AE$1592,0))),"待核")</x:f>
        <x:v>70.33492822966508</x:v>
      </x:c>
      <x:c r="P62" s="21" t="str">
        <x:f>"—"</x:f>
        <x:v>—</x:v>
      </x:c>
      <x:c r="Q62" s="21" t="str">
        <x:f>"—"</x:f>
        <x:v>—</x:v>
      </x:c>
      <x:c r="R62" s="21" t="str">
        <x:f>"—"</x:f>
        <x:v>—</x:v>
      </x:c>
      <x:c r="S62" s="21" t="n">
        <x:f>IF(AND(COUNT(INDEX('SKU明细'!$H$9:$H$1592,MATCH("[13120,""B06-GN-40.5""]",'SKU明细'!$AE$9:$AE$1592,0)))=1,COUNT(INDEX('SKU明细'!$G$9:$G$1592,MATCH("[13120,""B06-GN-40.5""]",'SKU明细'!$AE$9:$AE$1592,0)))=1,SUM(INDEX('SKU明细'!$G$9:$G$1592,MATCH("[13120,""B06-GN-40.5""]",'SKU明细'!$AE$9:$AE$1592,0)))&gt;0),SUM(INDEX('SKU明细'!$H$9:$H$1592,MATCH("[13120,""B06-GN-40.5""]",'SKU明细'!$AE$9:$AE$1592,0)))/SUM(INDEX('SKU明细'!$G$9:$G$1592,MATCH("[13120,""B06-GN-40.5""]",'SKU明细'!$AE$9:$AE$1592,0))),"待核")</x:f>
        <x:v>70.33492822966508</x:v>
      </x:c>
      <x:c r="T62" s="21" t="str">
        <x:f>IF(AND(COUNT(INDEX('SKU明细'!$I$9:$I$1592,MATCH("[13120,""B06-GN-40.5""]",'SKU明细'!$AE$9:$AE$1592,0)))=1,COUNT(INDEX('SKU明细'!$AD$9:$AD$1592,MATCH("[13120,""B06-GN-40.5""]",'SKU明细'!$AE$9:$AE$1592,0)))=1,SUM(INDEX('SKU明细'!$AD$9:$AD$1592,MATCH("[13120,""B06-GN-40.5""]",'SKU明细'!$AE$9:$AE$1592,0)))&gt;0),SUM(INDEX('SKU明细'!$I$9:$I$1592,MATCH("[13120,""B06-GN-40.5""]",'SKU明细'!$AE$9:$AE$1592,0)))/SUM(INDEX('SKU明细'!$AD$9:$AD$1592,MATCH("[13120,""B06-GN-40.5""]",'SKU明细'!$AE$9:$AE$1592,0))),"待核")</x:f>
        <x:v>待核</x:v>
      </x:c>
      <x:c r="U62" s="21" t="str">
        <x:f>IF(COUNT(S62:T62)=2,S62-T62,"待核")</x:f>
        <x:v>待核</x:v>
      </x:c>
      <x:c r="V62" s="22" t="str">
        <x:f>IF(AND(ISNUMBER(U62),ISNUMBER(T62),T62&lt;&gt;0),U62/T62,"")</x:f>
      </x:c>
      <x:c r="W62" s="23" t="n">
        <x:f>IF(COUNT(INDEX('SKU明细'!$H$9:$H$1592,MATCH("[13120,""B06-GN-40.5""]",'SKU明细'!$AE$9:$AE$1592,0)))=0,"待核",SUM(INDEX('SKU明细'!$H$9:$H$1592,MATCH("[13120,""B06-GN-40.5""]",'SKU明细'!$AE$9:$AE$1592,0))))</x:f>
        <x:v>7</x:v>
      </x:c>
      <x:c r="X62" s="24" t="str">
        <x:f>IF(COUNTIFS('SKU明细'!$AH$9:$AH$1592,"[""B06"",""B06-GN"",""GN"",""绿色羊京绒""]",'SKU明细'!$E$9:$E$1592,"促销")&gt;0,"促销 ","")&amp;IF(COUNTIFS('SKU明细'!$AH$9:$AH$1592,"[""B06"",""B06-GN"",""GN"",""绿色羊京绒""]",'SKU明细'!$E$9:$E$1592,"红线促销")&gt;0,"红线促销 ","")&amp;IF(COUNTIFS('SKU明细'!$AH$9:$AH$1592,"[""B06"",""B06-GN"",""GN"",""绿色羊京绒""]",'SKU明细'!$E$9:$E$1592,"考虑清仓")&gt;0,"考虑清仓 ","")&amp;IF(COUNTIFS('SKU明细'!$AH$9:$AH$1592,"[""B06"",""B06-GN"",""GN"",""绿色羊京绒""]",'SKU明细'!$E$9:$E$1592,"断货")&gt;0,"断货 ","")&amp;IF(COUNTIFS('SKU明细'!$AH$9:$AH$1592,"[""B06"",""B06-GN"",""GN"",""绿色羊京绒""]",'SKU明细'!$E$9:$E$1592,"零日销待复核")&gt;0,"零日销待复核 ","")&amp;IF(COUNTIFS('SKU明细'!$AH$9:$AH$1592,"[""B06"",""B06-GN"",""GN"",""绿色羊京绒""]",'SKU明细'!$E$9:$E$1592,"数据待核")&gt;0,"数据待核 ","")&amp;IF(COUNTIFS('SKU明细'!$AH$9:$AH$1592,"[""B06"",""B06-GN"",""GN"",""绿色羊京绒""]",'SKU明细'!$E$9:$E$1592,"正常库存")&gt;0,"正常库存 ","")&amp;IF(COUNTIFS('SKU明细'!$AH$9:$AH$1592,"[""B06"",""B06-GN"",""GN"",""绿色羊京绒""]",'SKU明细'!$E$9:$E$1592,"补货提醒")&gt;0,"补货提醒 ","")</x:f>
        <x:v>正常库存 </x:v>
      </x:c>
      <x:c r="Y62" s="24" t="str">
        <x:f>IF(NOT(ISNUMBER(U62)),"覆盖待核／无可比基准","完整可比")</x:f>
        <x:v>覆盖待核／无可比基准</x:v>
      </x:c>
      <x:c r="Z62" s="24" t="str">
        <x:v>在售</x:v>
      </x:c>
      <x:c r="AA62" s="24" t="n">
        <x:f>IF(SUMIFS('SKU明细'!$AF$9:$AF$1592,'SKU明细'!$D$9:$D$1592,A62,'SKU明细'!$Z$9:$Z$1592,"&lt;&gt;移出")=0,"待核",SUMIFS('SKU明细'!$H$9:$H$1592,'SKU明细'!$D$9:$D$1592,A62,'SKU明细'!$Z$9:$Z$1592,"&lt;&gt;移出"))</x:f>
        <x:v>2095</x:v>
      </x:c>
    </x:row>
    <x:row r="63" ht="54" customHeight="1">
      <x:c r="A63" s="20" t="str">
        <x:v>B06</x:v>
      </x:c>
      <x:c r="B63" s="20" t="str">
        <x:v>艾年</x:v>
      </x:c>
      <x:c r="C63" s="20" t="str">
        <x:v>灰色羊京绒</x:v>
      </x:c>
      <x:c r="D63" s="20" t="str">
        <x:v>GY</x:v>
      </x:c>
      <x:c r="E63" s="20" t="str">
        <x:v>B06-GY</x:v>
      </x:c>
      <x:c r="F63" s="20"/>
      <x:c r="G63" s="21" t="str">
        <x:f>"—"</x:f>
        <x:v>—</x:v>
      </x:c>
      <x:c r="H63" s="21" t="str">
        <x:f>"—"</x:f>
        <x:v>—</x:v>
      </x:c>
      <x:c r="I63" s="21" t="str">
        <x:f>"—"</x:f>
        <x:v>—</x:v>
      </x:c>
      <x:c r="J63" s="21" t="str">
        <x:f>"—"</x:f>
        <x:v>—</x:v>
      </x:c>
      <x:c r="K63" s="21" t="str">
        <x:f>"—"</x:f>
        <x:v>—</x:v>
      </x:c>
      <x:c r="L63" s="21" t="str">
        <x:f>"—"</x:f>
        <x:v>—</x:v>
      </x:c>
      <x:c r="M63" s="21" t="str">
        <x:f>"—"</x:f>
        <x:v>—</x:v>
      </x:c>
      <x:c r="N63" s="21" t="str">
        <x:f>IF(AND(COUNT(INDEX('SKU明细'!$H$9:$H$1592,MATCH("[13120,""B06-GY-40""]",'SKU明细'!$AE$9:$AE$1592,0)))=1,COUNT(INDEX('SKU明细'!$G$9:$G$1592,MATCH("[13120,""B06-GY-40""]",'SKU明细'!$AE$9:$AE$1592,0)))=1,SUM(INDEX('SKU明细'!$G$9:$G$1592,MATCH("[13120,""B06-GY-40""]",'SKU明细'!$AE$9:$AE$1592,0)))&gt;0),SUM(INDEX('SKU明细'!$H$9:$H$1592,MATCH("[13120,""B06-GY-40""]",'SKU明细'!$AE$9:$AE$1592,0)))/SUM(INDEX('SKU明细'!$G$9:$G$1592,MATCH("[13120,""B06-GY-40""]",'SKU明细'!$AE$9:$AE$1592,0))),"待核")</x:f>
        <x:v>待核</x:v>
      </x:c>
      <x:c r="O63" s="21" t="str">
        <x:f>IF(AND(COUNT(INDEX('SKU明细'!$H$9:$H$1592,MATCH("[13120,""B06-GY-40.5""]",'SKU明细'!$AE$9:$AE$1592,0)))=1,COUNT(INDEX('SKU明细'!$G$9:$G$1592,MATCH("[13120,""B06-GY-40.5""]",'SKU明细'!$AE$9:$AE$1592,0)))=1,SUM(INDEX('SKU明细'!$G$9:$G$1592,MATCH("[13120,""B06-GY-40.5""]",'SKU明细'!$AE$9:$AE$1592,0)))&gt;0),SUM(INDEX('SKU明细'!$H$9:$H$1592,MATCH("[13120,""B06-GY-40.5""]",'SKU明细'!$AE$9:$AE$1592,0)))/SUM(INDEX('SKU明细'!$G$9:$G$1592,MATCH("[13120,""B06-GY-40.5""]",'SKU明细'!$AE$9:$AE$1592,0))),"待核")</x:f>
        <x:v>待核</x:v>
      </x:c>
      <x:c r="P63" s="21" t="str">
        <x:f>IF(AND(COUNT(INDEX('SKU明细'!$H$9:$H$1592,MATCH("[13120,""B06-GY-41""]",'SKU明细'!$AE$9:$AE$1592,0)))=1,COUNT(INDEX('SKU明细'!$G$9:$G$1592,MATCH("[13120,""B06-GY-41""]",'SKU明细'!$AE$9:$AE$1592,0)))=1,SUM(INDEX('SKU明细'!$G$9:$G$1592,MATCH("[13120,""B06-GY-41""]",'SKU明细'!$AE$9:$AE$1592,0)))&gt;0),SUM(INDEX('SKU明细'!$H$9:$H$1592,MATCH("[13120,""B06-GY-41""]",'SKU明细'!$AE$9:$AE$1592,0)))/SUM(INDEX('SKU明细'!$G$9:$G$1592,MATCH("[13120,""B06-GY-41""]",'SKU明细'!$AE$9:$AE$1592,0))),"待核")</x:f>
        <x:v>待核</x:v>
      </x:c>
      <x:c r="Q63" s="21" t="str">
        <x:f>"—"</x:f>
        <x:v>—</x:v>
      </x:c>
      <x:c r="R63" s="21" t="str">
        <x:f>"—"</x:f>
        <x:v>—</x:v>
      </x:c>
      <x:c r="S63" s="21" t="str">
        <x:f>IF(AND(COUNT(INDEX('SKU明细'!$H$9:$H$1592,MATCH("[13120,""B06-GY-40""]",'SKU明细'!$AE$9:$AE$1592,0)),INDEX('SKU明细'!$H$9:$H$1592,MATCH("[13120,""B06-GY-40.5""]",'SKU明细'!$AE$9:$AE$1592,0)),INDEX('SKU明细'!$H$9:$H$1592,MATCH("[13120,""B06-GY-41""]",'SKU明细'!$AE$9:$AE$1592,0)))=3,COUNT(INDEX('SKU明细'!$G$9:$G$1592,MATCH("[13120,""B06-GY-40""]",'SKU明细'!$AE$9:$AE$1592,0)),INDEX('SKU明细'!$G$9:$G$1592,MATCH("[13120,""B06-GY-40.5""]",'SKU明细'!$AE$9:$AE$1592,0)),INDEX('SKU明细'!$G$9:$G$1592,MATCH("[13120,""B06-GY-41""]",'SKU明细'!$AE$9:$AE$1592,0)))=3,SUM(INDEX('SKU明细'!$G$9:$G$1592,MATCH("[13120,""B06-GY-40""]",'SKU明细'!$AE$9:$AE$1592,0)),INDEX('SKU明细'!$G$9:$G$1592,MATCH("[13120,""B06-GY-40.5""]",'SKU明细'!$AE$9:$AE$1592,0)),INDEX('SKU明细'!$G$9:$G$1592,MATCH("[13120,""B06-GY-41""]",'SKU明细'!$AE$9:$AE$1592,0)))&gt;0),SUM(INDEX('SKU明细'!$H$9:$H$1592,MATCH("[13120,""B06-GY-40""]",'SKU明细'!$AE$9:$AE$1592,0)),INDEX('SKU明细'!$H$9:$H$1592,MATCH("[13120,""B06-GY-40.5""]",'SKU明细'!$AE$9:$AE$1592,0)),INDEX('SKU明细'!$H$9:$H$1592,MATCH("[13120,""B06-GY-41""]",'SKU明细'!$AE$9:$AE$1592,0)))/SUM(INDEX('SKU明细'!$G$9:$G$1592,MATCH("[13120,""B06-GY-40""]",'SKU明细'!$AE$9:$AE$1592,0)),INDEX('SKU明细'!$G$9:$G$1592,MATCH("[13120,""B06-GY-40.5""]",'SKU明细'!$AE$9:$AE$1592,0)),INDEX('SKU明细'!$G$9:$G$1592,MATCH("[13120,""B06-GY-41""]",'SKU明细'!$AE$9:$AE$1592,0))),"待核")</x:f>
        <x:v>待核</x:v>
      </x:c>
      <x:c r="T63" s="21" t="str">
        <x:f>IF(AND(COUNT(INDEX('SKU明细'!$I$9:$I$1592,MATCH("[13120,""B06-GY-40""]",'SKU明细'!$AE$9:$AE$1592,0)),INDEX('SKU明细'!$I$9:$I$1592,MATCH("[13120,""B06-GY-40.5""]",'SKU明细'!$AE$9:$AE$1592,0)),INDEX('SKU明细'!$I$9:$I$1592,MATCH("[13120,""B06-GY-41""]",'SKU明细'!$AE$9:$AE$1592,0)))=3,COUNT(INDEX('SKU明细'!$AD$9:$AD$1592,MATCH("[13120,""B06-GY-40""]",'SKU明细'!$AE$9:$AE$1592,0)),INDEX('SKU明细'!$AD$9:$AD$1592,MATCH("[13120,""B06-GY-40.5""]",'SKU明细'!$AE$9:$AE$1592,0)),INDEX('SKU明细'!$AD$9:$AD$1592,MATCH("[13120,""B06-GY-41""]",'SKU明细'!$AE$9:$AE$1592,0)))=3,SUM(INDEX('SKU明细'!$AD$9:$AD$1592,MATCH("[13120,""B06-GY-40""]",'SKU明细'!$AE$9:$AE$1592,0)),INDEX('SKU明细'!$AD$9:$AD$1592,MATCH("[13120,""B06-GY-40.5""]",'SKU明细'!$AE$9:$AE$1592,0)),INDEX('SKU明细'!$AD$9:$AD$1592,MATCH("[13120,""B06-GY-41""]",'SKU明细'!$AE$9:$AE$1592,0)))&gt;0),SUM(INDEX('SKU明细'!$I$9:$I$1592,MATCH("[13120,""B06-GY-40""]",'SKU明细'!$AE$9:$AE$1592,0)),INDEX('SKU明细'!$I$9:$I$1592,MATCH("[13120,""B06-GY-40.5""]",'SKU明细'!$AE$9:$AE$1592,0)),INDEX('SKU明细'!$I$9:$I$1592,MATCH("[13120,""B06-GY-41""]",'SKU明细'!$AE$9:$AE$1592,0)))/SUM(INDEX('SKU明细'!$AD$9:$AD$1592,MATCH("[13120,""B06-GY-40""]",'SKU明细'!$AE$9:$AE$1592,0)),INDEX('SKU明细'!$AD$9:$AD$1592,MATCH("[13120,""B06-GY-40.5""]",'SKU明细'!$AE$9:$AE$1592,0)),INDEX('SKU明细'!$AD$9:$AD$1592,MATCH("[13120,""B06-GY-41""]",'SKU明细'!$AE$9:$AE$1592,0))),"待核")</x:f>
        <x:v>待核</x:v>
      </x:c>
      <x:c r="U63" s="21" t="str">
        <x:f>IF(COUNT(S63:T63)=2,S63-T63,"待核")</x:f>
        <x:v>待核</x:v>
      </x:c>
      <x:c r="V63" s="22" t="str">
        <x:f>IF(AND(ISNUMBER(U63),ISNUMBER(T63),T63&lt;&gt;0),U63/T63,"")</x:f>
      </x:c>
      <x:c r="W63" s="23" t="n">
        <x:f>IF(COUNT(INDEX('SKU明细'!$H$9:$H$1592,MATCH("[13120,""B06-GY-40""]",'SKU明细'!$AE$9:$AE$1592,0)),INDEX('SKU明细'!$H$9:$H$1592,MATCH("[13120,""B06-GY-40.5""]",'SKU明细'!$AE$9:$AE$1592,0)),INDEX('SKU明细'!$H$9:$H$1592,MATCH("[13120,""B06-GY-41""]",'SKU明细'!$AE$9:$AE$1592,0)))=0,"待核",SUM(INDEX('SKU明细'!$H$9:$H$1592,MATCH("[13120,""B06-GY-40""]",'SKU明细'!$AE$9:$AE$1592,0)),INDEX('SKU明细'!$H$9:$H$1592,MATCH("[13120,""B06-GY-40.5""]",'SKU明细'!$AE$9:$AE$1592,0)),INDEX('SKU明细'!$H$9:$H$1592,MATCH("[13120,""B06-GY-41""]",'SKU明细'!$AE$9:$AE$1592,0))))</x:f>
        <x:v>0</x:v>
      </x:c>
      <x:c r="X63" s="24" t="str">
        <x:f>IF(COUNTIFS('SKU明细'!$AH$9:$AH$1592,"[""B06"",""B06-GY"",""GY"",""灰色羊京绒""]",'SKU明细'!$E$9:$E$1592,"促销")&gt;0,"促销 ","")&amp;IF(COUNTIFS('SKU明细'!$AH$9:$AH$1592,"[""B06"",""B06-GY"",""GY"",""灰色羊京绒""]",'SKU明细'!$E$9:$E$1592,"红线促销")&gt;0,"红线促销 ","")&amp;IF(COUNTIFS('SKU明细'!$AH$9:$AH$1592,"[""B06"",""B06-GY"",""GY"",""灰色羊京绒""]",'SKU明细'!$E$9:$E$1592,"考虑清仓")&gt;0,"考虑清仓 ","")&amp;IF(COUNTIFS('SKU明细'!$AH$9:$AH$1592,"[""B06"",""B06-GY"",""GY"",""灰色羊京绒""]",'SKU明细'!$E$9:$E$1592,"断货")&gt;0,"断货 ","")&amp;IF(COUNTIFS('SKU明细'!$AH$9:$AH$1592,"[""B06"",""B06-GY"",""GY"",""灰色羊京绒""]",'SKU明细'!$E$9:$E$1592,"零日销待复核")&gt;0,"零日销待复核 ","")&amp;IF(COUNTIFS('SKU明细'!$AH$9:$AH$1592,"[""B06"",""B06-GY"",""GY"",""灰色羊京绒""]",'SKU明细'!$E$9:$E$1592,"数据待核")&gt;0,"数据待核 ","")&amp;IF(COUNTIFS('SKU明细'!$AH$9:$AH$1592,"[""B06"",""B06-GY"",""GY"",""灰色羊京绒""]",'SKU明细'!$E$9:$E$1592,"正常库存")&gt;0,"正常库存 ","")&amp;IF(COUNTIFS('SKU明细'!$AH$9:$AH$1592,"[""B06"",""B06-GY"",""GY"",""灰色羊京绒""]",'SKU明细'!$E$9:$E$1592,"补货提醒")&gt;0,"补货提醒 ","")</x:f>
        <x:v>断货 </x:v>
      </x:c>
      <x:c r="Y63" s="24" t="str">
        <x:f>IF(NOT(ISNUMBER(U63)),"覆盖待核／无可比基准","完整可比")</x:f>
        <x:v>覆盖待核／无可比基准</x:v>
      </x:c>
      <x:c r="Z63" s="24" t="str">
        <x:v>停售</x:v>
      </x:c>
      <x:c r="AA63" s="24" t="n">
        <x:f>IF(SUMIFS('SKU明细'!$AF$9:$AF$1592,'SKU明细'!$D$9:$D$1592,A63,'SKU明细'!$Z$9:$Z$1592,"&lt;&gt;移出")=0,"待核",SUMIFS('SKU明细'!$H$9:$H$1592,'SKU明细'!$D$9:$D$1592,A63,'SKU明细'!$Z$9:$Z$1592,"&lt;&gt;移出"))</x:f>
        <x:v>2095</x:v>
      </x:c>
    </x:row>
    <x:row r="64" ht="54" customHeight="1">
      <x:c r="A64" s="20" t="str">
        <x:v>B06</x:v>
      </x:c>
      <x:c r="B64" s="20" t="str">
        <x:v>艾年</x:v>
      </x:c>
      <x:c r="C64" s="20" t="str">
        <x:v>芭比粉羊京绒</x:v>
      </x:c>
      <x:c r="D64" s="20" t="str">
        <x:v>HP</x:v>
      </x:c>
      <x:c r="E64" s="20" t="str">
        <x:v>B06-HP</x:v>
      </x:c>
      <x:c r="F64" s="20"/>
      <x:c r="G64" s="21" t="str">
        <x:f>"—"</x:f>
        <x:v>—</x:v>
      </x:c>
      <x:c r="H64" s="21" t="str">
        <x:f>"—"</x:f>
        <x:v>—</x:v>
      </x:c>
      <x:c r="I64" s="21" t="str">
        <x:f>"—"</x:f>
        <x:v>—</x:v>
      </x:c>
      <x:c r="J64" s="21" t="str">
        <x:f>IF(AND(COUNT(INDEX('SKU明细'!$H$9:$H$1592,MATCH("[13120,""B06-HP-38""]",'SKU明细'!$AE$9:$AE$1592,0)))=1,COUNT(INDEX('SKU明细'!$G$9:$G$1592,MATCH("[13120,""B06-HP-38""]",'SKU明细'!$AE$9:$AE$1592,0)))=1,SUM(INDEX('SKU明细'!$G$9:$G$1592,MATCH("[13120,""B06-HP-38""]",'SKU明细'!$AE$9:$AE$1592,0)))&gt;0),SUM(INDEX('SKU明细'!$H$9:$H$1592,MATCH("[13120,""B06-HP-38""]",'SKU明细'!$AE$9:$AE$1592,0)))/SUM(INDEX('SKU明细'!$G$9:$G$1592,MATCH("[13120,""B06-HP-38""]",'SKU明细'!$AE$9:$AE$1592,0))),"待核")</x:f>
        <x:v>待核</x:v>
      </x:c>
      <x:c r="K64" s="21" t="str">
        <x:f>IF(AND(COUNT(INDEX('SKU明细'!$H$9:$H$1592,MATCH("[13120,""B06-HP-38.5""]",'SKU明细'!$AE$9:$AE$1592,0)))=1,COUNT(INDEX('SKU明细'!$G$9:$G$1592,MATCH("[13120,""B06-HP-38.5""]",'SKU明细'!$AE$9:$AE$1592,0)))=1,SUM(INDEX('SKU明细'!$G$9:$G$1592,MATCH("[13120,""B06-HP-38.5""]",'SKU明细'!$AE$9:$AE$1592,0)))&gt;0),SUM(INDEX('SKU明细'!$H$9:$H$1592,MATCH("[13120,""B06-HP-38.5""]",'SKU明细'!$AE$9:$AE$1592,0)))/SUM(INDEX('SKU明细'!$G$9:$G$1592,MATCH("[13120,""B06-HP-38.5""]",'SKU明细'!$AE$9:$AE$1592,0))),"待核")</x:f>
        <x:v>待核</x:v>
      </x:c>
      <x:c r="L64" s="21" t="str">
        <x:f>"—"</x:f>
        <x:v>—</x:v>
      </x:c>
      <x:c r="M64" s="21" t="str">
        <x:f>IF(AND(COUNT(INDEX('SKU明细'!$H$9:$H$1592,MATCH("[13120,""B06-HP-39.5""]",'SKU明细'!$AE$9:$AE$1592,0)))=1,COUNT(INDEX('SKU明细'!$G$9:$G$1592,MATCH("[13120,""B06-HP-39.5""]",'SKU明细'!$AE$9:$AE$1592,0)))=1,SUM(INDEX('SKU明细'!$G$9:$G$1592,MATCH("[13120,""B06-HP-39.5""]",'SKU明细'!$AE$9:$AE$1592,0)))&gt;0),SUM(INDEX('SKU明细'!$H$9:$H$1592,MATCH("[13120,""B06-HP-39.5""]",'SKU明细'!$AE$9:$AE$1592,0)))/SUM(INDEX('SKU明细'!$G$9:$G$1592,MATCH("[13120,""B06-HP-39.5""]",'SKU明细'!$AE$9:$AE$1592,0))),"待核")</x:f>
        <x:v>待核</x:v>
      </x:c>
      <x:c r="N64" s="21" t="str">
        <x:f>"—"</x:f>
        <x:v>—</x:v>
      </x:c>
      <x:c r="O64" s="21" t="str">
        <x:f>IF(AND(COUNT(INDEX('SKU明细'!$H$9:$H$1592,MATCH("[13120,""B06-HP-40.5""]",'SKU明细'!$AE$9:$AE$1592,0)))=1,COUNT(INDEX('SKU明细'!$G$9:$G$1592,MATCH("[13120,""B06-HP-40.5""]",'SKU明细'!$AE$9:$AE$1592,0)))=1,SUM(INDEX('SKU明细'!$G$9:$G$1592,MATCH("[13120,""B06-HP-40.5""]",'SKU明细'!$AE$9:$AE$1592,0)))&gt;0),SUM(INDEX('SKU明细'!$H$9:$H$1592,MATCH("[13120,""B06-HP-40.5""]",'SKU明细'!$AE$9:$AE$1592,0)))/SUM(INDEX('SKU明细'!$G$9:$G$1592,MATCH("[13120,""B06-HP-40.5""]",'SKU明细'!$AE$9:$AE$1592,0))),"待核")</x:f>
        <x:v>待核</x:v>
      </x:c>
      <x:c r="P64" s="21" t="n">
        <x:f>IF(AND(COUNT(INDEX('SKU明细'!$H$9:$H$1592,MATCH("[13120,""B06-HP-41""]",'SKU明细'!$AE$9:$AE$1592,0)))=1,COUNT(INDEX('SKU明细'!$G$9:$G$1592,MATCH("[13120,""B06-HP-41""]",'SKU明细'!$AE$9:$AE$1592,0)))=1,SUM(INDEX('SKU明细'!$G$9:$G$1592,MATCH("[13120,""B06-HP-41""]",'SKU明细'!$AE$9:$AE$1592,0)))&gt;0),SUM(INDEX('SKU明细'!$H$9:$H$1592,MATCH("[13120,""B06-HP-41""]",'SKU明细'!$AE$9:$AE$1592,0)))/SUM(INDEX('SKU明细'!$G$9:$G$1592,MATCH("[13120,""B06-HP-41""]",'SKU明细'!$AE$9:$AE$1592,0))),"待核")</x:f>
        <x:v>300</x:v>
      </x:c>
      <x:c r="Q64" s="21" t="n">
        <x:f>IF(AND(COUNT(INDEX('SKU明细'!$H$9:$H$1592,MATCH("[13120,""B06-HP-41.5""]",'SKU明细'!$AE$9:$AE$1592,0)))=1,COUNT(INDEX('SKU明细'!$G$9:$G$1592,MATCH("[13120,""B06-HP-41.5""]",'SKU明细'!$AE$9:$AE$1592,0)))=1,SUM(INDEX('SKU明细'!$G$9:$G$1592,MATCH("[13120,""B06-HP-41.5""]",'SKU明细'!$AE$9:$AE$1592,0)))&gt;0),SUM(INDEX('SKU明细'!$H$9:$H$1592,MATCH("[13120,""B06-HP-41.5""]",'SKU明细'!$AE$9:$AE$1592,0)))/SUM(INDEX('SKU明细'!$G$9:$G$1592,MATCH("[13120,""B06-HP-41.5""]",'SKU明细'!$AE$9:$AE$1592,0))),"待核")</x:f>
        <x:v>65.311004784689</x:v>
      </x:c>
      <x:c r="R64" s="21" t="str">
        <x:f>"—"</x:f>
        <x:v>—</x:v>
      </x:c>
      <x:c r="S64" s="21" t="str">
        <x:f>"—"</x:f>
        <x:v>—</x:v>
      </x:c>
      <x:c r="T64" s="21" t="str">
        <x:f>"—"</x:f>
        <x:v>—</x:v>
      </x:c>
      <x:c r="U64" s="21" t="str">
        <x:f>IF(COUNT(S64:T64)=2,S64-T64,"待核")</x:f>
        <x:v>待核</x:v>
      </x:c>
      <x:c r="V64" s="22" t="str">
        <x:f>IF(AND(ISNUMBER(U64),ISNUMBER(T64),T64&lt;&gt;0),U64/T64,"")</x:f>
      </x:c>
      <x:c r="W64" s="23" t="n">
        <x:f>IF(COUNT(INDEX('SKU明细'!$H$9:$H$1592,MATCH("[13120,""B06-HP-41""]",'SKU明细'!$AE$9:$AE$1592,0)),INDEX('SKU明细'!$H$9:$H$1592,MATCH("[13120,""B06-HP-38""]",'SKU明细'!$AE$9:$AE$1592,0)),INDEX('SKU明细'!$H$9:$H$1592,MATCH("[13120,""B06-HP-38.5""]",'SKU明细'!$AE$9:$AE$1592,0)),INDEX('SKU明细'!$H$9:$H$1592,MATCH("[13120,""B06-HP-39.5""]",'SKU明细'!$AE$9:$AE$1592,0)),INDEX('SKU明细'!$H$9:$H$1592,MATCH("[13120,""B06-HP-40.5""]",'SKU明细'!$AE$9:$AE$1592,0)),INDEX('SKU明细'!$H$9:$H$1592,MATCH("[13120,""B06-HP-41.5""]",'SKU明细'!$AE$9:$AE$1592,0)))=0,"待核",SUM(INDEX('SKU明细'!$H$9:$H$1592,MATCH("[13120,""B06-HP-41""]",'SKU明细'!$AE$9:$AE$1592,0)),INDEX('SKU明细'!$H$9:$H$1592,MATCH("[13120,""B06-HP-38""]",'SKU明细'!$AE$9:$AE$1592,0)),INDEX('SKU明细'!$H$9:$H$1592,MATCH("[13120,""B06-HP-38.5""]",'SKU明细'!$AE$9:$AE$1592,0)),INDEX('SKU明细'!$H$9:$H$1592,MATCH("[13120,""B06-HP-39.5""]",'SKU明细'!$AE$9:$AE$1592,0)),INDEX('SKU明细'!$H$9:$H$1592,MATCH("[13120,""B06-HP-40.5""]",'SKU明细'!$AE$9:$AE$1592,0)),INDEX('SKU明细'!$H$9:$H$1592,MATCH("[13120,""B06-HP-41.5""]",'SKU明细'!$AE$9:$AE$1592,0))))</x:f>
        <x:v>15</x:v>
      </x:c>
      <x:c r="X64" s="24" t="str">
        <x:f>IF(COUNTIFS('SKU明细'!$AH$9:$AH$1592,"[""B06"",""B06-HP"",""HP"",""芭比粉羊京绒""]",'SKU明细'!$E$9:$E$1592,"促销")&gt;0,"促销 ","")&amp;IF(COUNTIFS('SKU明细'!$AH$9:$AH$1592,"[""B06"",""B06-HP"",""HP"",""芭比粉羊京绒""]",'SKU明细'!$E$9:$E$1592,"红线促销")&gt;0,"红线促销 ","")&amp;IF(COUNTIFS('SKU明细'!$AH$9:$AH$1592,"[""B06"",""B06-HP"",""HP"",""芭比粉羊京绒""]",'SKU明细'!$E$9:$E$1592,"考虑清仓")&gt;0,"考虑清仓 ","")&amp;IF(COUNTIFS('SKU明细'!$AH$9:$AH$1592,"[""B06"",""B06-HP"",""HP"",""芭比粉羊京绒""]",'SKU明细'!$E$9:$E$1592,"断货")&gt;0,"断货 ","")&amp;IF(COUNTIFS('SKU明细'!$AH$9:$AH$1592,"[""B06"",""B06-HP"",""HP"",""芭比粉羊京绒""]",'SKU明细'!$E$9:$E$1592,"零日销待复核")&gt;0,"零日销待复核 ","")&amp;IF(COUNTIFS('SKU明细'!$AH$9:$AH$1592,"[""B06"",""B06-HP"",""HP"",""芭比粉羊京绒""]",'SKU明细'!$E$9:$E$1592,"数据待核")&gt;0,"数据待核 ","")&amp;IF(COUNTIFS('SKU明细'!$AH$9:$AH$1592,"[""B06"",""B06-HP"",""HP"",""芭比粉羊京绒""]",'SKU明细'!$E$9:$E$1592,"正常库存")&gt;0,"正常库存 ","")&amp;IF(COUNTIFS('SKU明细'!$AH$9:$AH$1592,"[""B06"",""B06-HP"",""HP"",""芭比粉羊京绒""]",'SKU明细'!$E$9:$E$1592,"补货提醒")&gt;0,"补货提醒 ","")</x:f>
        <x:v>红线促销 断货 正常库存 </x:v>
      </x:c>
      <x:c r="Y64" s="24" t="str">
        <x:f>IF(NOT(ISNUMBER(U64)),"覆盖待核／无可比基准","仅共同SKU")</x:f>
        <x:v>覆盖待核／无可比基准</x:v>
      </x:c>
      <x:c r="Z64" s="24" t="str">
        <x:v>在售、停售</x:v>
      </x:c>
      <x:c r="AA64" s="24" t="n">
        <x:f>IF(SUMIFS('SKU明细'!$AF$9:$AF$1592,'SKU明细'!$D$9:$D$1592,A64,'SKU明细'!$Z$9:$Z$1592,"&lt;&gt;移出")=0,"待核",SUMIFS('SKU明细'!$H$9:$H$1592,'SKU明细'!$D$9:$D$1592,A64,'SKU明细'!$Z$9:$Z$1592,"&lt;&gt;移出"))</x:f>
        <x:v>2095</x:v>
      </x:c>
    </x:row>
    <x:row r="65" ht="54" customHeight="1">
      <x:c r="A65" s="20" t="str">
        <x:v>B06</x:v>
      </x:c>
      <x:c r="B65" s="20" t="str">
        <x:v>艾年</x:v>
      </x:c>
      <x:c r="C65" s="20" t="str">
        <x:v>米白色PU</x:v>
      </x:c>
      <x:c r="D65" s="20" t="str">
        <x:v>IV-P</x:v>
      </x:c>
      <x:c r="E65" s="20" t="str">
        <x:v>B06-IV-P-0</x:v>
      </x:c>
      <x:c r="F65" s="20"/>
      <x:c r="G65" s="21" t="str">
        <x:f>"—"</x:f>
        <x:v>—</x:v>
      </x:c>
      <x:c r="H65" s="21" t="str">
        <x:f>IF(AND(COUNT(INDEX('SKU明细'!$H$9:$H$1592,MATCH("[13120,""B06-IV-P-0-37""]",'SKU明细'!$AE$9:$AE$1592,0)))=1,COUNT(INDEX('SKU明细'!$G$9:$G$1592,MATCH("[13120,""B06-IV-P-0-37""]",'SKU明细'!$AE$9:$AE$1592,0)))=1,SUM(INDEX('SKU明细'!$G$9:$G$1592,MATCH("[13120,""B06-IV-P-0-37""]",'SKU明细'!$AE$9:$AE$1592,0)))&gt;0),SUM(INDEX('SKU明细'!$H$9:$H$1592,MATCH("[13120,""B06-IV-P-0-37""]",'SKU明细'!$AE$9:$AE$1592,0)))/SUM(INDEX('SKU明细'!$G$9:$G$1592,MATCH("[13120,""B06-IV-P-0-37""]",'SKU明细'!$AE$9:$AE$1592,0))),"待核")</x:f>
        <x:v>待核</x:v>
      </x:c>
      <x:c r="I65" s="21" t="str">
        <x:f>IF(AND(COUNT(INDEX('SKU明细'!$H$9:$H$1592,MATCH("[13120,""B06-IV-P-0-37.5""]",'SKU明细'!$AE$9:$AE$1592,0)))=1,COUNT(INDEX('SKU明细'!$G$9:$G$1592,MATCH("[13120,""B06-IV-P-0-37.5""]",'SKU明细'!$AE$9:$AE$1592,0)))=1,SUM(INDEX('SKU明细'!$G$9:$G$1592,MATCH("[13120,""B06-IV-P-0-37.5""]",'SKU明细'!$AE$9:$AE$1592,0)))&gt;0),SUM(INDEX('SKU明细'!$H$9:$H$1592,MATCH("[13120,""B06-IV-P-0-37.5""]",'SKU明细'!$AE$9:$AE$1592,0)))/SUM(INDEX('SKU明细'!$G$9:$G$1592,MATCH("[13120,""B06-IV-P-0-37.5""]",'SKU明细'!$AE$9:$AE$1592,0))),"待核")</x:f>
        <x:v>待核</x:v>
      </x:c>
      <x:c r="J65" s="21" t="str">
        <x:f>IF(AND(COUNT(INDEX('SKU明细'!$H$9:$H$1592,MATCH("[13120,""B06-IV-P-0-38""]",'SKU明细'!$AE$9:$AE$1592,0)))=1,COUNT(INDEX('SKU明细'!$G$9:$G$1592,MATCH("[13120,""B06-IV-P-0-38""]",'SKU明细'!$AE$9:$AE$1592,0)))=1,SUM(INDEX('SKU明细'!$G$9:$G$1592,MATCH("[13120,""B06-IV-P-0-38""]",'SKU明细'!$AE$9:$AE$1592,0)))&gt;0),SUM(INDEX('SKU明细'!$H$9:$H$1592,MATCH("[13120,""B06-IV-P-0-38""]",'SKU明细'!$AE$9:$AE$1592,0)))/SUM(INDEX('SKU明细'!$G$9:$G$1592,MATCH("[13120,""B06-IV-P-0-38""]",'SKU明细'!$AE$9:$AE$1592,0))),"待核")</x:f>
        <x:v>待核</x:v>
      </x:c>
      <x:c r="K65" s="21" t="str">
        <x:f>"—"</x:f>
        <x:v>—</x:v>
      </x:c>
      <x:c r="L65" s="21" t="str">
        <x:f>IF(AND(COUNT(INDEX('SKU明细'!$H$9:$H$1592,MATCH("[13120,""B06-IV-P-0-39.5""]",'SKU明细'!$AE$9:$AE$1592,0)))=1,COUNT(INDEX('SKU明细'!$G$9:$G$1592,MATCH("[13120,""B06-IV-P-0-39.5""]",'SKU明细'!$AE$9:$AE$1592,0)))=1,SUM(INDEX('SKU明细'!$G$9:$G$1592,MATCH("[13120,""B06-IV-P-0-39.5""]",'SKU明细'!$AE$9:$AE$1592,0)))&gt;0),SUM(INDEX('SKU明细'!$H$9:$H$1592,MATCH("[13120,""B06-IV-P-0-39.5""]",'SKU明细'!$AE$9:$AE$1592,0)))/SUM(INDEX('SKU明细'!$G$9:$G$1592,MATCH("[13120,""B06-IV-P-0-39.5""]",'SKU明细'!$AE$9:$AE$1592,0))),"待核")</x:f>
        <x:v>待核</x:v>
      </x:c>
      <x:c r="M65" s="21" t="str">
        <x:f>IF(AND(COUNT(INDEX('SKU明细'!$H$9:$H$1592,MATCH("[13120,""B06-IV-P-0-39""]",'SKU明细'!$AE$9:$AE$1592,0)))=1,COUNT(INDEX('SKU明细'!$G$9:$G$1592,MATCH("[13120,""B06-IV-P-0-39""]",'SKU明细'!$AE$9:$AE$1592,0)))=1,SUM(INDEX('SKU明细'!$G$9:$G$1592,MATCH("[13120,""B06-IV-P-0-39""]",'SKU明细'!$AE$9:$AE$1592,0)))&gt;0),SUM(INDEX('SKU明细'!$H$9:$H$1592,MATCH("[13120,""B06-IV-P-0-39""]",'SKU明细'!$AE$9:$AE$1592,0)))/SUM(INDEX('SKU明细'!$G$9:$G$1592,MATCH("[13120,""B06-IV-P-0-39""]",'SKU明细'!$AE$9:$AE$1592,0))),"待核")</x:f>
        <x:v>待核</x:v>
      </x:c>
      <x:c r="N65" s="21" t="str">
        <x:f>"—"</x:f>
        <x:v>—</x:v>
      </x:c>
      <x:c r="O65" s="21" t="n">
        <x:f>IF(AND(COUNT(INDEX('SKU明细'!$H$9:$H$1592,MATCH("[13120,""B06-IV-P-0-40.5""]",'SKU明细'!$AE$9:$AE$1592,0)))=1,COUNT(INDEX('SKU明细'!$G$9:$G$1592,MATCH("[13120,""B06-IV-P-0-40.5""]",'SKU明细'!$AE$9:$AE$1592,0)))=1,SUM(INDEX('SKU明细'!$G$9:$G$1592,MATCH("[13120,""B06-IV-P-0-40.5""]",'SKU明细'!$AE$9:$AE$1592,0)))&gt;0),SUM(INDEX('SKU明细'!$H$9:$H$1592,MATCH("[13120,""B06-IV-P-0-40.5""]",'SKU明细'!$AE$9:$AE$1592,0)))/SUM(INDEX('SKU明细'!$G$9:$G$1592,MATCH("[13120,""B06-IV-P-0-40.5""]",'SKU明细'!$AE$9:$AE$1592,0))),"待核")</x:f>
        <x:v>449.99999999999994</x:v>
      </x:c>
      <x:c r="P65" s="21" t="str">
        <x:f>"—"</x:f>
        <x:v>—</x:v>
      </x:c>
      <x:c r="Q65" s="21" t="str">
        <x:f>IF(AND(COUNT(INDEX('SKU明细'!$H$9:$H$1592,MATCH("[13120,""B06-IV-P-0-41""]",'SKU明细'!$AE$9:$AE$1592,0)))=1,COUNT(INDEX('SKU明细'!$G$9:$G$1592,MATCH("[13120,""B06-IV-P-0-41""]",'SKU明细'!$AE$9:$AE$1592,0)))=1,SUM(INDEX('SKU明细'!$G$9:$G$1592,MATCH("[13120,""B06-IV-P-0-41""]",'SKU明细'!$AE$9:$AE$1592,0)))&gt;0),SUM(INDEX('SKU明细'!$H$9:$H$1592,MATCH("[13120,""B06-IV-P-0-41""]",'SKU明细'!$AE$9:$AE$1592,0)))/SUM(INDEX('SKU明细'!$G$9:$G$1592,MATCH("[13120,""B06-IV-P-0-41""]",'SKU明细'!$AE$9:$AE$1592,0))),"待核")</x:f>
        <x:v>待核</x:v>
      </x:c>
      <x:c r="R65" s="21" t="str">
        <x:f>IF(AND(COUNT(INDEX('SKU明细'!$H$9:$H$1592,MATCH("[13120,""B06-IV-P-0-42""]",'SKU明细'!$AE$9:$AE$1592,0)))=1,COUNT(INDEX('SKU明细'!$G$9:$G$1592,MATCH("[13120,""B06-IV-P-0-42""]",'SKU明细'!$AE$9:$AE$1592,0)))=1,SUM(INDEX('SKU明细'!$G$9:$G$1592,MATCH("[13120,""B06-IV-P-0-42""]",'SKU明细'!$AE$9:$AE$1592,0)))&gt;0),SUM(INDEX('SKU明细'!$H$9:$H$1592,MATCH("[13120,""B06-IV-P-0-42""]",'SKU明细'!$AE$9:$AE$1592,0)))/SUM(INDEX('SKU明细'!$G$9:$G$1592,MATCH("[13120,""B06-IV-P-0-42""]",'SKU明细'!$AE$9:$AE$1592,0))),"待核")</x:f>
        <x:v>待核</x:v>
      </x:c>
      <x:c r="S65" s="21" t="n">
        <x:f>IF(AND(COUNT(INDEX('SKU明细'!$H$9:$H$1592,MATCH("[13120,""B06-IV-P-0-40.5""]",'SKU明细'!$AE$9:$AE$1592,0)),INDEX('SKU明细'!$H$9:$H$1592,MATCH("[13120,""B06-IV-P-0-37.5""]",'SKU明细'!$AE$9:$AE$1592,0)),INDEX('SKU明细'!$H$9:$H$1592,MATCH("[13120,""B06-IV-P-0-38""]",'SKU明细'!$AE$9:$AE$1592,0)),INDEX('SKU明细'!$H$9:$H$1592,MATCH("[13120,""B06-IV-P-0-39""]",'SKU明细'!$AE$9:$AE$1592,0)),INDEX('SKU明细'!$H$9:$H$1592,MATCH("[13120,""B06-IV-P-0-41""]",'SKU明细'!$AE$9:$AE$1592,0)),INDEX('SKU明细'!$H$9:$H$1592,MATCH("[13120,""B06-IV-P-0-37""]",'SKU明细'!$AE$9:$AE$1592,0)),INDEX('SKU明细'!$H$9:$H$1592,MATCH("[13120,""B06-IV-P-0-39.5""]",'SKU明细'!$AE$9:$AE$1592,0)),INDEX('SKU明细'!$H$9:$H$1592,MATCH("[13120,""B06-IV-P-0-42""]",'SKU明细'!$AE$9:$AE$1592,0)))=8,COUNT(INDEX('SKU明细'!$G$9:$G$1592,MATCH("[13120,""B06-IV-P-0-40.5""]",'SKU明细'!$AE$9:$AE$1592,0)),INDEX('SKU明细'!$G$9:$G$1592,MATCH("[13120,""B06-IV-P-0-37.5""]",'SKU明细'!$AE$9:$AE$1592,0)),INDEX('SKU明细'!$G$9:$G$1592,MATCH("[13120,""B06-IV-P-0-38""]",'SKU明细'!$AE$9:$AE$1592,0)),INDEX('SKU明细'!$G$9:$G$1592,MATCH("[13120,""B06-IV-P-0-39""]",'SKU明细'!$AE$9:$AE$1592,0)),INDEX('SKU明细'!$G$9:$G$1592,MATCH("[13120,""B06-IV-P-0-41""]",'SKU明细'!$AE$9:$AE$1592,0)),INDEX('SKU明细'!$G$9:$G$1592,MATCH("[13120,""B06-IV-P-0-37""]",'SKU明细'!$AE$9:$AE$1592,0)),INDEX('SKU明细'!$G$9:$G$1592,MATCH("[13120,""B06-IV-P-0-39.5""]",'SKU明细'!$AE$9:$AE$1592,0)),INDEX('SKU明细'!$G$9:$G$1592,MATCH("[13120,""B06-IV-P-0-42""]",'SKU明细'!$AE$9:$AE$1592,0)))=8,SUM(INDEX('SKU明细'!$G$9:$G$1592,MATCH("[13120,""B06-IV-P-0-40.5""]",'SKU明细'!$AE$9:$AE$1592,0)),INDEX('SKU明细'!$G$9:$G$1592,MATCH("[13120,""B06-IV-P-0-37.5""]",'SKU明细'!$AE$9:$AE$1592,0)),INDEX('SKU明细'!$G$9:$G$1592,MATCH("[13120,""B06-IV-P-0-38""]",'SKU明细'!$AE$9:$AE$1592,0)),INDEX('SKU明细'!$G$9:$G$1592,MATCH("[13120,""B06-IV-P-0-39""]",'SKU明细'!$AE$9:$AE$1592,0)),INDEX('SKU明细'!$G$9:$G$1592,MATCH("[13120,""B06-IV-P-0-41""]",'SKU明细'!$AE$9:$AE$1592,0)),INDEX('SKU明细'!$G$9:$G$1592,MATCH("[13120,""B06-IV-P-0-37""]",'SKU明细'!$AE$9:$AE$1592,0)),INDEX('SKU明细'!$G$9:$G$1592,MATCH("[13120,""B06-IV-P-0-39.5""]",'SKU明细'!$AE$9:$AE$1592,0)),INDEX('SKU明细'!$G$9:$G$1592,MATCH("[13120,""B06-IV-P-0-42""]",'SKU明细'!$AE$9:$AE$1592,0)))&gt;0),SUM(INDEX('SKU明细'!$H$9:$H$1592,MATCH("[13120,""B06-IV-P-0-40.5""]",'SKU明细'!$AE$9:$AE$1592,0)),INDEX('SKU明细'!$H$9:$H$1592,MATCH("[13120,""B06-IV-P-0-37.5""]",'SKU明细'!$AE$9:$AE$1592,0)),INDEX('SKU明细'!$H$9:$H$1592,MATCH("[13120,""B06-IV-P-0-38""]",'SKU明细'!$AE$9:$AE$1592,0)),INDEX('SKU明细'!$H$9:$H$1592,MATCH("[13120,""B06-IV-P-0-39""]",'SKU明细'!$AE$9:$AE$1592,0)),INDEX('SKU明细'!$H$9:$H$1592,MATCH("[13120,""B06-IV-P-0-41""]",'SKU明细'!$AE$9:$AE$1592,0)),INDEX('SKU明细'!$H$9:$H$1592,MATCH("[13120,""B06-IV-P-0-37""]",'SKU明细'!$AE$9:$AE$1592,0)),INDEX('SKU明细'!$H$9:$H$1592,MATCH("[13120,""B06-IV-P-0-39.5""]",'SKU明细'!$AE$9:$AE$1592,0)),INDEX('SKU明细'!$H$9:$H$1592,MATCH("[13120,""B06-IV-P-0-42""]",'SKU明细'!$AE$9:$AE$1592,0)))/SUM(INDEX('SKU明细'!$G$9:$G$1592,MATCH("[13120,""B06-IV-P-0-40.5""]",'SKU明细'!$AE$9:$AE$1592,0)),INDEX('SKU明细'!$G$9:$G$1592,MATCH("[13120,""B06-IV-P-0-37.5""]",'SKU明细'!$AE$9:$AE$1592,0)),INDEX('SKU明细'!$G$9:$G$1592,MATCH("[13120,""B06-IV-P-0-38""]",'SKU明细'!$AE$9:$AE$1592,0)),INDEX('SKU明细'!$G$9:$G$1592,MATCH("[13120,""B06-IV-P-0-39""]",'SKU明细'!$AE$9:$AE$1592,0)),INDEX('SKU明细'!$G$9:$G$1592,MATCH("[13120,""B06-IV-P-0-41""]",'SKU明细'!$AE$9:$AE$1592,0)),INDEX('SKU明细'!$G$9:$G$1592,MATCH("[13120,""B06-IV-P-0-37""]",'SKU明细'!$AE$9:$AE$1592,0)),INDEX('SKU明细'!$G$9:$G$1592,MATCH("[13120,""B06-IV-P-0-39.5""]",'SKU明细'!$AE$9:$AE$1592,0)),INDEX('SKU明细'!$G$9:$G$1592,MATCH("[13120,""B06-IV-P-0-42""]",'SKU明细'!$AE$9:$AE$1592,0))),"待核")</x:f>
        <x:v>1500</x:v>
      </x:c>
      <x:c r="T65" s="21" t="str">
        <x:f>IF(AND(COUNT(INDEX('SKU明细'!$I$9:$I$1592,MATCH("[13120,""B06-IV-P-0-40.5""]",'SKU明细'!$AE$9:$AE$1592,0)),INDEX('SKU明细'!$I$9:$I$1592,MATCH("[13120,""B06-IV-P-0-37.5""]",'SKU明细'!$AE$9:$AE$1592,0)),INDEX('SKU明细'!$I$9:$I$1592,MATCH("[13120,""B06-IV-P-0-38""]",'SKU明细'!$AE$9:$AE$1592,0)),INDEX('SKU明细'!$I$9:$I$1592,MATCH("[13120,""B06-IV-P-0-39""]",'SKU明细'!$AE$9:$AE$1592,0)),INDEX('SKU明细'!$I$9:$I$1592,MATCH("[13120,""B06-IV-P-0-41""]",'SKU明细'!$AE$9:$AE$1592,0)),INDEX('SKU明细'!$I$9:$I$1592,MATCH("[13120,""B06-IV-P-0-37""]",'SKU明细'!$AE$9:$AE$1592,0)),INDEX('SKU明细'!$I$9:$I$1592,MATCH("[13120,""B06-IV-P-0-39.5""]",'SKU明细'!$AE$9:$AE$1592,0)),INDEX('SKU明细'!$I$9:$I$1592,MATCH("[13120,""B06-IV-P-0-42""]",'SKU明细'!$AE$9:$AE$1592,0)))=8,COUNT(INDEX('SKU明细'!$AD$9:$AD$1592,MATCH("[13120,""B06-IV-P-0-40.5""]",'SKU明细'!$AE$9:$AE$1592,0)),INDEX('SKU明细'!$AD$9:$AD$1592,MATCH("[13120,""B06-IV-P-0-37.5""]",'SKU明细'!$AE$9:$AE$1592,0)),INDEX('SKU明细'!$AD$9:$AD$1592,MATCH("[13120,""B06-IV-P-0-38""]",'SKU明细'!$AE$9:$AE$1592,0)),INDEX('SKU明细'!$AD$9:$AD$1592,MATCH("[13120,""B06-IV-P-0-39""]",'SKU明细'!$AE$9:$AE$1592,0)),INDEX('SKU明细'!$AD$9:$AD$1592,MATCH("[13120,""B06-IV-P-0-41""]",'SKU明细'!$AE$9:$AE$1592,0)),INDEX('SKU明细'!$AD$9:$AD$1592,MATCH("[13120,""B06-IV-P-0-37""]",'SKU明细'!$AE$9:$AE$1592,0)),INDEX('SKU明细'!$AD$9:$AD$1592,MATCH("[13120,""B06-IV-P-0-39.5""]",'SKU明细'!$AE$9:$AE$1592,0)),INDEX('SKU明细'!$AD$9:$AD$1592,MATCH("[13120,""B06-IV-P-0-42""]",'SKU明细'!$AE$9:$AE$1592,0)))=8,SUM(INDEX('SKU明细'!$AD$9:$AD$1592,MATCH("[13120,""B06-IV-P-0-40.5""]",'SKU明细'!$AE$9:$AE$1592,0)),INDEX('SKU明细'!$AD$9:$AD$1592,MATCH("[13120,""B06-IV-P-0-37.5""]",'SKU明细'!$AE$9:$AE$1592,0)),INDEX('SKU明细'!$AD$9:$AD$1592,MATCH("[13120,""B06-IV-P-0-38""]",'SKU明细'!$AE$9:$AE$1592,0)),INDEX('SKU明细'!$AD$9:$AD$1592,MATCH("[13120,""B06-IV-P-0-39""]",'SKU明细'!$AE$9:$AE$1592,0)),INDEX('SKU明细'!$AD$9:$AD$1592,MATCH("[13120,""B06-IV-P-0-41""]",'SKU明细'!$AE$9:$AE$1592,0)),INDEX('SKU明细'!$AD$9:$AD$1592,MATCH("[13120,""B06-IV-P-0-37""]",'SKU明细'!$AE$9:$AE$1592,0)),INDEX('SKU明细'!$AD$9:$AD$1592,MATCH("[13120,""B06-IV-P-0-39.5""]",'SKU明细'!$AE$9:$AE$1592,0)),INDEX('SKU明细'!$AD$9:$AD$1592,MATCH("[13120,""B06-IV-P-0-42""]",'SKU明细'!$AE$9:$AE$1592,0)))&gt;0),SUM(INDEX('SKU明细'!$I$9:$I$1592,MATCH("[13120,""B06-IV-P-0-40.5""]",'SKU明细'!$AE$9:$AE$1592,0)),INDEX('SKU明细'!$I$9:$I$1592,MATCH("[13120,""B06-IV-P-0-37.5""]",'SKU明细'!$AE$9:$AE$1592,0)),INDEX('SKU明细'!$I$9:$I$1592,MATCH("[13120,""B06-IV-P-0-38""]",'SKU明细'!$AE$9:$AE$1592,0)),INDEX('SKU明细'!$I$9:$I$1592,MATCH("[13120,""B06-IV-P-0-39""]",'SKU明细'!$AE$9:$AE$1592,0)),INDEX('SKU明细'!$I$9:$I$1592,MATCH("[13120,""B06-IV-P-0-41""]",'SKU明细'!$AE$9:$AE$1592,0)),INDEX('SKU明细'!$I$9:$I$1592,MATCH("[13120,""B06-IV-P-0-37""]",'SKU明细'!$AE$9:$AE$1592,0)),INDEX('SKU明细'!$I$9:$I$1592,MATCH("[13120,""B06-IV-P-0-39.5""]",'SKU明细'!$AE$9:$AE$1592,0)),INDEX('SKU明细'!$I$9:$I$1592,MATCH("[13120,""B06-IV-P-0-42""]",'SKU明细'!$AE$9:$AE$1592,0)))/SUM(INDEX('SKU明细'!$AD$9:$AD$1592,MATCH("[13120,""B06-IV-P-0-40.5""]",'SKU明细'!$AE$9:$AE$1592,0)),INDEX('SKU明细'!$AD$9:$AD$1592,MATCH("[13120,""B06-IV-P-0-37.5""]",'SKU明细'!$AE$9:$AE$1592,0)),INDEX('SKU明细'!$AD$9:$AD$1592,MATCH("[13120,""B06-IV-P-0-38""]",'SKU明细'!$AE$9:$AE$1592,0)),INDEX('SKU明细'!$AD$9:$AD$1592,MATCH("[13120,""B06-IV-P-0-39""]",'SKU明细'!$AE$9:$AE$1592,0)),INDEX('SKU明细'!$AD$9:$AD$1592,MATCH("[13120,""B06-IV-P-0-41""]",'SKU明细'!$AE$9:$AE$1592,0)),INDEX('SKU明细'!$AD$9:$AD$1592,MATCH("[13120,""B06-IV-P-0-37""]",'SKU明细'!$AE$9:$AE$1592,0)),INDEX('SKU明细'!$AD$9:$AD$1592,MATCH("[13120,""B06-IV-P-0-39.5""]",'SKU明细'!$AE$9:$AE$1592,0)),INDEX('SKU明细'!$AD$9:$AD$1592,MATCH("[13120,""B06-IV-P-0-42""]",'SKU明细'!$AE$9:$AE$1592,0))),"待核")</x:f>
        <x:v>待核</x:v>
      </x:c>
      <x:c r="U65" s="21" t="str">
        <x:f>IF(COUNT(S65:T65)=2,S65-T65,"待核")</x:f>
        <x:v>待核</x:v>
      </x:c>
      <x:c r="V65" s="22" t="str">
        <x:f>IF(AND(ISNUMBER(U65),ISNUMBER(T65),T65&lt;&gt;0),U65/T65,"")</x:f>
      </x:c>
      <x:c r="W65" s="23" t="n">
        <x:f>IF(COUNT(INDEX('SKU明细'!$H$9:$H$1592,MATCH("[13120,""B06-IV-P-0-40.5""]",'SKU明细'!$AE$9:$AE$1592,0)),INDEX('SKU明细'!$H$9:$H$1592,MATCH("[13120,""B06-IV-P-0-37.5""]",'SKU明细'!$AE$9:$AE$1592,0)),INDEX('SKU明细'!$H$9:$H$1592,MATCH("[13120,""B06-IV-P-0-38""]",'SKU明细'!$AE$9:$AE$1592,0)),INDEX('SKU明细'!$H$9:$H$1592,MATCH("[13120,""B06-IV-P-0-39""]",'SKU明细'!$AE$9:$AE$1592,0)),INDEX('SKU明细'!$H$9:$H$1592,MATCH("[13120,""B06-IV-P-0-41""]",'SKU明细'!$AE$9:$AE$1592,0)),INDEX('SKU明细'!$H$9:$H$1592,MATCH("[13120,""B06-IV-P-0-37""]",'SKU明细'!$AE$9:$AE$1592,0)),INDEX('SKU明细'!$H$9:$H$1592,MATCH("[13120,""B06-IV-P-0-39.5""]",'SKU明细'!$AE$9:$AE$1592,0)),INDEX('SKU明细'!$H$9:$H$1592,MATCH("[13120,""B06-IV-P-0-42""]",'SKU明细'!$AE$9:$AE$1592,0)))=0,"待核",SUM(INDEX('SKU明细'!$H$9:$H$1592,MATCH("[13120,""B06-IV-P-0-40.5""]",'SKU明细'!$AE$9:$AE$1592,0)),INDEX('SKU明细'!$H$9:$H$1592,MATCH("[13120,""B06-IV-P-0-37.5""]",'SKU明细'!$AE$9:$AE$1592,0)),INDEX('SKU明细'!$H$9:$H$1592,MATCH("[13120,""B06-IV-P-0-38""]",'SKU明细'!$AE$9:$AE$1592,0)),INDEX('SKU明细'!$H$9:$H$1592,MATCH("[13120,""B06-IV-P-0-39""]",'SKU明细'!$AE$9:$AE$1592,0)),INDEX('SKU明细'!$H$9:$H$1592,MATCH("[13120,""B06-IV-P-0-41""]",'SKU明细'!$AE$9:$AE$1592,0)),INDEX('SKU明细'!$H$9:$H$1592,MATCH("[13120,""B06-IV-P-0-37""]",'SKU明细'!$AE$9:$AE$1592,0)),INDEX('SKU明细'!$H$9:$H$1592,MATCH("[13120,""B06-IV-P-0-39.5""]",'SKU明细'!$AE$9:$AE$1592,0)),INDEX('SKU明细'!$H$9:$H$1592,MATCH("[13120,""B06-IV-P-0-42""]",'SKU明细'!$AE$9:$AE$1592,0))))</x:f>
        <x:v>10</x:v>
      </x:c>
      <x:c r="X65" s="24" t="str">
        <x:f>IF(COUNTIFS('SKU明细'!$AH$9:$AH$1592,"[""B06"",""B06-IV-P-0"",""IV-P"",""米白色PU""]",'SKU明细'!$E$9:$E$1592,"促销")&gt;0,"促销 ","")&amp;IF(COUNTIFS('SKU明细'!$AH$9:$AH$1592,"[""B06"",""B06-IV-P-0"",""IV-P"",""米白色PU""]",'SKU明细'!$E$9:$E$1592,"红线促销")&gt;0,"红线促销 ","")&amp;IF(COUNTIFS('SKU明细'!$AH$9:$AH$1592,"[""B06"",""B06-IV-P-0"",""IV-P"",""米白色PU""]",'SKU明细'!$E$9:$E$1592,"考虑清仓")&gt;0,"考虑清仓 ","")&amp;IF(COUNTIFS('SKU明细'!$AH$9:$AH$1592,"[""B06"",""B06-IV-P-0"",""IV-P"",""米白色PU""]",'SKU明细'!$E$9:$E$1592,"断货")&gt;0,"断货 ","")&amp;IF(COUNTIFS('SKU明细'!$AH$9:$AH$1592,"[""B06"",""B06-IV-P-0"",""IV-P"",""米白色PU""]",'SKU明细'!$E$9:$E$1592,"零日销待复核")&gt;0,"零日销待复核 ","")&amp;IF(COUNTIFS('SKU明细'!$AH$9:$AH$1592,"[""B06"",""B06-IV-P-0"",""IV-P"",""米白色PU""]",'SKU明细'!$E$9:$E$1592,"数据待核")&gt;0,"数据待核 ","")&amp;IF(COUNTIFS('SKU明细'!$AH$9:$AH$1592,"[""B06"",""B06-IV-P-0"",""IV-P"",""米白色PU""]",'SKU明细'!$E$9:$E$1592,"正常库存")&gt;0,"正常库存 ","")&amp;IF(COUNTIFS('SKU明细'!$AH$9:$AH$1592,"[""B06"",""B06-IV-P-0"",""IV-P"",""米白色PU""]",'SKU明细'!$E$9:$E$1592,"补货提醒")&gt;0,"补货提醒 ","")</x:f>
        <x:v>考虑清仓 断货 零日销待复核 </x:v>
      </x:c>
      <x:c r="Y65" s="24" t="str">
        <x:f>IF(NOT(ISNUMBER(U65)),"覆盖待核／无可比基准","完整可比")</x:f>
        <x:v>覆盖待核／无可比基准</x:v>
      </x:c>
      <x:c r="Z65" s="24" t="str">
        <x:v>在售、停售</x:v>
      </x:c>
      <x:c r="AA65" s="24" t="n">
        <x:f>IF(SUMIFS('SKU明细'!$AF$9:$AF$1592,'SKU明细'!$D$9:$D$1592,A65,'SKU明细'!$Z$9:$Z$1592,"&lt;&gt;移出")=0,"待核",SUMIFS('SKU明细'!$H$9:$H$1592,'SKU明细'!$D$9:$D$1592,A65,'SKU明细'!$Z$9:$Z$1592,"&lt;&gt;移出"))</x:f>
        <x:v>2095</x:v>
      </x:c>
    </x:row>
    <x:row r="66" ht="54" customHeight="1">
      <x:c r="A66" s="20" t="str">
        <x:v>B06</x:v>
      </x:c>
      <x:c r="B66" s="20" t="str">
        <x:v>艾年</x:v>
      </x:c>
      <x:c r="C66" s="20" t="str">
        <x:v>豹纹羊京绒</x:v>
      </x:c>
      <x:c r="D66" s="20" t="str">
        <x:v>LP</x:v>
      </x:c>
      <x:c r="E66" s="20" t="str">
        <x:v>B06-LP</x:v>
      </x:c>
      <x:c r="F66" s="20"/>
      <x:c r="G66" s="21" t="str">
        <x:f>"—"</x:f>
        <x:v>—</x:v>
      </x:c>
      <x:c r="H66" s="21" t="n">
        <x:f>IF(AND(COUNT(INDEX('SKU明细'!$H$9:$H$1592,MATCH("[13120,""B06-LP-37""]",'SKU明细'!$AE$9:$AE$1592,0)))=1,COUNT(INDEX('SKU明细'!$G$9:$G$1592,MATCH("[13120,""B06-LP-37""]",'SKU明细'!$AE$9:$AE$1592,0)))=1,SUM(INDEX('SKU明细'!$G$9:$G$1592,MATCH("[13120,""B06-LP-37""]",'SKU明细'!$AE$9:$AE$1592,0)))&gt;0),SUM(INDEX('SKU明细'!$H$9:$H$1592,MATCH("[13120,""B06-LP-37""]",'SKU明细'!$AE$9:$AE$1592,0)))/SUM(INDEX('SKU明细'!$G$9:$G$1592,MATCH("[13120,""B06-LP-37""]",'SKU明细'!$AE$9:$AE$1592,0))),"待核")</x:f>
        <x:v>27.155172413793107</x:v>
      </x:c>
      <x:c r="I66" s="21" t="n">
        <x:f>IF(AND(COUNT(INDEX('SKU明细'!$H$9:$H$1592,MATCH("[13120,""B06-LP-37.5""]",'SKU明细'!$AE$9:$AE$1592,0)))=1,COUNT(INDEX('SKU明细'!$G$9:$G$1592,MATCH("[13120,""B06-LP-37.5""]",'SKU明细'!$AE$9:$AE$1592,0)))=1,SUM(INDEX('SKU明细'!$G$9:$G$1592,MATCH("[13120,""B06-LP-37.5""]",'SKU明细'!$AE$9:$AE$1592,0)))&gt;0),SUM(INDEX('SKU明细'!$H$9:$H$1592,MATCH("[13120,""B06-LP-37.5""]",'SKU明细'!$AE$9:$AE$1592,0)))/SUM(INDEX('SKU明细'!$G$9:$G$1592,MATCH("[13120,""B06-LP-37.5""]",'SKU明细'!$AE$9:$AE$1592,0))),"待核")</x:f>
        <x:v>60.688073394495405</x:v>
      </x:c>
      <x:c r="J66" s="21" t="n">
        <x:f>IF(AND(COUNT(INDEX('SKU明细'!$H$9:$H$1592,MATCH("[13120,""B06-LP-38""]",'SKU明细'!$AE$9:$AE$1592,0)))=1,COUNT(INDEX('SKU明细'!$G$9:$G$1592,MATCH("[13120,""B06-LP-38""]",'SKU明细'!$AE$9:$AE$1592,0)))=1,SUM(INDEX('SKU明细'!$G$9:$G$1592,MATCH("[13120,""B06-LP-38""]",'SKU明细'!$AE$9:$AE$1592,0)))&gt;0),SUM(INDEX('SKU明细'!$H$9:$H$1592,MATCH("[13120,""B06-LP-38""]",'SKU明细'!$AE$9:$AE$1592,0)))/SUM(INDEX('SKU明细'!$G$9:$G$1592,MATCH("[13120,""B06-LP-38""]",'SKU明细'!$AE$9:$AE$1592,0))),"待核")</x:f>
        <x:v>20.20408163265306</x:v>
      </x:c>
      <x:c r="K66" s="21" t="n">
        <x:f>IF(AND(COUNT(INDEX('SKU明细'!$H$9:$H$1592,MATCH("[13120,""B06-LP-38.5""]",'SKU明细'!$AE$9:$AE$1592,0)))=1,COUNT(INDEX('SKU明细'!$G$9:$G$1592,MATCH("[13120,""B06-LP-38.5""]",'SKU明细'!$AE$9:$AE$1592,0)))=1,SUM(INDEX('SKU明细'!$G$9:$G$1592,MATCH("[13120,""B06-LP-38.5""]",'SKU明细'!$AE$9:$AE$1592,0)))&gt;0),SUM(INDEX('SKU明细'!$H$9:$H$1592,MATCH("[13120,""B06-LP-38.5""]",'SKU明细'!$AE$9:$AE$1592,0)))/SUM(INDEX('SKU明细'!$G$9:$G$1592,MATCH("[13120,""B06-LP-38.5""]",'SKU明细'!$AE$9:$AE$1592,0))),"待核")</x:f>
        <x:v>24.43890274314214</x:v>
      </x:c>
      <x:c r="L66" s="21" t="n">
        <x:f>IF(AND(COUNT(INDEX('SKU明细'!$H$9:$H$1592,MATCH("[13120,""B06-LP-39-N""]",'SKU明细'!$AE$9:$AE$1592,0)))=1,COUNT(INDEX('SKU明细'!$G$9:$G$1592,MATCH("[13120,""B06-LP-39-N""]",'SKU明细'!$AE$9:$AE$1592,0)))=1,SUM(INDEX('SKU明细'!$G$9:$G$1592,MATCH("[13120,""B06-LP-39-N""]",'SKU明细'!$AE$9:$AE$1592,0)))&gt;0),SUM(INDEX('SKU明细'!$H$9:$H$1592,MATCH("[13120,""B06-LP-39-N""]",'SKU明细'!$AE$9:$AE$1592,0)))/SUM(INDEX('SKU明细'!$G$9:$G$1592,MATCH("[13120,""B06-LP-39-N""]",'SKU明细'!$AE$9:$AE$1592,0))),"待核")</x:f>
        <x:v>2.2335673261008298</x:v>
      </x:c>
      <x:c r="M66" s="21" t="n">
        <x:f>IF(AND(COUNT(INDEX('SKU明细'!$H$9:$H$1592,MATCH("[13120,""B06-LP-39.5""]",'SKU明细'!$AE$9:$AE$1592,0)))=1,COUNT(INDEX('SKU明细'!$G$9:$G$1592,MATCH("[13120,""B06-LP-39.5""]",'SKU明细'!$AE$9:$AE$1592,0)))=1,SUM(INDEX('SKU明细'!$G$9:$G$1592,MATCH("[13120,""B06-LP-39.5""]",'SKU明细'!$AE$9:$AE$1592,0)))&gt;0),SUM(INDEX('SKU明细'!$H$9:$H$1592,MATCH("[13120,""B06-LP-39.5""]",'SKU明细'!$AE$9:$AE$1592,0)))/SUM(INDEX('SKU明细'!$G$9:$G$1592,MATCH("[13120,""B06-LP-39.5""]",'SKU明细'!$AE$9:$AE$1592,0))),"待核")</x:f>
        <x:v>0</x:v>
      </x:c>
      <x:c r="N66" s="21" t="n">
        <x:f>IF(AND(COUNT(INDEX('SKU明细'!$H$9:$H$1592,MATCH("[13120,""B06-LP-40""]",'SKU明细'!$AE$9:$AE$1592,0)))=1,COUNT(INDEX('SKU明细'!$G$9:$G$1592,MATCH("[13120,""B06-LP-40""]",'SKU明细'!$AE$9:$AE$1592,0)))=1,SUM(INDEX('SKU明细'!$G$9:$G$1592,MATCH("[13120,""B06-LP-40""]",'SKU明细'!$AE$9:$AE$1592,0)))&gt;0),SUM(INDEX('SKU明细'!$H$9:$H$1592,MATCH("[13120,""B06-LP-40""]",'SKU明细'!$AE$9:$AE$1592,0)))/SUM(INDEX('SKU明细'!$G$9:$G$1592,MATCH("[13120,""B06-LP-40""]",'SKU明细'!$AE$9:$AE$1592,0))),"待核")</x:f>
        <x:v>8.201240523776706</x:v>
      </x:c>
      <x:c r="O66" s="21" t="n">
        <x:f>IF(AND(COUNT(INDEX('SKU明细'!$H$9:$H$1592,MATCH("[13120,""B06-LP-40.5""]",'SKU明细'!$AE$9:$AE$1592,0)))=1,COUNT(INDEX('SKU明细'!$G$9:$G$1592,MATCH("[13120,""B06-LP-40.5""]",'SKU明细'!$AE$9:$AE$1592,0)))=1,SUM(INDEX('SKU明细'!$G$9:$G$1592,MATCH("[13120,""B06-LP-40.5""]",'SKU明细'!$AE$9:$AE$1592,0)))&gt;0),SUM(INDEX('SKU明细'!$H$9:$H$1592,MATCH("[13120,""B06-LP-40.5""]",'SKU明细'!$AE$9:$AE$1592,0)))/SUM(INDEX('SKU明细'!$G$9:$G$1592,MATCH("[13120,""B06-LP-40.5""]",'SKU明细'!$AE$9:$AE$1592,0))),"待核")</x:f>
        <x:v>11.181364392678868</x:v>
      </x:c>
      <x:c r="P66" s="21" t="n">
        <x:f>IF(AND(COUNT(INDEX('SKU明细'!$H$9:$H$1592,MATCH("[13120,""B06-LP-41""]",'SKU明细'!$AE$9:$AE$1592,0)))=1,COUNT(INDEX('SKU明细'!$G$9:$G$1592,MATCH("[13120,""B06-LP-41""]",'SKU明细'!$AE$9:$AE$1592,0)))=1,SUM(INDEX('SKU明细'!$G$9:$G$1592,MATCH("[13120,""B06-LP-41""]",'SKU明细'!$AE$9:$AE$1592,0)))&gt;0),SUM(INDEX('SKU明细'!$H$9:$H$1592,MATCH("[13120,""B06-LP-41""]",'SKU明细'!$AE$9:$AE$1592,0)))/SUM(INDEX('SKU明细'!$G$9:$G$1592,MATCH("[13120,""B06-LP-41""]",'SKU明细'!$AE$9:$AE$1592,0))),"待核")</x:f>
        <x:v>0</x:v>
      </x:c>
      <x:c r="Q66" s="21" t="n">
        <x:f>IF(AND(COUNT(INDEX('SKU明细'!$H$9:$H$1592,MATCH("[13120,""B06-LP-41.5""]",'SKU明细'!$AE$9:$AE$1592,0)))=1,COUNT(INDEX('SKU明细'!$G$9:$G$1592,MATCH("[13120,""B06-LP-41.5""]",'SKU明细'!$AE$9:$AE$1592,0)))=1,SUM(INDEX('SKU明细'!$G$9:$G$1592,MATCH("[13120,""B06-LP-41.5""]",'SKU明细'!$AE$9:$AE$1592,0)))&gt;0),SUM(INDEX('SKU明细'!$H$9:$H$1592,MATCH("[13120,""B06-LP-41.5""]",'SKU明细'!$AE$9:$AE$1592,0)))/SUM(INDEX('SKU明细'!$G$9:$G$1592,MATCH("[13120,""B06-LP-41.5""]",'SKU明细'!$AE$9:$AE$1592,0))),"待核")</x:f>
        <x:v>30.79470198675497</x:v>
      </x:c>
      <x:c r="R66" s="21" t="n">
        <x:f>IF(AND(COUNT(INDEX('SKU明细'!$H$9:$H$1592,MATCH("[13120,""B06-LP-42-N""]",'SKU明细'!$AE$9:$AE$1592,0)))=1,COUNT(INDEX('SKU明细'!$G$9:$G$1592,MATCH("[13120,""B06-LP-42-N""]",'SKU明细'!$AE$9:$AE$1592,0)))=1,SUM(INDEX('SKU明细'!$G$9:$G$1592,MATCH("[13120,""B06-LP-42-N""]",'SKU明细'!$AE$9:$AE$1592,0)))&gt;0),SUM(INDEX('SKU明细'!$H$9:$H$1592,MATCH("[13120,""B06-LP-42-N""]",'SKU明细'!$AE$9:$AE$1592,0)))/SUM(INDEX('SKU明细'!$G$9:$G$1592,MATCH("[13120,""B06-LP-42-N""]",'SKU明细'!$AE$9:$AE$1592,0))),"待核")</x:f>
        <x:v>23.57142857142857</x:v>
      </x:c>
      <x:c r="S66" s="21" t="n">
        <x:f>IF(AND(COUNT(INDEX('SKU明细'!$H$9:$H$1592,MATCH("[13120,""B06-LP-39.5""]",'SKU明细'!$AE$9:$AE$1592,0)),INDEX('SKU明细'!$H$9:$H$1592,MATCH("[13120,""B06-LP-41""]",'SKU明细'!$AE$9:$AE$1592,0)),INDEX('SKU明细'!$H$9:$H$1592,MATCH("[13120,""B06-LP-37.5""]",'SKU明细'!$AE$9:$AE$1592,0)),INDEX('SKU明细'!$H$9:$H$1592,MATCH("[13120,""B06-LP-37""]",'SKU明细'!$AE$9:$AE$1592,0)),INDEX('SKU明细'!$H$9:$H$1592,MATCH("[13120,""B06-LP-38""]",'SKU明细'!$AE$9:$AE$1592,0)),INDEX('SKU明细'!$H$9:$H$1592,MATCH("[13120,""B06-LP-38.5""]",'SKU明细'!$AE$9:$AE$1592,0)),INDEX('SKU明细'!$H$9:$H$1592,MATCH("[13120,""B06-LP-39-N""]",'SKU明细'!$AE$9:$AE$1592,0)),INDEX('SKU明细'!$H$9:$H$1592,MATCH("[13120,""B06-LP-40""]",'SKU明细'!$AE$9:$AE$1592,0)),INDEX('SKU明细'!$H$9:$H$1592,MATCH("[13120,""B06-LP-40.5""]",'SKU明细'!$AE$9:$AE$1592,0)),INDEX('SKU明细'!$H$9:$H$1592,MATCH("[13120,""B06-LP-41.5""]",'SKU明细'!$AE$9:$AE$1592,0)),INDEX('SKU明细'!$H$9:$H$1592,MATCH("[13120,""B06-LP-42-N""]",'SKU明细'!$AE$9:$AE$1592,0)))=11,COUNT(INDEX('SKU明细'!$G$9:$G$1592,MATCH("[13120,""B06-LP-39.5""]",'SKU明细'!$AE$9:$AE$1592,0)),INDEX('SKU明细'!$G$9:$G$1592,MATCH("[13120,""B06-LP-41""]",'SKU明细'!$AE$9:$AE$1592,0)),INDEX('SKU明细'!$G$9:$G$1592,MATCH("[13120,""B06-LP-37.5""]",'SKU明细'!$AE$9:$AE$1592,0)),INDEX('SKU明细'!$G$9:$G$1592,MATCH("[13120,""B06-LP-37""]",'SKU明细'!$AE$9:$AE$1592,0)),INDEX('SKU明细'!$G$9:$G$1592,MATCH("[13120,""B06-LP-38""]",'SKU明细'!$AE$9:$AE$1592,0)),INDEX('SKU明细'!$G$9:$G$1592,MATCH("[13120,""B06-LP-38.5""]",'SKU明细'!$AE$9:$AE$1592,0)),INDEX('SKU明细'!$G$9:$G$1592,MATCH("[13120,""B06-LP-39-N""]",'SKU明细'!$AE$9:$AE$1592,0)),INDEX('SKU明细'!$G$9:$G$1592,MATCH("[13120,""B06-LP-40""]",'SKU明细'!$AE$9:$AE$1592,0)),INDEX('SKU明细'!$G$9:$G$1592,MATCH("[13120,""B06-LP-40.5""]",'SKU明细'!$AE$9:$AE$1592,0)),INDEX('SKU明细'!$G$9:$G$1592,MATCH("[13120,""B06-LP-41.5""]",'SKU明细'!$AE$9:$AE$1592,0)),INDEX('SKU明细'!$G$9:$G$1592,MATCH("[13120,""B06-LP-42-N""]",'SKU明细'!$AE$9:$AE$1592,0)))=11,SUM(INDEX('SKU明细'!$G$9:$G$1592,MATCH("[13120,""B06-LP-39.5""]",'SKU明细'!$AE$9:$AE$1592,0)),INDEX('SKU明细'!$G$9:$G$1592,MATCH("[13120,""B06-LP-41""]",'SKU明细'!$AE$9:$AE$1592,0)),INDEX('SKU明细'!$G$9:$G$1592,MATCH("[13120,""B06-LP-37.5""]",'SKU明细'!$AE$9:$AE$1592,0)),INDEX('SKU明细'!$G$9:$G$1592,MATCH("[13120,""B06-LP-37""]",'SKU明细'!$AE$9:$AE$1592,0)),INDEX('SKU明细'!$G$9:$G$1592,MATCH("[13120,""B06-LP-38""]",'SKU明细'!$AE$9:$AE$1592,0)),INDEX('SKU明细'!$G$9:$G$1592,MATCH("[13120,""B06-LP-38.5""]",'SKU明细'!$AE$9:$AE$1592,0)),INDEX('SKU明细'!$G$9:$G$1592,MATCH("[13120,""B06-LP-39-N""]",'SKU明细'!$AE$9:$AE$1592,0)),INDEX('SKU明细'!$G$9:$G$1592,MATCH("[13120,""B06-LP-40""]",'SKU明细'!$AE$9:$AE$1592,0)),INDEX('SKU明细'!$G$9:$G$1592,MATCH("[13120,""B06-LP-40.5""]",'SKU明细'!$AE$9:$AE$1592,0)),INDEX('SKU明细'!$G$9:$G$1592,MATCH("[13120,""B06-LP-41.5""]",'SKU明细'!$AE$9:$AE$1592,0)),INDEX('SKU明细'!$G$9:$G$1592,MATCH("[13120,""B06-LP-42-N""]",'SKU明细'!$AE$9:$AE$1592,0)))&gt;0),SUM(INDEX('SKU明细'!$H$9:$H$1592,MATCH("[13120,""B06-LP-39.5""]",'SKU明细'!$AE$9:$AE$1592,0)),INDEX('SKU明细'!$H$9:$H$1592,MATCH("[13120,""B06-LP-41""]",'SKU明细'!$AE$9:$AE$1592,0)),INDEX('SKU明细'!$H$9:$H$1592,MATCH("[13120,""B06-LP-37.5""]",'SKU明细'!$AE$9:$AE$1592,0)),INDEX('SKU明细'!$H$9:$H$1592,MATCH("[13120,""B06-LP-37""]",'SKU明细'!$AE$9:$AE$1592,0)),INDEX('SKU明细'!$H$9:$H$1592,MATCH("[13120,""B06-LP-38""]",'SKU明细'!$AE$9:$AE$1592,0)),INDEX('SKU明细'!$H$9:$H$1592,MATCH("[13120,""B06-LP-38.5""]",'SKU明细'!$AE$9:$AE$1592,0)),INDEX('SKU明细'!$H$9:$H$1592,MATCH("[13120,""B06-LP-39-N""]",'SKU明细'!$AE$9:$AE$1592,0)),INDEX('SKU明细'!$H$9:$H$1592,MATCH("[13120,""B06-LP-40""]",'SKU明细'!$AE$9:$AE$1592,0)),INDEX('SKU明细'!$H$9:$H$1592,MATCH("[13120,""B06-LP-40.5""]",'SKU明细'!$AE$9:$AE$1592,0)),INDEX('SKU明细'!$H$9:$H$1592,MATCH("[13120,""B06-LP-41.5""]",'SKU明细'!$AE$9:$AE$1592,0)),INDEX('SKU明细'!$H$9:$H$1592,MATCH("[13120,""B06-LP-42-N""]",'SKU明细'!$AE$9:$AE$1592,0)))/SUM(INDEX('SKU明细'!$G$9:$G$1592,MATCH("[13120,""B06-LP-39.5""]",'SKU明细'!$AE$9:$AE$1592,0)),INDEX('SKU明细'!$G$9:$G$1592,MATCH("[13120,""B06-LP-41""]",'SKU明细'!$AE$9:$AE$1592,0)),INDEX('SKU明细'!$G$9:$G$1592,MATCH("[13120,""B06-LP-37.5""]",'SKU明细'!$AE$9:$AE$1592,0)),INDEX('SKU明细'!$G$9:$G$1592,MATCH("[13120,""B06-LP-37""]",'SKU明细'!$AE$9:$AE$1592,0)),INDEX('SKU明细'!$G$9:$G$1592,MATCH("[13120,""B06-LP-38""]",'SKU明细'!$AE$9:$AE$1592,0)),INDEX('SKU明细'!$G$9:$G$1592,MATCH("[13120,""B06-LP-38.5""]",'SKU明细'!$AE$9:$AE$1592,0)),INDEX('SKU明细'!$G$9:$G$1592,MATCH("[13120,""B06-LP-39-N""]",'SKU明细'!$AE$9:$AE$1592,0)),INDEX('SKU明细'!$G$9:$G$1592,MATCH("[13120,""B06-LP-40""]",'SKU明细'!$AE$9:$AE$1592,0)),INDEX('SKU明细'!$G$9:$G$1592,MATCH("[13120,""B06-LP-40.5""]",'SKU明细'!$AE$9:$AE$1592,0)),INDEX('SKU明细'!$G$9:$G$1592,MATCH("[13120,""B06-LP-41.5""]",'SKU明细'!$AE$9:$AE$1592,0)),INDEX('SKU明细'!$G$9:$G$1592,MATCH("[13120,""B06-LP-42-N""]",'SKU明细'!$AE$9:$AE$1592,0))),"待核")</x:f>
        <x:v>16.86686507225071</x:v>
      </x:c>
      <x:c r="T66" s="21" t="n">
        <x:f>IF(AND(COUNT(INDEX('SKU明细'!$I$9:$I$1592,MATCH("[13120,""B06-LP-39.5""]",'SKU明细'!$AE$9:$AE$1592,0)),INDEX('SKU明细'!$I$9:$I$1592,MATCH("[13120,""B06-LP-41""]",'SKU明细'!$AE$9:$AE$1592,0)),INDEX('SKU明细'!$I$9:$I$1592,MATCH("[13120,""B06-LP-37.5""]",'SKU明细'!$AE$9:$AE$1592,0)),INDEX('SKU明细'!$I$9:$I$1592,MATCH("[13120,""B06-LP-37""]",'SKU明细'!$AE$9:$AE$1592,0)),INDEX('SKU明细'!$I$9:$I$1592,MATCH("[13120,""B06-LP-38""]",'SKU明细'!$AE$9:$AE$1592,0)),INDEX('SKU明细'!$I$9:$I$1592,MATCH("[13120,""B06-LP-38.5""]",'SKU明细'!$AE$9:$AE$1592,0)),INDEX('SKU明细'!$I$9:$I$1592,MATCH("[13120,""B06-LP-39-N""]",'SKU明细'!$AE$9:$AE$1592,0)),INDEX('SKU明细'!$I$9:$I$1592,MATCH("[13120,""B06-LP-40""]",'SKU明细'!$AE$9:$AE$1592,0)),INDEX('SKU明细'!$I$9:$I$1592,MATCH("[13120,""B06-LP-40.5""]",'SKU明细'!$AE$9:$AE$1592,0)),INDEX('SKU明细'!$I$9:$I$1592,MATCH("[13120,""B06-LP-41.5""]",'SKU明细'!$AE$9:$AE$1592,0)),INDEX('SKU明细'!$I$9:$I$1592,MATCH("[13120,""B06-LP-42-N""]",'SKU明细'!$AE$9:$AE$1592,0)))=11,COUNT(INDEX('SKU明细'!$AD$9:$AD$1592,MATCH("[13120,""B06-LP-39.5""]",'SKU明细'!$AE$9:$AE$1592,0)),INDEX('SKU明细'!$AD$9:$AD$1592,MATCH("[13120,""B06-LP-41""]",'SKU明细'!$AE$9:$AE$1592,0)),INDEX('SKU明细'!$AD$9:$AD$1592,MATCH("[13120,""B06-LP-37.5""]",'SKU明细'!$AE$9:$AE$1592,0)),INDEX('SKU明细'!$AD$9:$AD$1592,MATCH("[13120,""B06-LP-37""]",'SKU明细'!$AE$9:$AE$1592,0)),INDEX('SKU明细'!$AD$9:$AD$1592,MATCH("[13120,""B06-LP-38""]",'SKU明细'!$AE$9:$AE$1592,0)),INDEX('SKU明细'!$AD$9:$AD$1592,MATCH("[13120,""B06-LP-38.5""]",'SKU明细'!$AE$9:$AE$1592,0)),INDEX('SKU明细'!$AD$9:$AD$1592,MATCH("[13120,""B06-LP-39-N""]",'SKU明细'!$AE$9:$AE$1592,0)),INDEX('SKU明细'!$AD$9:$AD$1592,MATCH("[13120,""B06-LP-40""]",'SKU明细'!$AE$9:$AE$1592,0)),INDEX('SKU明细'!$AD$9:$AD$1592,MATCH("[13120,""B06-LP-40.5""]",'SKU明细'!$AE$9:$AE$1592,0)),INDEX('SKU明细'!$AD$9:$AD$1592,MATCH("[13120,""B06-LP-41.5""]",'SKU明细'!$AE$9:$AE$1592,0)),INDEX('SKU明细'!$AD$9:$AD$1592,MATCH("[13120,""B06-LP-42-N""]",'SKU明细'!$AE$9:$AE$1592,0)))=11,SUM(INDEX('SKU明细'!$AD$9:$AD$1592,MATCH("[13120,""B06-LP-39.5""]",'SKU明细'!$AE$9:$AE$1592,0)),INDEX('SKU明细'!$AD$9:$AD$1592,MATCH("[13120,""B06-LP-41""]",'SKU明细'!$AE$9:$AE$1592,0)),INDEX('SKU明细'!$AD$9:$AD$1592,MATCH("[13120,""B06-LP-37.5""]",'SKU明细'!$AE$9:$AE$1592,0)),INDEX('SKU明细'!$AD$9:$AD$1592,MATCH("[13120,""B06-LP-37""]",'SKU明细'!$AE$9:$AE$1592,0)),INDEX('SKU明细'!$AD$9:$AD$1592,MATCH("[13120,""B06-LP-38""]",'SKU明细'!$AE$9:$AE$1592,0)),INDEX('SKU明细'!$AD$9:$AD$1592,MATCH("[13120,""B06-LP-38.5""]",'SKU明细'!$AE$9:$AE$1592,0)),INDEX('SKU明细'!$AD$9:$AD$1592,MATCH("[13120,""B06-LP-39-N""]",'SKU明细'!$AE$9:$AE$1592,0)),INDEX('SKU明细'!$AD$9:$AD$1592,MATCH("[13120,""B06-LP-40""]",'SKU明细'!$AE$9:$AE$1592,0)),INDEX('SKU明细'!$AD$9:$AD$1592,MATCH("[13120,""B06-LP-40.5""]",'SKU明细'!$AE$9:$AE$1592,0)),INDEX('SKU明细'!$AD$9:$AD$1592,MATCH("[13120,""B06-LP-41.5""]",'SKU明细'!$AE$9:$AE$1592,0)),INDEX('SKU明细'!$AD$9:$AD$1592,MATCH("[13120,""B06-LP-42-N""]",'SKU明细'!$AE$9:$AE$1592,0)))&gt;0),SUM(INDEX('SKU明细'!$I$9:$I$1592,MATCH("[13120,""B06-LP-39.5""]",'SKU明细'!$AE$9:$AE$1592,0)),INDEX('SKU明细'!$I$9:$I$1592,MATCH("[13120,""B06-LP-41""]",'SKU明细'!$AE$9:$AE$1592,0)),INDEX('SKU明细'!$I$9:$I$1592,MATCH("[13120,""B06-LP-37.5""]",'SKU明细'!$AE$9:$AE$1592,0)),INDEX('SKU明细'!$I$9:$I$1592,MATCH("[13120,""B06-LP-37""]",'SKU明细'!$AE$9:$AE$1592,0)),INDEX('SKU明细'!$I$9:$I$1592,MATCH("[13120,""B06-LP-38""]",'SKU明细'!$AE$9:$AE$1592,0)),INDEX('SKU明细'!$I$9:$I$1592,MATCH("[13120,""B06-LP-38.5""]",'SKU明细'!$AE$9:$AE$1592,0)),INDEX('SKU明细'!$I$9:$I$1592,MATCH("[13120,""B06-LP-39-N""]",'SKU明细'!$AE$9:$AE$1592,0)),INDEX('SKU明细'!$I$9:$I$1592,MATCH("[13120,""B06-LP-40""]",'SKU明细'!$AE$9:$AE$1592,0)),INDEX('SKU明细'!$I$9:$I$1592,MATCH("[13120,""B06-LP-40.5""]",'SKU明细'!$AE$9:$AE$1592,0)),INDEX('SKU明细'!$I$9:$I$1592,MATCH("[13120,""B06-LP-41.5""]",'SKU明细'!$AE$9:$AE$1592,0)),INDEX('SKU明细'!$I$9:$I$1592,MATCH("[13120,""B06-LP-42-N""]",'SKU明细'!$AE$9:$AE$1592,0)))/SUM(INDEX('SKU明细'!$AD$9:$AD$1592,MATCH("[13120,""B06-LP-39.5""]",'SKU明细'!$AE$9:$AE$1592,0)),INDEX('SKU明细'!$AD$9:$AD$1592,MATCH("[13120,""B06-LP-41""]",'SKU明细'!$AE$9:$AE$1592,0)),INDEX('SKU明细'!$AD$9:$AD$1592,MATCH("[13120,""B06-LP-37.5""]",'SKU明细'!$AE$9:$AE$1592,0)),INDEX('SKU明细'!$AD$9:$AD$1592,MATCH("[13120,""B06-LP-37""]",'SKU明细'!$AE$9:$AE$1592,0)),INDEX('SKU明细'!$AD$9:$AD$1592,MATCH("[13120,""B06-LP-38""]",'SKU明细'!$AE$9:$AE$1592,0)),INDEX('SKU明细'!$AD$9:$AD$1592,MATCH("[13120,""B06-LP-38.5""]",'SKU明细'!$AE$9:$AE$1592,0)),INDEX('SKU明细'!$AD$9:$AD$1592,MATCH("[13120,""B06-LP-39-N""]",'SKU明细'!$AE$9:$AE$1592,0)),INDEX('SKU明细'!$AD$9:$AD$1592,MATCH("[13120,""B06-LP-40""]",'SKU明细'!$AE$9:$AE$1592,0)),INDEX('SKU明细'!$AD$9:$AD$1592,MATCH("[13120,""B06-LP-40.5""]",'SKU明细'!$AE$9:$AE$1592,0)),INDEX('SKU明细'!$AD$9:$AD$1592,MATCH("[13120,""B06-LP-41.5""]",'SKU明细'!$AE$9:$AE$1592,0)),INDEX('SKU明细'!$AD$9:$AD$1592,MATCH("[13120,""B06-LP-42-N""]",'SKU明细'!$AE$9:$AE$1592,0))),"待核")</x:f>
        <x:v>44.500898444761134</x:v>
      </x:c>
      <x:c r="U66" s="21" t="n">
        <x:f>IF(COUNT(S66:T66)=2,S66-T66,"待核")</x:f>
        <x:v>-27.634033372510423</x:v>
      </x:c>
      <x:c r="V66" s="22" t="n">
        <x:f>IF(AND(ISNUMBER(U66),ISNUMBER(T66),T66&lt;&gt;0),U66/T66,"")</x:f>
        <x:v>-0.6209769766067192</x:v>
      </x:c>
      <x:c r="W66" s="23" t="n">
        <x:f>IF(COUNT(INDEX('SKU明细'!$H$9:$H$1592,MATCH("[13120,""B06-LP-39.5""]",'SKU明细'!$AE$9:$AE$1592,0)),INDEX('SKU明细'!$H$9:$H$1592,MATCH("[13120,""B06-LP-41""]",'SKU明细'!$AE$9:$AE$1592,0)),INDEX('SKU明细'!$H$9:$H$1592,MATCH("[13120,""B06-LP-37.5""]",'SKU明细'!$AE$9:$AE$1592,0)),INDEX('SKU明细'!$H$9:$H$1592,MATCH("[13120,""B06-LP-37""]",'SKU明细'!$AE$9:$AE$1592,0)),INDEX('SKU明细'!$H$9:$H$1592,MATCH("[13120,""B06-LP-38""]",'SKU明细'!$AE$9:$AE$1592,0)),INDEX('SKU明细'!$H$9:$H$1592,MATCH("[13120,""B06-LP-38.5""]",'SKU明细'!$AE$9:$AE$1592,0)),INDEX('SKU明细'!$H$9:$H$1592,MATCH("[13120,""B06-LP-39-N""]",'SKU明细'!$AE$9:$AE$1592,0)),INDEX('SKU明细'!$H$9:$H$1592,MATCH("[13120,""B06-LP-40""]",'SKU明细'!$AE$9:$AE$1592,0)),INDEX('SKU明细'!$H$9:$H$1592,MATCH("[13120,""B06-LP-40.5""]",'SKU明细'!$AE$9:$AE$1592,0)),INDEX('SKU明细'!$H$9:$H$1592,MATCH("[13120,""B06-LP-41.5""]",'SKU明细'!$AE$9:$AE$1592,0)),INDEX('SKU明细'!$H$9:$H$1592,MATCH("[13120,""B06-LP-42-N""]",'SKU明细'!$AE$9:$AE$1592,0)))=0,"待核",SUM(INDEX('SKU明细'!$H$9:$H$1592,MATCH("[13120,""B06-LP-39.5""]",'SKU明细'!$AE$9:$AE$1592,0)),INDEX('SKU明细'!$H$9:$H$1592,MATCH("[13120,""B06-LP-41""]",'SKU明细'!$AE$9:$AE$1592,0)),INDEX('SKU明细'!$H$9:$H$1592,MATCH("[13120,""B06-LP-37.5""]",'SKU明细'!$AE$9:$AE$1592,0)),INDEX('SKU明细'!$H$9:$H$1592,MATCH("[13120,""B06-LP-37""]",'SKU明细'!$AE$9:$AE$1592,0)),INDEX('SKU明细'!$H$9:$H$1592,MATCH("[13120,""B06-LP-38""]",'SKU明细'!$AE$9:$AE$1592,0)),INDEX('SKU明细'!$H$9:$H$1592,MATCH("[13120,""B06-LP-38.5""]",'SKU明细'!$AE$9:$AE$1592,0)),INDEX('SKU明细'!$H$9:$H$1592,MATCH("[13120,""B06-LP-39-N""]",'SKU明细'!$AE$9:$AE$1592,0)),INDEX('SKU明细'!$H$9:$H$1592,MATCH("[13120,""B06-LP-40""]",'SKU明细'!$AE$9:$AE$1592,0)),INDEX('SKU明细'!$H$9:$H$1592,MATCH("[13120,""B06-LP-40.5""]",'SKU明细'!$AE$9:$AE$1592,0)),INDEX('SKU明细'!$H$9:$H$1592,MATCH("[13120,""B06-LP-41.5""]",'SKU明细'!$AE$9:$AE$1592,0)),INDEX('SKU明细'!$H$9:$H$1592,MATCH("[13120,""B06-LP-42-N""]",'SKU明细'!$AE$9:$AE$1592,0))))</x:f>
        <x:v>224</x:v>
      </x:c>
      <x:c r="X66" s="24" t="str">
        <x:f>IF(COUNTIFS('SKU明细'!$AH$9:$AH$1592,"[""B06"",""B06-LP"",""LP"",""豹纹羊京绒""]",'SKU明细'!$E$9:$E$1592,"促销")&gt;0,"促销 ","")&amp;IF(COUNTIFS('SKU明细'!$AH$9:$AH$1592,"[""B06"",""B06-LP"",""LP"",""豹纹羊京绒""]",'SKU明细'!$E$9:$E$1592,"红线促销")&gt;0,"红线促销 ","")&amp;IF(COUNTIFS('SKU明细'!$AH$9:$AH$1592,"[""B06"",""B06-LP"",""LP"",""豹纹羊京绒""]",'SKU明细'!$E$9:$E$1592,"考虑清仓")&gt;0,"考虑清仓 ","")&amp;IF(COUNTIFS('SKU明细'!$AH$9:$AH$1592,"[""B06"",""B06-LP"",""LP"",""豹纹羊京绒""]",'SKU明细'!$E$9:$E$1592,"断货")&gt;0,"断货 ","")&amp;IF(COUNTIFS('SKU明细'!$AH$9:$AH$1592,"[""B06"",""B06-LP"",""LP"",""豹纹羊京绒""]",'SKU明细'!$E$9:$E$1592,"零日销待复核")&gt;0,"零日销待复核 ","")&amp;IF(COUNTIFS('SKU明细'!$AH$9:$AH$1592,"[""B06"",""B06-LP"",""LP"",""豹纹羊京绒""]",'SKU明细'!$E$9:$E$1592,"数据待核")&gt;0,"数据待核 ","")&amp;IF(COUNTIFS('SKU明细'!$AH$9:$AH$1592,"[""B06"",""B06-LP"",""LP"",""豹纹羊京绒""]",'SKU明细'!$E$9:$E$1592,"正常库存")&gt;0,"正常库存 ","")&amp;IF(COUNTIFS('SKU明细'!$AH$9:$AH$1592,"[""B06"",""B06-LP"",""LP"",""豹纹羊京绒""]",'SKU明细'!$E$9:$E$1592,"补货提醒")&gt;0,"补货提醒 ","")</x:f>
        <x:v>断货 正常库存 补货提醒 </x:v>
      </x:c>
      <x:c r="Y66" s="24" t="str">
        <x:f>IF(NOT(ISNUMBER(U66)),"覆盖待核／无可比基准","完整可比")</x:f>
        <x:v>完整可比</x:v>
      </x:c>
      <x:c r="Z66" s="24" t="str">
        <x:v>在售</x:v>
      </x:c>
      <x:c r="AA66" s="24" t="n">
        <x:f>IF(SUMIFS('SKU明细'!$AF$9:$AF$1592,'SKU明细'!$D$9:$D$1592,A66,'SKU明细'!$Z$9:$Z$1592,"&lt;&gt;移出")=0,"待核",SUMIFS('SKU明细'!$H$9:$H$1592,'SKU明细'!$D$9:$D$1592,A66,'SKU明细'!$Z$9:$Z$1592,"&lt;&gt;移出"))</x:f>
        <x:v>2095</x:v>
      </x:c>
    </x:row>
    <x:row r="67" ht="54" customHeight="1">
      <x:c r="A67" s="20" t="str">
        <x:v>B06</x:v>
      </x:c>
      <x:c r="B67" s="20" t="str">
        <x:v>艾年</x:v>
      </x:c>
      <x:c r="C67" s="20" t="str">
        <x:v>黄色羊京绒</x:v>
      </x:c>
      <x:c r="D67" s="20" t="str">
        <x:v>MT</x:v>
      </x:c>
      <x:c r="E67" s="20" t="str">
        <x:v>B06-MT</x:v>
      </x:c>
      <x:c r="F67" s="20"/>
      <x:c r="G67" s="21" t="str">
        <x:f>"—"</x:f>
        <x:v>—</x:v>
      </x:c>
      <x:c r="H67" s="21" t="str">
        <x:f>IF(AND(COUNT(INDEX('SKU明细'!$H$9:$H$1592,MATCH("[13120,""B06-MT-37-N""]",'SKU明细'!$AE$9:$AE$1592,0)))=1,COUNT(INDEX('SKU明细'!$G$9:$G$1592,MATCH("[13120,""B06-MT-37-N""]",'SKU明细'!$AE$9:$AE$1592,0)))=1,SUM(INDEX('SKU明细'!$G$9:$G$1592,MATCH("[13120,""B06-MT-37-N""]",'SKU明细'!$AE$9:$AE$1592,0)))&gt;0),SUM(INDEX('SKU明细'!$H$9:$H$1592,MATCH("[13120,""B06-MT-37-N""]",'SKU明细'!$AE$9:$AE$1592,0)))/SUM(INDEX('SKU明细'!$G$9:$G$1592,MATCH("[13120,""B06-MT-37-N""]",'SKU明细'!$AE$9:$AE$1592,0))),"待核")</x:f>
        <x:v>待核</x:v>
      </x:c>
      <x:c r="I67" s="21" t="str">
        <x:f>IF(AND(COUNT(INDEX('SKU明细'!$H$9:$H$1592,MATCH("[13120,""B06-MT-37.5""]",'SKU明细'!$AE$9:$AE$1592,0)))=1,COUNT(INDEX('SKU明细'!$G$9:$G$1592,MATCH("[13120,""B06-MT-37.5""]",'SKU明细'!$AE$9:$AE$1592,0)))=1,SUM(INDEX('SKU明细'!$G$9:$G$1592,MATCH("[13120,""B06-MT-37.5""]",'SKU明细'!$AE$9:$AE$1592,0)))&gt;0),SUM(INDEX('SKU明细'!$H$9:$H$1592,MATCH("[13120,""B06-MT-37.5""]",'SKU明细'!$AE$9:$AE$1592,0)))/SUM(INDEX('SKU明细'!$G$9:$G$1592,MATCH("[13120,""B06-MT-37.5""]",'SKU明细'!$AE$9:$AE$1592,0))),"待核")</x:f>
        <x:v>待核</x:v>
      </x:c>
      <x:c r="J67" s="21" t="str">
        <x:f>IF(AND(COUNT(INDEX('SKU明细'!$H$9:$H$1592,MATCH("[13120,""B06-MT-38""]",'SKU明细'!$AE$9:$AE$1592,0)))=1,COUNT(INDEX('SKU明细'!$G$9:$G$1592,MATCH("[13120,""B06-MT-38""]",'SKU明细'!$AE$9:$AE$1592,0)))=1,SUM(INDEX('SKU明细'!$G$9:$G$1592,MATCH("[13120,""B06-MT-38""]",'SKU明细'!$AE$9:$AE$1592,0)))&gt;0),SUM(INDEX('SKU明细'!$H$9:$H$1592,MATCH("[13120,""B06-MT-38""]",'SKU明细'!$AE$9:$AE$1592,0)))/SUM(INDEX('SKU明细'!$G$9:$G$1592,MATCH("[13120,""B06-MT-38""]",'SKU明细'!$AE$9:$AE$1592,0))),"待核")</x:f>
        <x:v>待核</x:v>
      </x:c>
      <x:c r="K67" s="21" t="str">
        <x:f>"—"</x:f>
        <x:v>—</x:v>
      </x:c>
      <x:c r="L67" s="21" t="str">
        <x:f>"—"</x:f>
        <x:v>—</x:v>
      </x:c>
      <x:c r="M67" s="21" t="str">
        <x:f>"—"</x:f>
        <x:v>—</x:v>
      </x:c>
      <x:c r="N67" s="21" t="str">
        <x:f>"—"</x:f>
        <x:v>—</x:v>
      </x:c>
      <x:c r="O67" s="21" t="str">
        <x:f>IF(AND(COUNT(INDEX('SKU明细'!$H$9:$H$1592,MATCH("[13120,""B06-MT-40.5""]",'SKU明细'!$AE$9:$AE$1592,0)))=1,COUNT(INDEX('SKU明细'!$G$9:$G$1592,MATCH("[13120,""B06-MT-40.5""]",'SKU明细'!$AE$9:$AE$1592,0)))=1,SUM(INDEX('SKU明细'!$G$9:$G$1592,MATCH("[13120,""B06-MT-40.5""]",'SKU明细'!$AE$9:$AE$1592,0)))&gt;0),SUM(INDEX('SKU明细'!$H$9:$H$1592,MATCH("[13120,""B06-MT-40.5""]",'SKU明细'!$AE$9:$AE$1592,0)))/SUM(INDEX('SKU明细'!$G$9:$G$1592,MATCH("[13120,""B06-MT-40.5""]",'SKU明细'!$AE$9:$AE$1592,0))),"待核")</x:f>
        <x:v>待核</x:v>
      </x:c>
      <x:c r="P67" s="21" t="n">
        <x:f>IF(AND(COUNT(INDEX('SKU明细'!$H$9:$H$1592,MATCH("[13120,""B06-MT-41""]",'SKU明细'!$AE$9:$AE$1592,0)))=1,COUNT(INDEX('SKU明细'!$G$9:$G$1592,MATCH("[13120,""B06-MT-41""]",'SKU明细'!$AE$9:$AE$1592,0)))=1,SUM(INDEX('SKU明细'!$G$9:$G$1592,MATCH("[13120,""B06-MT-41""]",'SKU明细'!$AE$9:$AE$1592,0)))&gt;0),SUM(INDEX('SKU明细'!$H$9:$H$1592,MATCH("[13120,""B06-MT-41""]",'SKU明细'!$AE$9:$AE$1592,0)))/SUM(INDEX('SKU明细'!$G$9:$G$1592,MATCH("[13120,""B06-MT-41""]",'SKU明细'!$AE$9:$AE$1592,0))),"待核")</x:f>
        <x:v>15.825169555388095</x:v>
      </x:c>
      <x:c r="Q67" s="21" t="str">
        <x:f>IF(AND(COUNT(INDEX('SKU明细'!$H$9:$H$1592,MATCH("[13120,""B06-MT-41.5""]",'SKU明细'!$AE$9:$AE$1592,0)))=1,COUNT(INDEX('SKU明细'!$G$9:$G$1592,MATCH("[13120,""B06-MT-41.5""]",'SKU明细'!$AE$9:$AE$1592,0)))=1,SUM(INDEX('SKU明细'!$G$9:$G$1592,MATCH("[13120,""B06-MT-41.5""]",'SKU明细'!$AE$9:$AE$1592,0)))&gt;0),SUM(INDEX('SKU明细'!$H$9:$H$1592,MATCH("[13120,""B06-MT-41.5""]",'SKU明细'!$AE$9:$AE$1592,0)))/SUM(INDEX('SKU明细'!$G$9:$G$1592,MATCH("[13120,""B06-MT-41.5""]",'SKU明细'!$AE$9:$AE$1592,0))),"待核")</x:f>
        <x:v>待核</x:v>
      </x:c>
      <x:c r="R67" s="21" t="str">
        <x:f>"—"</x:f>
        <x:v>—</x:v>
      </x:c>
      <x:c r="S67" s="21" t="n">
        <x:f>IF(AND(COUNT(INDEX('SKU明细'!$H$9:$H$1592,MATCH("[13120,""B06-MT-37-N""]",'SKU明细'!$AE$9:$AE$1592,0)),INDEX('SKU明细'!$H$9:$H$1592,MATCH("[13120,""B06-MT-37.5""]",'SKU明细'!$AE$9:$AE$1592,0)),INDEX('SKU明细'!$H$9:$H$1592,MATCH("[13120,""B06-MT-38""]",'SKU明细'!$AE$9:$AE$1592,0)),INDEX('SKU明细'!$H$9:$H$1592,MATCH("[13120,""B06-MT-40.5""]",'SKU明细'!$AE$9:$AE$1592,0)),INDEX('SKU明细'!$H$9:$H$1592,MATCH("[13120,""B06-MT-41.5""]",'SKU明细'!$AE$9:$AE$1592,0)),INDEX('SKU明细'!$H$9:$H$1592,MATCH("[13120,""B06-MT-41""]",'SKU明细'!$AE$9:$AE$1592,0)))=6,COUNT(INDEX('SKU明细'!$G$9:$G$1592,MATCH("[13120,""B06-MT-37-N""]",'SKU明细'!$AE$9:$AE$1592,0)),INDEX('SKU明细'!$G$9:$G$1592,MATCH("[13120,""B06-MT-37.5""]",'SKU明细'!$AE$9:$AE$1592,0)),INDEX('SKU明细'!$G$9:$G$1592,MATCH("[13120,""B06-MT-38""]",'SKU明细'!$AE$9:$AE$1592,0)),INDEX('SKU明细'!$G$9:$G$1592,MATCH("[13120,""B06-MT-40.5""]",'SKU明细'!$AE$9:$AE$1592,0)),INDEX('SKU明细'!$G$9:$G$1592,MATCH("[13120,""B06-MT-41.5""]",'SKU明细'!$AE$9:$AE$1592,0)),INDEX('SKU明细'!$G$9:$G$1592,MATCH("[13120,""B06-MT-41""]",'SKU明细'!$AE$9:$AE$1592,0)))=6,SUM(INDEX('SKU明细'!$G$9:$G$1592,MATCH("[13120,""B06-MT-37-N""]",'SKU明细'!$AE$9:$AE$1592,0)),INDEX('SKU明细'!$G$9:$G$1592,MATCH("[13120,""B06-MT-37.5""]",'SKU明细'!$AE$9:$AE$1592,0)),INDEX('SKU明细'!$G$9:$G$1592,MATCH("[13120,""B06-MT-38""]",'SKU明细'!$AE$9:$AE$1592,0)),INDEX('SKU明细'!$G$9:$G$1592,MATCH("[13120,""B06-MT-40.5""]",'SKU明细'!$AE$9:$AE$1592,0)),INDEX('SKU明细'!$G$9:$G$1592,MATCH("[13120,""B06-MT-41.5""]",'SKU明细'!$AE$9:$AE$1592,0)),INDEX('SKU明细'!$G$9:$G$1592,MATCH("[13120,""B06-MT-41""]",'SKU明细'!$AE$9:$AE$1592,0)))&gt;0),SUM(INDEX('SKU明细'!$H$9:$H$1592,MATCH("[13120,""B06-MT-37-N""]",'SKU明细'!$AE$9:$AE$1592,0)),INDEX('SKU明细'!$H$9:$H$1592,MATCH("[13120,""B06-MT-37.5""]",'SKU明细'!$AE$9:$AE$1592,0)),INDEX('SKU明细'!$H$9:$H$1592,MATCH("[13120,""B06-MT-38""]",'SKU明细'!$AE$9:$AE$1592,0)),INDEX('SKU明细'!$H$9:$H$1592,MATCH("[13120,""B06-MT-40.5""]",'SKU明细'!$AE$9:$AE$1592,0)),INDEX('SKU明细'!$H$9:$H$1592,MATCH("[13120,""B06-MT-41.5""]",'SKU明细'!$AE$9:$AE$1592,0)),INDEX('SKU明细'!$H$9:$H$1592,MATCH("[13120,""B06-MT-41""]",'SKU明细'!$AE$9:$AE$1592,0)))/SUM(INDEX('SKU明细'!$G$9:$G$1592,MATCH("[13120,""B06-MT-37-N""]",'SKU明细'!$AE$9:$AE$1592,0)),INDEX('SKU明细'!$G$9:$G$1592,MATCH("[13120,""B06-MT-37.5""]",'SKU明细'!$AE$9:$AE$1592,0)),INDEX('SKU明细'!$G$9:$G$1592,MATCH("[13120,""B06-MT-38""]",'SKU明细'!$AE$9:$AE$1592,0)),INDEX('SKU明细'!$G$9:$G$1592,MATCH("[13120,""B06-MT-40.5""]",'SKU明细'!$AE$9:$AE$1592,0)),INDEX('SKU明细'!$G$9:$G$1592,MATCH("[13120,""B06-MT-41.5""]",'SKU明细'!$AE$9:$AE$1592,0)),INDEX('SKU明细'!$G$9:$G$1592,MATCH("[13120,""B06-MT-41""]",'SKU明细'!$AE$9:$AE$1592,0))),"待核")</x:f>
        <x:v>15.825169555388095</x:v>
      </x:c>
      <x:c r="T67" s="21" t="str">
        <x:f>IF(AND(COUNT(INDEX('SKU明细'!$I$9:$I$1592,MATCH("[13120,""B06-MT-37-N""]",'SKU明细'!$AE$9:$AE$1592,0)),INDEX('SKU明细'!$I$9:$I$1592,MATCH("[13120,""B06-MT-37.5""]",'SKU明细'!$AE$9:$AE$1592,0)),INDEX('SKU明细'!$I$9:$I$1592,MATCH("[13120,""B06-MT-38""]",'SKU明细'!$AE$9:$AE$1592,0)),INDEX('SKU明细'!$I$9:$I$1592,MATCH("[13120,""B06-MT-40.5""]",'SKU明细'!$AE$9:$AE$1592,0)),INDEX('SKU明细'!$I$9:$I$1592,MATCH("[13120,""B06-MT-41.5""]",'SKU明细'!$AE$9:$AE$1592,0)),INDEX('SKU明细'!$I$9:$I$1592,MATCH("[13120,""B06-MT-41""]",'SKU明细'!$AE$9:$AE$1592,0)))=6,COUNT(INDEX('SKU明细'!$AD$9:$AD$1592,MATCH("[13120,""B06-MT-37-N""]",'SKU明细'!$AE$9:$AE$1592,0)),INDEX('SKU明细'!$AD$9:$AD$1592,MATCH("[13120,""B06-MT-37.5""]",'SKU明细'!$AE$9:$AE$1592,0)),INDEX('SKU明细'!$AD$9:$AD$1592,MATCH("[13120,""B06-MT-38""]",'SKU明细'!$AE$9:$AE$1592,0)),INDEX('SKU明细'!$AD$9:$AD$1592,MATCH("[13120,""B06-MT-40.5""]",'SKU明细'!$AE$9:$AE$1592,0)),INDEX('SKU明细'!$AD$9:$AD$1592,MATCH("[13120,""B06-MT-41.5""]",'SKU明细'!$AE$9:$AE$1592,0)),INDEX('SKU明细'!$AD$9:$AD$1592,MATCH("[13120,""B06-MT-41""]",'SKU明细'!$AE$9:$AE$1592,0)))=6,SUM(INDEX('SKU明细'!$AD$9:$AD$1592,MATCH("[13120,""B06-MT-37-N""]",'SKU明细'!$AE$9:$AE$1592,0)),INDEX('SKU明细'!$AD$9:$AD$1592,MATCH("[13120,""B06-MT-37.5""]",'SKU明细'!$AE$9:$AE$1592,0)),INDEX('SKU明细'!$AD$9:$AD$1592,MATCH("[13120,""B06-MT-38""]",'SKU明细'!$AE$9:$AE$1592,0)),INDEX('SKU明细'!$AD$9:$AD$1592,MATCH("[13120,""B06-MT-40.5""]",'SKU明细'!$AE$9:$AE$1592,0)),INDEX('SKU明细'!$AD$9:$AD$1592,MATCH("[13120,""B06-MT-41.5""]",'SKU明细'!$AE$9:$AE$1592,0)),INDEX('SKU明细'!$AD$9:$AD$1592,MATCH("[13120,""B06-MT-41""]",'SKU明细'!$AE$9:$AE$1592,0)))&gt;0),SUM(INDEX('SKU明细'!$I$9:$I$1592,MATCH("[13120,""B06-MT-37-N""]",'SKU明细'!$AE$9:$AE$1592,0)),INDEX('SKU明细'!$I$9:$I$1592,MATCH("[13120,""B06-MT-37.5""]",'SKU明细'!$AE$9:$AE$1592,0)),INDEX('SKU明细'!$I$9:$I$1592,MATCH("[13120,""B06-MT-38""]",'SKU明细'!$AE$9:$AE$1592,0)),INDEX('SKU明细'!$I$9:$I$1592,MATCH("[13120,""B06-MT-40.5""]",'SKU明细'!$AE$9:$AE$1592,0)),INDEX('SKU明细'!$I$9:$I$1592,MATCH("[13120,""B06-MT-41.5""]",'SKU明细'!$AE$9:$AE$1592,0)),INDEX('SKU明细'!$I$9:$I$1592,MATCH("[13120,""B06-MT-41""]",'SKU明细'!$AE$9:$AE$1592,0)))/SUM(INDEX('SKU明细'!$AD$9:$AD$1592,MATCH("[13120,""B06-MT-37-N""]",'SKU明细'!$AE$9:$AE$1592,0)),INDEX('SKU明细'!$AD$9:$AD$1592,MATCH("[13120,""B06-MT-37.5""]",'SKU明细'!$AE$9:$AE$1592,0)),INDEX('SKU明细'!$AD$9:$AD$1592,MATCH("[13120,""B06-MT-38""]",'SKU明细'!$AE$9:$AE$1592,0)),INDEX('SKU明细'!$AD$9:$AD$1592,MATCH("[13120,""B06-MT-40.5""]",'SKU明细'!$AE$9:$AE$1592,0)),INDEX('SKU明细'!$AD$9:$AD$1592,MATCH("[13120,""B06-MT-41.5""]",'SKU明细'!$AE$9:$AE$1592,0)),INDEX('SKU明细'!$AD$9:$AD$1592,MATCH("[13120,""B06-MT-41""]",'SKU明细'!$AE$9:$AE$1592,0))),"待核")</x:f>
        <x:v>待核</x:v>
      </x:c>
      <x:c r="U67" s="21" t="str">
        <x:f>IF(COUNT(S67:T67)=2,S67-T67,"待核")</x:f>
        <x:v>待核</x:v>
      </x:c>
      <x:c r="V67" s="22" t="str">
        <x:f>IF(AND(ISNUMBER(U67),ISNUMBER(T67),T67&lt;&gt;0),U67/T67,"")</x:f>
      </x:c>
      <x:c r="W67" s="23" t="n">
        <x:f>IF(COUNT(INDEX('SKU明细'!$H$9:$H$1592,MATCH("[13120,""B06-MT-37-N""]",'SKU明细'!$AE$9:$AE$1592,0)),INDEX('SKU明细'!$H$9:$H$1592,MATCH("[13120,""B06-MT-37.5""]",'SKU明细'!$AE$9:$AE$1592,0)),INDEX('SKU明细'!$H$9:$H$1592,MATCH("[13120,""B06-MT-38""]",'SKU明细'!$AE$9:$AE$1592,0)),INDEX('SKU明细'!$H$9:$H$1592,MATCH("[13120,""B06-MT-40.5""]",'SKU明细'!$AE$9:$AE$1592,0)),INDEX('SKU明细'!$H$9:$H$1592,MATCH("[13120,""B06-MT-41.5""]",'SKU明细'!$AE$9:$AE$1592,0)),INDEX('SKU明细'!$H$9:$H$1592,MATCH("[13120,""B06-MT-41""]",'SKU明细'!$AE$9:$AE$1592,0)))=0,"待核",SUM(INDEX('SKU明细'!$H$9:$H$1592,MATCH("[13120,""B06-MT-37-N""]",'SKU明细'!$AE$9:$AE$1592,0)),INDEX('SKU明细'!$H$9:$H$1592,MATCH("[13120,""B06-MT-37.5""]",'SKU明细'!$AE$9:$AE$1592,0)),INDEX('SKU明细'!$H$9:$H$1592,MATCH("[13120,""B06-MT-38""]",'SKU明细'!$AE$9:$AE$1592,0)),INDEX('SKU明细'!$H$9:$H$1592,MATCH("[13120,""B06-MT-40.5""]",'SKU明细'!$AE$9:$AE$1592,0)),INDEX('SKU明细'!$H$9:$H$1592,MATCH("[13120,""B06-MT-41.5""]",'SKU明细'!$AE$9:$AE$1592,0)),INDEX('SKU明细'!$H$9:$H$1592,MATCH("[13120,""B06-MT-41""]",'SKU明细'!$AE$9:$AE$1592,0))))</x:f>
        <x:v>10</x:v>
      </x:c>
      <x:c r="X67" s="24" t="str">
        <x:f>IF(COUNTIFS('SKU明细'!$AH$9:$AH$1592,"[""B06"",""B06-MT"",""MT"",""黄色羊京绒""]",'SKU明细'!$E$9:$E$1592,"促销")&gt;0,"促销 ","")&amp;IF(COUNTIFS('SKU明细'!$AH$9:$AH$1592,"[""B06"",""B06-MT"",""MT"",""黄色羊京绒""]",'SKU明细'!$E$9:$E$1592,"红线促销")&gt;0,"红线促销 ","")&amp;IF(COUNTIFS('SKU明细'!$AH$9:$AH$1592,"[""B06"",""B06-MT"",""MT"",""黄色羊京绒""]",'SKU明细'!$E$9:$E$1592,"考虑清仓")&gt;0,"考虑清仓 ","")&amp;IF(COUNTIFS('SKU明细'!$AH$9:$AH$1592,"[""B06"",""B06-MT"",""MT"",""黄色羊京绒""]",'SKU明细'!$E$9:$E$1592,"断货")&gt;0,"断货 ","")&amp;IF(COUNTIFS('SKU明细'!$AH$9:$AH$1592,"[""B06"",""B06-MT"",""MT"",""黄色羊京绒""]",'SKU明细'!$E$9:$E$1592,"零日销待复核")&gt;0,"零日销待复核 ","")&amp;IF(COUNTIFS('SKU明细'!$AH$9:$AH$1592,"[""B06"",""B06-MT"",""MT"",""黄色羊京绒""]",'SKU明细'!$E$9:$E$1592,"数据待核")&gt;0,"数据待核 ","")&amp;IF(COUNTIFS('SKU明细'!$AH$9:$AH$1592,"[""B06"",""B06-MT"",""MT"",""黄色羊京绒""]",'SKU明细'!$E$9:$E$1592,"正常库存")&gt;0,"正常库存 ","")&amp;IF(COUNTIFS('SKU明细'!$AH$9:$AH$1592,"[""B06"",""B06-MT"",""MT"",""黄色羊京绒""]",'SKU明细'!$E$9:$E$1592,"补货提醒")&gt;0,"补货提醒 ","")</x:f>
        <x:v>断货 补货提醒 </x:v>
      </x:c>
      <x:c r="Y67" s="24" t="str">
        <x:f>IF(NOT(ISNUMBER(U67)),"覆盖待核／无可比基准","完整可比")</x:f>
        <x:v>覆盖待核／无可比基准</x:v>
      </x:c>
      <x:c r="Z67" s="24" t="str">
        <x:v>停售、在售</x:v>
      </x:c>
      <x:c r="AA67" s="24" t="n">
        <x:f>IF(SUMIFS('SKU明细'!$AF$9:$AF$1592,'SKU明细'!$D$9:$D$1592,A67,'SKU明细'!$Z$9:$Z$1592,"&lt;&gt;移出")=0,"待核",SUMIFS('SKU明细'!$H$9:$H$1592,'SKU明细'!$D$9:$D$1592,A67,'SKU明细'!$Z$9:$Z$1592,"&lt;&gt;移出"))</x:f>
        <x:v>2095</x:v>
      </x:c>
    </x:row>
    <x:row r="68" ht="54" customHeight="1">
      <x:c r="A68" s="20" t="str">
        <x:v>B06</x:v>
      </x:c>
      <x:c r="B68" s="20" t="str">
        <x:v>艾年</x:v>
      </x:c>
      <x:c r="C68" s="20" t="str">
        <x:v>裸色羊京绒</x:v>
      </x:c>
      <x:c r="D68" s="20" t="str">
        <x:v>ND</x:v>
      </x:c>
      <x:c r="E68" s="20" t="str">
        <x:v>B06-ND</x:v>
      </x:c>
      <x:c r="F68" s="20"/>
      <x:c r="G68" s="21" t="str">
        <x:f>"—"</x:f>
        <x:v>—</x:v>
      </x:c>
      <x:c r="H68" s="21" t="n">
        <x:f>IF(AND(COUNT(INDEX('SKU明细'!$H$9:$H$1592,MATCH("[13120,""B06-ND-37-N""]",'SKU明细'!$AE$9:$AE$1592,0)))=1,COUNT(INDEX('SKU明细'!$G$9:$G$1592,MATCH("[13120,""B06-ND-37-N""]",'SKU明细'!$AE$9:$AE$1592,0)))=1,SUM(INDEX('SKU明细'!$G$9:$G$1592,MATCH("[13120,""B06-ND-37-N""]",'SKU明细'!$AE$9:$AE$1592,0)))&gt;0),SUM(INDEX('SKU明细'!$H$9:$H$1592,MATCH("[13120,""B06-ND-37-N""]",'SKU明细'!$AE$9:$AE$1592,0)))/SUM(INDEX('SKU明细'!$G$9:$G$1592,MATCH("[13120,""B06-ND-37-N""]",'SKU明细'!$AE$9:$AE$1592,0))),"待核")</x:f>
        <x:v>13.20754716981132</x:v>
      </x:c>
      <x:c r="I68" s="21" t="n">
        <x:f>IF(AND(COUNT(INDEX('SKU明细'!$H$9:$H$1592,MATCH("[13120,""B06-ND-37.5""]",'SKU明细'!$AE$9:$AE$1592,0)))=1,COUNT(INDEX('SKU明细'!$G$9:$G$1592,MATCH("[13120,""B06-ND-37.5""]",'SKU明细'!$AE$9:$AE$1592,0)))=1,SUM(INDEX('SKU明细'!$G$9:$G$1592,MATCH("[13120,""B06-ND-37.5""]",'SKU明细'!$AE$9:$AE$1592,0)))&gt;0),SUM(INDEX('SKU明细'!$H$9:$H$1592,MATCH("[13120,""B06-ND-37.5""]",'SKU明细'!$AE$9:$AE$1592,0)))/SUM(INDEX('SKU明细'!$G$9:$G$1592,MATCH("[13120,""B06-ND-37.5""]",'SKU明细'!$AE$9:$AE$1592,0))),"待核")</x:f>
        <x:v>65.39792387543254</x:v>
      </x:c>
      <x:c r="J68" s="21" t="n">
        <x:f>IF(AND(COUNT(INDEX('SKU明细'!$H$9:$H$1592,MATCH("[13120,""B06-ND-38""]",'SKU明细'!$AE$9:$AE$1592,0)))=1,COUNT(INDEX('SKU明细'!$G$9:$G$1592,MATCH("[13120,""B06-ND-38""]",'SKU明细'!$AE$9:$AE$1592,0)))=1,SUM(INDEX('SKU明细'!$G$9:$G$1592,MATCH("[13120,""B06-ND-38""]",'SKU明细'!$AE$9:$AE$1592,0)))&gt;0),SUM(INDEX('SKU明细'!$H$9:$H$1592,MATCH("[13120,""B06-ND-38""]",'SKU明细'!$AE$9:$AE$1592,0)))/SUM(INDEX('SKU明细'!$G$9:$G$1592,MATCH("[13120,""B06-ND-38""]",'SKU明细'!$AE$9:$AE$1592,0))),"待核")</x:f>
        <x:v>19.169027384324835</x:v>
      </x:c>
      <x:c r="K68" s="21" t="n">
        <x:f>IF(AND(COUNT(INDEX('SKU明细'!$H$9:$H$1592,MATCH("[13120,""B06-ND-38.5""]",'SKU明细'!$AE$9:$AE$1592,0)))=1,COUNT(INDEX('SKU明细'!$G$9:$G$1592,MATCH("[13120,""B06-ND-38.5""]",'SKU明细'!$AE$9:$AE$1592,0)))=1,SUM(INDEX('SKU明细'!$G$9:$G$1592,MATCH("[13120,""B06-ND-38.5""]",'SKU明细'!$AE$9:$AE$1592,0)))&gt;0),SUM(INDEX('SKU明细'!$H$9:$H$1592,MATCH("[13120,""B06-ND-38.5""]",'SKU明细'!$AE$9:$AE$1592,0)))/SUM(INDEX('SKU明细'!$G$9:$G$1592,MATCH("[13120,""B06-ND-38.5""]",'SKU明细'!$AE$9:$AE$1592,0))),"待核")</x:f>
        <x:v>12.029081295439523</x:v>
      </x:c>
      <x:c r="L68" s="21" t="n">
        <x:f>IF(AND(COUNT(INDEX('SKU明细'!$H$9:$H$1592,MATCH("[13120,""B06-ND-39""]",'SKU明细'!$AE$9:$AE$1592,0)))=1,COUNT(INDEX('SKU明细'!$G$9:$G$1592,MATCH("[13120,""B06-ND-39""]",'SKU明细'!$AE$9:$AE$1592,0)))=1,SUM(INDEX('SKU明细'!$G$9:$G$1592,MATCH("[13120,""B06-ND-39""]",'SKU明细'!$AE$9:$AE$1592,0)))&gt;0),SUM(INDEX('SKU明细'!$H$9:$H$1592,MATCH("[13120,""B06-ND-39""]",'SKU明细'!$AE$9:$AE$1592,0)))/SUM(INDEX('SKU明细'!$G$9:$G$1592,MATCH("[13120,""B06-ND-39""]",'SKU明细'!$AE$9:$AE$1592,0))),"待核")</x:f>
        <x:v>7.607547169811321</x:v>
      </x:c>
      <x:c r="M68" s="21" t="n">
        <x:f>IF(AND(COUNT(INDEX('SKU明细'!$H$9:$H$1592,MATCH("[13120,""B06-ND-39.5""]",'SKU明细'!$AE$9:$AE$1592,0)))=1,COUNT(INDEX('SKU明细'!$G$9:$G$1592,MATCH("[13120,""B06-ND-39.5""]",'SKU明细'!$AE$9:$AE$1592,0)))=1,SUM(INDEX('SKU明细'!$G$9:$G$1592,MATCH("[13120,""B06-ND-39.5""]",'SKU明细'!$AE$9:$AE$1592,0)))&gt;0),SUM(INDEX('SKU明细'!$H$9:$H$1592,MATCH("[13120,""B06-ND-39.5""]",'SKU明细'!$AE$9:$AE$1592,0)))/SUM(INDEX('SKU明细'!$G$9:$G$1592,MATCH("[13120,""B06-ND-39.5""]",'SKU明细'!$AE$9:$AE$1592,0))),"待核")</x:f>
        <x:v>24.034917555771095</x:v>
      </x:c>
      <x:c r="N68" s="21" t="n">
        <x:f>IF(AND(COUNT(INDEX('SKU明细'!$H$9:$H$1592,MATCH("[13120,""B06-ND-40-N""]",'SKU明细'!$AE$9:$AE$1592,0)))=1,COUNT(INDEX('SKU明细'!$G$9:$G$1592,MATCH("[13120,""B06-ND-40-N""]",'SKU明细'!$AE$9:$AE$1592,0)))=1,SUM(INDEX('SKU明细'!$G$9:$G$1592,MATCH("[13120,""B06-ND-40-N""]",'SKU明细'!$AE$9:$AE$1592,0)))&gt;0),SUM(INDEX('SKU明细'!$H$9:$H$1592,MATCH("[13120,""B06-ND-40-N""]",'SKU明细'!$AE$9:$AE$1592,0)))/SUM(INDEX('SKU明细'!$G$9:$G$1592,MATCH("[13120,""B06-ND-40-N""]",'SKU明细'!$AE$9:$AE$1592,0))),"待核")</x:f>
        <x:v>2.456140350877193</x:v>
      </x:c>
      <x:c r="O68" s="21" t="n">
        <x:f>IF(AND(COUNT(INDEX('SKU明细'!$H$9:$H$1592,MATCH("[13120,""B06-ND-40.5""]",'SKU明细'!$AE$9:$AE$1592,0)))=1,COUNT(INDEX('SKU明细'!$G$9:$G$1592,MATCH("[13120,""B06-ND-40.5""]",'SKU明细'!$AE$9:$AE$1592,0)))=1,SUM(INDEX('SKU明细'!$G$9:$G$1592,MATCH("[13120,""B06-ND-40.5""]",'SKU明细'!$AE$9:$AE$1592,0)))&gt;0),SUM(INDEX('SKU明细'!$H$9:$H$1592,MATCH("[13120,""B06-ND-40.5""]",'SKU明细'!$AE$9:$AE$1592,0)))/SUM(INDEX('SKU明细'!$G$9:$G$1592,MATCH("[13120,""B06-ND-40.5""]",'SKU明细'!$AE$9:$AE$1592,0))),"待核")</x:f>
        <x:v>15.412844036697248</x:v>
      </x:c>
      <x:c r="P68" s="21" t="n">
        <x:f>IF(AND(COUNT(INDEX('SKU明细'!$H$9:$H$1592,MATCH("[13120,""B06-ND-41-N""]",'SKU明细'!$AE$9:$AE$1592,0)))=1,COUNT(INDEX('SKU明细'!$G$9:$G$1592,MATCH("[13120,""B06-ND-41-N""]",'SKU明细'!$AE$9:$AE$1592,0)))=1,SUM(INDEX('SKU明细'!$G$9:$G$1592,MATCH("[13120,""B06-ND-41-N""]",'SKU明细'!$AE$9:$AE$1592,0)))&gt;0),SUM(INDEX('SKU明细'!$H$9:$H$1592,MATCH("[13120,""B06-ND-41-N""]",'SKU明细'!$AE$9:$AE$1592,0)))/SUM(INDEX('SKU明细'!$G$9:$G$1592,MATCH("[13120,""B06-ND-41-N""]",'SKU明细'!$AE$9:$AE$1592,0))),"待核")</x:f>
        <x:v>3.96600566572238</x:v>
      </x:c>
      <x:c r="Q68" s="21" t="n">
        <x:f>IF(AND(COUNT(INDEX('SKU明细'!$H$9:$H$1592,MATCH("[13120,""B06-ND-41.5""]",'SKU明细'!$AE$9:$AE$1592,0)))=1,COUNT(INDEX('SKU明细'!$G$9:$G$1592,MATCH("[13120,""B06-ND-41.5""]",'SKU明细'!$AE$9:$AE$1592,0)))=1,SUM(INDEX('SKU明细'!$G$9:$G$1592,MATCH("[13120,""B06-ND-41.5""]",'SKU明细'!$AE$9:$AE$1592,0)))&gt;0),SUM(INDEX('SKU明细'!$H$9:$H$1592,MATCH("[13120,""B06-ND-41.5""]",'SKU明细'!$AE$9:$AE$1592,0)))/SUM(INDEX('SKU明细'!$G$9:$G$1592,MATCH("[13120,""B06-ND-41.5""]",'SKU明细'!$AE$9:$AE$1592,0))),"待核")</x:f>
        <x:v>78.35820895522389</x:v>
      </x:c>
      <x:c r="R68" s="21" t="n">
        <x:f>IF(AND(COUNT(INDEX('SKU明细'!$H$9:$H$1592,MATCH("[13120,""B06-ND-42-N""]",'SKU明细'!$AE$9:$AE$1592,0)))=1,COUNT(INDEX('SKU明细'!$G$9:$G$1592,MATCH("[13120,""B06-ND-42-N""]",'SKU明细'!$AE$9:$AE$1592,0)))=1,SUM(INDEX('SKU明细'!$G$9:$G$1592,MATCH("[13120,""B06-ND-42-N""]",'SKU明细'!$AE$9:$AE$1592,0)))&gt;0),SUM(INDEX('SKU明细'!$H$9:$H$1592,MATCH("[13120,""B06-ND-42-N""]",'SKU明细'!$AE$9:$AE$1592,0)))/SUM(INDEX('SKU明细'!$G$9:$G$1592,MATCH("[13120,""B06-ND-42-N""]",'SKU明细'!$AE$9:$AE$1592,0))),"待核")</x:f>
        <x:v>5.504587155963303</x:v>
      </x:c>
      <x:c r="S68" s="21" t="n">
        <x:f>IF(AND(COUNT(INDEX('SKU明细'!$H$9:$H$1592,MATCH("[13120,""B06-ND-37.5""]",'SKU明细'!$AE$9:$AE$1592,0)),INDEX('SKU明细'!$H$9:$H$1592,MATCH("[13120,""B06-ND-41.5""]",'SKU明细'!$AE$9:$AE$1592,0)),INDEX('SKU明细'!$H$9:$H$1592,MATCH("[13120,""B06-ND-37-N""]",'SKU明细'!$AE$9:$AE$1592,0)),INDEX('SKU明细'!$H$9:$H$1592,MATCH("[13120,""B06-ND-38""]",'SKU明细'!$AE$9:$AE$1592,0)),INDEX('SKU明细'!$H$9:$H$1592,MATCH("[13120,""B06-ND-38.5""]",'SKU明细'!$AE$9:$AE$1592,0)),INDEX('SKU明细'!$H$9:$H$1592,MATCH("[13120,""B06-ND-39""]",'SKU明细'!$AE$9:$AE$1592,0)),INDEX('SKU明细'!$H$9:$H$1592,MATCH("[13120,""B06-ND-39.5""]",'SKU明细'!$AE$9:$AE$1592,0)),INDEX('SKU明细'!$H$9:$H$1592,MATCH("[13120,""B06-ND-40-N""]",'SKU明细'!$AE$9:$AE$1592,0)),INDEX('SKU明细'!$H$9:$H$1592,MATCH("[13120,""B06-ND-40.5""]",'SKU明细'!$AE$9:$AE$1592,0)),INDEX('SKU明细'!$H$9:$H$1592,MATCH("[13120,""B06-ND-41-N""]",'SKU明细'!$AE$9:$AE$1592,0)),INDEX('SKU明细'!$H$9:$H$1592,MATCH("[13120,""B06-ND-42-N""]",'SKU明细'!$AE$9:$AE$1592,0)))=11,COUNT(INDEX('SKU明细'!$G$9:$G$1592,MATCH("[13120,""B06-ND-37.5""]",'SKU明细'!$AE$9:$AE$1592,0)),INDEX('SKU明细'!$G$9:$G$1592,MATCH("[13120,""B06-ND-41.5""]",'SKU明细'!$AE$9:$AE$1592,0)),INDEX('SKU明细'!$G$9:$G$1592,MATCH("[13120,""B06-ND-37-N""]",'SKU明细'!$AE$9:$AE$1592,0)),INDEX('SKU明细'!$G$9:$G$1592,MATCH("[13120,""B06-ND-38""]",'SKU明细'!$AE$9:$AE$1592,0)),INDEX('SKU明细'!$G$9:$G$1592,MATCH("[13120,""B06-ND-38.5""]",'SKU明细'!$AE$9:$AE$1592,0)),INDEX('SKU明细'!$G$9:$G$1592,MATCH("[13120,""B06-ND-39""]",'SKU明细'!$AE$9:$AE$1592,0)),INDEX('SKU明细'!$G$9:$G$1592,MATCH("[13120,""B06-ND-39.5""]",'SKU明细'!$AE$9:$AE$1592,0)),INDEX('SKU明细'!$G$9:$G$1592,MATCH("[13120,""B06-ND-40-N""]",'SKU明细'!$AE$9:$AE$1592,0)),INDEX('SKU明细'!$G$9:$G$1592,MATCH("[13120,""B06-ND-40.5""]",'SKU明细'!$AE$9:$AE$1592,0)),INDEX('SKU明细'!$G$9:$G$1592,MATCH("[13120,""B06-ND-41-N""]",'SKU明细'!$AE$9:$AE$1592,0)),INDEX('SKU明细'!$G$9:$G$1592,MATCH("[13120,""B06-ND-42-N""]",'SKU明细'!$AE$9:$AE$1592,0)))=11,SUM(INDEX('SKU明细'!$G$9:$G$1592,MATCH("[13120,""B06-ND-37.5""]",'SKU明细'!$AE$9:$AE$1592,0)),INDEX('SKU明细'!$G$9:$G$1592,MATCH("[13120,""B06-ND-41.5""]",'SKU明细'!$AE$9:$AE$1592,0)),INDEX('SKU明细'!$G$9:$G$1592,MATCH("[13120,""B06-ND-37-N""]",'SKU明细'!$AE$9:$AE$1592,0)),INDEX('SKU明细'!$G$9:$G$1592,MATCH("[13120,""B06-ND-38""]",'SKU明细'!$AE$9:$AE$1592,0)),INDEX('SKU明细'!$G$9:$G$1592,MATCH("[13120,""B06-ND-38.5""]",'SKU明细'!$AE$9:$AE$1592,0)),INDEX('SKU明细'!$G$9:$G$1592,MATCH("[13120,""B06-ND-39""]",'SKU明细'!$AE$9:$AE$1592,0)),INDEX('SKU明细'!$G$9:$G$1592,MATCH("[13120,""B06-ND-39.5""]",'SKU明细'!$AE$9:$AE$1592,0)),INDEX('SKU明细'!$G$9:$G$1592,MATCH("[13120,""B06-ND-40-N""]",'SKU明细'!$AE$9:$AE$1592,0)),INDEX('SKU明细'!$G$9:$G$1592,MATCH("[13120,""B06-ND-40.5""]",'SKU明细'!$AE$9:$AE$1592,0)),INDEX('SKU明细'!$G$9:$G$1592,MATCH("[13120,""B06-ND-41-N""]",'SKU明细'!$AE$9:$AE$1592,0)),INDEX('SKU明细'!$G$9:$G$1592,MATCH("[13120,""B06-ND-42-N""]",'SKU明细'!$AE$9:$AE$1592,0)))&gt;0),SUM(INDEX('SKU明细'!$H$9:$H$1592,MATCH("[13120,""B06-ND-37.5""]",'SKU明细'!$AE$9:$AE$1592,0)),INDEX('SKU明细'!$H$9:$H$1592,MATCH("[13120,""B06-ND-41.5""]",'SKU明细'!$AE$9:$AE$1592,0)),INDEX('SKU明细'!$H$9:$H$1592,MATCH("[13120,""B06-ND-37-N""]",'SKU明细'!$AE$9:$AE$1592,0)),INDEX('SKU明细'!$H$9:$H$1592,MATCH("[13120,""B06-ND-38""]",'SKU明细'!$AE$9:$AE$1592,0)),INDEX('SKU明细'!$H$9:$H$1592,MATCH("[13120,""B06-ND-38.5""]",'SKU明细'!$AE$9:$AE$1592,0)),INDEX('SKU明细'!$H$9:$H$1592,MATCH("[13120,""B06-ND-39""]",'SKU明细'!$AE$9:$AE$1592,0)),INDEX('SKU明细'!$H$9:$H$1592,MATCH("[13120,""B06-ND-39.5""]",'SKU明细'!$AE$9:$AE$1592,0)),INDEX('SKU明细'!$H$9:$H$1592,MATCH("[13120,""B06-ND-40-N""]",'SKU明细'!$AE$9:$AE$1592,0)),INDEX('SKU明细'!$H$9:$H$1592,MATCH("[13120,""B06-ND-40.5""]",'SKU明细'!$AE$9:$AE$1592,0)),INDEX('SKU明细'!$H$9:$H$1592,MATCH("[13120,""B06-ND-41-N""]",'SKU明细'!$AE$9:$AE$1592,0)),INDEX('SKU明细'!$H$9:$H$1592,MATCH("[13120,""B06-ND-42-N""]",'SKU明细'!$AE$9:$AE$1592,0)))/SUM(INDEX('SKU明细'!$G$9:$G$1592,MATCH("[13120,""B06-ND-37.5""]",'SKU明细'!$AE$9:$AE$1592,0)),INDEX('SKU明细'!$G$9:$G$1592,MATCH("[13120,""B06-ND-41.5""]",'SKU明细'!$AE$9:$AE$1592,0)),INDEX('SKU明细'!$G$9:$G$1592,MATCH("[13120,""B06-ND-37-N""]",'SKU明细'!$AE$9:$AE$1592,0)),INDEX('SKU明细'!$G$9:$G$1592,MATCH("[13120,""B06-ND-38""]",'SKU明细'!$AE$9:$AE$1592,0)),INDEX('SKU明细'!$G$9:$G$1592,MATCH("[13120,""B06-ND-38.5""]",'SKU明细'!$AE$9:$AE$1592,0)),INDEX('SKU明细'!$G$9:$G$1592,MATCH("[13120,""B06-ND-39""]",'SKU明细'!$AE$9:$AE$1592,0)),INDEX('SKU明细'!$G$9:$G$1592,MATCH("[13120,""B06-ND-39.5""]",'SKU明细'!$AE$9:$AE$1592,0)),INDEX('SKU明细'!$G$9:$G$1592,MATCH("[13120,""B06-ND-40-N""]",'SKU明细'!$AE$9:$AE$1592,0)),INDEX('SKU明细'!$G$9:$G$1592,MATCH("[13120,""B06-ND-40.5""]",'SKU明细'!$AE$9:$AE$1592,0)),INDEX('SKU明细'!$G$9:$G$1592,MATCH("[13120,""B06-ND-41-N""]",'SKU明细'!$AE$9:$AE$1592,0)),INDEX('SKU明细'!$G$9:$G$1592,MATCH("[13120,""B06-ND-42-N""]",'SKU明细'!$AE$9:$AE$1592,0))),"待核")</x:f>
        <x:v>14.870732847885629</x:v>
      </x:c>
      <x:c r="T68" s="21" t="n">
        <x:f>IF(AND(COUNT(INDEX('SKU明细'!$I$9:$I$1592,MATCH("[13120,""B06-ND-37.5""]",'SKU明细'!$AE$9:$AE$1592,0)),INDEX('SKU明细'!$I$9:$I$1592,MATCH("[13120,""B06-ND-41.5""]",'SKU明细'!$AE$9:$AE$1592,0)),INDEX('SKU明细'!$I$9:$I$1592,MATCH("[13120,""B06-ND-37-N""]",'SKU明细'!$AE$9:$AE$1592,0)),INDEX('SKU明细'!$I$9:$I$1592,MATCH("[13120,""B06-ND-38""]",'SKU明细'!$AE$9:$AE$1592,0)),INDEX('SKU明细'!$I$9:$I$1592,MATCH("[13120,""B06-ND-38.5""]",'SKU明细'!$AE$9:$AE$1592,0)),INDEX('SKU明细'!$I$9:$I$1592,MATCH("[13120,""B06-ND-39""]",'SKU明细'!$AE$9:$AE$1592,0)),INDEX('SKU明细'!$I$9:$I$1592,MATCH("[13120,""B06-ND-39.5""]",'SKU明细'!$AE$9:$AE$1592,0)),INDEX('SKU明细'!$I$9:$I$1592,MATCH("[13120,""B06-ND-40-N""]",'SKU明细'!$AE$9:$AE$1592,0)),INDEX('SKU明细'!$I$9:$I$1592,MATCH("[13120,""B06-ND-40.5""]",'SKU明细'!$AE$9:$AE$1592,0)),INDEX('SKU明细'!$I$9:$I$1592,MATCH("[13120,""B06-ND-41-N""]",'SKU明细'!$AE$9:$AE$1592,0)),INDEX('SKU明细'!$I$9:$I$1592,MATCH("[13120,""B06-ND-42-N""]",'SKU明细'!$AE$9:$AE$1592,0)))=11,COUNT(INDEX('SKU明细'!$AD$9:$AD$1592,MATCH("[13120,""B06-ND-37.5""]",'SKU明细'!$AE$9:$AE$1592,0)),INDEX('SKU明细'!$AD$9:$AD$1592,MATCH("[13120,""B06-ND-41.5""]",'SKU明细'!$AE$9:$AE$1592,0)),INDEX('SKU明细'!$AD$9:$AD$1592,MATCH("[13120,""B06-ND-37-N""]",'SKU明细'!$AE$9:$AE$1592,0)),INDEX('SKU明细'!$AD$9:$AD$1592,MATCH("[13120,""B06-ND-38""]",'SKU明细'!$AE$9:$AE$1592,0)),INDEX('SKU明细'!$AD$9:$AD$1592,MATCH("[13120,""B06-ND-38.5""]",'SKU明细'!$AE$9:$AE$1592,0)),INDEX('SKU明细'!$AD$9:$AD$1592,MATCH("[13120,""B06-ND-39""]",'SKU明细'!$AE$9:$AE$1592,0)),INDEX('SKU明细'!$AD$9:$AD$1592,MATCH("[13120,""B06-ND-39.5""]",'SKU明细'!$AE$9:$AE$1592,0)),INDEX('SKU明细'!$AD$9:$AD$1592,MATCH("[13120,""B06-ND-40-N""]",'SKU明细'!$AE$9:$AE$1592,0)),INDEX('SKU明细'!$AD$9:$AD$1592,MATCH("[13120,""B06-ND-40.5""]",'SKU明细'!$AE$9:$AE$1592,0)),INDEX('SKU明细'!$AD$9:$AD$1592,MATCH("[13120,""B06-ND-41-N""]",'SKU明细'!$AE$9:$AE$1592,0)),INDEX('SKU明细'!$AD$9:$AD$1592,MATCH("[13120,""B06-ND-42-N""]",'SKU明细'!$AE$9:$AE$1592,0)))=11,SUM(INDEX('SKU明细'!$AD$9:$AD$1592,MATCH("[13120,""B06-ND-37.5""]",'SKU明细'!$AE$9:$AE$1592,0)),INDEX('SKU明细'!$AD$9:$AD$1592,MATCH("[13120,""B06-ND-41.5""]",'SKU明细'!$AE$9:$AE$1592,0)),INDEX('SKU明细'!$AD$9:$AD$1592,MATCH("[13120,""B06-ND-37-N""]",'SKU明细'!$AE$9:$AE$1592,0)),INDEX('SKU明细'!$AD$9:$AD$1592,MATCH("[13120,""B06-ND-38""]",'SKU明细'!$AE$9:$AE$1592,0)),INDEX('SKU明细'!$AD$9:$AD$1592,MATCH("[13120,""B06-ND-38.5""]",'SKU明细'!$AE$9:$AE$1592,0)),INDEX('SKU明细'!$AD$9:$AD$1592,MATCH("[13120,""B06-ND-39""]",'SKU明细'!$AE$9:$AE$1592,0)),INDEX('SKU明细'!$AD$9:$AD$1592,MATCH("[13120,""B06-ND-39.5""]",'SKU明细'!$AE$9:$AE$1592,0)),INDEX('SKU明细'!$AD$9:$AD$1592,MATCH("[13120,""B06-ND-40-N""]",'SKU明细'!$AE$9:$AE$1592,0)),INDEX('SKU明细'!$AD$9:$AD$1592,MATCH("[13120,""B06-ND-40.5""]",'SKU明细'!$AE$9:$AE$1592,0)),INDEX('SKU明细'!$AD$9:$AD$1592,MATCH("[13120,""B06-ND-41-N""]",'SKU明细'!$AE$9:$AE$1592,0)),INDEX('SKU明细'!$AD$9:$AD$1592,MATCH("[13120,""B06-ND-42-N""]",'SKU明细'!$AE$9:$AE$1592,0)))&gt;0),SUM(INDEX('SKU明细'!$I$9:$I$1592,MATCH("[13120,""B06-ND-37.5""]",'SKU明细'!$AE$9:$AE$1592,0)),INDEX('SKU明细'!$I$9:$I$1592,MATCH("[13120,""B06-ND-41.5""]",'SKU明细'!$AE$9:$AE$1592,0)),INDEX('SKU明细'!$I$9:$I$1592,MATCH("[13120,""B06-ND-37-N""]",'SKU明细'!$AE$9:$AE$1592,0)),INDEX('SKU明细'!$I$9:$I$1592,MATCH("[13120,""B06-ND-38""]",'SKU明细'!$AE$9:$AE$1592,0)),INDEX('SKU明细'!$I$9:$I$1592,MATCH("[13120,""B06-ND-38.5""]",'SKU明细'!$AE$9:$AE$1592,0)),INDEX('SKU明细'!$I$9:$I$1592,MATCH("[13120,""B06-ND-39""]",'SKU明细'!$AE$9:$AE$1592,0)),INDEX('SKU明细'!$I$9:$I$1592,MATCH("[13120,""B06-ND-39.5""]",'SKU明细'!$AE$9:$AE$1592,0)),INDEX('SKU明细'!$I$9:$I$1592,MATCH("[13120,""B06-ND-40-N""]",'SKU明细'!$AE$9:$AE$1592,0)),INDEX('SKU明细'!$I$9:$I$1592,MATCH("[13120,""B06-ND-40.5""]",'SKU明细'!$AE$9:$AE$1592,0)),INDEX('SKU明细'!$I$9:$I$1592,MATCH("[13120,""B06-ND-41-N""]",'SKU明细'!$AE$9:$AE$1592,0)),INDEX('SKU明细'!$I$9:$I$1592,MATCH("[13120,""B06-ND-42-N""]",'SKU明细'!$AE$9:$AE$1592,0)))/SUM(INDEX('SKU明细'!$AD$9:$AD$1592,MATCH("[13120,""B06-ND-37.5""]",'SKU明细'!$AE$9:$AE$1592,0)),INDEX('SKU明细'!$AD$9:$AD$1592,MATCH("[13120,""B06-ND-41.5""]",'SKU明细'!$AE$9:$AE$1592,0)),INDEX('SKU明细'!$AD$9:$AD$1592,MATCH("[13120,""B06-ND-37-N""]",'SKU明细'!$AE$9:$AE$1592,0)),INDEX('SKU明细'!$AD$9:$AD$1592,MATCH("[13120,""B06-ND-38""]",'SKU明细'!$AE$9:$AE$1592,0)),INDEX('SKU明细'!$AD$9:$AD$1592,MATCH("[13120,""B06-ND-38.5""]",'SKU明细'!$AE$9:$AE$1592,0)),INDEX('SKU明细'!$AD$9:$AD$1592,MATCH("[13120,""B06-ND-39""]",'SKU明细'!$AE$9:$AE$1592,0)),INDEX('SKU明细'!$AD$9:$AD$1592,MATCH("[13120,""B06-ND-39.5""]",'SKU明细'!$AE$9:$AE$1592,0)),INDEX('SKU明细'!$AD$9:$AD$1592,MATCH("[13120,""B06-ND-40-N""]",'SKU明细'!$AE$9:$AE$1592,0)),INDEX('SKU明细'!$AD$9:$AD$1592,MATCH("[13120,""B06-ND-40.5""]",'SKU明细'!$AE$9:$AE$1592,0)),INDEX('SKU明细'!$AD$9:$AD$1592,MATCH("[13120,""B06-ND-41-N""]",'SKU明细'!$AE$9:$AE$1592,0)),INDEX('SKU明细'!$AD$9:$AD$1592,MATCH("[13120,""B06-ND-42-N""]",'SKU明细'!$AE$9:$AE$1592,0))),"待核")</x:f>
        <x:v>13.314197394568337</x:v>
      </x:c>
      <x:c r="U68" s="21" t="n">
        <x:f>IF(COUNT(S68:T68)=2,S68-T68,"待核")</x:f>
        <x:v>1.5565354533172915</x:v>
      </x:c>
      <x:c r="V68" s="22" t="n">
        <x:f>IF(AND(ISNUMBER(U68),ISNUMBER(T68),T68&lt;&gt;0),U68/T68,"")</x:f>
        <x:v>0.11690794474417933</x:v>
      </x:c>
      <x:c r="W68" s="23" t="n">
        <x:f>IF(COUNT(INDEX('SKU明细'!$H$9:$H$1592,MATCH("[13120,""B06-ND-37.5""]",'SKU明细'!$AE$9:$AE$1592,0)),INDEX('SKU明细'!$H$9:$H$1592,MATCH("[13120,""B06-ND-41.5""]",'SKU明细'!$AE$9:$AE$1592,0)),INDEX('SKU明细'!$H$9:$H$1592,MATCH("[13120,""B06-ND-37-N""]",'SKU明细'!$AE$9:$AE$1592,0)),INDEX('SKU明细'!$H$9:$H$1592,MATCH("[13120,""B06-ND-38""]",'SKU明细'!$AE$9:$AE$1592,0)),INDEX('SKU明细'!$H$9:$H$1592,MATCH("[13120,""B06-ND-38.5""]",'SKU明细'!$AE$9:$AE$1592,0)),INDEX('SKU明细'!$H$9:$H$1592,MATCH("[13120,""B06-ND-39""]",'SKU明细'!$AE$9:$AE$1592,0)),INDEX('SKU明细'!$H$9:$H$1592,MATCH("[13120,""B06-ND-39.5""]",'SKU明细'!$AE$9:$AE$1592,0)),INDEX('SKU明细'!$H$9:$H$1592,MATCH("[13120,""B06-ND-40-N""]",'SKU明细'!$AE$9:$AE$1592,0)),INDEX('SKU明细'!$H$9:$H$1592,MATCH("[13120,""B06-ND-40.5""]",'SKU明细'!$AE$9:$AE$1592,0)),INDEX('SKU明细'!$H$9:$H$1592,MATCH("[13120,""B06-ND-41-N""]",'SKU明细'!$AE$9:$AE$1592,0)),INDEX('SKU明细'!$H$9:$H$1592,MATCH("[13120,""B06-ND-42-N""]",'SKU明细'!$AE$9:$AE$1592,0)))=0,"待核",SUM(INDEX('SKU明细'!$H$9:$H$1592,MATCH("[13120,""B06-ND-37.5""]",'SKU明细'!$AE$9:$AE$1592,0)),INDEX('SKU明细'!$H$9:$H$1592,MATCH("[13120,""B06-ND-41.5""]",'SKU明细'!$AE$9:$AE$1592,0)),INDEX('SKU明细'!$H$9:$H$1592,MATCH("[13120,""B06-ND-37-N""]",'SKU明细'!$AE$9:$AE$1592,0)),INDEX('SKU明细'!$H$9:$H$1592,MATCH("[13120,""B06-ND-38""]",'SKU明细'!$AE$9:$AE$1592,0)),INDEX('SKU明细'!$H$9:$H$1592,MATCH("[13120,""B06-ND-38.5""]",'SKU明细'!$AE$9:$AE$1592,0)),INDEX('SKU明细'!$H$9:$H$1592,MATCH("[13120,""B06-ND-39""]",'SKU明细'!$AE$9:$AE$1592,0)),INDEX('SKU明细'!$H$9:$H$1592,MATCH("[13120,""B06-ND-39.5""]",'SKU明细'!$AE$9:$AE$1592,0)),INDEX('SKU明细'!$H$9:$H$1592,MATCH("[13120,""B06-ND-40-N""]",'SKU明细'!$AE$9:$AE$1592,0)),INDEX('SKU明细'!$H$9:$H$1592,MATCH("[13120,""B06-ND-40.5""]",'SKU明细'!$AE$9:$AE$1592,0)),INDEX('SKU明细'!$H$9:$H$1592,MATCH("[13120,""B06-ND-41-N""]",'SKU明细'!$AE$9:$AE$1592,0)),INDEX('SKU明细'!$H$9:$H$1592,MATCH("[13120,""B06-ND-42-N""]",'SKU明细'!$AE$9:$AE$1592,0))))</x:f>
        <x:v>212</x:v>
      </x:c>
      <x:c r="X68" s="24" t="str">
        <x:f>IF(COUNTIFS('SKU明细'!$AH$9:$AH$1592,"[""B06"",""B06-ND"",""ND"",""裸色羊京绒""]",'SKU明细'!$E$9:$E$1592,"促销")&gt;0,"促销 ","")&amp;IF(COUNTIFS('SKU明细'!$AH$9:$AH$1592,"[""B06"",""B06-ND"",""ND"",""裸色羊京绒""]",'SKU明细'!$E$9:$E$1592,"红线促销")&gt;0,"红线促销 ","")&amp;IF(COUNTIFS('SKU明细'!$AH$9:$AH$1592,"[""B06"",""B06-ND"",""ND"",""裸色羊京绒""]",'SKU明细'!$E$9:$E$1592,"考虑清仓")&gt;0,"考虑清仓 ","")&amp;IF(COUNTIFS('SKU明细'!$AH$9:$AH$1592,"[""B06"",""B06-ND"",""ND"",""裸色羊京绒""]",'SKU明细'!$E$9:$E$1592,"断货")&gt;0,"断货 ","")&amp;IF(COUNTIFS('SKU明细'!$AH$9:$AH$1592,"[""B06"",""B06-ND"",""ND"",""裸色羊京绒""]",'SKU明细'!$E$9:$E$1592,"零日销待复核")&gt;0,"零日销待复核 ","")&amp;IF(COUNTIFS('SKU明细'!$AH$9:$AH$1592,"[""B06"",""B06-ND"",""ND"",""裸色羊京绒""]",'SKU明细'!$E$9:$E$1592,"数据待核")&gt;0,"数据待核 ","")&amp;IF(COUNTIFS('SKU明细'!$AH$9:$AH$1592,"[""B06"",""B06-ND"",""ND"",""裸色羊京绒""]",'SKU明细'!$E$9:$E$1592,"正常库存")&gt;0,"正常库存 ","")&amp;IF(COUNTIFS('SKU明细'!$AH$9:$AH$1592,"[""B06"",""B06-ND"",""ND"",""裸色羊京绒""]",'SKU明细'!$E$9:$E$1592,"补货提醒")&gt;0,"补货提醒 ","")</x:f>
        <x:v>正常库存 补货提醒 </x:v>
      </x:c>
      <x:c r="Y68" s="24" t="str">
        <x:f>IF(NOT(ISNUMBER(U68)),"覆盖待核／无可比基准","完整可比")</x:f>
        <x:v>完整可比</x:v>
      </x:c>
      <x:c r="Z68" s="24" t="str">
        <x:v>在售</x:v>
      </x:c>
      <x:c r="AA68" s="24" t="n">
        <x:f>IF(SUMIFS('SKU明细'!$AF$9:$AF$1592,'SKU明细'!$D$9:$D$1592,A68,'SKU明细'!$Z$9:$Z$1592,"&lt;&gt;移出")=0,"待核",SUMIFS('SKU明细'!$H$9:$H$1592,'SKU明细'!$D$9:$D$1592,A68,'SKU明细'!$Z$9:$Z$1592,"&lt;&gt;移出"))</x:f>
        <x:v>2095</x:v>
      </x:c>
    </x:row>
    <x:row r="69" ht="54" customHeight="1">
      <x:c r="A69" s="20" t="str">
        <x:v>B06</x:v>
      </x:c>
      <x:c r="B69" s="20" t="str">
        <x:v>艾年</x:v>
      </x:c>
      <x:c r="C69" s="20" t="str">
        <x:v>裸色色织提花</x:v>
      </x:c>
      <x:c r="D69" s="20" t="str">
        <x:v>ND-I</x:v>
      </x:c>
      <x:c r="E69" s="20" t="str">
        <x:v>B06-ND-I-0</x:v>
      </x:c>
      <x:c r="F69" s="20"/>
      <x:c r="G69" s="21" t="str">
        <x:f>"—"</x:f>
        <x:v>—</x:v>
      </x:c>
      <x:c r="H69" s="21" t="str">
        <x:f>IF(AND(COUNT(INDEX('SKU明细'!$H$9:$H$1592,MATCH("[13120,""B06-ND-I-0-37""]",'SKU明细'!$AE$9:$AE$1592,0)))=1,COUNT(INDEX('SKU明细'!$G$9:$G$1592,MATCH("[13120,""B06-ND-I-0-37""]",'SKU明细'!$AE$9:$AE$1592,0)))=1,SUM(INDEX('SKU明细'!$G$9:$G$1592,MATCH("[13120,""B06-ND-I-0-37""]",'SKU明细'!$AE$9:$AE$1592,0)))&gt;0),SUM(INDEX('SKU明细'!$H$9:$H$1592,MATCH("[13120,""B06-ND-I-0-37""]",'SKU明细'!$AE$9:$AE$1592,0)))/SUM(INDEX('SKU明细'!$G$9:$G$1592,MATCH("[13120,""B06-ND-I-0-37""]",'SKU明细'!$AE$9:$AE$1592,0))),"待核")</x:f>
        <x:v>待核</x:v>
      </x:c>
      <x:c r="I69" s="21" t="str">
        <x:f>IF(AND(COUNT(INDEX('SKU明细'!$H$9:$H$1592,MATCH("[13120,""B06-ND-I-0-37.5""]",'SKU明细'!$AE$9:$AE$1592,0)))=1,COUNT(INDEX('SKU明细'!$G$9:$G$1592,MATCH("[13120,""B06-ND-I-0-37.5""]",'SKU明细'!$AE$9:$AE$1592,0)))=1,SUM(INDEX('SKU明细'!$G$9:$G$1592,MATCH("[13120,""B06-ND-I-0-37.5""]",'SKU明细'!$AE$9:$AE$1592,0)))&gt;0),SUM(INDEX('SKU明细'!$H$9:$H$1592,MATCH("[13120,""B06-ND-I-0-37.5""]",'SKU明细'!$AE$9:$AE$1592,0)))/SUM(INDEX('SKU明细'!$G$9:$G$1592,MATCH("[13120,""B06-ND-I-0-37.5""]",'SKU明细'!$AE$9:$AE$1592,0))),"待核")</x:f>
        <x:v>待核</x:v>
      </x:c>
      <x:c r="J69" s="21" t="str">
        <x:f>"—"</x:f>
        <x:v>—</x:v>
      </x:c>
      <x:c r="K69" s="21" t="str">
        <x:f>"—"</x:f>
        <x:v>—</x:v>
      </x:c>
      <x:c r="L69" s="21" t="str">
        <x:f>"—"</x:f>
        <x:v>—</x:v>
      </x:c>
      <x:c r="M69" s="21" t="str">
        <x:f>"—"</x:f>
        <x:v>—</x:v>
      </x:c>
      <x:c r="N69" s="21" t="str">
        <x:f>"—"</x:f>
        <x:v>—</x:v>
      </x:c>
      <x:c r="O69" s="21" t="str">
        <x:f>"—"</x:f>
        <x:v>—</x:v>
      </x:c>
      <x:c r="P69" s="21" t="str">
        <x:f>"—"</x:f>
        <x:v>—</x:v>
      </x:c>
      <x:c r="Q69" s="21" t="str">
        <x:f>"—"</x:f>
        <x:v>—</x:v>
      </x:c>
      <x:c r="R69" s="21" t="str">
        <x:f>"—"</x:f>
        <x:v>—</x:v>
      </x:c>
      <x:c r="S69" s="21" t="str">
        <x:f>IF(AND(COUNT(INDEX('SKU明细'!$H$9:$H$1592,MATCH("[13120,""B06-ND-I-0-37""]",'SKU明细'!$AE$9:$AE$1592,0)),INDEX('SKU明细'!$H$9:$H$1592,MATCH("[13120,""B06-ND-I-0-37.5""]",'SKU明细'!$AE$9:$AE$1592,0)))=2,COUNT(INDEX('SKU明细'!$G$9:$G$1592,MATCH("[13120,""B06-ND-I-0-37""]",'SKU明细'!$AE$9:$AE$1592,0)),INDEX('SKU明细'!$G$9:$G$1592,MATCH("[13120,""B06-ND-I-0-37.5""]",'SKU明细'!$AE$9:$AE$1592,0)))=2,SUM(INDEX('SKU明细'!$G$9:$G$1592,MATCH("[13120,""B06-ND-I-0-37""]",'SKU明细'!$AE$9:$AE$1592,0)),INDEX('SKU明细'!$G$9:$G$1592,MATCH("[13120,""B06-ND-I-0-37.5""]",'SKU明细'!$AE$9:$AE$1592,0)))&gt;0),SUM(INDEX('SKU明细'!$H$9:$H$1592,MATCH("[13120,""B06-ND-I-0-37""]",'SKU明细'!$AE$9:$AE$1592,0)),INDEX('SKU明细'!$H$9:$H$1592,MATCH("[13120,""B06-ND-I-0-37.5""]",'SKU明细'!$AE$9:$AE$1592,0)))/SUM(INDEX('SKU明细'!$G$9:$G$1592,MATCH("[13120,""B06-ND-I-0-37""]",'SKU明细'!$AE$9:$AE$1592,0)),INDEX('SKU明细'!$G$9:$G$1592,MATCH("[13120,""B06-ND-I-0-37.5""]",'SKU明细'!$AE$9:$AE$1592,0))),"待核")</x:f>
        <x:v>待核</x:v>
      </x:c>
      <x:c r="T69" s="21" t="str">
        <x:f>IF(AND(COUNT(INDEX('SKU明细'!$I$9:$I$1592,MATCH("[13120,""B06-ND-I-0-37""]",'SKU明细'!$AE$9:$AE$1592,0)),INDEX('SKU明细'!$I$9:$I$1592,MATCH("[13120,""B06-ND-I-0-37.5""]",'SKU明细'!$AE$9:$AE$1592,0)))=2,COUNT(INDEX('SKU明细'!$AD$9:$AD$1592,MATCH("[13120,""B06-ND-I-0-37""]",'SKU明细'!$AE$9:$AE$1592,0)),INDEX('SKU明细'!$AD$9:$AD$1592,MATCH("[13120,""B06-ND-I-0-37.5""]",'SKU明细'!$AE$9:$AE$1592,0)))=2,SUM(INDEX('SKU明细'!$AD$9:$AD$1592,MATCH("[13120,""B06-ND-I-0-37""]",'SKU明细'!$AE$9:$AE$1592,0)),INDEX('SKU明细'!$AD$9:$AD$1592,MATCH("[13120,""B06-ND-I-0-37.5""]",'SKU明细'!$AE$9:$AE$1592,0)))&gt;0),SUM(INDEX('SKU明细'!$I$9:$I$1592,MATCH("[13120,""B06-ND-I-0-37""]",'SKU明细'!$AE$9:$AE$1592,0)),INDEX('SKU明细'!$I$9:$I$1592,MATCH("[13120,""B06-ND-I-0-37.5""]",'SKU明细'!$AE$9:$AE$1592,0)))/SUM(INDEX('SKU明细'!$AD$9:$AD$1592,MATCH("[13120,""B06-ND-I-0-37""]",'SKU明细'!$AE$9:$AE$1592,0)),INDEX('SKU明细'!$AD$9:$AD$1592,MATCH("[13120,""B06-ND-I-0-37.5""]",'SKU明细'!$AE$9:$AE$1592,0))),"待核")</x:f>
        <x:v>待核</x:v>
      </x:c>
      <x:c r="U69" s="21" t="str">
        <x:f>IF(COUNT(S69:T69)=2,S69-T69,"待核")</x:f>
        <x:v>待核</x:v>
      </x:c>
      <x:c r="V69" s="22" t="str">
        <x:f>IF(AND(ISNUMBER(U69),ISNUMBER(T69),T69&lt;&gt;0),U69/T69,"")</x:f>
      </x:c>
      <x:c r="W69" s="23" t="n">
        <x:f>IF(COUNT(INDEX('SKU明细'!$H$9:$H$1592,MATCH("[13120,""B06-ND-I-0-37""]",'SKU明细'!$AE$9:$AE$1592,0)),INDEX('SKU明细'!$H$9:$H$1592,MATCH("[13120,""B06-ND-I-0-37.5""]",'SKU明细'!$AE$9:$AE$1592,0)))=0,"待核",SUM(INDEX('SKU明细'!$H$9:$H$1592,MATCH("[13120,""B06-ND-I-0-37""]",'SKU明细'!$AE$9:$AE$1592,0)),INDEX('SKU明细'!$H$9:$H$1592,MATCH("[13120,""B06-ND-I-0-37.5""]",'SKU明细'!$AE$9:$AE$1592,0))))</x:f>
        <x:v>0</x:v>
      </x:c>
      <x:c r="X69" s="24" t="str">
        <x:f>IF(COUNTIFS('SKU明细'!$AH$9:$AH$1592,"[""B06"",""B06-ND-I-0"",""ND-I"",""裸色色织提花""]",'SKU明细'!$E$9:$E$1592,"促销")&gt;0,"促销 ","")&amp;IF(COUNTIFS('SKU明细'!$AH$9:$AH$1592,"[""B06"",""B06-ND-I-0"",""ND-I"",""裸色色织提花""]",'SKU明细'!$E$9:$E$1592,"红线促销")&gt;0,"红线促销 ","")&amp;IF(COUNTIFS('SKU明细'!$AH$9:$AH$1592,"[""B06"",""B06-ND-I-0"",""ND-I"",""裸色色织提花""]",'SKU明细'!$E$9:$E$1592,"考虑清仓")&gt;0,"考虑清仓 ","")&amp;IF(COUNTIFS('SKU明细'!$AH$9:$AH$1592,"[""B06"",""B06-ND-I-0"",""ND-I"",""裸色色织提花""]",'SKU明细'!$E$9:$E$1592,"断货")&gt;0,"断货 ","")&amp;IF(COUNTIFS('SKU明细'!$AH$9:$AH$1592,"[""B06"",""B06-ND-I-0"",""ND-I"",""裸色色织提花""]",'SKU明细'!$E$9:$E$1592,"零日销待复核")&gt;0,"零日销待复核 ","")&amp;IF(COUNTIFS('SKU明细'!$AH$9:$AH$1592,"[""B06"",""B06-ND-I-0"",""ND-I"",""裸色色织提花""]",'SKU明细'!$E$9:$E$1592,"数据待核")&gt;0,"数据待核 ","")&amp;IF(COUNTIFS('SKU明细'!$AH$9:$AH$1592,"[""B06"",""B06-ND-I-0"",""ND-I"",""裸色色织提花""]",'SKU明细'!$E$9:$E$1592,"正常库存")&gt;0,"正常库存 ","")&amp;IF(COUNTIFS('SKU明细'!$AH$9:$AH$1592,"[""B06"",""B06-ND-I-0"",""ND-I"",""裸色色织提花""]",'SKU明细'!$E$9:$E$1592,"补货提醒")&gt;0,"补货提醒 ","")</x:f>
        <x:v>断货 </x:v>
      </x:c>
      <x:c r="Y69" s="24" t="str">
        <x:f>IF(NOT(ISNUMBER(U69)),"覆盖待核／无可比基准","完整可比")</x:f>
        <x:v>覆盖待核／无可比基准</x:v>
      </x:c>
      <x:c r="Z69" s="24" t="str">
        <x:v>停售</x:v>
      </x:c>
      <x:c r="AA69" s="24" t="n">
        <x:f>IF(SUMIFS('SKU明细'!$AF$9:$AF$1592,'SKU明细'!$D$9:$D$1592,A69,'SKU明细'!$Z$9:$Z$1592,"&lt;&gt;移出")=0,"待核",SUMIFS('SKU明细'!$H$9:$H$1592,'SKU明细'!$D$9:$D$1592,A69,'SKU明细'!$Z$9:$Z$1592,"&lt;&gt;移出"))</x:f>
        <x:v>2095</x:v>
      </x:c>
    </x:row>
    <x:row r="70" ht="54" customHeight="1">
      <x:c r="A70" s="20" t="str">
        <x:v>B06</x:v>
      </x:c>
      <x:c r="B70" s="20" t="str">
        <x:v>艾年</x:v>
      </x:c>
      <x:c r="C70" s="20" t="str">
        <x:v>裸色镜面PU</x:v>
      </x:c>
      <x:c r="D70" s="20" t="str">
        <x:v>ND-Z</x:v>
      </x:c>
      <x:c r="E70" s="20" t="str">
        <x:v>B06-ND-Z-0</x:v>
      </x:c>
      <x:c r="F70" s="20"/>
      <x:c r="G70" s="21" t="str">
        <x:f>"—"</x:f>
        <x:v>—</x:v>
      </x:c>
      <x:c r="H70" s="21" t="n">
        <x:f>IF(AND(COUNT(INDEX('SKU明细'!$H$9:$H$1592,MATCH("[13120,""B06-ND-Z-0-37""]",'SKU明细'!$AE$9:$AE$1592,0)))=1,COUNT(INDEX('SKU明细'!$G$9:$G$1592,MATCH("[13120,""B06-ND-Z-0-37""]",'SKU明细'!$AE$9:$AE$1592,0)))=1,SUM(INDEX('SKU明细'!$G$9:$G$1592,MATCH("[13120,""B06-ND-Z-0-37""]",'SKU明细'!$AE$9:$AE$1592,0)))&gt;0),SUM(INDEX('SKU明细'!$H$9:$H$1592,MATCH("[13120,""B06-ND-Z-0-37""]",'SKU明细'!$AE$9:$AE$1592,0)))/SUM(INDEX('SKU明细'!$G$9:$G$1592,MATCH("[13120,""B06-ND-Z-0-37""]",'SKU明细'!$AE$9:$AE$1592,0))),"待核")</x:f>
        <x:v>0</x:v>
      </x:c>
      <x:c r="I70" s="21" t="str">
        <x:f>IF(AND(COUNT(INDEX('SKU明细'!$H$9:$H$1592,MATCH("[13120,""B06-ND-Z-0-37.5""]",'SKU明细'!$AE$9:$AE$1592,0)))=1,COUNT(INDEX('SKU明细'!$G$9:$G$1592,MATCH("[13120,""B06-ND-Z-0-37.5""]",'SKU明细'!$AE$9:$AE$1592,0)))=1,SUM(INDEX('SKU明细'!$G$9:$G$1592,MATCH("[13120,""B06-ND-Z-0-37.5""]",'SKU明细'!$AE$9:$AE$1592,0)))&gt;0),SUM(INDEX('SKU明细'!$H$9:$H$1592,MATCH("[13120,""B06-ND-Z-0-37.5""]",'SKU明细'!$AE$9:$AE$1592,0)))/SUM(INDEX('SKU明细'!$G$9:$G$1592,MATCH("[13120,""B06-ND-Z-0-37.5""]",'SKU明细'!$AE$9:$AE$1592,0))),"待核")</x:f>
        <x:v>待核</x:v>
      </x:c>
      <x:c r="J70" s="21" t="n">
        <x:f>IF(AND(COUNT(INDEX('SKU明细'!$H$9:$H$1592,MATCH("[13120,""B06-ND-Z-0-38""]",'SKU明细'!$AE$9:$AE$1592,0)))=1,COUNT(INDEX('SKU明细'!$G$9:$G$1592,MATCH("[13120,""B06-ND-Z-0-38""]",'SKU明细'!$AE$9:$AE$1592,0)))=1,SUM(INDEX('SKU明细'!$G$9:$G$1592,MATCH("[13120,""B06-ND-Z-0-38""]",'SKU明细'!$AE$9:$AE$1592,0)))&gt;0),SUM(INDEX('SKU明细'!$H$9:$H$1592,MATCH("[13120,""B06-ND-Z-0-38""]",'SKU明细'!$AE$9:$AE$1592,0)))/SUM(INDEX('SKU明细'!$G$9:$G$1592,MATCH("[13120,""B06-ND-Z-0-38""]",'SKU明细'!$AE$9:$AE$1592,0))),"待核")</x:f>
        <x:v>449.99999999999994</x:v>
      </x:c>
      <x:c r="K70" s="21" t="str">
        <x:f>"—"</x:f>
        <x:v>—</x:v>
      </x:c>
      <x:c r="L70" s="21" t="str">
        <x:f>"—"</x:f>
        <x:v>—</x:v>
      </x:c>
      <x:c r="M70" s="21" t="n">
        <x:f>IF(AND(COUNT(INDEX('SKU明细'!$H$9:$H$1592,MATCH("[13120,""B06-ND-Z-0-39.5""]",'SKU明细'!$AE$9:$AE$1592,0)))=1,COUNT(INDEX('SKU明细'!$G$9:$G$1592,MATCH("[13120,""B06-ND-Z-0-39.5""]",'SKU明细'!$AE$9:$AE$1592,0)))=1,SUM(INDEX('SKU明细'!$G$9:$G$1592,MATCH("[13120,""B06-ND-Z-0-39.5""]",'SKU明细'!$AE$9:$AE$1592,0)))&gt;0),SUM(INDEX('SKU明细'!$H$9:$H$1592,MATCH("[13120,""B06-ND-Z-0-39.5""]",'SKU明细'!$AE$9:$AE$1592,0)))/SUM(INDEX('SKU明细'!$G$9:$G$1592,MATCH("[13120,""B06-ND-Z-0-39.5""]",'SKU明细'!$AE$9:$AE$1592,0))),"待核")</x:f>
        <x:v>30.143540669856456</x:v>
      </x:c>
      <x:c r="N70" s="21" t="str">
        <x:f>"—"</x:f>
        <x:v>—</x:v>
      </x:c>
      <x:c r="O70" s="21" t="str">
        <x:f>"—"</x:f>
        <x:v>—</x:v>
      </x:c>
      <x:c r="P70" s="21" t="str">
        <x:f>"—"</x:f>
        <x:v>—</x:v>
      </x:c>
      <x:c r="Q70" s="21" t="str">
        <x:f>"—"</x:f>
        <x:v>—</x:v>
      </x:c>
      <x:c r="R70" s="21" t="str">
        <x:f>IF(AND(COUNT(INDEX('SKU明细'!$H$9:$H$1592,MATCH("[13120,""B06-ND-Z-0-42""]",'SKU明细'!$AE$9:$AE$1592,0)))=1,COUNT(INDEX('SKU明细'!$G$9:$G$1592,MATCH("[13120,""B06-ND-Z-0-42""]",'SKU明细'!$AE$9:$AE$1592,0)))=1,SUM(INDEX('SKU明细'!$G$9:$G$1592,MATCH("[13120,""B06-ND-Z-0-42""]",'SKU明细'!$AE$9:$AE$1592,0)))&gt;0),SUM(INDEX('SKU明细'!$H$9:$H$1592,MATCH("[13120,""B06-ND-Z-0-42""]",'SKU明细'!$AE$9:$AE$1592,0)))/SUM(INDEX('SKU明细'!$G$9:$G$1592,MATCH("[13120,""B06-ND-Z-0-42""]",'SKU明细'!$AE$9:$AE$1592,0))),"待核")</x:f>
        <x:v>待核</x:v>
      </x:c>
      <x:c r="S70" s="21" t="n">
        <x:f>IF(AND(COUNT(INDEX('SKU明细'!$H$9:$H$1592,MATCH("[13120,""B06-ND-Z-0-38""]",'SKU明细'!$AE$9:$AE$1592,0)),INDEX('SKU明细'!$H$9:$H$1592,MATCH("[13120,""B06-ND-Z-0-37""]",'SKU明细'!$AE$9:$AE$1592,0)),INDEX('SKU明细'!$H$9:$H$1592,MATCH("[13120,""B06-ND-Z-0-37.5""]",'SKU明细'!$AE$9:$AE$1592,0)),INDEX('SKU明细'!$H$9:$H$1592,MATCH("[13120,""B06-ND-Z-0-42""]",'SKU明细'!$AE$9:$AE$1592,0)),INDEX('SKU明细'!$H$9:$H$1592,MATCH("[13120,""B06-ND-Z-0-39.5""]",'SKU明细'!$AE$9:$AE$1592,0)))=5,COUNT(INDEX('SKU明细'!$G$9:$G$1592,MATCH("[13120,""B06-ND-Z-0-38""]",'SKU明细'!$AE$9:$AE$1592,0)),INDEX('SKU明细'!$G$9:$G$1592,MATCH("[13120,""B06-ND-Z-0-37""]",'SKU明细'!$AE$9:$AE$1592,0)),INDEX('SKU明细'!$G$9:$G$1592,MATCH("[13120,""B06-ND-Z-0-37.5""]",'SKU明细'!$AE$9:$AE$1592,0)),INDEX('SKU明细'!$G$9:$G$1592,MATCH("[13120,""B06-ND-Z-0-42""]",'SKU明细'!$AE$9:$AE$1592,0)),INDEX('SKU明细'!$G$9:$G$1592,MATCH("[13120,""B06-ND-Z-0-39.5""]",'SKU明细'!$AE$9:$AE$1592,0)))=5,SUM(INDEX('SKU明细'!$G$9:$G$1592,MATCH("[13120,""B06-ND-Z-0-38""]",'SKU明细'!$AE$9:$AE$1592,0)),INDEX('SKU明细'!$G$9:$G$1592,MATCH("[13120,""B06-ND-Z-0-37""]",'SKU明细'!$AE$9:$AE$1592,0)),INDEX('SKU明细'!$G$9:$G$1592,MATCH("[13120,""B06-ND-Z-0-37.5""]",'SKU明细'!$AE$9:$AE$1592,0)),INDEX('SKU明细'!$G$9:$G$1592,MATCH("[13120,""B06-ND-Z-0-42""]",'SKU明细'!$AE$9:$AE$1592,0)),INDEX('SKU明细'!$G$9:$G$1592,MATCH("[13120,""B06-ND-Z-0-39.5""]",'SKU明细'!$AE$9:$AE$1592,0)))&gt;0),SUM(INDEX('SKU明细'!$H$9:$H$1592,MATCH("[13120,""B06-ND-Z-0-38""]",'SKU明细'!$AE$9:$AE$1592,0)),INDEX('SKU明细'!$H$9:$H$1592,MATCH("[13120,""B06-ND-Z-0-37""]",'SKU明细'!$AE$9:$AE$1592,0)),INDEX('SKU明细'!$H$9:$H$1592,MATCH("[13120,""B06-ND-Z-0-37.5""]",'SKU明细'!$AE$9:$AE$1592,0)),INDEX('SKU明细'!$H$9:$H$1592,MATCH("[13120,""B06-ND-Z-0-42""]",'SKU明细'!$AE$9:$AE$1592,0)),INDEX('SKU明细'!$H$9:$H$1592,MATCH("[13120,""B06-ND-Z-0-39.5""]",'SKU明细'!$AE$9:$AE$1592,0)))/SUM(INDEX('SKU明细'!$G$9:$G$1592,MATCH("[13120,""B06-ND-Z-0-38""]",'SKU明细'!$AE$9:$AE$1592,0)),INDEX('SKU明细'!$G$9:$G$1592,MATCH("[13120,""B06-ND-Z-0-37""]",'SKU明细'!$AE$9:$AE$1592,0)),INDEX('SKU明细'!$G$9:$G$1592,MATCH("[13120,""B06-ND-Z-0-37.5""]",'SKU明细'!$AE$9:$AE$1592,0)),INDEX('SKU明细'!$G$9:$G$1592,MATCH("[13120,""B06-ND-Z-0-42""]",'SKU明细'!$AE$9:$AE$1592,0)),INDEX('SKU明细'!$G$9:$G$1592,MATCH("[13120,""B06-ND-Z-0-39.5""]",'SKU明细'!$AE$9:$AE$1592,0))),"待核")</x:f>
        <x:v>38.47328244274809</x:v>
      </x:c>
      <x:c r="T70" s="21" t="str">
        <x:f>IF(AND(COUNT(INDEX('SKU明细'!$I$9:$I$1592,MATCH("[13120,""B06-ND-Z-0-38""]",'SKU明细'!$AE$9:$AE$1592,0)),INDEX('SKU明细'!$I$9:$I$1592,MATCH("[13120,""B06-ND-Z-0-37""]",'SKU明细'!$AE$9:$AE$1592,0)),INDEX('SKU明细'!$I$9:$I$1592,MATCH("[13120,""B06-ND-Z-0-37.5""]",'SKU明细'!$AE$9:$AE$1592,0)),INDEX('SKU明细'!$I$9:$I$1592,MATCH("[13120,""B06-ND-Z-0-42""]",'SKU明细'!$AE$9:$AE$1592,0)),INDEX('SKU明细'!$I$9:$I$1592,MATCH("[13120,""B06-ND-Z-0-39.5""]",'SKU明细'!$AE$9:$AE$1592,0)))=5,COUNT(INDEX('SKU明细'!$AD$9:$AD$1592,MATCH("[13120,""B06-ND-Z-0-38""]",'SKU明细'!$AE$9:$AE$1592,0)),INDEX('SKU明细'!$AD$9:$AD$1592,MATCH("[13120,""B06-ND-Z-0-37""]",'SKU明细'!$AE$9:$AE$1592,0)),INDEX('SKU明细'!$AD$9:$AD$1592,MATCH("[13120,""B06-ND-Z-0-37.5""]",'SKU明细'!$AE$9:$AE$1592,0)),INDEX('SKU明细'!$AD$9:$AD$1592,MATCH("[13120,""B06-ND-Z-0-42""]",'SKU明细'!$AE$9:$AE$1592,0)),INDEX('SKU明细'!$AD$9:$AD$1592,MATCH("[13120,""B06-ND-Z-0-39.5""]",'SKU明细'!$AE$9:$AE$1592,0)))=5,SUM(INDEX('SKU明细'!$AD$9:$AD$1592,MATCH("[13120,""B06-ND-Z-0-38""]",'SKU明细'!$AE$9:$AE$1592,0)),INDEX('SKU明细'!$AD$9:$AD$1592,MATCH("[13120,""B06-ND-Z-0-37""]",'SKU明细'!$AE$9:$AE$1592,0)),INDEX('SKU明细'!$AD$9:$AD$1592,MATCH("[13120,""B06-ND-Z-0-37.5""]",'SKU明细'!$AE$9:$AE$1592,0)),INDEX('SKU明细'!$AD$9:$AD$1592,MATCH("[13120,""B06-ND-Z-0-42""]",'SKU明细'!$AE$9:$AE$1592,0)),INDEX('SKU明细'!$AD$9:$AD$1592,MATCH("[13120,""B06-ND-Z-0-39.5""]",'SKU明细'!$AE$9:$AE$1592,0)))&gt;0),SUM(INDEX('SKU明细'!$I$9:$I$1592,MATCH("[13120,""B06-ND-Z-0-38""]",'SKU明细'!$AE$9:$AE$1592,0)),INDEX('SKU明细'!$I$9:$I$1592,MATCH("[13120,""B06-ND-Z-0-37""]",'SKU明细'!$AE$9:$AE$1592,0)),INDEX('SKU明细'!$I$9:$I$1592,MATCH("[13120,""B06-ND-Z-0-37.5""]",'SKU明细'!$AE$9:$AE$1592,0)),INDEX('SKU明细'!$I$9:$I$1592,MATCH("[13120,""B06-ND-Z-0-42""]",'SKU明细'!$AE$9:$AE$1592,0)),INDEX('SKU明细'!$I$9:$I$1592,MATCH("[13120,""B06-ND-Z-0-39.5""]",'SKU明细'!$AE$9:$AE$1592,0)))/SUM(INDEX('SKU明细'!$AD$9:$AD$1592,MATCH("[13120,""B06-ND-Z-0-38""]",'SKU明细'!$AE$9:$AE$1592,0)),INDEX('SKU明细'!$AD$9:$AD$1592,MATCH("[13120,""B06-ND-Z-0-37""]",'SKU明细'!$AE$9:$AE$1592,0)),INDEX('SKU明细'!$AD$9:$AD$1592,MATCH("[13120,""B06-ND-Z-0-37.5""]",'SKU明细'!$AE$9:$AE$1592,0)),INDEX('SKU明细'!$AD$9:$AD$1592,MATCH("[13120,""B06-ND-Z-0-42""]",'SKU明细'!$AE$9:$AE$1592,0)),INDEX('SKU明细'!$AD$9:$AD$1592,MATCH("[13120,""B06-ND-Z-0-39.5""]",'SKU明细'!$AE$9:$AE$1592,0))),"待核")</x:f>
        <x:v>待核</x:v>
      </x:c>
      <x:c r="U70" s="21" t="str">
        <x:f>IF(COUNT(S70:T70)=2,S70-T70,"待核")</x:f>
        <x:v>待核</x:v>
      </x:c>
      <x:c r="V70" s="22" t="str">
        <x:f>IF(AND(ISNUMBER(U70),ISNUMBER(T70),T70&lt;&gt;0),U70/T70,"")</x:f>
      </x:c>
      <x:c r="W70" s="23" t="n">
        <x:f>IF(COUNT(INDEX('SKU明细'!$H$9:$H$1592,MATCH("[13120,""B06-ND-Z-0-38""]",'SKU明细'!$AE$9:$AE$1592,0)),INDEX('SKU明细'!$H$9:$H$1592,MATCH("[13120,""B06-ND-Z-0-37""]",'SKU明细'!$AE$9:$AE$1592,0)),INDEX('SKU明细'!$H$9:$H$1592,MATCH("[13120,""B06-ND-Z-0-37.5""]",'SKU明细'!$AE$9:$AE$1592,0)),INDEX('SKU明细'!$H$9:$H$1592,MATCH("[13120,""B06-ND-Z-0-42""]",'SKU明细'!$AE$9:$AE$1592,0)),INDEX('SKU明细'!$H$9:$H$1592,MATCH("[13120,""B06-ND-Z-0-39.5""]",'SKU明细'!$AE$9:$AE$1592,0)))=0,"待核",SUM(INDEX('SKU明细'!$H$9:$H$1592,MATCH("[13120,""B06-ND-Z-0-38""]",'SKU明细'!$AE$9:$AE$1592,0)),INDEX('SKU明细'!$H$9:$H$1592,MATCH("[13120,""B06-ND-Z-0-37""]",'SKU明细'!$AE$9:$AE$1592,0)),INDEX('SKU明细'!$H$9:$H$1592,MATCH("[13120,""B06-ND-Z-0-37.5""]",'SKU明细'!$AE$9:$AE$1592,0)),INDEX('SKU明细'!$H$9:$H$1592,MATCH("[13120,""B06-ND-Z-0-42""]",'SKU明细'!$AE$9:$AE$1592,0)),INDEX('SKU明细'!$H$9:$H$1592,MATCH("[13120,""B06-ND-Z-0-39.5""]",'SKU明细'!$AE$9:$AE$1592,0))))</x:f>
        <x:v>12</x:v>
      </x:c>
      <x:c r="X70" s="24" t="str">
        <x:f>IF(COUNTIFS('SKU明细'!$AH$9:$AH$1592,"[""B06"",""B06-ND-Z-0"",""ND-Z"",""裸色镜面PU""]",'SKU明细'!$E$9:$E$1592,"促销")&gt;0,"促销 ","")&amp;IF(COUNTIFS('SKU明细'!$AH$9:$AH$1592,"[""B06"",""B06-ND-Z-0"",""ND-Z"",""裸色镜面PU""]",'SKU明细'!$E$9:$E$1592,"红线促销")&gt;0,"红线促销 ","")&amp;IF(COUNTIFS('SKU明细'!$AH$9:$AH$1592,"[""B06"",""B06-ND-Z-0"",""ND-Z"",""裸色镜面PU""]",'SKU明细'!$E$9:$E$1592,"考虑清仓")&gt;0,"考虑清仓 ","")&amp;IF(COUNTIFS('SKU明细'!$AH$9:$AH$1592,"[""B06"",""B06-ND-Z-0"",""ND-Z"",""裸色镜面PU""]",'SKU明细'!$E$9:$E$1592,"断货")&gt;0,"断货 ","")&amp;IF(COUNTIFS('SKU明细'!$AH$9:$AH$1592,"[""B06"",""B06-ND-Z-0"",""ND-Z"",""裸色镜面PU""]",'SKU明细'!$E$9:$E$1592,"零日销待复核")&gt;0,"零日销待复核 ","")&amp;IF(COUNTIFS('SKU明细'!$AH$9:$AH$1592,"[""B06"",""B06-ND-Z-0"",""ND-Z"",""裸色镜面PU""]",'SKU明细'!$E$9:$E$1592,"数据待核")&gt;0,"数据待核 ","")&amp;IF(COUNTIFS('SKU明细'!$AH$9:$AH$1592,"[""B06"",""B06-ND-Z-0"",""ND-Z"",""裸色镜面PU""]",'SKU明细'!$E$9:$E$1592,"正常库存")&gt;0,"正常库存 ","")&amp;IF(COUNTIFS('SKU明细'!$AH$9:$AH$1592,"[""B06"",""B06-ND-Z-0"",""ND-Z"",""裸色镜面PU""]",'SKU明细'!$E$9:$E$1592,"补货提醒")&gt;0,"补货提醒 ","")</x:f>
        <x:v>考虑清仓 断货 补货提醒 </x:v>
      </x:c>
      <x:c r="Y70" s="24" t="str">
        <x:f>IF(NOT(ISNUMBER(U70)),"覆盖待核／无可比基准","完整可比")</x:f>
        <x:v>覆盖待核／无可比基准</x:v>
      </x:c>
      <x:c r="Z70" s="24" t="str">
        <x:v>在售、停售</x:v>
      </x:c>
      <x:c r="AA70" s="24" t="n">
        <x:f>IF(SUMIFS('SKU明细'!$AF$9:$AF$1592,'SKU明细'!$D$9:$D$1592,A70,'SKU明细'!$Z$9:$Z$1592,"&lt;&gt;移出")=0,"待核",SUMIFS('SKU明细'!$H$9:$H$1592,'SKU明细'!$D$9:$D$1592,A70,'SKU明细'!$Z$9:$Z$1592,"&lt;&gt;移出"))</x:f>
        <x:v>2095</x:v>
      </x:c>
    </x:row>
    <x:row r="71" ht="54" customHeight="1">
      <x:c r="A71" s="20" t="str">
        <x:v>B06</x:v>
      </x:c>
      <x:c r="B71" s="20" t="str">
        <x:v>艾年</x:v>
      </x:c>
      <x:c r="C71" s="20" t="str">
        <x:v>藏青色羊京绒</x:v>
      </x:c>
      <x:c r="D71" s="20" t="str">
        <x:v>NY</x:v>
      </x:c>
      <x:c r="E71" s="20" t="str">
        <x:v>B06-NY</x:v>
      </x:c>
      <x:c r="F71" s="20"/>
      <x:c r="G71" s="21" t="str">
        <x:f>"—"</x:f>
        <x:v>—</x:v>
      </x:c>
      <x:c r="H71" s="21" t="n">
        <x:f>IF(AND(COUNT(INDEX('SKU明细'!$H$9:$H$1592,MATCH("[13120,""B06-NY-37-N""]",'SKU明细'!$AE$9:$AE$1592,0)))=1,COUNT(INDEX('SKU明细'!$G$9:$G$1592,MATCH("[13120,""B06-NY-37-N""]",'SKU明细'!$AE$9:$AE$1592,0)))=1,SUM(INDEX('SKU明细'!$G$9:$G$1592,MATCH("[13120,""B06-NY-37-N""]",'SKU明细'!$AE$9:$AE$1592,0)))&gt;0),SUM(INDEX('SKU明细'!$H$9:$H$1592,MATCH("[13120,""B06-NY-37-N""]",'SKU明细'!$AE$9:$AE$1592,0)))/SUM(INDEX('SKU明细'!$G$9:$G$1592,MATCH("[13120,""B06-NY-37-N""]",'SKU明细'!$AE$9:$AE$1592,0))),"待核")</x:f>
        <x:v>106.77966101694916</x:v>
      </x:c>
      <x:c r="I71" s="21" t="n">
        <x:f>IF(AND(COUNT(INDEX('SKU明细'!$H$9:$H$1592,MATCH("[13120,""B06-NY-37.5""]",'SKU明细'!$AE$9:$AE$1592,0)))=1,COUNT(INDEX('SKU明细'!$G$9:$G$1592,MATCH("[13120,""B06-NY-37.5""]",'SKU明细'!$AE$9:$AE$1592,0)))=1,SUM(INDEX('SKU明细'!$G$9:$G$1592,MATCH("[13120,""B06-NY-37.5""]",'SKU明细'!$AE$9:$AE$1592,0)))&gt;0),SUM(INDEX('SKU明细'!$H$9:$H$1592,MATCH("[13120,""B06-NY-37.5""]",'SKU明细'!$AE$9:$AE$1592,0)))/SUM(INDEX('SKU明细'!$G$9:$G$1592,MATCH("[13120,""B06-NY-37.5""]",'SKU明细'!$AE$9:$AE$1592,0))),"待核")</x:f>
        <x:v>796.551724137931</x:v>
      </x:c>
      <x:c r="J71" s="21" t="n">
        <x:f>IF(AND(COUNT(INDEX('SKU明细'!$H$9:$H$1592,MATCH("[13120,""B06-NY-38-N""]",'SKU明细'!$AE$9:$AE$1592,0)))=1,COUNT(INDEX('SKU明细'!$G$9:$G$1592,MATCH("[13120,""B06-NY-38-N""]",'SKU明细'!$AE$9:$AE$1592,0)))=1,SUM(INDEX('SKU明细'!$G$9:$G$1592,MATCH("[13120,""B06-NY-38-N""]",'SKU明细'!$AE$9:$AE$1592,0)))&gt;0),SUM(INDEX('SKU明细'!$H$9:$H$1592,MATCH("[13120,""B06-NY-38-N""]",'SKU明细'!$AE$9:$AE$1592,0)))/SUM(INDEX('SKU明细'!$G$9:$G$1592,MATCH("[13120,""B06-NY-38-N""]",'SKU明细'!$AE$9:$AE$1592,0))),"待核")</x:f>
        <x:v>89.65071151358345</x:v>
      </x:c>
      <x:c r="K71" s="21" t="n">
        <x:f>IF(AND(COUNT(INDEX('SKU明细'!$H$9:$H$1592,MATCH("[13120,""B06-NY-38.5""]",'SKU明细'!$AE$9:$AE$1592,0)))=1,COUNT(INDEX('SKU明细'!$G$9:$G$1592,MATCH("[13120,""B06-NY-38.5""]",'SKU明细'!$AE$9:$AE$1592,0)))=1,SUM(INDEX('SKU明细'!$G$9:$G$1592,MATCH("[13120,""B06-NY-38.5""]",'SKU明细'!$AE$9:$AE$1592,0)))&gt;0),SUM(INDEX('SKU明细'!$H$9:$H$1592,MATCH("[13120,""B06-NY-38.5""]",'SKU明细'!$AE$9:$AE$1592,0)))/SUM(INDEX('SKU明细'!$G$9:$G$1592,MATCH("[13120,""B06-NY-38.5""]",'SKU明细'!$AE$9:$AE$1592,0))),"待核")</x:f>
        <x:v>24.13793103448276</x:v>
      </x:c>
      <x:c r="L71" s="21" t="n">
        <x:f>IF(AND(COUNT(INDEX('SKU明细'!$H$9:$H$1592,MATCH("[13120,""B06-NY-39-NEW""]",'SKU明细'!$AE$9:$AE$1592,0)))=1,COUNT(INDEX('SKU明细'!$G$9:$G$1592,MATCH("[13120,""B06-NY-39-NEW""]",'SKU明细'!$AE$9:$AE$1592,0)))=1,SUM(INDEX('SKU明细'!$G$9:$G$1592,MATCH("[13120,""B06-NY-39-NEW""]",'SKU明细'!$AE$9:$AE$1592,0)))&gt;0),SUM(INDEX('SKU明细'!$H$9:$H$1592,MATCH("[13120,""B06-NY-39-NEW""]",'SKU明细'!$AE$9:$AE$1592,0)))/SUM(INDEX('SKU明细'!$G$9:$G$1592,MATCH("[13120,""B06-NY-39-NEW""]",'SKU明细'!$AE$9:$AE$1592,0))),"待核")</x:f>
        <x:v>29.411764705882355</x:v>
      </x:c>
      <x:c r="M71" s="21" t="n">
        <x:f>IF(AND(COUNT(INDEX('SKU明细'!$H$9:$H$1592,MATCH("[13120,""B06-NY-39.5""]",'SKU明细'!$AE$9:$AE$1592,0)))=1,COUNT(INDEX('SKU明细'!$G$9:$G$1592,MATCH("[13120,""B06-NY-39.5""]",'SKU明细'!$AE$9:$AE$1592,0)))=1,SUM(INDEX('SKU明细'!$G$9:$G$1592,MATCH("[13120,""B06-NY-39.5""]",'SKU明细'!$AE$9:$AE$1592,0)))&gt;0),SUM(INDEX('SKU明细'!$H$9:$H$1592,MATCH("[13120,""B06-NY-39.5""]",'SKU明细'!$AE$9:$AE$1592,0)))/SUM(INDEX('SKU明细'!$G$9:$G$1592,MATCH("[13120,""B06-NY-39.5""]",'SKU明细'!$AE$9:$AE$1592,0))),"待核")</x:f>
        <x:v>23.190184049079758</x:v>
      </x:c>
      <x:c r="N71" s="21" t="n">
        <x:f>IF(AND(COUNT(INDEX('SKU明细'!$H$9:$H$1592,MATCH("[13120,""B06-NY-40""]",'SKU明细'!$AE$9:$AE$1592,0)))=1,COUNT(INDEX('SKU明细'!$G$9:$G$1592,MATCH("[13120,""B06-NY-40""]",'SKU明细'!$AE$9:$AE$1592,0)))=1,SUM(INDEX('SKU明细'!$G$9:$G$1592,MATCH("[13120,""B06-NY-40""]",'SKU明细'!$AE$9:$AE$1592,0)))&gt;0),SUM(INDEX('SKU明细'!$H$9:$H$1592,MATCH("[13120,""B06-NY-40""]",'SKU明细'!$AE$9:$AE$1592,0)))/SUM(INDEX('SKU明细'!$G$9:$G$1592,MATCH("[13120,""B06-NY-40""]",'SKU明细'!$AE$9:$AE$1592,0))),"待核")</x:f>
        <x:v>29.46428571428572</x:v>
      </x:c>
      <x:c r="O71" s="21" t="n">
        <x:f>IF(AND(COUNT(INDEX('SKU明细'!$H$9:$H$1592,MATCH("[13120,""B06-NY-40.5""]",'SKU明细'!$AE$9:$AE$1592,0)))=1,COUNT(INDEX('SKU明细'!$G$9:$G$1592,MATCH("[13120,""B06-NY-40.5""]",'SKU明细'!$AE$9:$AE$1592,0)))=1,SUM(INDEX('SKU明细'!$G$9:$G$1592,MATCH("[13120,""B06-NY-40.5""]",'SKU明细'!$AE$9:$AE$1592,0)))&gt;0),SUM(INDEX('SKU明细'!$H$9:$H$1592,MATCH("[13120,""B06-NY-40.5""]",'SKU明细'!$AE$9:$AE$1592,0)))/SUM(INDEX('SKU明细'!$G$9:$G$1592,MATCH("[13120,""B06-NY-40.5""]",'SKU明细'!$AE$9:$AE$1592,0))),"待核")</x:f>
        <x:v>62.025316455696206</x:v>
      </x:c>
      <x:c r="P71" s="21" t="n">
        <x:f>IF(AND(COUNT(INDEX('SKU明细'!$H$9:$H$1592,MATCH("[13120,""B06-NY-41""]",'SKU明细'!$AE$9:$AE$1592,0)))=1,COUNT(INDEX('SKU明细'!$G$9:$G$1592,MATCH("[13120,""B06-NY-41""]",'SKU明细'!$AE$9:$AE$1592,0)))=1,SUM(INDEX('SKU明细'!$G$9:$G$1592,MATCH("[13120,""B06-NY-41""]",'SKU明细'!$AE$9:$AE$1592,0)))&gt;0),SUM(INDEX('SKU明细'!$H$9:$H$1592,MATCH("[13120,""B06-NY-41""]",'SKU明细'!$AE$9:$AE$1592,0)))/SUM(INDEX('SKU明细'!$G$9:$G$1592,MATCH("[13120,""B06-NY-41""]",'SKU明细'!$AE$9:$AE$1592,0))),"待核")</x:f>
        <x:v>0</x:v>
      </x:c>
      <x:c r="Q71" s="21" t="n">
        <x:f>IF(AND(COUNT(INDEX('SKU明细'!$H$9:$H$1592,MATCH("[13120,""B06-NY-41.5""]",'SKU明细'!$AE$9:$AE$1592,0)))=1,COUNT(INDEX('SKU明细'!$G$9:$G$1592,MATCH("[13120,""B06-NY-41.5""]",'SKU明细'!$AE$9:$AE$1592,0)))=1,SUM(INDEX('SKU明细'!$G$9:$G$1592,MATCH("[13120,""B06-NY-41.5""]",'SKU明细'!$AE$9:$AE$1592,0)))&gt;0),SUM(INDEX('SKU明细'!$H$9:$H$1592,MATCH("[13120,""B06-NY-41.5""]",'SKU明细'!$AE$9:$AE$1592,0)))/SUM(INDEX('SKU明细'!$G$9:$G$1592,MATCH("[13120,""B06-NY-41.5""]",'SKU明细'!$AE$9:$AE$1592,0))),"待核")</x:f>
        <x:v>974.9999999999999</x:v>
      </x:c>
      <x:c r="R71" s="21" t="str">
        <x:f>"—"</x:f>
        <x:v>—</x:v>
      </x:c>
      <x:c r="S71" s="21" t="n">
        <x:f>IF(AND(COUNT(INDEX('SKU明细'!$H$9:$H$1592,MATCH("[13120,""B06-NY-37.5""]",'SKU明细'!$AE$9:$AE$1592,0)),INDEX('SKU明细'!$H$9:$H$1592,MATCH("[13120,""B06-NY-41.5""]",'SKU明细'!$AE$9:$AE$1592,0)),INDEX('SKU明细'!$H$9:$H$1592,MATCH("[13120,""B06-NY-37-N""]",'SKU明细'!$AE$9:$AE$1592,0)),INDEX('SKU明细'!$H$9:$H$1592,MATCH("[13120,""B06-NY-41""]",'SKU明细'!$AE$9:$AE$1592,0)),INDEX('SKU明细'!$H$9:$H$1592,MATCH("[13120,""B06-NY-38-N""]",'SKU明细'!$AE$9:$AE$1592,0)),INDEX('SKU明细'!$H$9:$H$1592,MATCH("[13120,""B06-NY-40.5""]",'SKU明细'!$AE$9:$AE$1592,0)),INDEX('SKU明细'!$H$9:$H$1592,MATCH("[13120,""B06-NY-38.5""]",'SKU明细'!$AE$9:$AE$1592,0)),INDEX('SKU明细'!$H$9:$H$1592,MATCH("[13120,""B06-NY-39-NEW""]",'SKU明细'!$AE$9:$AE$1592,0)),INDEX('SKU明细'!$H$9:$H$1592,MATCH("[13120,""B06-NY-39.5""]",'SKU明细'!$AE$9:$AE$1592,0)),INDEX('SKU明细'!$H$9:$H$1592,MATCH("[13120,""B06-NY-40""]",'SKU明细'!$AE$9:$AE$1592,0)))=10,COUNT(INDEX('SKU明细'!$G$9:$G$1592,MATCH("[13120,""B06-NY-37.5""]",'SKU明细'!$AE$9:$AE$1592,0)),INDEX('SKU明细'!$G$9:$G$1592,MATCH("[13120,""B06-NY-41.5""]",'SKU明细'!$AE$9:$AE$1592,0)),INDEX('SKU明细'!$G$9:$G$1592,MATCH("[13120,""B06-NY-37-N""]",'SKU明细'!$AE$9:$AE$1592,0)),INDEX('SKU明细'!$G$9:$G$1592,MATCH("[13120,""B06-NY-41""]",'SKU明细'!$AE$9:$AE$1592,0)),INDEX('SKU明细'!$G$9:$G$1592,MATCH("[13120,""B06-NY-38-N""]",'SKU明细'!$AE$9:$AE$1592,0)),INDEX('SKU明细'!$G$9:$G$1592,MATCH("[13120,""B06-NY-40.5""]",'SKU明细'!$AE$9:$AE$1592,0)),INDEX('SKU明细'!$G$9:$G$1592,MATCH("[13120,""B06-NY-38.5""]",'SKU明细'!$AE$9:$AE$1592,0)),INDEX('SKU明细'!$G$9:$G$1592,MATCH("[13120,""B06-NY-39-NEW""]",'SKU明细'!$AE$9:$AE$1592,0)),INDEX('SKU明细'!$G$9:$G$1592,MATCH("[13120,""B06-NY-39.5""]",'SKU明细'!$AE$9:$AE$1592,0)),INDEX('SKU明细'!$G$9:$G$1592,MATCH("[13120,""B06-NY-40""]",'SKU明细'!$AE$9:$AE$1592,0)))=10,SUM(INDEX('SKU明细'!$G$9:$G$1592,MATCH("[13120,""B06-NY-37.5""]",'SKU明细'!$AE$9:$AE$1592,0)),INDEX('SKU明细'!$G$9:$G$1592,MATCH("[13120,""B06-NY-41.5""]",'SKU明细'!$AE$9:$AE$1592,0)),INDEX('SKU明细'!$G$9:$G$1592,MATCH("[13120,""B06-NY-37-N""]",'SKU明细'!$AE$9:$AE$1592,0)),INDEX('SKU明细'!$G$9:$G$1592,MATCH("[13120,""B06-NY-41""]",'SKU明细'!$AE$9:$AE$1592,0)),INDEX('SKU明细'!$G$9:$G$1592,MATCH("[13120,""B06-NY-38-N""]",'SKU明细'!$AE$9:$AE$1592,0)),INDEX('SKU明细'!$G$9:$G$1592,MATCH("[13120,""B06-NY-40.5""]",'SKU明细'!$AE$9:$AE$1592,0)),INDEX('SKU明细'!$G$9:$G$1592,MATCH("[13120,""B06-NY-38.5""]",'SKU明细'!$AE$9:$AE$1592,0)),INDEX('SKU明细'!$G$9:$G$1592,MATCH("[13120,""B06-NY-39-NEW""]",'SKU明细'!$AE$9:$AE$1592,0)),INDEX('SKU明细'!$G$9:$G$1592,MATCH("[13120,""B06-NY-39.5""]",'SKU明细'!$AE$9:$AE$1592,0)),INDEX('SKU明细'!$G$9:$G$1592,MATCH("[13120,""B06-NY-40""]",'SKU明细'!$AE$9:$AE$1592,0)))&gt;0),SUM(INDEX('SKU明细'!$H$9:$H$1592,MATCH("[13120,""B06-NY-37.5""]",'SKU明细'!$AE$9:$AE$1592,0)),INDEX('SKU明细'!$H$9:$H$1592,MATCH("[13120,""B06-NY-41.5""]",'SKU明细'!$AE$9:$AE$1592,0)),INDEX('SKU明细'!$H$9:$H$1592,MATCH("[13120,""B06-NY-37-N""]",'SKU明细'!$AE$9:$AE$1592,0)),INDEX('SKU明细'!$H$9:$H$1592,MATCH("[13120,""B06-NY-41""]",'SKU明细'!$AE$9:$AE$1592,0)),INDEX('SKU明细'!$H$9:$H$1592,MATCH("[13120,""B06-NY-38-N""]",'SKU明细'!$AE$9:$AE$1592,0)),INDEX('SKU明细'!$H$9:$H$1592,MATCH("[13120,""B06-NY-40.5""]",'SKU明细'!$AE$9:$AE$1592,0)),INDEX('SKU明细'!$H$9:$H$1592,MATCH("[13120,""B06-NY-38.5""]",'SKU明细'!$AE$9:$AE$1592,0)),INDEX('SKU明细'!$H$9:$H$1592,MATCH("[13120,""B06-NY-39-NEW""]",'SKU明细'!$AE$9:$AE$1592,0)),INDEX('SKU明细'!$H$9:$H$1592,MATCH("[13120,""B06-NY-39.5""]",'SKU明细'!$AE$9:$AE$1592,0)),INDEX('SKU明细'!$H$9:$H$1592,MATCH("[13120,""B06-NY-40""]",'SKU明细'!$AE$9:$AE$1592,0)))/SUM(INDEX('SKU明细'!$G$9:$G$1592,MATCH("[13120,""B06-NY-37.5""]",'SKU明细'!$AE$9:$AE$1592,0)),INDEX('SKU明细'!$G$9:$G$1592,MATCH("[13120,""B06-NY-41.5""]",'SKU明细'!$AE$9:$AE$1592,0)),INDEX('SKU明细'!$G$9:$G$1592,MATCH("[13120,""B06-NY-37-N""]",'SKU明细'!$AE$9:$AE$1592,0)),INDEX('SKU明细'!$G$9:$G$1592,MATCH("[13120,""B06-NY-41""]",'SKU明细'!$AE$9:$AE$1592,0)),INDEX('SKU明细'!$G$9:$G$1592,MATCH("[13120,""B06-NY-38-N""]",'SKU明细'!$AE$9:$AE$1592,0)),INDEX('SKU明细'!$G$9:$G$1592,MATCH("[13120,""B06-NY-40.5""]",'SKU明细'!$AE$9:$AE$1592,0)),INDEX('SKU明细'!$G$9:$G$1592,MATCH("[13120,""B06-NY-38.5""]",'SKU明细'!$AE$9:$AE$1592,0)),INDEX('SKU明细'!$G$9:$G$1592,MATCH("[13120,""B06-NY-39-NEW""]",'SKU明细'!$AE$9:$AE$1592,0)),INDEX('SKU明细'!$G$9:$G$1592,MATCH("[13120,""B06-NY-39.5""]",'SKU明细'!$AE$9:$AE$1592,0)),INDEX('SKU明细'!$G$9:$G$1592,MATCH("[13120,""B06-NY-40""]",'SKU明细'!$AE$9:$AE$1592,0))),"待核")</x:f>
        <x:v>63.18504190844617</x:v>
      </x:c>
      <x:c r="T71" s="21" t="n">
        <x:f>IF(AND(COUNT(INDEX('SKU明细'!$I$9:$I$1592,MATCH("[13120,""B06-NY-37.5""]",'SKU明细'!$AE$9:$AE$1592,0)),INDEX('SKU明细'!$I$9:$I$1592,MATCH("[13120,""B06-NY-41.5""]",'SKU明细'!$AE$9:$AE$1592,0)),INDEX('SKU明细'!$I$9:$I$1592,MATCH("[13120,""B06-NY-37-N""]",'SKU明细'!$AE$9:$AE$1592,0)),INDEX('SKU明细'!$I$9:$I$1592,MATCH("[13120,""B06-NY-41""]",'SKU明细'!$AE$9:$AE$1592,0)),INDEX('SKU明细'!$I$9:$I$1592,MATCH("[13120,""B06-NY-38-N""]",'SKU明细'!$AE$9:$AE$1592,0)),INDEX('SKU明细'!$I$9:$I$1592,MATCH("[13120,""B06-NY-40.5""]",'SKU明细'!$AE$9:$AE$1592,0)),INDEX('SKU明细'!$I$9:$I$1592,MATCH("[13120,""B06-NY-38.5""]",'SKU明细'!$AE$9:$AE$1592,0)),INDEX('SKU明细'!$I$9:$I$1592,MATCH("[13120,""B06-NY-39-NEW""]",'SKU明细'!$AE$9:$AE$1592,0)),INDEX('SKU明细'!$I$9:$I$1592,MATCH("[13120,""B06-NY-39.5""]",'SKU明细'!$AE$9:$AE$1592,0)),INDEX('SKU明细'!$I$9:$I$1592,MATCH("[13120,""B06-NY-40""]",'SKU明细'!$AE$9:$AE$1592,0)))=10,COUNT(INDEX('SKU明细'!$AD$9:$AD$1592,MATCH("[13120,""B06-NY-37.5""]",'SKU明细'!$AE$9:$AE$1592,0)),INDEX('SKU明细'!$AD$9:$AD$1592,MATCH("[13120,""B06-NY-41.5""]",'SKU明细'!$AE$9:$AE$1592,0)),INDEX('SKU明细'!$AD$9:$AD$1592,MATCH("[13120,""B06-NY-37-N""]",'SKU明细'!$AE$9:$AE$1592,0)),INDEX('SKU明细'!$AD$9:$AD$1592,MATCH("[13120,""B06-NY-41""]",'SKU明细'!$AE$9:$AE$1592,0)),INDEX('SKU明细'!$AD$9:$AD$1592,MATCH("[13120,""B06-NY-38-N""]",'SKU明细'!$AE$9:$AE$1592,0)),INDEX('SKU明细'!$AD$9:$AD$1592,MATCH("[13120,""B06-NY-40.5""]",'SKU明细'!$AE$9:$AE$1592,0)),INDEX('SKU明细'!$AD$9:$AD$1592,MATCH("[13120,""B06-NY-38.5""]",'SKU明细'!$AE$9:$AE$1592,0)),INDEX('SKU明细'!$AD$9:$AD$1592,MATCH("[13120,""B06-NY-39-NEW""]",'SKU明细'!$AE$9:$AE$1592,0)),INDEX('SKU明细'!$AD$9:$AD$1592,MATCH("[13120,""B06-NY-39.5""]",'SKU明细'!$AE$9:$AE$1592,0)),INDEX('SKU明细'!$AD$9:$AD$1592,MATCH("[13120,""B06-NY-40""]",'SKU明细'!$AE$9:$AE$1592,0)))=10,SUM(INDEX('SKU明细'!$AD$9:$AD$1592,MATCH("[13120,""B06-NY-37.5""]",'SKU明细'!$AE$9:$AE$1592,0)),INDEX('SKU明细'!$AD$9:$AD$1592,MATCH("[13120,""B06-NY-41.5""]",'SKU明细'!$AE$9:$AE$1592,0)),INDEX('SKU明细'!$AD$9:$AD$1592,MATCH("[13120,""B06-NY-37-N""]",'SKU明细'!$AE$9:$AE$1592,0)),INDEX('SKU明细'!$AD$9:$AD$1592,MATCH("[13120,""B06-NY-41""]",'SKU明细'!$AE$9:$AE$1592,0)),INDEX('SKU明细'!$AD$9:$AD$1592,MATCH("[13120,""B06-NY-38-N""]",'SKU明细'!$AE$9:$AE$1592,0)),INDEX('SKU明细'!$AD$9:$AD$1592,MATCH("[13120,""B06-NY-40.5""]",'SKU明细'!$AE$9:$AE$1592,0)),INDEX('SKU明细'!$AD$9:$AD$1592,MATCH("[13120,""B06-NY-38.5""]",'SKU明细'!$AE$9:$AE$1592,0)),INDEX('SKU明细'!$AD$9:$AD$1592,MATCH("[13120,""B06-NY-39-NEW""]",'SKU明细'!$AE$9:$AE$1592,0)),INDEX('SKU明细'!$AD$9:$AD$1592,MATCH("[13120,""B06-NY-39.5""]",'SKU明细'!$AE$9:$AE$1592,0)),INDEX('SKU明细'!$AD$9:$AD$1592,MATCH("[13120,""B06-NY-40""]",'SKU明细'!$AE$9:$AE$1592,0)))&gt;0),SUM(INDEX('SKU明细'!$I$9:$I$1592,MATCH("[13120,""B06-NY-37.5""]",'SKU明细'!$AE$9:$AE$1592,0)),INDEX('SKU明细'!$I$9:$I$1592,MATCH("[13120,""B06-NY-41.5""]",'SKU明细'!$AE$9:$AE$1592,0)),INDEX('SKU明细'!$I$9:$I$1592,MATCH("[13120,""B06-NY-37-N""]",'SKU明细'!$AE$9:$AE$1592,0)),INDEX('SKU明细'!$I$9:$I$1592,MATCH("[13120,""B06-NY-41""]",'SKU明细'!$AE$9:$AE$1592,0)),INDEX('SKU明细'!$I$9:$I$1592,MATCH("[13120,""B06-NY-38-N""]",'SKU明细'!$AE$9:$AE$1592,0)),INDEX('SKU明细'!$I$9:$I$1592,MATCH("[13120,""B06-NY-40.5""]",'SKU明细'!$AE$9:$AE$1592,0)),INDEX('SKU明细'!$I$9:$I$1592,MATCH("[13120,""B06-NY-38.5""]",'SKU明细'!$AE$9:$AE$1592,0)),INDEX('SKU明细'!$I$9:$I$1592,MATCH("[13120,""B06-NY-39-NEW""]",'SKU明细'!$AE$9:$AE$1592,0)),INDEX('SKU明细'!$I$9:$I$1592,MATCH("[13120,""B06-NY-39.5""]",'SKU明细'!$AE$9:$AE$1592,0)),INDEX('SKU明细'!$I$9:$I$1592,MATCH("[13120,""B06-NY-40""]",'SKU明细'!$AE$9:$AE$1592,0)))/SUM(INDEX('SKU明细'!$AD$9:$AD$1592,MATCH("[13120,""B06-NY-37.5""]",'SKU明细'!$AE$9:$AE$1592,0)),INDEX('SKU明细'!$AD$9:$AD$1592,MATCH("[13120,""B06-NY-41.5""]",'SKU明细'!$AE$9:$AE$1592,0)),INDEX('SKU明细'!$AD$9:$AD$1592,MATCH("[13120,""B06-NY-37-N""]",'SKU明细'!$AE$9:$AE$1592,0)),INDEX('SKU明细'!$AD$9:$AD$1592,MATCH("[13120,""B06-NY-41""]",'SKU明细'!$AE$9:$AE$1592,0)),INDEX('SKU明细'!$AD$9:$AD$1592,MATCH("[13120,""B06-NY-38-N""]",'SKU明细'!$AE$9:$AE$1592,0)),INDEX('SKU明细'!$AD$9:$AD$1592,MATCH("[13120,""B06-NY-40.5""]",'SKU明细'!$AE$9:$AE$1592,0)),INDEX('SKU明细'!$AD$9:$AD$1592,MATCH("[13120,""B06-NY-38.5""]",'SKU明细'!$AE$9:$AE$1592,0)),INDEX('SKU明细'!$AD$9:$AD$1592,MATCH("[13120,""B06-NY-39-NEW""]",'SKU明细'!$AE$9:$AE$1592,0)),INDEX('SKU明细'!$AD$9:$AD$1592,MATCH("[13120,""B06-NY-39.5""]",'SKU明细'!$AE$9:$AE$1592,0)),INDEX('SKU明细'!$AD$9:$AD$1592,MATCH("[13120,""B06-NY-40""]",'SKU明细'!$AE$9:$AE$1592,0))),"待核")</x:f>
        <x:v>82.16340621403913</x:v>
      </x:c>
      <x:c r="U71" s="21" t="n">
        <x:f>IF(COUNT(S71:T71)=2,S71-T71,"待核")</x:f>
        <x:v>-18.978364305592955</x:v>
      </x:c>
      <x:c r="V71" s="22" t="n">
        <x:f>IF(AND(ISNUMBER(U71),ISNUMBER(T71),T71&lt;&gt;0),U71/T71,"")</x:f>
        <x:v>-0.23098317341120836</x:v>
      </x:c>
      <x:c r="W71" s="23" t="n">
        <x:f>IF(COUNT(INDEX('SKU明细'!$H$9:$H$1592,MATCH("[13120,""B06-NY-37.5""]",'SKU明细'!$AE$9:$AE$1592,0)),INDEX('SKU明细'!$H$9:$H$1592,MATCH("[13120,""B06-NY-41.5""]",'SKU明细'!$AE$9:$AE$1592,0)),INDEX('SKU明细'!$H$9:$H$1592,MATCH("[13120,""B06-NY-37-N""]",'SKU明细'!$AE$9:$AE$1592,0)),INDEX('SKU明细'!$H$9:$H$1592,MATCH("[13120,""B06-NY-41""]",'SKU明细'!$AE$9:$AE$1592,0)),INDEX('SKU明细'!$H$9:$H$1592,MATCH("[13120,""B06-NY-38-N""]",'SKU明细'!$AE$9:$AE$1592,0)),INDEX('SKU明细'!$H$9:$H$1592,MATCH("[13120,""B06-NY-40.5""]",'SKU明细'!$AE$9:$AE$1592,0)),INDEX('SKU明细'!$H$9:$H$1592,MATCH("[13120,""B06-NY-38.5""]",'SKU明细'!$AE$9:$AE$1592,0)),INDEX('SKU明细'!$H$9:$H$1592,MATCH("[13120,""B06-NY-39-NEW""]",'SKU明细'!$AE$9:$AE$1592,0)),INDEX('SKU明细'!$H$9:$H$1592,MATCH("[13120,""B06-NY-39.5""]",'SKU明细'!$AE$9:$AE$1592,0)),INDEX('SKU明细'!$H$9:$H$1592,MATCH("[13120,""B06-NY-40""]",'SKU明细'!$AE$9:$AE$1592,0)))=0,"待核",SUM(INDEX('SKU明细'!$H$9:$H$1592,MATCH("[13120,""B06-NY-37.5""]",'SKU明细'!$AE$9:$AE$1592,0)),INDEX('SKU明细'!$H$9:$H$1592,MATCH("[13120,""B06-NY-41.5""]",'SKU明细'!$AE$9:$AE$1592,0)),INDEX('SKU明细'!$H$9:$H$1592,MATCH("[13120,""B06-NY-37-N""]",'SKU明细'!$AE$9:$AE$1592,0)),INDEX('SKU明细'!$H$9:$H$1592,MATCH("[13120,""B06-NY-41""]",'SKU明细'!$AE$9:$AE$1592,0)),INDEX('SKU明细'!$H$9:$H$1592,MATCH("[13120,""B06-NY-38-N""]",'SKU明细'!$AE$9:$AE$1592,0)),INDEX('SKU明细'!$H$9:$H$1592,MATCH("[13120,""B06-NY-40.5""]",'SKU明细'!$AE$9:$AE$1592,0)),INDEX('SKU明细'!$H$9:$H$1592,MATCH("[13120,""B06-NY-38.5""]",'SKU明细'!$AE$9:$AE$1592,0)),INDEX('SKU明细'!$H$9:$H$1592,MATCH("[13120,""B06-NY-39-NEW""]",'SKU明细'!$AE$9:$AE$1592,0)),INDEX('SKU明细'!$H$9:$H$1592,MATCH("[13120,""B06-NY-39.5""]",'SKU明细'!$AE$9:$AE$1592,0)),INDEX('SKU明细'!$H$9:$H$1592,MATCH("[13120,""B06-NY-40""]",'SKU明细'!$AE$9:$AE$1592,0))))</x:f>
        <x:v>140</x:v>
      </x:c>
      <x:c r="X71" s="24" t="str">
        <x:f>IF(COUNTIFS('SKU明细'!$AH$9:$AH$1592,"[""B06"",""B06-NY"",""NY"",""藏青色羊京绒""]",'SKU明细'!$E$9:$E$1592,"促销")&gt;0,"促销 ","")&amp;IF(COUNTIFS('SKU明细'!$AH$9:$AH$1592,"[""B06"",""B06-NY"",""NY"",""藏青色羊京绒""]",'SKU明细'!$E$9:$E$1592,"红线促销")&gt;0,"红线促销 ","")&amp;IF(COUNTIFS('SKU明细'!$AH$9:$AH$1592,"[""B06"",""B06-NY"",""NY"",""藏青色羊京绒""]",'SKU明细'!$E$9:$E$1592,"考虑清仓")&gt;0,"考虑清仓 ","")&amp;IF(COUNTIFS('SKU明细'!$AH$9:$AH$1592,"[""B06"",""B06-NY"",""NY"",""藏青色羊京绒""]",'SKU明细'!$E$9:$E$1592,"断货")&gt;0,"断货 ","")&amp;IF(COUNTIFS('SKU明细'!$AH$9:$AH$1592,"[""B06"",""B06-NY"",""NY"",""藏青色羊京绒""]",'SKU明细'!$E$9:$E$1592,"零日销待复核")&gt;0,"零日销待复核 ","")&amp;IF(COUNTIFS('SKU明细'!$AH$9:$AH$1592,"[""B06"",""B06-NY"",""NY"",""藏青色羊京绒""]",'SKU明细'!$E$9:$E$1592,"数据待核")&gt;0,"数据待核 ","")&amp;IF(COUNTIFS('SKU明细'!$AH$9:$AH$1592,"[""B06"",""B06-NY"",""NY"",""藏青色羊京绒""]",'SKU明细'!$E$9:$E$1592,"正常库存")&gt;0,"正常库存 ","")&amp;IF(COUNTIFS('SKU明细'!$AH$9:$AH$1592,"[""B06"",""B06-NY"",""NY"",""藏青色羊京绒""]",'SKU明细'!$E$9:$E$1592,"补货提醒")&gt;0,"补货提醒 ","")</x:f>
        <x:v>促销 考虑清仓 断货 正常库存 补货提醒 </x:v>
      </x:c>
      <x:c r="Y71" s="24" t="str">
        <x:f>IF(NOT(ISNUMBER(U71)),"覆盖待核／无可比基准","完整可比")</x:f>
        <x:v>完整可比</x:v>
      </x:c>
      <x:c r="Z71" s="24" t="str">
        <x:v>在售、停售</x:v>
      </x:c>
      <x:c r="AA71" s="24" t="n">
        <x:f>IF(SUMIFS('SKU明细'!$AF$9:$AF$1592,'SKU明细'!$D$9:$D$1592,A71,'SKU明细'!$Z$9:$Z$1592,"&lt;&gt;移出")=0,"待核",SUMIFS('SKU明细'!$H$9:$H$1592,'SKU明细'!$D$9:$D$1592,A71,'SKU明细'!$Z$9:$Z$1592,"&lt;&gt;移出"))</x:f>
        <x:v>2095</x:v>
      </x:c>
    </x:row>
    <x:row r="72" ht="54" customHeight="1">
      <x:c r="A72" s="20" t="str">
        <x:v>B06</x:v>
      </x:c>
      <x:c r="B72" s="20" t="str">
        <x:v>艾年</x:v>
      </x:c>
      <x:c r="C72" s="20" t="str">
        <x:v>米色圆点布</x:v>
      </x:c>
      <x:c r="D72" s="20" t="str">
        <x:v>PDBG</x:v>
      </x:c>
      <x:c r="E72" s="20" t="str">
        <x:v>B06-PDBG</x:v>
      </x:c>
      <x:c r="F72" s="20"/>
      <x:c r="G72" s="21" t="str">
        <x:f>"—"</x:f>
        <x:v>—</x:v>
      </x:c>
      <x:c r="H72" s="21" t="str">
        <x:f>"—"</x:f>
        <x:v>—</x:v>
      </x:c>
      <x:c r="I72" s="21" t="str">
        <x:f>"—"</x:f>
        <x:v>—</x:v>
      </x:c>
      <x:c r="J72" s="21" t="str">
        <x:f>"—"</x:f>
        <x:v>—</x:v>
      </x:c>
      <x:c r="K72" s="21" t="str">
        <x:f>"—"</x:f>
        <x:v>—</x:v>
      </x:c>
      <x:c r="L72" s="21" t="str">
        <x:f>"—"</x:f>
        <x:v>—</x:v>
      </x:c>
      <x:c r="M72" s="21" t="str">
        <x:f>"—"</x:f>
        <x:v>—</x:v>
      </x:c>
      <x:c r="N72" s="21" t="str">
        <x:f>IF(AND(COUNT(INDEX('SKU明细'!$H$9:$H$1592,MATCH("[13120,""B06-PDBG-40""]",'SKU明细'!$AE$9:$AE$1592,0)))=1,COUNT(INDEX('SKU明细'!$G$9:$G$1592,MATCH("[13120,""B06-PDBG-40""]",'SKU明细'!$AE$9:$AE$1592,0)))=1,SUM(INDEX('SKU明细'!$G$9:$G$1592,MATCH("[13120,""B06-PDBG-40""]",'SKU明细'!$AE$9:$AE$1592,0)))&gt;0),SUM(INDEX('SKU明细'!$H$9:$H$1592,MATCH("[13120,""B06-PDBG-40""]",'SKU明细'!$AE$9:$AE$1592,0)))/SUM(INDEX('SKU明细'!$G$9:$G$1592,MATCH("[13120,""B06-PDBG-40""]",'SKU明细'!$AE$9:$AE$1592,0))),"待核")</x:f>
        <x:v>待核</x:v>
      </x:c>
      <x:c r="O72" s="21" t="str">
        <x:f>IF(AND(COUNT(INDEX('SKU明细'!$H$9:$H$1592,MATCH("[13120,""B06-PDBG-40.5""]",'SKU明细'!$AE$9:$AE$1592,0)))=1,COUNT(INDEX('SKU明细'!$G$9:$G$1592,MATCH("[13120,""B06-PDBG-40.5""]",'SKU明细'!$AE$9:$AE$1592,0)))=1,SUM(INDEX('SKU明细'!$G$9:$G$1592,MATCH("[13120,""B06-PDBG-40.5""]",'SKU明细'!$AE$9:$AE$1592,0)))&gt;0),SUM(INDEX('SKU明细'!$H$9:$H$1592,MATCH("[13120,""B06-PDBG-40.5""]",'SKU明细'!$AE$9:$AE$1592,0)))/SUM(INDEX('SKU明细'!$G$9:$G$1592,MATCH("[13120,""B06-PDBG-40.5""]",'SKU明细'!$AE$9:$AE$1592,0))),"待核")</x:f>
        <x:v>待核</x:v>
      </x:c>
      <x:c r="P72" s="21" t="str">
        <x:f>"—"</x:f>
        <x:v>—</x:v>
      </x:c>
      <x:c r="Q72" s="21" t="str">
        <x:f>"—"</x:f>
        <x:v>—</x:v>
      </x:c>
      <x:c r="R72" s="21" t="str">
        <x:f>IF(AND(COUNT(INDEX('SKU明细'!$H$9:$H$1592,MATCH("[13120,""B06-PDBG-42""]",'SKU明细'!$AE$9:$AE$1592,0)))=1,COUNT(INDEX('SKU明细'!$G$9:$G$1592,MATCH("[13120,""B06-PDBG-42""]",'SKU明细'!$AE$9:$AE$1592,0)))=1,SUM(INDEX('SKU明细'!$G$9:$G$1592,MATCH("[13120,""B06-PDBG-42""]",'SKU明细'!$AE$9:$AE$1592,0)))&gt;0),SUM(INDEX('SKU明细'!$H$9:$H$1592,MATCH("[13120,""B06-PDBG-42""]",'SKU明细'!$AE$9:$AE$1592,0)))/SUM(INDEX('SKU明细'!$G$9:$G$1592,MATCH("[13120,""B06-PDBG-42""]",'SKU明细'!$AE$9:$AE$1592,0))),"待核")</x:f>
        <x:v>待核</x:v>
      </x:c>
      <x:c r="S72" s="21" t="str">
        <x:f>"—"</x:f>
        <x:v>—</x:v>
      </x:c>
      <x:c r="T72" s="21" t="str">
        <x:f>"—"</x:f>
        <x:v>—</x:v>
      </x:c>
      <x:c r="U72" s="21" t="str">
        <x:f>IF(COUNT(S72:T72)=2,S72-T72,"待核")</x:f>
        <x:v>待核</x:v>
      </x:c>
      <x:c r="V72" s="22" t="str">
        <x:f>IF(AND(ISNUMBER(U72),ISNUMBER(T72),T72&lt;&gt;0),U72/T72,"")</x:f>
      </x:c>
      <x:c r="W72" s="23" t="n">
        <x:f>IF(COUNT(INDEX('SKU明细'!$H$9:$H$1592,MATCH("[13120,""B06-PDBG-40""]",'SKU明细'!$AE$9:$AE$1592,0)),INDEX('SKU明细'!$H$9:$H$1592,MATCH("[13120,""B06-PDBG-40.5""]",'SKU明细'!$AE$9:$AE$1592,0)),INDEX('SKU明细'!$H$9:$H$1592,MATCH("[13120,""B06-PDBG-42""]",'SKU明细'!$AE$9:$AE$1592,0)))=0,"待核",SUM(INDEX('SKU明细'!$H$9:$H$1592,MATCH("[13120,""B06-PDBG-40""]",'SKU明细'!$AE$9:$AE$1592,0)),INDEX('SKU明细'!$H$9:$H$1592,MATCH("[13120,""B06-PDBG-40.5""]",'SKU明细'!$AE$9:$AE$1592,0)),INDEX('SKU明细'!$H$9:$H$1592,MATCH("[13120,""B06-PDBG-42""]",'SKU明细'!$AE$9:$AE$1592,0))))</x:f>
        <x:v>0</x:v>
      </x:c>
      <x:c r="X72" s="24" t="str">
        <x:f>IF(COUNTIFS('SKU明细'!$AH$9:$AH$1592,"[""B06"",""B06-PDBG"",""PDBG"",""米色圆点布""]",'SKU明细'!$E$9:$E$1592,"促销")&gt;0,"促销 ","")&amp;IF(COUNTIFS('SKU明细'!$AH$9:$AH$1592,"[""B06"",""B06-PDBG"",""PDBG"",""米色圆点布""]",'SKU明细'!$E$9:$E$1592,"红线促销")&gt;0,"红线促销 ","")&amp;IF(COUNTIFS('SKU明细'!$AH$9:$AH$1592,"[""B06"",""B06-PDBG"",""PDBG"",""米色圆点布""]",'SKU明细'!$E$9:$E$1592,"考虑清仓")&gt;0,"考虑清仓 ","")&amp;IF(COUNTIFS('SKU明细'!$AH$9:$AH$1592,"[""B06"",""B06-PDBG"",""PDBG"",""米色圆点布""]",'SKU明细'!$E$9:$E$1592,"断货")&gt;0,"断货 ","")&amp;IF(COUNTIFS('SKU明细'!$AH$9:$AH$1592,"[""B06"",""B06-PDBG"",""PDBG"",""米色圆点布""]",'SKU明细'!$E$9:$E$1592,"零日销待复核")&gt;0,"零日销待复核 ","")&amp;IF(COUNTIFS('SKU明细'!$AH$9:$AH$1592,"[""B06"",""B06-PDBG"",""PDBG"",""米色圆点布""]",'SKU明细'!$E$9:$E$1592,"数据待核")&gt;0,"数据待核 ","")&amp;IF(COUNTIFS('SKU明细'!$AH$9:$AH$1592,"[""B06"",""B06-PDBG"",""PDBG"",""米色圆点布""]",'SKU明细'!$E$9:$E$1592,"正常库存")&gt;0,"正常库存 ","")&amp;IF(COUNTIFS('SKU明细'!$AH$9:$AH$1592,"[""B06"",""B06-PDBG"",""PDBG"",""米色圆点布""]",'SKU明细'!$E$9:$E$1592,"补货提醒")&gt;0,"补货提醒 ","")</x:f>
        <x:v>断货 </x:v>
      </x:c>
      <x:c r="Y72" s="24" t="str">
        <x:f>IF(NOT(ISNUMBER(U72)),"覆盖待核／无可比基准","仅共同SKU")</x:f>
        <x:v>覆盖待核／无可比基准</x:v>
      </x:c>
      <x:c r="Z72" s="24" t="str">
        <x:v>停售</x:v>
      </x:c>
      <x:c r="AA72" s="24" t="n">
        <x:f>IF(SUMIFS('SKU明细'!$AF$9:$AF$1592,'SKU明细'!$D$9:$D$1592,A72,'SKU明细'!$Z$9:$Z$1592,"&lt;&gt;移出")=0,"待核",SUMIFS('SKU明细'!$H$9:$H$1592,'SKU明细'!$D$9:$D$1592,A72,'SKU明细'!$Z$9:$Z$1592,"&lt;&gt;移出"))</x:f>
        <x:v>2095</x:v>
      </x:c>
    </x:row>
    <x:row r="73" ht="54" customHeight="1">
      <x:c r="A73" s="20" t="str">
        <x:v>B06</x:v>
      </x:c>
      <x:c r="B73" s="20" t="str">
        <x:v>艾年</x:v>
      </x:c>
      <x:c r="C73" s="20" t="str">
        <x:v>黑色圆点布</x:v>
      </x:c>
      <x:c r="D73" s="20" t="str">
        <x:v>PDBK</x:v>
      </x:c>
      <x:c r="E73" s="20" t="str">
        <x:v>B06-PDBK</x:v>
      </x:c>
      <x:c r="F73" s="20"/>
      <x:c r="G73" s="21" t="str">
        <x:f>"—"</x:f>
        <x:v>—</x:v>
      </x:c>
      <x:c r="H73" s="21" t="str">
        <x:f>IF(AND(COUNT(INDEX('SKU明细'!$H$9:$H$1592,MATCH("[13120,""B06-PDBK-37""]",'SKU明细'!$AE$9:$AE$1592,0)))=1,COUNT(INDEX('SKU明细'!$G$9:$G$1592,MATCH("[13120,""B06-PDBK-37""]",'SKU明细'!$AE$9:$AE$1592,0)))=1,SUM(INDEX('SKU明细'!$G$9:$G$1592,MATCH("[13120,""B06-PDBK-37""]",'SKU明细'!$AE$9:$AE$1592,0)))&gt;0),SUM(INDEX('SKU明细'!$H$9:$H$1592,MATCH("[13120,""B06-PDBK-37""]",'SKU明细'!$AE$9:$AE$1592,0)))/SUM(INDEX('SKU明细'!$G$9:$G$1592,MATCH("[13120,""B06-PDBK-37""]",'SKU明细'!$AE$9:$AE$1592,0))),"待核")</x:f>
        <x:v>待核</x:v>
      </x:c>
      <x:c r="I73" s="21" t="str">
        <x:f>"—"</x:f>
        <x:v>—</x:v>
      </x:c>
      <x:c r="J73" s="21" t="str">
        <x:f>"—"</x:f>
        <x:v>—</x:v>
      </x:c>
      <x:c r="K73" s="21" t="str">
        <x:f>"—"</x:f>
        <x:v>—</x:v>
      </x:c>
      <x:c r="L73" s="21" t="str">
        <x:f>"—"</x:f>
        <x:v>—</x:v>
      </x:c>
      <x:c r="M73" s="21" t="str">
        <x:f>"—"</x:f>
        <x:v>—</x:v>
      </x:c>
      <x:c r="N73" s="21" t="str">
        <x:f>"—"</x:f>
        <x:v>—</x:v>
      </x:c>
      <x:c r="O73" s="21" t="str">
        <x:f>"—"</x:f>
        <x:v>—</x:v>
      </x:c>
      <x:c r="P73" s="21" t="n">
        <x:f>IF(AND(COUNT(INDEX('SKU明细'!$H$9:$H$1592,MATCH("[13120,""B06-PDBK-41""]",'SKU明细'!$AE$9:$AE$1592,0)))=1,COUNT(INDEX('SKU明细'!$G$9:$G$1592,MATCH("[13120,""B06-PDBK-41""]",'SKU明细'!$AE$9:$AE$1592,0)))=1,SUM(INDEX('SKU明细'!$G$9:$G$1592,MATCH("[13120,""B06-PDBK-41""]",'SKU明细'!$AE$9:$AE$1592,0)))&gt;0),SUM(INDEX('SKU明细'!$H$9:$H$1592,MATCH("[13120,""B06-PDBK-41""]",'SKU明细'!$AE$9:$AE$1592,0)))/SUM(INDEX('SKU明细'!$G$9:$G$1592,MATCH("[13120,""B06-PDBK-41""]",'SKU明细'!$AE$9:$AE$1592,0))),"待核")</x:f>
        <x:v>86.3013698630137</x:v>
      </x:c>
      <x:c r="Q73" s="21" t="str">
        <x:f>IF(AND(COUNT(INDEX('SKU明细'!$H$9:$H$1592,MATCH("[13120,""B06-PDBK-41.5""]",'SKU明细'!$AE$9:$AE$1592,0)))=1,COUNT(INDEX('SKU明细'!$G$9:$G$1592,MATCH("[13120,""B06-PDBK-41.5""]",'SKU明细'!$AE$9:$AE$1592,0)))=1,SUM(INDEX('SKU明细'!$G$9:$G$1592,MATCH("[13120,""B06-PDBK-41.5""]",'SKU明细'!$AE$9:$AE$1592,0)))&gt;0),SUM(INDEX('SKU明细'!$H$9:$H$1592,MATCH("[13120,""B06-PDBK-41.5""]",'SKU明细'!$AE$9:$AE$1592,0)))/SUM(INDEX('SKU明细'!$G$9:$G$1592,MATCH("[13120,""B06-PDBK-41.5""]",'SKU明细'!$AE$9:$AE$1592,0))),"待核")</x:f>
        <x:v>待核</x:v>
      </x:c>
      <x:c r="R73" s="21" t="str">
        <x:f>"—"</x:f>
        <x:v>—</x:v>
      </x:c>
      <x:c r="S73" s="21" t="n">
        <x:f>IF(AND(COUNT(INDEX('SKU明细'!$H$9:$H$1592,MATCH("[13120,""B06-PDBK-37""]",'SKU明细'!$AE$9:$AE$1592,0)),INDEX('SKU明细'!$H$9:$H$1592,MATCH("[13120,""B06-PDBK-41.5""]",'SKU明细'!$AE$9:$AE$1592,0)),INDEX('SKU明细'!$H$9:$H$1592,MATCH("[13120,""B06-PDBK-41""]",'SKU明细'!$AE$9:$AE$1592,0)))=3,COUNT(INDEX('SKU明细'!$G$9:$G$1592,MATCH("[13120,""B06-PDBK-37""]",'SKU明细'!$AE$9:$AE$1592,0)),INDEX('SKU明细'!$G$9:$G$1592,MATCH("[13120,""B06-PDBK-41.5""]",'SKU明细'!$AE$9:$AE$1592,0)),INDEX('SKU明细'!$G$9:$G$1592,MATCH("[13120,""B06-PDBK-41""]",'SKU明细'!$AE$9:$AE$1592,0)))=3,SUM(INDEX('SKU明细'!$G$9:$G$1592,MATCH("[13120,""B06-PDBK-37""]",'SKU明细'!$AE$9:$AE$1592,0)),INDEX('SKU明细'!$G$9:$G$1592,MATCH("[13120,""B06-PDBK-41.5""]",'SKU明细'!$AE$9:$AE$1592,0)),INDEX('SKU明细'!$G$9:$G$1592,MATCH("[13120,""B06-PDBK-41""]",'SKU明细'!$AE$9:$AE$1592,0)))&gt;0),SUM(INDEX('SKU明细'!$H$9:$H$1592,MATCH("[13120,""B06-PDBK-37""]",'SKU明细'!$AE$9:$AE$1592,0)),INDEX('SKU明细'!$H$9:$H$1592,MATCH("[13120,""B06-PDBK-41.5""]",'SKU明细'!$AE$9:$AE$1592,0)),INDEX('SKU明细'!$H$9:$H$1592,MATCH("[13120,""B06-PDBK-41""]",'SKU明细'!$AE$9:$AE$1592,0)))/SUM(INDEX('SKU明细'!$G$9:$G$1592,MATCH("[13120,""B06-PDBK-37""]",'SKU明细'!$AE$9:$AE$1592,0)),INDEX('SKU明细'!$G$9:$G$1592,MATCH("[13120,""B06-PDBK-41.5""]",'SKU明细'!$AE$9:$AE$1592,0)),INDEX('SKU明细'!$G$9:$G$1592,MATCH("[13120,""B06-PDBK-41""]",'SKU明细'!$AE$9:$AE$1592,0))),"待核")</x:f>
        <x:v>86.3013698630137</x:v>
      </x:c>
      <x:c r="T73" s="21" t="str">
        <x:f>IF(AND(COUNT(INDEX('SKU明细'!$I$9:$I$1592,MATCH("[13120,""B06-PDBK-37""]",'SKU明细'!$AE$9:$AE$1592,0)),INDEX('SKU明细'!$I$9:$I$1592,MATCH("[13120,""B06-PDBK-41.5""]",'SKU明细'!$AE$9:$AE$1592,0)),INDEX('SKU明细'!$I$9:$I$1592,MATCH("[13120,""B06-PDBK-41""]",'SKU明细'!$AE$9:$AE$1592,0)))=3,COUNT(INDEX('SKU明细'!$AD$9:$AD$1592,MATCH("[13120,""B06-PDBK-37""]",'SKU明细'!$AE$9:$AE$1592,0)),INDEX('SKU明细'!$AD$9:$AD$1592,MATCH("[13120,""B06-PDBK-41.5""]",'SKU明细'!$AE$9:$AE$1592,0)),INDEX('SKU明细'!$AD$9:$AD$1592,MATCH("[13120,""B06-PDBK-41""]",'SKU明细'!$AE$9:$AE$1592,0)))=3,SUM(INDEX('SKU明细'!$AD$9:$AD$1592,MATCH("[13120,""B06-PDBK-37""]",'SKU明细'!$AE$9:$AE$1592,0)),INDEX('SKU明细'!$AD$9:$AD$1592,MATCH("[13120,""B06-PDBK-41.5""]",'SKU明细'!$AE$9:$AE$1592,0)),INDEX('SKU明细'!$AD$9:$AD$1592,MATCH("[13120,""B06-PDBK-41""]",'SKU明细'!$AE$9:$AE$1592,0)))&gt;0),SUM(INDEX('SKU明细'!$I$9:$I$1592,MATCH("[13120,""B06-PDBK-37""]",'SKU明细'!$AE$9:$AE$1592,0)),INDEX('SKU明细'!$I$9:$I$1592,MATCH("[13120,""B06-PDBK-41.5""]",'SKU明细'!$AE$9:$AE$1592,0)),INDEX('SKU明细'!$I$9:$I$1592,MATCH("[13120,""B06-PDBK-41""]",'SKU明细'!$AE$9:$AE$1592,0)))/SUM(INDEX('SKU明细'!$AD$9:$AD$1592,MATCH("[13120,""B06-PDBK-37""]",'SKU明细'!$AE$9:$AE$1592,0)),INDEX('SKU明细'!$AD$9:$AD$1592,MATCH("[13120,""B06-PDBK-41.5""]",'SKU明细'!$AE$9:$AE$1592,0)),INDEX('SKU明细'!$AD$9:$AD$1592,MATCH("[13120,""B06-PDBK-41""]",'SKU明细'!$AE$9:$AE$1592,0))),"待核")</x:f>
        <x:v>待核</x:v>
      </x:c>
      <x:c r="U73" s="21" t="str">
        <x:f>IF(COUNT(S73:T73)=2,S73-T73,"待核")</x:f>
        <x:v>待核</x:v>
      </x:c>
      <x:c r="V73" s="22" t="str">
        <x:f>IF(AND(ISNUMBER(U73),ISNUMBER(T73),T73&lt;&gt;0),U73/T73,"")</x:f>
      </x:c>
      <x:c r="W73" s="23" t="n">
        <x:f>IF(COUNT(INDEX('SKU明细'!$H$9:$H$1592,MATCH("[13120,""B06-PDBK-37""]",'SKU明细'!$AE$9:$AE$1592,0)),INDEX('SKU明细'!$H$9:$H$1592,MATCH("[13120,""B06-PDBK-41.5""]",'SKU明细'!$AE$9:$AE$1592,0)),INDEX('SKU明细'!$H$9:$H$1592,MATCH("[13120,""B06-PDBK-41""]",'SKU明细'!$AE$9:$AE$1592,0)))=0,"待核",SUM(INDEX('SKU明细'!$H$9:$H$1592,MATCH("[13120,""B06-PDBK-37""]",'SKU明细'!$AE$9:$AE$1592,0)),INDEX('SKU明细'!$H$9:$H$1592,MATCH("[13120,""B06-PDBK-41.5""]",'SKU明细'!$AE$9:$AE$1592,0)),INDEX('SKU明细'!$H$9:$H$1592,MATCH("[13120,""B06-PDBK-41""]",'SKU明细'!$AE$9:$AE$1592,0))))</x:f>
        <x:v>3</x:v>
      </x:c>
      <x:c r="X73" s="24" t="str">
        <x:f>IF(COUNTIFS('SKU明细'!$AH$9:$AH$1592,"[""B06"",""B06-PDBK"",""PDBK"",""黑色圆点布""]",'SKU明细'!$E$9:$E$1592,"促销")&gt;0,"促销 ","")&amp;IF(COUNTIFS('SKU明细'!$AH$9:$AH$1592,"[""B06"",""B06-PDBK"",""PDBK"",""黑色圆点布""]",'SKU明细'!$E$9:$E$1592,"红线促销")&gt;0,"红线促销 ","")&amp;IF(COUNTIFS('SKU明细'!$AH$9:$AH$1592,"[""B06"",""B06-PDBK"",""PDBK"",""黑色圆点布""]",'SKU明细'!$E$9:$E$1592,"考虑清仓")&gt;0,"考虑清仓 ","")&amp;IF(COUNTIFS('SKU明细'!$AH$9:$AH$1592,"[""B06"",""B06-PDBK"",""PDBK"",""黑色圆点布""]",'SKU明细'!$E$9:$E$1592,"断货")&gt;0,"断货 ","")&amp;IF(COUNTIFS('SKU明细'!$AH$9:$AH$1592,"[""B06"",""B06-PDBK"",""PDBK"",""黑色圆点布""]",'SKU明细'!$E$9:$E$1592,"零日销待复核")&gt;0,"零日销待复核 ","")&amp;IF(COUNTIFS('SKU明细'!$AH$9:$AH$1592,"[""B06"",""B06-PDBK"",""PDBK"",""黑色圆点布""]",'SKU明细'!$E$9:$E$1592,"数据待核")&gt;0,"数据待核 ","")&amp;IF(COUNTIFS('SKU明细'!$AH$9:$AH$1592,"[""B06"",""B06-PDBK"",""PDBK"",""黑色圆点布""]",'SKU明细'!$E$9:$E$1592,"正常库存")&gt;0,"正常库存 ","")&amp;IF(COUNTIFS('SKU明细'!$AH$9:$AH$1592,"[""B06"",""B06-PDBK"",""PDBK"",""黑色圆点布""]",'SKU明细'!$E$9:$E$1592,"补货提醒")&gt;0,"补货提醒 ","")</x:f>
        <x:v>断货 正常库存 </x:v>
      </x:c>
      <x:c r="Y73" s="24" t="str">
        <x:f>IF(NOT(ISNUMBER(U73)),"覆盖待核／无可比基准","完整可比")</x:f>
        <x:v>覆盖待核／无可比基准</x:v>
      </x:c>
      <x:c r="Z73" s="24" t="str">
        <x:v>停售、在售</x:v>
      </x:c>
      <x:c r="AA73" s="24" t="n">
        <x:f>IF(SUMIFS('SKU明细'!$AF$9:$AF$1592,'SKU明细'!$D$9:$D$1592,A73,'SKU明细'!$Z$9:$Z$1592,"&lt;&gt;移出")=0,"待核",SUMIFS('SKU明细'!$H$9:$H$1592,'SKU明细'!$D$9:$D$1592,A73,'SKU明细'!$Z$9:$Z$1592,"&lt;&gt;移出"))</x:f>
        <x:v>2095</x:v>
      </x:c>
    </x:row>
    <x:row r="74" ht="54" customHeight="1">
      <x:c r="A74" s="20" t="str">
        <x:v>B06</x:v>
      </x:c>
      <x:c r="B74" s="20" t="str">
        <x:v>艾年</x:v>
      </x:c>
      <x:c r="C74" s="20" t="str">
        <x:v>粉色羊京绒</x:v>
      </x:c>
      <x:c r="D74" s="20" t="str">
        <x:v>PK</x:v>
      </x:c>
      <x:c r="E74" s="20" t="str">
        <x:v>B06-PK</x:v>
      </x:c>
      <x:c r="F74" s="20"/>
      <x:c r="G74" s="21" t="str">
        <x:f>"—"</x:f>
        <x:v>—</x:v>
      </x:c>
      <x:c r="H74" s="21" t="str">
        <x:f>"—"</x:f>
        <x:v>—</x:v>
      </x:c>
      <x:c r="I74" s="21" t="str">
        <x:f>IF(AND(COUNT(INDEX('SKU明细'!$H$9:$H$1592,MATCH("[13120,""B06-PK-37.5""]",'SKU明细'!$AE$9:$AE$1592,0)))=1,COUNT(INDEX('SKU明细'!$G$9:$G$1592,MATCH("[13120,""B06-PK-37.5""]",'SKU明细'!$AE$9:$AE$1592,0)))=1,SUM(INDEX('SKU明细'!$G$9:$G$1592,MATCH("[13120,""B06-PK-37.5""]",'SKU明细'!$AE$9:$AE$1592,0)))&gt;0),SUM(INDEX('SKU明细'!$H$9:$H$1592,MATCH("[13120,""B06-PK-37.5""]",'SKU明细'!$AE$9:$AE$1592,0)))/SUM(INDEX('SKU明细'!$G$9:$G$1592,MATCH("[13120,""B06-PK-37.5""]",'SKU明细'!$AE$9:$AE$1592,0))),"待核")</x:f>
        <x:v>待核</x:v>
      </x:c>
      <x:c r="J74" s="21" t="n">
        <x:f>IF(AND(COUNT(INDEX('SKU明细'!$H$9:$H$1592,MATCH("[13120,""B06-PK-38-N""]",'SKU明细'!$AE$9:$AE$1592,0)))=1,COUNT(INDEX('SKU明细'!$G$9:$G$1592,MATCH("[13120,""B06-PK-38-N""]",'SKU明细'!$AE$9:$AE$1592,0)))=1,SUM(INDEX('SKU明细'!$G$9:$G$1592,MATCH("[13120,""B06-PK-38-N""]",'SKU明细'!$AE$9:$AE$1592,0)))&gt;0),SUM(INDEX('SKU明细'!$H$9:$H$1592,MATCH("[13120,""B06-PK-38-N""]",'SKU明细'!$AE$9:$AE$1592,0)))/SUM(INDEX('SKU明细'!$G$9:$G$1592,MATCH("[13120,""B06-PK-38-N""]",'SKU明细'!$AE$9:$AE$1592,0))),"待核")</x:f>
        <x:v>0</x:v>
      </x:c>
      <x:c r="K74" s="21" t="n">
        <x:f>IF(AND(COUNT(INDEX('SKU明细'!$H$9:$H$1592,MATCH("[13120,""B06-PK-38.5""]",'SKU明细'!$AE$9:$AE$1592,0)))=1,COUNT(INDEX('SKU明细'!$G$9:$G$1592,MATCH("[13120,""B06-PK-38.5""]",'SKU明细'!$AE$9:$AE$1592,0)))=1,SUM(INDEX('SKU明细'!$G$9:$G$1592,MATCH("[13120,""B06-PK-38.5""]",'SKU明细'!$AE$9:$AE$1592,0)))&gt;0),SUM(INDEX('SKU明细'!$H$9:$H$1592,MATCH("[13120,""B06-PK-38.5""]",'SKU明细'!$AE$9:$AE$1592,0)))/SUM(INDEX('SKU明细'!$G$9:$G$1592,MATCH("[13120,""B06-PK-38.5""]",'SKU明细'!$AE$9:$AE$1592,0))),"待核")</x:f>
        <x:v>0</x:v>
      </x:c>
      <x:c r="L74" s="21" t="str">
        <x:f>IF(AND(COUNT(INDEX('SKU明细'!$H$9:$H$1592,MATCH("[13120,""B06-PK-39-N""]",'SKU明细'!$AE$9:$AE$1592,0)))=1,COUNT(INDEX('SKU明细'!$G$9:$G$1592,MATCH("[13120,""B06-PK-39-N""]",'SKU明细'!$AE$9:$AE$1592,0)))=1,SUM(INDEX('SKU明细'!$G$9:$G$1592,MATCH("[13120,""B06-PK-39-N""]",'SKU明细'!$AE$9:$AE$1592,0)))&gt;0),SUM(INDEX('SKU明细'!$H$9:$H$1592,MATCH("[13120,""B06-PK-39-N""]",'SKU明细'!$AE$9:$AE$1592,0)))/SUM(INDEX('SKU明细'!$G$9:$G$1592,MATCH("[13120,""B06-PK-39-N""]",'SKU明细'!$AE$9:$AE$1592,0))),"待核")</x:f>
        <x:v>待核</x:v>
      </x:c>
      <x:c r="M74" s="21" t="n">
        <x:f>IF(AND(COUNT(INDEX('SKU明细'!$H$9:$H$1592,MATCH("[13120,""B06-PK-39.5""]",'SKU明细'!$AE$9:$AE$1592,0)))=1,COUNT(INDEX('SKU明细'!$G$9:$G$1592,MATCH("[13120,""B06-PK-39.5""]",'SKU明细'!$AE$9:$AE$1592,0)))=1,SUM(INDEX('SKU明细'!$G$9:$G$1592,MATCH("[13120,""B06-PK-39.5""]",'SKU明细'!$AE$9:$AE$1592,0)))&gt;0),SUM(INDEX('SKU明细'!$H$9:$H$1592,MATCH("[13120,""B06-PK-39.5""]",'SKU明细'!$AE$9:$AE$1592,0)))/SUM(INDEX('SKU明细'!$G$9:$G$1592,MATCH("[13120,""B06-PK-39.5""]",'SKU明细'!$AE$9:$AE$1592,0))),"待核")</x:f>
        <x:v>0</x:v>
      </x:c>
      <x:c r="N74" s="21" t="str">
        <x:f>IF(AND(COUNT(INDEX('SKU明细'!$H$9:$H$1592,MATCH("[13120,""B06-PK-40-N""]",'SKU明细'!$AE$9:$AE$1592,0)))=1,COUNT(INDEX('SKU明细'!$G$9:$G$1592,MATCH("[13120,""B06-PK-40-N""]",'SKU明细'!$AE$9:$AE$1592,0)))=1,SUM(INDEX('SKU明细'!$G$9:$G$1592,MATCH("[13120,""B06-PK-40-N""]",'SKU明细'!$AE$9:$AE$1592,0)))&gt;0),SUM(INDEX('SKU明细'!$H$9:$H$1592,MATCH("[13120,""B06-PK-40-N""]",'SKU明细'!$AE$9:$AE$1592,0)))/SUM(INDEX('SKU明细'!$G$9:$G$1592,MATCH("[13120,""B06-PK-40-N""]",'SKU明细'!$AE$9:$AE$1592,0))),"待核")</x:f>
        <x:v>待核</x:v>
      </x:c>
      <x:c r="O74" s="21" t="n">
        <x:f>IF(AND(COUNT(INDEX('SKU明细'!$H$9:$H$1592,MATCH("[13120,""B06-PK-40.5""]",'SKU明细'!$AE$9:$AE$1592,0)))=1,COUNT(INDEX('SKU明细'!$G$9:$G$1592,MATCH("[13120,""B06-PK-40.5""]",'SKU明细'!$AE$9:$AE$1592,0)))=1,SUM(INDEX('SKU明细'!$G$9:$G$1592,MATCH("[13120,""B06-PK-40.5""]",'SKU明细'!$AE$9:$AE$1592,0)))&gt;0),SUM(INDEX('SKU明细'!$H$9:$H$1592,MATCH("[13120,""B06-PK-40.5""]",'SKU明细'!$AE$9:$AE$1592,0)))/SUM(INDEX('SKU明细'!$G$9:$G$1592,MATCH("[13120,""B06-PK-40.5""]",'SKU明细'!$AE$9:$AE$1592,0))),"待核")</x:f>
        <x:v>177.96610169491527</x:v>
      </x:c>
      <x:c r="P74" s="21" t="str">
        <x:f>IF(AND(COUNT(INDEX('SKU明细'!$H$9:$H$1592,MATCH("[13120,""B06-PK-41-N""]",'SKU明细'!$AE$9:$AE$1592,0)))=1,COUNT(INDEX('SKU明细'!$G$9:$G$1592,MATCH("[13120,""B06-PK-41-N""]",'SKU明细'!$AE$9:$AE$1592,0)))=1,SUM(INDEX('SKU明细'!$G$9:$G$1592,MATCH("[13120,""B06-PK-41-N""]",'SKU明细'!$AE$9:$AE$1592,0)))&gt;0),SUM(INDEX('SKU明细'!$H$9:$H$1592,MATCH("[13120,""B06-PK-41-N""]",'SKU明细'!$AE$9:$AE$1592,0)))/SUM(INDEX('SKU明细'!$G$9:$G$1592,MATCH("[13120,""B06-PK-41-N""]",'SKU明细'!$AE$9:$AE$1592,0))),"待核")</x:f>
        <x:v>待核</x:v>
      </x:c>
      <x:c r="Q74" s="21" t="str">
        <x:f>IF(AND(COUNT(INDEX('SKU明细'!$H$9:$H$1592,MATCH("[13120,""B06-PK-41.5""]",'SKU明细'!$AE$9:$AE$1592,0)))=1,COUNT(INDEX('SKU明细'!$G$9:$G$1592,MATCH("[13120,""B06-PK-41.5""]",'SKU明细'!$AE$9:$AE$1592,0)))=1,SUM(INDEX('SKU明细'!$G$9:$G$1592,MATCH("[13120,""B06-PK-41.5""]",'SKU明细'!$AE$9:$AE$1592,0)))&gt;0),SUM(INDEX('SKU明细'!$H$9:$H$1592,MATCH("[13120,""B06-PK-41.5""]",'SKU明细'!$AE$9:$AE$1592,0)))/SUM(INDEX('SKU明细'!$G$9:$G$1592,MATCH("[13120,""B06-PK-41.5""]",'SKU明细'!$AE$9:$AE$1592,0))),"待核")</x:f>
        <x:v>待核</x:v>
      </x:c>
      <x:c r="R74" s="21" t="str">
        <x:f>IF(AND(COUNT(INDEX('SKU明细'!$H$9:$H$1592,MATCH("[13120,""B06-PK-42""]",'SKU明细'!$AE$9:$AE$1592,0)))=1,COUNT(INDEX('SKU明细'!$G$9:$G$1592,MATCH("[13120,""B06-PK-42""]",'SKU明细'!$AE$9:$AE$1592,0)))=1,SUM(INDEX('SKU明细'!$G$9:$G$1592,MATCH("[13120,""B06-PK-42""]",'SKU明细'!$AE$9:$AE$1592,0)))&gt;0),SUM(INDEX('SKU明细'!$H$9:$H$1592,MATCH("[13120,""B06-PK-42""]",'SKU明细'!$AE$9:$AE$1592,0)))/SUM(INDEX('SKU明细'!$G$9:$G$1592,MATCH("[13120,""B06-PK-42""]",'SKU明细'!$AE$9:$AE$1592,0))),"待核")</x:f>
        <x:v>待核</x:v>
      </x:c>
      <x:c r="S74" s="21" t="n">
        <x:f>IF(AND(COUNT(INDEX('SKU明细'!$H$9:$H$1592,MATCH("[13120,""B06-PK-40.5""]",'SKU明细'!$AE$9:$AE$1592,0)),INDEX('SKU明细'!$H$9:$H$1592,MATCH("[13120,""B06-PK-38-N""]",'SKU明细'!$AE$9:$AE$1592,0)),INDEX('SKU明细'!$H$9:$H$1592,MATCH("[13120,""B06-PK-38.5""]",'SKU明细'!$AE$9:$AE$1592,0)),INDEX('SKU明细'!$H$9:$H$1592,MATCH("[13120,""B06-PK-39-N""]",'SKU明细'!$AE$9:$AE$1592,0)),INDEX('SKU明细'!$H$9:$H$1592,MATCH("[13120,""B06-PK-39.5""]",'SKU明细'!$AE$9:$AE$1592,0)),INDEX('SKU明细'!$H$9:$H$1592,MATCH("[13120,""B06-PK-40-N""]",'SKU明细'!$AE$9:$AE$1592,0)),INDEX('SKU明细'!$H$9:$H$1592,MATCH("[13120,""B06-PK-41-N""]",'SKU明细'!$AE$9:$AE$1592,0)),INDEX('SKU明细'!$H$9:$H$1592,MATCH("[13120,""B06-PK-41.5""]",'SKU明细'!$AE$9:$AE$1592,0)),INDEX('SKU明细'!$H$9:$H$1592,MATCH("[13120,""B06-PK-42""]",'SKU明细'!$AE$9:$AE$1592,0)),INDEX('SKU明细'!$H$9:$H$1592,MATCH("[13120,""B06-PK-37.5""]",'SKU明细'!$AE$9:$AE$1592,0)))=10,COUNT(INDEX('SKU明细'!$G$9:$G$1592,MATCH("[13120,""B06-PK-40.5""]",'SKU明细'!$AE$9:$AE$1592,0)),INDEX('SKU明细'!$G$9:$G$1592,MATCH("[13120,""B06-PK-38-N""]",'SKU明细'!$AE$9:$AE$1592,0)),INDEX('SKU明细'!$G$9:$G$1592,MATCH("[13120,""B06-PK-38.5""]",'SKU明细'!$AE$9:$AE$1592,0)),INDEX('SKU明细'!$G$9:$G$1592,MATCH("[13120,""B06-PK-39-N""]",'SKU明细'!$AE$9:$AE$1592,0)),INDEX('SKU明细'!$G$9:$G$1592,MATCH("[13120,""B06-PK-39.5""]",'SKU明细'!$AE$9:$AE$1592,0)),INDEX('SKU明细'!$G$9:$G$1592,MATCH("[13120,""B06-PK-40-N""]",'SKU明细'!$AE$9:$AE$1592,0)),INDEX('SKU明细'!$G$9:$G$1592,MATCH("[13120,""B06-PK-41-N""]",'SKU明细'!$AE$9:$AE$1592,0)),INDEX('SKU明细'!$G$9:$G$1592,MATCH("[13120,""B06-PK-41.5""]",'SKU明细'!$AE$9:$AE$1592,0)),INDEX('SKU明细'!$G$9:$G$1592,MATCH("[13120,""B06-PK-42""]",'SKU明细'!$AE$9:$AE$1592,0)),INDEX('SKU明细'!$G$9:$G$1592,MATCH("[13120,""B06-PK-37.5""]",'SKU明细'!$AE$9:$AE$1592,0)))=10,SUM(INDEX('SKU明细'!$G$9:$G$1592,MATCH("[13120,""B06-PK-40.5""]",'SKU明细'!$AE$9:$AE$1592,0)),INDEX('SKU明细'!$G$9:$G$1592,MATCH("[13120,""B06-PK-38-N""]",'SKU明细'!$AE$9:$AE$1592,0)),INDEX('SKU明细'!$G$9:$G$1592,MATCH("[13120,""B06-PK-38.5""]",'SKU明细'!$AE$9:$AE$1592,0)),INDEX('SKU明细'!$G$9:$G$1592,MATCH("[13120,""B06-PK-39-N""]",'SKU明细'!$AE$9:$AE$1592,0)),INDEX('SKU明细'!$G$9:$G$1592,MATCH("[13120,""B06-PK-39.5""]",'SKU明细'!$AE$9:$AE$1592,0)),INDEX('SKU明细'!$G$9:$G$1592,MATCH("[13120,""B06-PK-40-N""]",'SKU明细'!$AE$9:$AE$1592,0)),INDEX('SKU明细'!$G$9:$G$1592,MATCH("[13120,""B06-PK-41-N""]",'SKU明细'!$AE$9:$AE$1592,0)),INDEX('SKU明细'!$G$9:$G$1592,MATCH("[13120,""B06-PK-41.5""]",'SKU明细'!$AE$9:$AE$1592,0)),INDEX('SKU明细'!$G$9:$G$1592,MATCH("[13120,""B06-PK-42""]",'SKU明细'!$AE$9:$AE$1592,0)),INDEX('SKU明细'!$G$9:$G$1592,MATCH("[13120,""B06-PK-37.5""]",'SKU明细'!$AE$9:$AE$1592,0)))&gt;0),SUM(INDEX('SKU明细'!$H$9:$H$1592,MATCH("[13120,""B06-PK-40.5""]",'SKU明细'!$AE$9:$AE$1592,0)),INDEX('SKU明细'!$H$9:$H$1592,MATCH("[13120,""B06-PK-38-N""]",'SKU明细'!$AE$9:$AE$1592,0)),INDEX('SKU明细'!$H$9:$H$1592,MATCH("[13120,""B06-PK-38.5""]",'SKU明细'!$AE$9:$AE$1592,0)),INDEX('SKU明细'!$H$9:$H$1592,MATCH("[13120,""B06-PK-39-N""]",'SKU明细'!$AE$9:$AE$1592,0)),INDEX('SKU明细'!$H$9:$H$1592,MATCH("[13120,""B06-PK-39.5""]",'SKU明细'!$AE$9:$AE$1592,0)),INDEX('SKU明细'!$H$9:$H$1592,MATCH("[13120,""B06-PK-40-N""]",'SKU明细'!$AE$9:$AE$1592,0)),INDEX('SKU明细'!$H$9:$H$1592,MATCH("[13120,""B06-PK-41-N""]",'SKU明细'!$AE$9:$AE$1592,0)),INDEX('SKU明细'!$H$9:$H$1592,MATCH("[13120,""B06-PK-41.5""]",'SKU明细'!$AE$9:$AE$1592,0)),INDEX('SKU明细'!$H$9:$H$1592,MATCH("[13120,""B06-PK-42""]",'SKU明细'!$AE$9:$AE$1592,0)),INDEX('SKU明细'!$H$9:$H$1592,MATCH("[13120,""B06-PK-37.5""]",'SKU明细'!$AE$9:$AE$1592,0)))/SUM(INDEX('SKU明细'!$G$9:$G$1592,MATCH("[13120,""B06-PK-40.5""]",'SKU明细'!$AE$9:$AE$1592,0)),INDEX('SKU明细'!$G$9:$G$1592,MATCH("[13120,""B06-PK-38-N""]",'SKU明细'!$AE$9:$AE$1592,0)),INDEX('SKU明细'!$G$9:$G$1592,MATCH("[13120,""B06-PK-38.5""]",'SKU明细'!$AE$9:$AE$1592,0)),INDEX('SKU明细'!$G$9:$G$1592,MATCH("[13120,""B06-PK-39-N""]",'SKU明细'!$AE$9:$AE$1592,0)),INDEX('SKU明细'!$G$9:$G$1592,MATCH("[13120,""B06-PK-39.5""]",'SKU明细'!$AE$9:$AE$1592,0)),INDEX('SKU明细'!$G$9:$G$1592,MATCH("[13120,""B06-PK-40-N""]",'SKU明细'!$AE$9:$AE$1592,0)),INDEX('SKU明细'!$G$9:$G$1592,MATCH("[13120,""B06-PK-41-N""]",'SKU明细'!$AE$9:$AE$1592,0)),INDEX('SKU明细'!$G$9:$G$1592,MATCH("[13120,""B06-PK-41.5""]",'SKU明细'!$AE$9:$AE$1592,0)),INDEX('SKU明细'!$G$9:$G$1592,MATCH("[13120,""B06-PK-42""]",'SKU明细'!$AE$9:$AE$1592,0)),INDEX('SKU明细'!$G$9:$G$1592,MATCH("[13120,""B06-PK-37.5""]",'SKU明细'!$AE$9:$AE$1592,0))),"待核")</x:f>
        <x:v>127.82608695652173</x:v>
      </x:c>
      <x:c r="T74" s="21" t="str">
        <x:f>IF(AND(COUNT(INDEX('SKU明细'!$I$9:$I$1592,MATCH("[13120,""B06-PK-40.5""]",'SKU明细'!$AE$9:$AE$1592,0)),INDEX('SKU明细'!$I$9:$I$1592,MATCH("[13120,""B06-PK-38-N""]",'SKU明细'!$AE$9:$AE$1592,0)),INDEX('SKU明细'!$I$9:$I$1592,MATCH("[13120,""B06-PK-38.5""]",'SKU明细'!$AE$9:$AE$1592,0)),INDEX('SKU明细'!$I$9:$I$1592,MATCH("[13120,""B06-PK-39-N""]",'SKU明细'!$AE$9:$AE$1592,0)),INDEX('SKU明细'!$I$9:$I$1592,MATCH("[13120,""B06-PK-39.5""]",'SKU明细'!$AE$9:$AE$1592,0)),INDEX('SKU明细'!$I$9:$I$1592,MATCH("[13120,""B06-PK-40-N""]",'SKU明细'!$AE$9:$AE$1592,0)),INDEX('SKU明细'!$I$9:$I$1592,MATCH("[13120,""B06-PK-41-N""]",'SKU明细'!$AE$9:$AE$1592,0)),INDEX('SKU明细'!$I$9:$I$1592,MATCH("[13120,""B06-PK-41.5""]",'SKU明细'!$AE$9:$AE$1592,0)),INDEX('SKU明细'!$I$9:$I$1592,MATCH("[13120,""B06-PK-42""]",'SKU明细'!$AE$9:$AE$1592,0)),INDEX('SKU明细'!$I$9:$I$1592,MATCH("[13120,""B06-PK-37.5""]",'SKU明细'!$AE$9:$AE$1592,0)))=10,COUNT(INDEX('SKU明细'!$AD$9:$AD$1592,MATCH("[13120,""B06-PK-40.5""]",'SKU明细'!$AE$9:$AE$1592,0)),INDEX('SKU明细'!$AD$9:$AD$1592,MATCH("[13120,""B06-PK-38-N""]",'SKU明细'!$AE$9:$AE$1592,0)),INDEX('SKU明细'!$AD$9:$AD$1592,MATCH("[13120,""B06-PK-38.5""]",'SKU明细'!$AE$9:$AE$1592,0)),INDEX('SKU明细'!$AD$9:$AD$1592,MATCH("[13120,""B06-PK-39-N""]",'SKU明细'!$AE$9:$AE$1592,0)),INDEX('SKU明细'!$AD$9:$AD$1592,MATCH("[13120,""B06-PK-39.5""]",'SKU明细'!$AE$9:$AE$1592,0)),INDEX('SKU明细'!$AD$9:$AD$1592,MATCH("[13120,""B06-PK-40-N""]",'SKU明细'!$AE$9:$AE$1592,0)),INDEX('SKU明细'!$AD$9:$AD$1592,MATCH("[13120,""B06-PK-41-N""]",'SKU明细'!$AE$9:$AE$1592,0)),INDEX('SKU明细'!$AD$9:$AD$1592,MATCH("[13120,""B06-PK-41.5""]",'SKU明细'!$AE$9:$AE$1592,0)),INDEX('SKU明细'!$AD$9:$AD$1592,MATCH("[13120,""B06-PK-42""]",'SKU明细'!$AE$9:$AE$1592,0)),INDEX('SKU明细'!$AD$9:$AD$1592,MATCH("[13120,""B06-PK-37.5""]",'SKU明细'!$AE$9:$AE$1592,0)))=10,SUM(INDEX('SKU明细'!$AD$9:$AD$1592,MATCH("[13120,""B06-PK-40.5""]",'SKU明细'!$AE$9:$AE$1592,0)),INDEX('SKU明细'!$AD$9:$AD$1592,MATCH("[13120,""B06-PK-38-N""]",'SKU明细'!$AE$9:$AE$1592,0)),INDEX('SKU明细'!$AD$9:$AD$1592,MATCH("[13120,""B06-PK-38.5""]",'SKU明细'!$AE$9:$AE$1592,0)),INDEX('SKU明细'!$AD$9:$AD$1592,MATCH("[13120,""B06-PK-39-N""]",'SKU明细'!$AE$9:$AE$1592,0)),INDEX('SKU明细'!$AD$9:$AD$1592,MATCH("[13120,""B06-PK-39.5""]",'SKU明细'!$AE$9:$AE$1592,0)),INDEX('SKU明细'!$AD$9:$AD$1592,MATCH("[13120,""B06-PK-40-N""]",'SKU明细'!$AE$9:$AE$1592,0)),INDEX('SKU明细'!$AD$9:$AD$1592,MATCH("[13120,""B06-PK-41-N""]",'SKU明细'!$AE$9:$AE$1592,0)),INDEX('SKU明细'!$AD$9:$AD$1592,MATCH("[13120,""B06-PK-41.5""]",'SKU明细'!$AE$9:$AE$1592,0)),INDEX('SKU明细'!$AD$9:$AD$1592,MATCH("[13120,""B06-PK-42""]",'SKU明细'!$AE$9:$AE$1592,0)),INDEX('SKU明细'!$AD$9:$AD$1592,MATCH("[13120,""B06-PK-37.5""]",'SKU明细'!$AE$9:$AE$1592,0)))&gt;0),SUM(INDEX('SKU明细'!$I$9:$I$1592,MATCH("[13120,""B06-PK-40.5""]",'SKU明细'!$AE$9:$AE$1592,0)),INDEX('SKU明细'!$I$9:$I$1592,MATCH("[13120,""B06-PK-38-N""]",'SKU明细'!$AE$9:$AE$1592,0)),INDEX('SKU明细'!$I$9:$I$1592,MATCH("[13120,""B06-PK-38.5""]",'SKU明细'!$AE$9:$AE$1592,0)),INDEX('SKU明细'!$I$9:$I$1592,MATCH("[13120,""B06-PK-39-N""]",'SKU明细'!$AE$9:$AE$1592,0)),INDEX('SKU明细'!$I$9:$I$1592,MATCH("[13120,""B06-PK-39.5""]",'SKU明细'!$AE$9:$AE$1592,0)),INDEX('SKU明细'!$I$9:$I$1592,MATCH("[13120,""B06-PK-40-N""]",'SKU明细'!$AE$9:$AE$1592,0)),INDEX('SKU明细'!$I$9:$I$1592,MATCH("[13120,""B06-PK-41-N""]",'SKU明细'!$AE$9:$AE$1592,0)),INDEX('SKU明细'!$I$9:$I$1592,MATCH("[13120,""B06-PK-41.5""]",'SKU明细'!$AE$9:$AE$1592,0)),INDEX('SKU明细'!$I$9:$I$1592,MATCH("[13120,""B06-PK-42""]",'SKU明细'!$AE$9:$AE$1592,0)),INDEX('SKU明细'!$I$9:$I$1592,MATCH("[13120,""B06-PK-37.5""]",'SKU明细'!$AE$9:$AE$1592,0)))/SUM(INDEX('SKU明细'!$AD$9:$AD$1592,MATCH("[13120,""B06-PK-40.5""]",'SKU明细'!$AE$9:$AE$1592,0)),INDEX('SKU明细'!$AD$9:$AD$1592,MATCH("[13120,""B06-PK-38-N""]",'SKU明细'!$AE$9:$AE$1592,0)),INDEX('SKU明细'!$AD$9:$AD$1592,MATCH("[13120,""B06-PK-38.5""]",'SKU明细'!$AE$9:$AE$1592,0)),INDEX('SKU明细'!$AD$9:$AD$1592,MATCH("[13120,""B06-PK-39-N""]",'SKU明细'!$AE$9:$AE$1592,0)),INDEX('SKU明细'!$AD$9:$AD$1592,MATCH("[13120,""B06-PK-39.5""]",'SKU明细'!$AE$9:$AE$1592,0)),INDEX('SKU明细'!$AD$9:$AD$1592,MATCH("[13120,""B06-PK-40-N""]",'SKU明细'!$AE$9:$AE$1592,0)),INDEX('SKU明细'!$AD$9:$AD$1592,MATCH("[13120,""B06-PK-41-N""]",'SKU明细'!$AE$9:$AE$1592,0)),INDEX('SKU明细'!$AD$9:$AD$1592,MATCH("[13120,""B06-PK-41.5""]",'SKU明细'!$AE$9:$AE$1592,0)),INDEX('SKU明细'!$AD$9:$AD$1592,MATCH("[13120,""B06-PK-42""]",'SKU明细'!$AE$9:$AE$1592,0)),INDEX('SKU明细'!$AD$9:$AD$1592,MATCH("[13120,""B06-PK-37.5""]",'SKU明细'!$AE$9:$AE$1592,0))),"待核")</x:f>
        <x:v>待核</x:v>
      </x:c>
      <x:c r="U74" s="21" t="str">
        <x:f>IF(COUNT(S74:T74)=2,S74-T74,"待核")</x:f>
        <x:v>待核</x:v>
      </x:c>
      <x:c r="V74" s="22" t="str">
        <x:f>IF(AND(ISNUMBER(U74),ISNUMBER(T74),T74&lt;&gt;0),U74/T74,"")</x:f>
      </x:c>
      <x:c r="W74" s="23" t="n">
        <x:f>IF(COUNT(INDEX('SKU明细'!$H$9:$H$1592,MATCH("[13120,""B06-PK-40.5""]",'SKU明细'!$AE$9:$AE$1592,0)),INDEX('SKU明细'!$H$9:$H$1592,MATCH("[13120,""B06-PK-38-N""]",'SKU明细'!$AE$9:$AE$1592,0)),INDEX('SKU明细'!$H$9:$H$1592,MATCH("[13120,""B06-PK-38.5""]",'SKU明细'!$AE$9:$AE$1592,0)),INDEX('SKU明细'!$H$9:$H$1592,MATCH("[13120,""B06-PK-39-N""]",'SKU明细'!$AE$9:$AE$1592,0)),INDEX('SKU明细'!$H$9:$H$1592,MATCH("[13120,""B06-PK-39.5""]",'SKU明细'!$AE$9:$AE$1592,0)),INDEX('SKU明细'!$H$9:$H$1592,MATCH("[13120,""B06-PK-40-N""]",'SKU明细'!$AE$9:$AE$1592,0)),INDEX('SKU明细'!$H$9:$H$1592,MATCH("[13120,""B06-PK-41-N""]",'SKU明细'!$AE$9:$AE$1592,0)),INDEX('SKU明细'!$H$9:$H$1592,MATCH("[13120,""B06-PK-41.5""]",'SKU明细'!$AE$9:$AE$1592,0)),INDEX('SKU明细'!$H$9:$H$1592,MATCH("[13120,""B06-PK-42""]",'SKU明细'!$AE$9:$AE$1592,0)),INDEX('SKU明细'!$H$9:$H$1592,MATCH("[13120,""B06-PK-37.5""]",'SKU明细'!$AE$9:$AE$1592,0)))=0,"待核",SUM(INDEX('SKU明细'!$H$9:$H$1592,MATCH("[13120,""B06-PK-40.5""]",'SKU明细'!$AE$9:$AE$1592,0)),INDEX('SKU明细'!$H$9:$H$1592,MATCH("[13120,""B06-PK-38-N""]",'SKU明细'!$AE$9:$AE$1592,0)),INDEX('SKU明细'!$H$9:$H$1592,MATCH("[13120,""B06-PK-38.5""]",'SKU明细'!$AE$9:$AE$1592,0)),INDEX('SKU明细'!$H$9:$H$1592,MATCH("[13120,""B06-PK-39-N""]",'SKU明细'!$AE$9:$AE$1592,0)),INDEX('SKU明细'!$H$9:$H$1592,MATCH("[13120,""B06-PK-39.5""]",'SKU明细'!$AE$9:$AE$1592,0)),INDEX('SKU明细'!$H$9:$H$1592,MATCH("[13120,""B06-PK-40-N""]",'SKU明细'!$AE$9:$AE$1592,0)),INDEX('SKU明细'!$H$9:$H$1592,MATCH("[13120,""B06-PK-41-N""]",'SKU明细'!$AE$9:$AE$1592,0)),INDEX('SKU明细'!$H$9:$H$1592,MATCH("[13120,""B06-PK-41.5""]",'SKU明细'!$AE$9:$AE$1592,0)),INDEX('SKU明细'!$H$9:$H$1592,MATCH("[13120,""B06-PK-42""]",'SKU明细'!$AE$9:$AE$1592,0)),INDEX('SKU明细'!$H$9:$H$1592,MATCH("[13120,""B06-PK-37.5""]",'SKU明细'!$AE$9:$AE$1592,0))))</x:f>
        <x:v>7</x:v>
      </x:c>
      <x:c r="X74" s="24" t="str">
        <x:f>IF(COUNTIFS('SKU明细'!$AH$9:$AH$1592,"[""B06"",""B06-PK"",""PK"",""粉色羊京绒""]",'SKU明细'!$E$9:$E$1592,"促销")&gt;0,"促销 ","")&amp;IF(COUNTIFS('SKU明细'!$AH$9:$AH$1592,"[""B06"",""B06-PK"",""PK"",""粉色羊京绒""]",'SKU明细'!$E$9:$E$1592,"红线促销")&gt;0,"红线促销 ","")&amp;IF(COUNTIFS('SKU明细'!$AH$9:$AH$1592,"[""B06"",""B06-PK"",""PK"",""粉色羊京绒""]",'SKU明细'!$E$9:$E$1592,"考虑清仓")&gt;0,"考虑清仓 ","")&amp;IF(COUNTIFS('SKU明细'!$AH$9:$AH$1592,"[""B06"",""B06-PK"",""PK"",""粉色羊京绒""]",'SKU明细'!$E$9:$E$1592,"断货")&gt;0,"断货 ","")&amp;IF(COUNTIFS('SKU明细'!$AH$9:$AH$1592,"[""B06"",""B06-PK"",""PK"",""粉色羊京绒""]",'SKU明细'!$E$9:$E$1592,"零日销待复核")&gt;0,"零日销待复核 ","")&amp;IF(COUNTIFS('SKU明细'!$AH$9:$AH$1592,"[""B06"",""B06-PK"",""PK"",""粉色羊京绒""]",'SKU明细'!$E$9:$E$1592,"数据待核")&gt;0,"数据待核 ","")&amp;IF(COUNTIFS('SKU明细'!$AH$9:$AH$1592,"[""B06"",""B06-PK"",""PK"",""粉色羊京绒""]",'SKU明细'!$E$9:$E$1592,"正常库存")&gt;0,"正常库存 ","")&amp;IF(COUNTIFS('SKU明细'!$AH$9:$AH$1592,"[""B06"",""B06-PK"",""PK"",""粉色羊京绒""]",'SKU明细'!$E$9:$E$1592,"补货提醒")&gt;0,"补货提醒 ","")</x:f>
        <x:v>促销 断货 零日销待复核 </x:v>
      </x:c>
      <x:c r="Y74" s="24" t="str">
        <x:f>IF(NOT(ISNUMBER(U74)),"覆盖待核／无可比基准","完整可比")</x:f>
        <x:v>覆盖待核／无可比基准</x:v>
      </x:c>
      <x:c r="Z74" s="24" t="str">
        <x:v>在售、停售</x:v>
      </x:c>
      <x:c r="AA74" s="24" t="n">
        <x:f>IF(SUMIFS('SKU明细'!$AF$9:$AF$1592,'SKU明细'!$D$9:$D$1592,A74,'SKU明细'!$Z$9:$Z$1592,"&lt;&gt;移出")=0,"待核",SUMIFS('SKU明细'!$H$9:$H$1592,'SKU明细'!$D$9:$D$1592,A74,'SKU明细'!$Z$9:$Z$1592,"&lt;&gt;移出"))</x:f>
        <x:v>2095</x:v>
      </x:c>
    </x:row>
    <x:row r="75" ht="54" customHeight="1">
      <x:c r="A75" s="20" t="str">
        <x:v>B06</x:v>
      </x:c>
      <x:c r="B75" s="20" t="str">
        <x:v>艾年</x:v>
      </x:c>
      <x:c r="C75" s="20" t="str">
        <x:v>红色羊京绒</x:v>
      </x:c>
      <x:c r="D75" s="20" t="str">
        <x:v>RD</x:v>
      </x:c>
      <x:c r="E75" s="20" t="str">
        <x:v>B06-RD</x:v>
      </x:c>
      <x:c r="F75" s="20"/>
      <x:c r="G75" s="21" t="str">
        <x:f>"—"</x:f>
        <x:v>—</x:v>
      </x:c>
      <x:c r="H75" s="21" t="n">
        <x:f>IF(AND(COUNT(INDEX('SKU明细'!$H$9:$H$1592,MATCH("[13120,""B06-RD-37-N""]",'SKU明细'!$AE$9:$AE$1592,0)))=1,COUNT(INDEX('SKU明细'!$G$9:$G$1592,MATCH("[13120,""B06-RD-37-N""]",'SKU明细'!$AE$9:$AE$1592,0)))=1,SUM(INDEX('SKU明细'!$G$9:$G$1592,MATCH("[13120,""B06-RD-37-N""]",'SKU明细'!$AE$9:$AE$1592,0)))&gt;0),SUM(INDEX('SKU明细'!$H$9:$H$1592,MATCH("[13120,""B06-RD-37-N""]",'SKU明细'!$AE$9:$AE$1592,0)))/SUM(INDEX('SKU明细'!$G$9:$G$1592,MATCH("[13120,""B06-RD-37-N""]",'SKU明细'!$AE$9:$AE$1592,0))),"待核")</x:f>
        <x:v>15.071770334928232</x:v>
      </x:c>
      <x:c r="I75" s="21" t="n">
        <x:f>IF(AND(COUNT(INDEX('SKU明细'!$H$9:$H$1592,MATCH("[13120,""B06-RD-37.5""]",'SKU明细'!$AE$9:$AE$1592,0)))=1,COUNT(INDEX('SKU明细'!$G$9:$G$1592,MATCH("[13120,""B06-RD-37.5""]",'SKU明细'!$AE$9:$AE$1592,0)))=1,SUM(INDEX('SKU明细'!$G$9:$G$1592,MATCH("[13120,""B06-RD-37.5""]",'SKU明细'!$AE$9:$AE$1592,0)))&gt;0),SUM(INDEX('SKU明细'!$H$9:$H$1592,MATCH("[13120,""B06-RD-37.5""]",'SKU明细'!$AE$9:$AE$1592,0)))/SUM(INDEX('SKU明细'!$G$9:$G$1592,MATCH("[13120,""B06-RD-37.5""]",'SKU明细'!$AE$9:$AE$1592,0))),"待核")</x:f>
        <x:v>489.04109589041104</x:v>
      </x:c>
      <x:c r="J75" s="21" t="str">
        <x:f>"—"</x:f>
        <x:v>—</x:v>
      </x:c>
      <x:c r="K75" s="21" t="n">
        <x:f>IF(AND(COUNT(INDEX('SKU明细'!$H$9:$H$1592,MATCH("[13120,""B06-RD-38.5""]",'SKU明细'!$AE$9:$AE$1592,0)))=1,COUNT(INDEX('SKU明细'!$G$9:$G$1592,MATCH("[13120,""B06-RD-38.5""]",'SKU明细'!$AE$9:$AE$1592,0)))=1,SUM(INDEX('SKU明细'!$G$9:$G$1592,MATCH("[13120,""B06-RD-38.5""]",'SKU明细'!$AE$9:$AE$1592,0)))&gt;0),SUM(INDEX('SKU明细'!$H$9:$H$1592,MATCH("[13120,""B06-RD-38.5""]",'SKU明细'!$AE$9:$AE$1592,0)))/SUM(INDEX('SKU明细'!$G$9:$G$1592,MATCH("[13120,""B06-RD-38.5""]",'SKU明细'!$AE$9:$AE$1592,0))),"待核")</x:f>
        <x:v>65.311004784689</x:v>
      </x:c>
      <x:c r="L75" s="21" t="n">
        <x:f>IF(AND(COUNT(INDEX('SKU明细'!$H$9:$H$1592,MATCH("[13120,""B06-RD-39""]",'SKU明细'!$AE$9:$AE$1592,0)))=1,COUNT(INDEX('SKU明细'!$G$9:$G$1592,MATCH("[13120,""B06-RD-39""]",'SKU明细'!$AE$9:$AE$1592,0)))=1,SUM(INDEX('SKU明细'!$G$9:$G$1592,MATCH("[13120,""B06-RD-39""]",'SKU明细'!$AE$9:$AE$1592,0)))&gt;0),SUM(INDEX('SKU明细'!$H$9:$H$1592,MATCH("[13120,""B06-RD-39""]",'SKU明细'!$AE$9:$AE$1592,0)))/SUM(INDEX('SKU明细'!$G$9:$G$1592,MATCH("[13120,""B06-RD-39""]",'SKU明细'!$AE$9:$AE$1592,0))),"待核")</x:f>
        <x:v>0</x:v>
      </x:c>
      <x:c r="M75" s="21" t="n">
        <x:f>IF(AND(COUNT(INDEX('SKU明细'!$H$9:$H$1592,MATCH("[13120,""B06-RD-39.5""]",'SKU明细'!$AE$9:$AE$1592,0)))=1,COUNT(INDEX('SKU明细'!$G$9:$G$1592,MATCH("[13120,""B06-RD-39.5""]",'SKU明细'!$AE$9:$AE$1592,0)))=1,SUM(INDEX('SKU明细'!$G$9:$G$1592,MATCH("[13120,""B06-RD-39.5""]",'SKU明细'!$AE$9:$AE$1592,0)))&gt;0),SUM(INDEX('SKU明细'!$H$9:$H$1592,MATCH("[13120,""B06-RD-39.5""]",'SKU明细'!$AE$9:$AE$1592,0)))/SUM(INDEX('SKU明细'!$G$9:$G$1592,MATCH("[13120,""B06-RD-39.5""]",'SKU明细'!$AE$9:$AE$1592,0))),"待核")</x:f>
        <x:v>0</x:v>
      </x:c>
      <x:c r="N75" s="21" t="n">
        <x:f>IF(AND(COUNT(INDEX('SKU明细'!$H$9:$H$1592,MATCH("[13120,""B06-RD-40""]",'SKU明细'!$AE$9:$AE$1592,0)))=1,COUNT(INDEX('SKU明细'!$G$9:$G$1592,MATCH("[13120,""B06-RD-40""]",'SKU明细'!$AE$9:$AE$1592,0)))=1,SUM(INDEX('SKU明细'!$G$9:$G$1592,MATCH("[13120,""B06-RD-40""]",'SKU明细'!$AE$9:$AE$1592,0)))&gt;0),SUM(INDEX('SKU明细'!$H$9:$H$1592,MATCH("[13120,""B06-RD-40""]",'SKU明细'!$AE$9:$AE$1592,0)))/SUM(INDEX('SKU明细'!$G$9:$G$1592,MATCH("[13120,""B06-RD-40""]",'SKU明细'!$AE$9:$AE$1592,0))),"待核")</x:f>
        <x:v>0</x:v>
      </x:c>
      <x:c r="O75" s="21" t="n">
        <x:f>IF(AND(COUNT(INDEX('SKU明细'!$H$9:$H$1592,MATCH("[13120,""B06-RD-40.5""]",'SKU明细'!$AE$9:$AE$1592,0)))=1,COUNT(INDEX('SKU明细'!$G$9:$G$1592,MATCH("[13120,""B06-RD-40.5""]",'SKU明细'!$AE$9:$AE$1592,0)))=1,SUM(INDEX('SKU明细'!$G$9:$G$1592,MATCH("[13120,""B06-RD-40.5""]",'SKU明细'!$AE$9:$AE$1592,0)))&gt;0),SUM(INDEX('SKU明细'!$H$9:$H$1592,MATCH("[13120,""B06-RD-40.5""]",'SKU明细'!$AE$9:$AE$1592,0)))/SUM(INDEX('SKU明细'!$G$9:$G$1592,MATCH("[13120,""B06-RD-40.5""]",'SKU明细'!$AE$9:$AE$1592,0))),"待核")</x:f>
        <x:v>150</x:v>
      </x:c>
      <x:c r="P75" s="21" t="n">
        <x:f>IF(AND(COUNT(INDEX('SKU明细'!$H$9:$H$1592,MATCH("[13120,""B06-RD-41""]",'SKU明细'!$AE$9:$AE$1592,0)))=1,COUNT(INDEX('SKU明细'!$G$9:$G$1592,MATCH("[13120,""B06-RD-41""]",'SKU明细'!$AE$9:$AE$1592,0)))=1,SUM(INDEX('SKU明细'!$G$9:$G$1592,MATCH("[13120,""B06-RD-41""]",'SKU明细'!$AE$9:$AE$1592,0)))&gt;0),SUM(INDEX('SKU明细'!$H$9:$H$1592,MATCH("[13120,""B06-RD-41""]",'SKU明细'!$AE$9:$AE$1592,0)))/SUM(INDEX('SKU明细'!$G$9:$G$1592,MATCH("[13120,""B06-RD-41""]",'SKU明细'!$AE$9:$AE$1592,0))),"待核")</x:f>
        <x:v>50.943396226415096</x:v>
      </x:c>
      <x:c r="Q75" s="21" t="n">
        <x:f>IF(AND(COUNT(INDEX('SKU明细'!$H$9:$H$1592,MATCH("[13120,""B06-RD-41.5""]",'SKU明细'!$AE$9:$AE$1592,0)))=1,COUNT(INDEX('SKU明细'!$G$9:$G$1592,MATCH("[13120,""B06-RD-41.5""]",'SKU明细'!$AE$9:$AE$1592,0)))=1,SUM(INDEX('SKU明细'!$G$9:$G$1592,MATCH("[13120,""B06-RD-41.5""]",'SKU明细'!$AE$9:$AE$1592,0)))&gt;0),SUM(INDEX('SKU明细'!$H$9:$H$1592,MATCH("[13120,""B06-RD-41.5""]",'SKU明细'!$AE$9:$AE$1592,0)))/SUM(INDEX('SKU明细'!$G$9:$G$1592,MATCH("[13120,""B06-RD-41.5""]",'SKU明细'!$AE$9:$AE$1592,0))),"待核")</x:f>
        <x:v>71.1864406779661</x:v>
      </x:c>
      <x:c r="R75" s="21" t="n">
        <x:f>IF(AND(COUNT(INDEX('SKU明细'!$H$9:$H$1592,MATCH("[13120,""B06-RD-42""]",'SKU明细'!$AE$9:$AE$1592,0)))=1,COUNT(INDEX('SKU明细'!$G$9:$G$1592,MATCH("[13120,""B06-RD-42""]",'SKU明细'!$AE$9:$AE$1592,0)))=1,SUM(INDEX('SKU明细'!$G$9:$G$1592,MATCH("[13120,""B06-RD-42""]",'SKU明细'!$AE$9:$AE$1592,0)))&gt;0),SUM(INDEX('SKU明细'!$H$9:$H$1592,MATCH("[13120,""B06-RD-42""]",'SKU明细'!$AE$9:$AE$1592,0)))/SUM(INDEX('SKU明细'!$G$9:$G$1592,MATCH("[13120,""B06-RD-42""]",'SKU明细'!$AE$9:$AE$1592,0))),"待核")</x:f>
        <x:v>65.311004784689</x:v>
      </x:c>
      <x:c r="S75" s="21" t="n">
        <x:f>IF(AND(COUNT(INDEX('SKU明细'!$H$9:$H$1592,MATCH("[13120,""B06-RD-37.5""]",'SKU明细'!$AE$9:$AE$1592,0)),INDEX('SKU明细'!$H$9:$H$1592,MATCH("[13120,""B06-RD-40.5""]",'SKU明细'!$AE$9:$AE$1592,0)),INDEX('SKU明细'!$H$9:$H$1592,MATCH("[13120,""B06-RD-39""]",'SKU明细'!$AE$9:$AE$1592,0)),INDEX('SKU明细'!$H$9:$H$1592,MATCH("[13120,""B06-RD-39.5""]",'SKU明细'!$AE$9:$AE$1592,0)),INDEX('SKU明细'!$H$9:$H$1592,MATCH("[13120,""B06-RD-40""]",'SKU明细'!$AE$9:$AE$1592,0)),INDEX('SKU明细'!$H$9:$H$1592,MATCH("[13120,""B06-RD-38.5""]",'SKU明细'!$AE$9:$AE$1592,0)),INDEX('SKU明细'!$H$9:$H$1592,MATCH("[13120,""B06-RD-41.5""]",'SKU明细'!$AE$9:$AE$1592,0)),INDEX('SKU明细'!$H$9:$H$1592,MATCH("[13120,""B06-RD-42""]",'SKU明细'!$AE$9:$AE$1592,0)),INDEX('SKU明细'!$H$9:$H$1592,MATCH("[13120,""B06-RD-37-N""]",'SKU明细'!$AE$9:$AE$1592,0)),INDEX('SKU明细'!$H$9:$H$1592,MATCH("[13120,""B06-RD-41""]",'SKU明细'!$AE$9:$AE$1592,0)))=10,COUNT(INDEX('SKU明细'!$G$9:$G$1592,MATCH("[13120,""B06-RD-37.5""]",'SKU明细'!$AE$9:$AE$1592,0)),INDEX('SKU明细'!$G$9:$G$1592,MATCH("[13120,""B06-RD-40.5""]",'SKU明细'!$AE$9:$AE$1592,0)),INDEX('SKU明细'!$G$9:$G$1592,MATCH("[13120,""B06-RD-39""]",'SKU明细'!$AE$9:$AE$1592,0)),INDEX('SKU明细'!$G$9:$G$1592,MATCH("[13120,""B06-RD-39.5""]",'SKU明细'!$AE$9:$AE$1592,0)),INDEX('SKU明细'!$G$9:$G$1592,MATCH("[13120,""B06-RD-40""]",'SKU明细'!$AE$9:$AE$1592,0)),INDEX('SKU明细'!$G$9:$G$1592,MATCH("[13120,""B06-RD-38.5""]",'SKU明细'!$AE$9:$AE$1592,0)),INDEX('SKU明细'!$G$9:$G$1592,MATCH("[13120,""B06-RD-41.5""]",'SKU明细'!$AE$9:$AE$1592,0)),INDEX('SKU明细'!$G$9:$G$1592,MATCH("[13120,""B06-RD-42""]",'SKU明细'!$AE$9:$AE$1592,0)),INDEX('SKU明细'!$G$9:$G$1592,MATCH("[13120,""B06-RD-37-N""]",'SKU明细'!$AE$9:$AE$1592,0)),INDEX('SKU明细'!$G$9:$G$1592,MATCH("[13120,""B06-RD-41""]",'SKU明细'!$AE$9:$AE$1592,0)))=10,SUM(INDEX('SKU明细'!$G$9:$G$1592,MATCH("[13120,""B06-RD-37.5""]",'SKU明细'!$AE$9:$AE$1592,0)),INDEX('SKU明细'!$G$9:$G$1592,MATCH("[13120,""B06-RD-40.5""]",'SKU明细'!$AE$9:$AE$1592,0)),INDEX('SKU明细'!$G$9:$G$1592,MATCH("[13120,""B06-RD-39""]",'SKU明细'!$AE$9:$AE$1592,0)),INDEX('SKU明细'!$G$9:$G$1592,MATCH("[13120,""B06-RD-39.5""]",'SKU明细'!$AE$9:$AE$1592,0)),INDEX('SKU明细'!$G$9:$G$1592,MATCH("[13120,""B06-RD-40""]",'SKU明细'!$AE$9:$AE$1592,0)),INDEX('SKU明细'!$G$9:$G$1592,MATCH("[13120,""B06-RD-38.5""]",'SKU明细'!$AE$9:$AE$1592,0)),INDEX('SKU明细'!$G$9:$G$1592,MATCH("[13120,""B06-RD-41.5""]",'SKU明细'!$AE$9:$AE$1592,0)),INDEX('SKU明细'!$G$9:$G$1592,MATCH("[13120,""B06-RD-42""]",'SKU明细'!$AE$9:$AE$1592,0)),INDEX('SKU明细'!$G$9:$G$1592,MATCH("[13120,""B06-RD-37-N""]",'SKU明细'!$AE$9:$AE$1592,0)),INDEX('SKU明细'!$G$9:$G$1592,MATCH("[13120,""B06-RD-41""]",'SKU明细'!$AE$9:$AE$1592,0)))&gt;0),SUM(INDEX('SKU明细'!$H$9:$H$1592,MATCH("[13120,""B06-RD-37.5""]",'SKU明细'!$AE$9:$AE$1592,0)),INDEX('SKU明细'!$H$9:$H$1592,MATCH("[13120,""B06-RD-40.5""]",'SKU明细'!$AE$9:$AE$1592,0)),INDEX('SKU明细'!$H$9:$H$1592,MATCH("[13120,""B06-RD-39""]",'SKU明细'!$AE$9:$AE$1592,0)),INDEX('SKU明细'!$H$9:$H$1592,MATCH("[13120,""B06-RD-39.5""]",'SKU明细'!$AE$9:$AE$1592,0)),INDEX('SKU明细'!$H$9:$H$1592,MATCH("[13120,""B06-RD-40""]",'SKU明细'!$AE$9:$AE$1592,0)),INDEX('SKU明细'!$H$9:$H$1592,MATCH("[13120,""B06-RD-38.5""]",'SKU明细'!$AE$9:$AE$1592,0)),INDEX('SKU明细'!$H$9:$H$1592,MATCH("[13120,""B06-RD-41.5""]",'SKU明细'!$AE$9:$AE$1592,0)),INDEX('SKU明细'!$H$9:$H$1592,MATCH("[13120,""B06-RD-42""]",'SKU明细'!$AE$9:$AE$1592,0)),INDEX('SKU明细'!$H$9:$H$1592,MATCH("[13120,""B06-RD-37-N""]",'SKU明细'!$AE$9:$AE$1592,0)),INDEX('SKU明细'!$H$9:$H$1592,MATCH("[13120,""B06-RD-41""]",'SKU明细'!$AE$9:$AE$1592,0)))/SUM(INDEX('SKU明细'!$G$9:$G$1592,MATCH("[13120,""B06-RD-37.5""]",'SKU明细'!$AE$9:$AE$1592,0)),INDEX('SKU明细'!$G$9:$G$1592,MATCH("[13120,""B06-RD-40.5""]",'SKU明细'!$AE$9:$AE$1592,0)),INDEX('SKU明细'!$G$9:$G$1592,MATCH("[13120,""B06-RD-39""]",'SKU明细'!$AE$9:$AE$1592,0)),INDEX('SKU明细'!$G$9:$G$1592,MATCH("[13120,""B06-RD-39.5""]",'SKU明细'!$AE$9:$AE$1592,0)),INDEX('SKU明细'!$G$9:$G$1592,MATCH("[13120,""B06-RD-40""]",'SKU明细'!$AE$9:$AE$1592,0)),INDEX('SKU明细'!$G$9:$G$1592,MATCH("[13120,""B06-RD-38.5""]",'SKU明细'!$AE$9:$AE$1592,0)),INDEX('SKU明细'!$G$9:$G$1592,MATCH("[13120,""B06-RD-41.5""]",'SKU明细'!$AE$9:$AE$1592,0)),INDEX('SKU明细'!$G$9:$G$1592,MATCH("[13120,""B06-RD-42""]",'SKU明细'!$AE$9:$AE$1592,0)),INDEX('SKU明细'!$G$9:$G$1592,MATCH("[13120,""B06-RD-37-N""]",'SKU明细'!$AE$9:$AE$1592,0)),INDEX('SKU明细'!$G$9:$G$1592,MATCH("[13120,""B06-RD-41""]",'SKU明细'!$AE$9:$AE$1592,0))),"待核")</x:f>
        <x:v>57.05596107055962</x:v>
      </x:c>
      <x:c r="T75" s="21" t="n">
        <x:f>IF(AND(COUNT(INDEX('SKU明细'!$I$9:$I$1592,MATCH("[13120,""B06-RD-37.5""]",'SKU明细'!$AE$9:$AE$1592,0)),INDEX('SKU明细'!$I$9:$I$1592,MATCH("[13120,""B06-RD-40.5""]",'SKU明细'!$AE$9:$AE$1592,0)),INDEX('SKU明细'!$I$9:$I$1592,MATCH("[13120,""B06-RD-39""]",'SKU明细'!$AE$9:$AE$1592,0)),INDEX('SKU明细'!$I$9:$I$1592,MATCH("[13120,""B06-RD-39.5""]",'SKU明细'!$AE$9:$AE$1592,0)),INDEX('SKU明细'!$I$9:$I$1592,MATCH("[13120,""B06-RD-40""]",'SKU明细'!$AE$9:$AE$1592,0)),INDEX('SKU明细'!$I$9:$I$1592,MATCH("[13120,""B06-RD-38.5""]",'SKU明细'!$AE$9:$AE$1592,0)),INDEX('SKU明细'!$I$9:$I$1592,MATCH("[13120,""B06-RD-41.5""]",'SKU明细'!$AE$9:$AE$1592,0)),INDEX('SKU明细'!$I$9:$I$1592,MATCH("[13120,""B06-RD-42""]",'SKU明细'!$AE$9:$AE$1592,0)),INDEX('SKU明细'!$I$9:$I$1592,MATCH("[13120,""B06-RD-37-N""]",'SKU明细'!$AE$9:$AE$1592,0)),INDEX('SKU明细'!$I$9:$I$1592,MATCH("[13120,""B06-RD-41""]",'SKU明细'!$AE$9:$AE$1592,0)))=10,COUNT(INDEX('SKU明细'!$AD$9:$AD$1592,MATCH("[13120,""B06-RD-37.5""]",'SKU明细'!$AE$9:$AE$1592,0)),INDEX('SKU明细'!$AD$9:$AD$1592,MATCH("[13120,""B06-RD-40.5""]",'SKU明细'!$AE$9:$AE$1592,0)),INDEX('SKU明细'!$AD$9:$AD$1592,MATCH("[13120,""B06-RD-39""]",'SKU明细'!$AE$9:$AE$1592,0)),INDEX('SKU明细'!$AD$9:$AD$1592,MATCH("[13120,""B06-RD-39.5""]",'SKU明细'!$AE$9:$AE$1592,0)),INDEX('SKU明细'!$AD$9:$AD$1592,MATCH("[13120,""B06-RD-40""]",'SKU明细'!$AE$9:$AE$1592,0)),INDEX('SKU明细'!$AD$9:$AD$1592,MATCH("[13120,""B06-RD-38.5""]",'SKU明细'!$AE$9:$AE$1592,0)),INDEX('SKU明细'!$AD$9:$AD$1592,MATCH("[13120,""B06-RD-41.5""]",'SKU明细'!$AE$9:$AE$1592,0)),INDEX('SKU明细'!$AD$9:$AD$1592,MATCH("[13120,""B06-RD-42""]",'SKU明细'!$AE$9:$AE$1592,0)),INDEX('SKU明细'!$AD$9:$AD$1592,MATCH("[13120,""B06-RD-37-N""]",'SKU明细'!$AE$9:$AE$1592,0)),INDEX('SKU明细'!$AD$9:$AD$1592,MATCH("[13120,""B06-RD-41""]",'SKU明细'!$AE$9:$AE$1592,0)))=10,SUM(INDEX('SKU明细'!$AD$9:$AD$1592,MATCH("[13120,""B06-RD-37.5""]",'SKU明细'!$AE$9:$AE$1592,0)),INDEX('SKU明细'!$AD$9:$AD$1592,MATCH("[13120,""B06-RD-40.5""]",'SKU明细'!$AE$9:$AE$1592,0)),INDEX('SKU明细'!$AD$9:$AD$1592,MATCH("[13120,""B06-RD-39""]",'SKU明细'!$AE$9:$AE$1592,0)),INDEX('SKU明细'!$AD$9:$AD$1592,MATCH("[13120,""B06-RD-39.5""]",'SKU明细'!$AE$9:$AE$1592,0)),INDEX('SKU明细'!$AD$9:$AD$1592,MATCH("[13120,""B06-RD-40""]",'SKU明细'!$AE$9:$AE$1592,0)),INDEX('SKU明细'!$AD$9:$AD$1592,MATCH("[13120,""B06-RD-38.5""]",'SKU明细'!$AE$9:$AE$1592,0)),INDEX('SKU明细'!$AD$9:$AD$1592,MATCH("[13120,""B06-RD-41.5""]",'SKU明细'!$AE$9:$AE$1592,0)),INDEX('SKU明细'!$AD$9:$AD$1592,MATCH("[13120,""B06-RD-42""]",'SKU明细'!$AE$9:$AE$1592,0)),INDEX('SKU明细'!$AD$9:$AD$1592,MATCH("[13120,""B06-RD-37-N""]",'SKU明细'!$AE$9:$AE$1592,0)),INDEX('SKU明细'!$AD$9:$AD$1592,MATCH("[13120,""B06-RD-41""]",'SKU明细'!$AE$9:$AE$1592,0)))&gt;0),SUM(INDEX('SKU明细'!$I$9:$I$1592,MATCH("[13120,""B06-RD-37.5""]",'SKU明细'!$AE$9:$AE$1592,0)),INDEX('SKU明细'!$I$9:$I$1592,MATCH("[13120,""B06-RD-40.5""]",'SKU明细'!$AE$9:$AE$1592,0)),INDEX('SKU明细'!$I$9:$I$1592,MATCH("[13120,""B06-RD-39""]",'SKU明细'!$AE$9:$AE$1592,0)),INDEX('SKU明细'!$I$9:$I$1592,MATCH("[13120,""B06-RD-39.5""]",'SKU明细'!$AE$9:$AE$1592,0)),INDEX('SKU明细'!$I$9:$I$1592,MATCH("[13120,""B06-RD-40""]",'SKU明细'!$AE$9:$AE$1592,0)),INDEX('SKU明细'!$I$9:$I$1592,MATCH("[13120,""B06-RD-38.5""]",'SKU明细'!$AE$9:$AE$1592,0)),INDEX('SKU明细'!$I$9:$I$1592,MATCH("[13120,""B06-RD-41.5""]",'SKU明细'!$AE$9:$AE$1592,0)),INDEX('SKU明细'!$I$9:$I$1592,MATCH("[13120,""B06-RD-42""]",'SKU明细'!$AE$9:$AE$1592,0)),INDEX('SKU明细'!$I$9:$I$1592,MATCH("[13120,""B06-RD-37-N""]",'SKU明细'!$AE$9:$AE$1592,0)),INDEX('SKU明细'!$I$9:$I$1592,MATCH("[13120,""B06-RD-41""]",'SKU明细'!$AE$9:$AE$1592,0)))/SUM(INDEX('SKU明细'!$AD$9:$AD$1592,MATCH("[13120,""B06-RD-37.5""]",'SKU明细'!$AE$9:$AE$1592,0)),INDEX('SKU明细'!$AD$9:$AD$1592,MATCH("[13120,""B06-RD-40.5""]",'SKU明细'!$AE$9:$AE$1592,0)),INDEX('SKU明细'!$AD$9:$AD$1592,MATCH("[13120,""B06-RD-39""]",'SKU明细'!$AE$9:$AE$1592,0)),INDEX('SKU明细'!$AD$9:$AD$1592,MATCH("[13120,""B06-RD-39.5""]",'SKU明细'!$AE$9:$AE$1592,0)),INDEX('SKU明细'!$AD$9:$AD$1592,MATCH("[13120,""B06-RD-40""]",'SKU明细'!$AE$9:$AE$1592,0)),INDEX('SKU明细'!$AD$9:$AD$1592,MATCH("[13120,""B06-RD-38.5""]",'SKU明细'!$AE$9:$AE$1592,0)),INDEX('SKU明细'!$AD$9:$AD$1592,MATCH("[13120,""B06-RD-41.5""]",'SKU明细'!$AE$9:$AE$1592,0)),INDEX('SKU明细'!$AD$9:$AD$1592,MATCH("[13120,""B06-RD-42""]",'SKU明细'!$AE$9:$AE$1592,0)),INDEX('SKU明细'!$AD$9:$AD$1592,MATCH("[13120,""B06-RD-37-N""]",'SKU明细'!$AE$9:$AE$1592,0)),INDEX('SKU明细'!$AD$9:$AD$1592,MATCH("[13120,""B06-RD-41""]",'SKU明细'!$AE$9:$AE$1592,0))),"待核")</x:f>
        <x:v>174.81323372465317</x:v>
      </x:c>
      <x:c r="U75" s="21" t="n">
        <x:f>IF(COUNT(S75:T75)=2,S75-T75,"待核")</x:f>
        <x:v>-117.75727265409355</x:v>
      </x:c>
      <x:c r="V75" s="22" t="n">
        <x:f>IF(AND(ISNUMBER(U75),ISNUMBER(T75),T75&lt;&gt;0),U75/T75,"")</x:f>
        <x:v>-0.6736176097489966</x:v>
      </x:c>
      <x:c r="W75" s="23" t="n">
        <x:f>IF(COUNT(INDEX('SKU明细'!$H$9:$H$1592,MATCH("[13120,""B06-RD-37.5""]",'SKU明细'!$AE$9:$AE$1592,0)),INDEX('SKU明细'!$H$9:$H$1592,MATCH("[13120,""B06-RD-40.5""]",'SKU明细'!$AE$9:$AE$1592,0)),INDEX('SKU明细'!$H$9:$H$1592,MATCH("[13120,""B06-RD-39""]",'SKU明细'!$AE$9:$AE$1592,0)),INDEX('SKU明细'!$H$9:$H$1592,MATCH("[13120,""B06-RD-39.5""]",'SKU明细'!$AE$9:$AE$1592,0)),INDEX('SKU明细'!$H$9:$H$1592,MATCH("[13120,""B06-RD-40""]",'SKU明细'!$AE$9:$AE$1592,0)),INDEX('SKU明细'!$H$9:$H$1592,MATCH("[13120,""B06-RD-38.5""]",'SKU明细'!$AE$9:$AE$1592,0)),INDEX('SKU明细'!$H$9:$H$1592,MATCH("[13120,""B06-RD-41.5""]",'SKU明细'!$AE$9:$AE$1592,0)),INDEX('SKU明细'!$H$9:$H$1592,MATCH("[13120,""B06-RD-42""]",'SKU明细'!$AE$9:$AE$1592,0)),INDEX('SKU明细'!$H$9:$H$1592,MATCH("[13120,""B06-RD-37-N""]",'SKU明细'!$AE$9:$AE$1592,0)),INDEX('SKU明细'!$H$9:$H$1592,MATCH("[13120,""B06-RD-41""]",'SKU明细'!$AE$9:$AE$1592,0)))=0,"待核",SUM(INDEX('SKU明细'!$H$9:$H$1592,MATCH("[13120,""B06-RD-37.5""]",'SKU明细'!$AE$9:$AE$1592,0)),INDEX('SKU明细'!$H$9:$H$1592,MATCH("[13120,""B06-RD-40.5""]",'SKU明细'!$AE$9:$AE$1592,0)),INDEX('SKU明细'!$H$9:$H$1592,MATCH("[13120,""B06-RD-39""]",'SKU明细'!$AE$9:$AE$1592,0)),INDEX('SKU明细'!$H$9:$H$1592,MATCH("[13120,""B06-RD-39.5""]",'SKU明细'!$AE$9:$AE$1592,0)),INDEX('SKU明细'!$H$9:$H$1592,MATCH("[13120,""B06-RD-40""]",'SKU明细'!$AE$9:$AE$1592,0)),INDEX('SKU明细'!$H$9:$H$1592,MATCH("[13120,""B06-RD-38.5""]",'SKU明细'!$AE$9:$AE$1592,0)),INDEX('SKU明细'!$H$9:$H$1592,MATCH("[13120,""B06-RD-41.5""]",'SKU明细'!$AE$9:$AE$1592,0)),INDEX('SKU明细'!$H$9:$H$1592,MATCH("[13120,""B06-RD-42""]",'SKU明细'!$AE$9:$AE$1592,0)),INDEX('SKU明细'!$H$9:$H$1592,MATCH("[13120,""B06-RD-37-N""]",'SKU明细'!$AE$9:$AE$1592,0)),INDEX('SKU明细'!$H$9:$H$1592,MATCH("[13120,""B06-RD-41""]",'SKU明细'!$AE$9:$AE$1592,0))))</x:f>
        <x:v>67</x:v>
      </x:c>
      <x:c r="X75" s="24" t="str">
        <x:f>IF(COUNTIFS('SKU明细'!$AH$9:$AH$1592,"[""B06"",""B06-RD"",""RD"",""红色羊京绒""]",'SKU明细'!$E$9:$E$1592,"促销")&gt;0,"促销 ","")&amp;IF(COUNTIFS('SKU明细'!$AH$9:$AH$1592,"[""B06"",""B06-RD"",""RD"",""红色羊京绒""]",'SKU明细'!$E$9:$E$1592,"红线促销")&gt;0,"红线促销 ","")&amp;IF(COUNTIFS('SKU明细'!$AH$9:$AH$1592,"[""B06"",""B06-RD"",""RD"",""红色羊京绒""]",'SKU明细'!$E$9:$E$1592,"考虑清仓")&gt;0,"考虑清仓 ","")&amp;IF(COUNTIFS('SKU明细'!$AH$9:$AH$1592,"[""B06"",""B06-RD"",""RD"",""红色羊京绒""]",'SKU明细'!$E$9:$E$1592,"断货")&gt;0,"断货 ","")&amp;IF(COUNTIFS('SKU明细'!$AH$9:$AH$1592,"[""B06"",""B06-RD"",""RD"",""红色羊京绒""]",'SKU明细'!$E$9:$E$1592,"零日销待复核")&gt;0,"零日销待复核 ","")&amp;IF(COUNTIFS('SKU明细'!$AH$9:$AH$1592,"[""B06"",""B06-RD"",""RD"",""红色羊京绒""]",'SKU明细'!$E$9:$E$1592,"数据待核")&gt;0,"数据待核 ","")&amp;IF(COUNTIFS('SKU明细'!$AH$9:$AH$1592,"[""B06"",""B06-RD"",""RD"",""红色羊京绒""]",'SKU明细'!$E$9:$E$1592,"正常库存")&gt;0,"正常库存 ","")&amp;IF(COUNTIFS('SKU明细'!$AH$9:$AH$1592,"[""B06"",""B06-RD"",""RD"",""红色羊京绒""]",'SKU明细'!$E$9:$E$1592,"补货提醒")&gt;0,"补货提醒 ","")</x:f>
        <x:v>促销 考虑清仓 断货 正常库存 补货提醒 </x:v>
      </x:c>
      <x:c r="Y75" s="24" t="str">
        <x:f>IF(NOT(ISNUMBER(U75)),"覆盖待核／无可比基准","完整可比")</x:f>
        <x:v>完整可比</x:v>
      </x:c>
      <x:c r="Z75" s="24" t="str">
        <x:v>在售、停售</x:v>
      </x:c>
      <x:c r="AA75" s="24" t="n">
        <x:f>IF(SUMIFS('SKU明细'!$AF$9:$AF$1592,'SKU明细'!$D$9:$D$1592,A75,'SKU明细'!$Z$9:$Z$1592,"&lt;&gt;移出")=0,"待核",SUMIFS('SKU明细'!$H$9:$H$1592,'SKU明细'!$D$9:$D$1592,A75,'SKU明细'!$Z$9:$Z$1592,"&lt;&gt;移出"))</x:f>
        <x:v>2095</x:v>
      </x:c>
    </x:row>
    <x:row r="76" ht="54" customHeight="1">
      <x:c r="A76" s="20" t="str">
        <x:v>B06</x:v>
      </x:c>
      <x:c r="B76" s="20" t="str">
        <x:v>艾年</x:v>
      </x:c>
      <x:c r="C76" s="20" t="str">
        <x:v>红色色织提花</x:v>
      </x:c>
      <x:c r="D76" s="20" t="str">
        <x:v>RD-I</x:v>
      </x:c>
      <x:c r="E76" s="20" t="str">
        <x:v>B06-RD-I-0</x:v>
      </x:c>
      <x:c r="F76" s="20"/>
      <x:c r="G76" s="21" t="str">
        <x:f>"—"</x:f>
        <x:v>—</x:v>
      </x:c>
      <x:c r="H76" s="21" t="str">
        <x:f>"—"</x:f>
        <x:v>—</x:v>
      </x:c>
      <x:c r="I76" s="21" t="str">
        <x:f>"—"</x:f>
        <x:v>—</x:v>
      </x:c>
      <x:c r="J76" s="21" t="str">
        <x:f>IF(AND(COUNT(INDEX('SKU明细'!$H$9:$H$1592,MATCH("[13120,""B06-RD-I-0-38""]",'SKU明细'!$AE$9:$AE$1592,0)))=1,COUNT(INDEX('SKU明细'!$G$9:$G$1592,MATCH("[13120,""B06-RD-I-0-38""]",'SKU明细'!$AE$9:$AE$1592,0)))=1,SUM(INDEX('SKU明细'!$G$9:$G$1592,MATCH("[13120,""B06-RD-I-0-38""]",'SKU明细'!$AE$9:$AE$1592,0)))&gt;0),SUM(INDEX('SKU明细'!$H$9:$H$1592,MATCH("[13120,""B06-RD-I-0-38""]",'SKU明细'!$AE$9:$AE$1592,0)))/SUM(INDEX('SKU明细'!$G$9:$G$1592,MATCH("[13120,""B06-RD-I-0-38""]",'SKU明细'!$AE$9:$AE$1592,0))),"待核")</x:f>
        <x:v>待核</x:v>
      </x:c>
      <x:c r="K76" s="21" t="str">
        <x:f>"—"</x:f>
        <x:v>—</x:v>
      </x:c>
      <x:c r="L76" s="21" t="str">
        <x:f>"—"</x:f>
        <x:v>—</x:v>
      </x:c>
      <x:c r="M76" s="21" t="str">
        <x:f>"—"</x:f>
        <x:v>—</x:v>
      </x:c>
      <x:c r="N76" s="21" t="str">
        <x:f>"—"</x:f>
        <x:v>—</x:v>
      </x:c>
      <x:c r="O76" s="21" t="str">
        <x:f>IF(AND(COUNT(INDEX('SKU明细'!$H$9:$H$1592,MATCH("[13120,""B06-RD-I-0-40.5""]",'SKU明细'!$AE$9:$AE$1592,0)))=1,COUNT(INDEX('SKU明细'!$G$9:$G$1592,MATCH("[13120,""B06-RD-I-0-40.5""]",'SKU明细'!$AE$9:$AE$1592,0)))=1,SUM(INDEX('SKU明细'!$G$9:$G$1592,MATCH("[13120,""B06-RD-I-0-40.5""]",'SKU明细'!$AE$9:$AE$1592,0)))&gt;0),SUM(INDEX('SKU明细'!$H$9:$H$1592,MATCH("[13120,""B06-RD-I-0-40.5""]",'SKU明细'!$AE$9:$AE$1592,0)))/SUM(INDEX('SKU明细'!$G$9:$G$1592,MATCH("[13120,""B06-RD-I-0-40.5""]",'SKU明细'!$AE$9:$AE$1592,0))),"待核")</x:f>
        <x:v>待核</x:v>
      </x:c>
      <x:c r="P76" s="21" t="str">
        <x:f>IF(AND(COUNT(INDEX('SKU明细'!$H$9:$H$1592,MATCH("[13120,""B06-RD-I-0-41""]",'SKU明细'!$AE$9:$AE$1592,0)))=1,COUNT(INDEX('SKU明细'!$G$9:$G$1592,MATCH("[13120,""B06-RD-I-0-41""]",'SKU明细'!$AE$9:$AE$1592,0)))=1,SUM(INDEX('SKU明细'!$G$9:$G$1592,MATCH("[13120,""B06-RD-I-0-41""]",'SKU明细'!$AE$9:$AE$1592,0)))&gt;0),SUM(INDEX('SKU明细'!$H$9:$H$1592,MATCH("[13120,""B06-RD-I-0-41""]",'SKU明细'!$AE$9:$AE$1592,0)))/SUM(INDEX('SKU明细'!$G$9:$G$1592,MATCH("[13120,""B06-RD-I-0-41""]",'SKU明细'!$AE$9:$AE$1592,0))),"待核")</x:f>
        <x:v>待核</x:v>
      </x:c>
      <x:c r="Q76" s="21" t="str">
        <x:f>"—"</x:f>
        <x:v>—</x:v>
      </x:c>
      <x:c r="R76" s="21" t="str">
        <x:f>"—"</x:f>
        <x:v>—</x:v>
      </x:c>
      <x:c r="S76" s="21" t="str">
        <x:f>IF(AND(COUNT(INDEX('SKU明细'!$H$9:$H$1592,MATCH("[13120,""B06-RD-I-0-38""]",'SKU明细'!$AE$9:$AE$1592,0)),INDEX('SKU明细'!$H$9:$H$1592,MATCH("[13120,""B06-RD-I-0-41""]",'SKU明细'!$AE$9:$AE$1592,0)),INDEX('SKU明细'!$H$9:$H$1592,MATCH("[13120,""B06-RD-I-0-40.5""]",'SKU明细'!$AE$9:$AE$1592,0)))=3,COUNT(INDEX('SKU明细'!$G$9:$G$1592,MATCH("[13120,""B06-RD-I-0-38""]",'SKU明细'!$AE$9:$AE$1592,0)),INDEX('SKU明细'!$G$9:$G$1592,MATCH("[13120,""B06-RD-I-0-41""]",'SKU明细'!$AE$9:$AE$1592,0)),INDEX('SKU明细'!$G$9:$G$1592,MATCH("[13120,""B06-RD-I-0-40.5""]",'SKU明细'!$AE$9:$AE$1592,0)))=3,SUM(INDEX('SKU明细'!$G$9:$G$1592,MATCH("[13120,""B06-RD-I-0-38""]",'SKU明细'!$AE$9:$AE$1592,0)),INDEX('SKU明细'!$G$9:$G$1592,MATCH("[13120,""B06-RD-I-0-41""]",'SKU明细'!$AE$9:$AE$1592,0)),INDEX('SKU明细'!$G$9:$G$1592,MATCH("[13120,""B06-RD-I-0-40.5""]",'SKU明细'!$AE$9:$AE$1592,0)))&gt;0),SUM(INDEX('SKU明细'!$H$9:$H$1592,MATCH("[13120,""B06-RD-I-0-38""]",'SKU明细'!$AE$9:$AE$1592,0)),INDEX('SKU明细'!$H$9:$H$1592,MATCH("[13120,""B06-RD-I-0-41""]",'SKU明细'!$AE$9:$AE$1592,0)),INDEX('SKU明细'!$H$9:$H$1592,MATCH("[13120,""B06-RD-I-0-40.5""]",'SKU明细'!$AE$9:$AE$1592,0)))/SUM(INDEX('SKU明细'!$G$9:$G$1592,MATCH("[13120,""B06-RD-I-0-38""]",'SKU明细'!$AE$9:$AE$1592,0)),INDEX('SKU明细'!$G$9:$G$1592,MATCH("[13120,""B06-RD-I-0-41""]",'SKU明细'!$AE$9:$AE$1592,0)),INDEX('SKU明细'!$G$9:$G$1592,MATCH("[13120,""B06-RD-I-0-40.5""]",'SKU明细'!$AE$9:$AE$1592,0))),"待核")</x:f>
        <x:v>待核</x:v>
      </x:c>
      <x:c r="T76" s="21" t="str">
        <x:f>IF(AND(COUNT(INDEX('SKU明细'!$I$9:$I$1592,MATCH("[13120,""B06-RD-I-0-38""]",'SKU明细'!$AE$9:$AE$1592,0)),INDEX('SKU明细'!$I$9:$I$1592,MATCH("[13120,""B06-RD-I-0-41""]",'SKU明细'!$AE$9:$AE$1592,0)),INDEX('SKU明细'!$I$9:$I$1592,MATCH("[13120,""B06-RD-I-0-40.5""]",'SKU明细'!$AE$9:$AE$1592,0)))=3,COUNT(INDEX('SKU明细'!$AD$9:$AD$1592,MATCH("[13120,""B06-RD-I-0-38""]",'SKU明细'!$AE$9:$AE$1592,0)),INDEX('SKU明细'!$AD$9:$AD$1592,MATCH("[13120,""B06-RD-I-0-41""]",'SKU明细'!$AE$9:$AE$1592,0)),INDEX('SKU明细'!$AD$9:$AD$1592,MATCH("[13120,""B06-RD-I-0-40.5""]",'SKU明细'!$AE$9:$AE$1592,0)))=3,SUM(INDEX('SKU明细'!$AD$9:$AD$1592,MATCH("[13120,""B06-RD-I-0-38""]",'SKU明细'!$AE$9:$AE$1592,0)),INDEX('SKU明细'!$AD$9:$AD$1592,MATCH("[13120,""B06-RD-I-0-41""]",'SKU明细'!$AE$9:$AE$1592,0)),INDEX('SKU明细'!$AD$9:$AD$1592,MATCH("[13120,""B06-RD-I-0-40.5""]",'SKU明细'!$AE$9:$AE$1592,0)))&gt;0),SUM(INDEX('SKU明细'!$I$9:$I$1592,MATCH("[13120,""B06-RD-I-0-38""]",'SKU明细'!$AE$9:$AE$1592,0)),INDEX('SKU明细'!$I$9:$I$1592,MATCH("[13120,""B06-RD-I-0-41""]",'SKU明细'!$AE$9:$AE$1592,0)),INDEX('SKU明细'!$I$9:$I$1592,MATCH("[13120,""B06-RD-I-0-40.5""]",'SKU明细'!$AE$9:$AE$1592,0)))/SUM(INDEX('SKU明细'!$AD$9:$AD$1592,MATCH("[13120,""B06-RD-I-0-38""]",'SKU明细'!$AE$9:$AE$1592,0)),INDEX('SKU明细'!$AD$9:$AD$1592,MATCH("[13120,""B06-RD-I-0-41""]",'SKU明细'!$AE$9:$AE$1592,0)),INDEX('SKU明细'!$AD$9:$AD$1592,MATCH("[13120,""B06-RD-I-0-40.5""]",'SKU明细'!$AE$9:$AE$1592,0))),"待核")</x:f>
        <x:v>待核</x:v>
      </x:c>
      <x:c r="U76" s="21" t="str">
        <x:f>IF(COUNT(S76:T76)=2,S76-T76,"待核")</x:f>
        <x:v>待核</x:v>
      </x:c>
      <x:c r="V76" s="22" t="str">
        <x:f>IF(AND(ISNUMBER(U76),ISNUMBER(T76),T76&lt;&gt;0),U76/T76,"")</x:f>
      </x:c>
      <x:c r="W76" s="23" t="n">
        <x:f>IF(COUNT(INDEX('SKU明细'!$H$9:$H$1592,MATCH("[13120,""B06-RD-I-0-38""]",'SKU明细'!$AE$9:$AE$1592,0)),INDEX('SKU明细'!$H$9:$H$1592,MATCH("[13120,""B06-RD-I-0-41""]",'SKU明细'!$AE$9:$AE$1592,0)),INDEX('SKU明细'!$H$9:$H$1592,MATCH("[13120,""B06-RD-I-0-40.5""]",'SKU明细'!$AE$9:$AE$1592,0)))=0,"待核",SUM(INDEX('SKU明细'!$H$9:$H$1592,MATCH("[13120,""B06-RD-I-0-38""]",'SKU明细'!$AE$9:$AE$1592,0)),INDEX('SKU明细'!$H$9:$H$1592,MATCH("[13120,""B06-RD-I-0-41""]",'SKU明细'!$AE$9:$AE$1592,0)),INDEX('SKU明细'!$H$9:$H$1592,MATCH("[13120,""B06-RD-I-0-40.5""]",'SKU明细'!$AE$9:$AE$1592,0))))</x:f>
        <x:v>1</x:v>
      </x:c>
      <x:c r="X76" s="24" t="str">
        <x:f>IF(COUNTIFS('SKU明细'!$AH$9:$AH$1592,"[""B06"",""B06-RD-I-0"",""RD-I"",""红色色织提花""]",'SKU明细'!$E$9:$E$1592,"促销")&gt;0,"促销 ","")&amp;IF(COUNTIFS('SKU明细'!$AH$9:$AH$1592,"[""B06"",""B06-RD-I-0"",""RD-I"",""红色色织提花""]",'SKU明细'!$E$9:$E$1592,"红线促销")&gt;0,"红线促销 ","")&amp;IF(COUNTIFS('SKU明细'!$AH$9:$AH$1592,"[""B06"",""B06-RD-I-0"",""RD-I"",""红色色织提花""]",'SKU明细'!$E$9:$E$1592,"考虑清仓")&gt;0,"考虑清仓 ","")&amp;IF(COUNTIFS('SKU明细'!$AH$9:$AH$1592,"[""B06"",""B06-RD-I-0"",""RD-I"",""红色色织提花""]",'SKU明细'!$E$9:$E$1592,"断货")&gt;0,"断货 ","")&amp;IF(COUNTIFS('SKU明细'!$AH$9:$AH$1592,"[""B06"",""B06-RD-I-0"",""RD-I"",""红色色织提花""]",'SKU明细'!$E$9:$E$1592,"零日销待复核")&gt;0,"零日销待复核 ","")&amp;IF(COUNTIFS('SKU明细'!$AH$9:$AH$1592,"[""B06"",""B06-RD-I-0"",""RD-I"",""红色色织提花""]",'SKU明细'!$E$9:$E$1592,"数据待核")&gt;0,"数据待核 ","")&amp;IF(COUNTIFS('SKU明细'!$AH$9:$AH$1592,"[""B06"",""B06-RD-I-0"",""RD-I"",""红色色织提花""]",'SKU明细'!$E$9:$E$1592,"正常库存")&gt;0,"正常库存 ","")&amp;IF(COUNTIFS('SKU明细'!$AH$9:$AH$1592,"[""B06"",""B06-RD-I-0"",""RD-I"",""红色色织提花""]",'SKU明细'!$E$9:$E$1592,"补货提醒")&gt;0,"补货提醒 ","")</x:f>
        <x:v>断货 零日销待复核 </x:v>
      </x:c>
      <x:c r="Y76" s="24" t="str">
        <x:f>IF(NOT(ISNUMBER(U76)),"覆盖待核／无可比基准","完整可比")</x:f>
        <x:v>覆盖待核／无可比基准</x:v>
      </x:c>
      <x:c r="Z76" s="24" t="str">
        <x:v>停售、在售</x:v>
      </x:c>
      <x:c r="AA76" s="24" t="n">
        <x:f>IF(SUMIFS('SKU明细'!$AF$9:$AF$1592,'SKU明细'!$D$9:$D$1592,A76,'SKU明细'!$Z$9:$Z$1592,"&lt;&gt;移出")=0,"待核",SUMIFS('SKU明细'!$H$9:$H$1592,'SKU明细'!$D$9:$D$1592,A76,'SKU明细'!$Z$9:$Z$1592,"&lt;&gt;移出"))</x:f>
        <x:v>2095</x:v>
      </x:c>
    </x:row>
    <x:row r="77" ht="54" customHeight="1">
      <x:c r="A77" s="20" t="str">
        <x:v>B06</x:v>
      </x:c>
      <x:c r="B77" s="20" t="str">
        <x:v>艾年</x:v>
      </x:c>
      <x:c r="C77" s="20" t="str">
        <x:v>红色镜面PU</x:v>
      </x:c>
      <x:c r="D77" s="20" t="str">
        <x:v>RD-Z</x:v>
      </x:c>
      <x:c r="E77" s="20" t="str">
        <x:v>B06-RD-Z-0</x:v>
      </x:c>
      <x:c r="F77" s="20"/>
      <x:c r="G77" s="21" t="str">
        <x:f>"—"</x:f>
        <x:v>—</x:v>
      </x:c>
      <x:c r="H77" s="21" t="str">
        <x:f>"—"</x:f>
        <x:v>—</x:v>
      </x:c>
      <x:c r="I77" s="21" t="str">
        <x:f>IF(AND(COUNT(INDEX('SKU明细'!$H$9:$H$1592,MATCH("[13120,""B06-RD-Z-0-37.5""]",'SKU明细'!$AE$9:$AE$1592,0)))=1,COUNT(INDEX('SKU明细'!$G$9:$G$1592,MATCH("[13120,""B06-RD-Z-0-37.5""]",'SKU明细'!$AE$9:$AE$1592,0)))=1,SUM(INDEX('SKU明细'!$G$9:$G$1592,MATCH("[13120,""B06-RD-Z-0-37.5""]",'SKU明细'!$AE$9:$AE$1592,0)))&gt;0),SUM(INDEX('SKU明细'!$H$9:$H$1592,MATCH("[13120,""B06-RD-Z-0-37.5""]",'SKU明细'!$AE$9:$AE$1592,0)))/SUM(INDEX('SKU明细'!$G$9:$G$1592,MATCH("[13120,""B06-RD-Z-0-37.5""]",'SKU明细'!$AE$9:$AE$1592,0))),"待核")</x:f>
        <x:v>待核</x:v>
      </x:c>
      <x:c r="J77" s="21" t="n">
        <x:f>IF(AND(COUNT(INDEX('SKU明细'!$H$9:$H$1592,MATCH("[13120,""B06-RD-Z-0-38""]",'SKU明细'!$AE$9:$AE$1592,0)))=1,COUNT(INDEX('SKU明细'!$G$9:$G$1592,MATCH("[13120,""B06-RD-Z-0-38""]",'SKU明细'!$AE$9:$AE$1592,0)))=1,SUM(INDEX('SKU明细'!$G$9:$G$1592,MATCH("[13120,""B06-RD-Z-0-38""]",'SKU明细'!$AE$9:$AE$1592,0)))&gt;0),SUM(INDEX('SKU明细'!$H$9:$H$1592,MATCH("[13120,""B06-RD-Z-0-38""]",'SKU明细'!$AE$9:$AE$1592,0)))/SUM(INDEX('SKU明细'!$G$9:$G$1592,MATCH("[13120,""B06-RD-Z-0-38""]",'SKU明细'!$AE$9:$AE$1592,0))),"待核")</x:f>
        <x:v>7.446808510638298</x:v>
      </x:c>
      <x:c r="K77" s="21" t="n">
        <x:f>IF(AND(COUNT(INDEX('SKU明细'!$H$9:$H$1592,MATCH("[13120,""B06-RD-Z-0-38.5""]",'SKU明细'!$AE$9:$AE$1592,0)))=1,COUNT(INDEX('SKU明细'!$G$9:$G$1592,MATCH("[13120,""B06-RD-Z-0-38.5""]",'SKU明细'!$AE$9:$AE$1592,0)))=1,SUM(INDEX('SKU明细'!$G$9:$G$1592,MATCH("[13120,""B06-RD-Z-0-38.5""]",'SKU明细'!$AE$9:$AE$1592,0)))&gt;0),SUM(INDEX('SKU明细'!$H$9:$H$1592,MATCH("[13120,""B06-RD-Z-0-38.5""]",'SKU明细'!$AE$9:$AE$1592,0)))/SUM(INDEX('SKU明细'!$G$9:$G$1592,MATCH("[13120,""B06-RD-Z-0-38.5""]",'SKU明细'!$AE$9:$AE$1592,0))),"待核")</x:f>
        <x:v>39.62264150943396</x:v>
      </x:c>
      <x:c r="L77" s="21" t="str">
        <x:f>"—"</x:f>
        <x:v>—</x:v>
      </x:c>
      <x:c r="M77" s="21" t="str">
        <x:f>"—"</x:f>
        <x:v>—</x:v>
      </x:c>
      <x:c r="N77" s="21" t="n">
        <x:f>IF(AND(COUNT(INDEX('SKU明细'!$H$9:$H$1592,MATCH("[13120,""B06-RD-Z-0-40""]",'SKU明细'!$AE$9:$AE$1592,0)))=1,COUNT(INDEX('SKU明细'!$G$9:$G$1592,MATCH("[13120,""B06-RD-Z-0-40""]",'SKU明细'!$AE$9:$AE$1592,0)))=1,SUM(INDEX('SKU明细'!$G$9:$G$1592,MATCH("[13120,""B06-RD-Z-0-40""]",'SKU明细'!$AE$9:$AE$1592,0)))&gt;0),SUM(INDEX('SKU明细'!$H$9:$H$1592,MATCH("[13120,""B06-RD-Z-0-40""]",'SKU明细'!$AE$9:$AE$1592,0)))/SUM(INDEX('SKU明细'!$G$9:$G$1592,MATCH("[13120,""B06-RD-Z-0-40""]",'SKU明细'!$AE$9:$AE$1592,0))),"待核")</x:f>
        <x:v>55.26315789473685</x:v>
      </x:c>
      <x:c r="O77" s="21" t="str">
        <x:f>"—"</x:f>
        <x:v>—</x:v>
      </x:c>
      <x:c r="P77" s="21" t="str">
        <x:f>"—"</x:f>
        <x:v>—</x:v>
      </x:c>
      <x:c r="Q77" s="21" t="str">
        <x:f>"—"</x:f>
        <x:v>—</x:v>
      </x:c>
      <x:c r="R77" s="21" t="n">
        <x:f>IF(AND(COUNT(INDEX('SKU明细'!$H$9:$H$1592,MATCH("[13120,""B06-RD-Z-0-42""]",'SKU明细'!$AE$9:$AE$1592,0)))=1,COUNT(INDEX('SKU明细'!$G$9:$G$1592,MATCH("[13120,""B06-RD-Z-0-42""]",'SKU明细'!$AE$9:$AE$1592,0)))=1,SUM(INDEX('SKU明细'!$G$9:$G$1592,MATCH("[13120,""B06-RD-Z-0-42""]",'SKU明细'!$AE$9:$AE$1592,0)))&gt;0),SUM(INDEX('SKU明细'!$H$9:$H$1592,MATCH("[13120,""B06-RD-Z-0-42""]",'SKU明细'!$AE$9:$AE$1592,0)))/SUM(INDEX('SKU明细'!$G$9:$G$1592,MATCH("[13120,""B06-RD-Z-0-42""]",'SKU明细'!$AE$9:$AE$1592,0))),"待核")</x:f>
        <x:v>13.39712918660287</x:v>
      </x:c>
      <x:c r="S77" s="21" t="n">
        <x:f>IF(AND(COUNT(INDEX('SKU明细'!$H$9:$H$1592,MATCH("[13120,""B06-RD-Z-0-37.5""]",'SKU明细'!$AE$9:$AE$1592,0)),INDEX('SKU明细'!$H$9:$H$1592,MATCH("[13120,""B06-RD-Z-0-38""]",'SKU明细'!$AE$9:$AE$1592,0)),INDEX('SKU明细'!$H$9:$H$1592,MATCH("[13120,""B06-RD-Z-0-38.5""]",'SKU明细'!$AE$9:$AE$1592,0)),INDEX('SKU明细'!$H$9:$H$1592,MATCH("[13120,""B06-RD-Z-0-40""]",'SKU明细'!$AE$9:$AE$1592,0)),INDEX('SKU明细'!$H$9:$H$1592,MATCH("[13120,""B06-RD-Z-0-42""]",'SKU明细'!$AE$9:$AE$1592,0)))=5,COUNT(INDEX('SKU明细'!$G$9:$G$1592,MATCH("[13120,""B06-RD-Z-0-37.5""]",'SKU明细'!$AE$9:$AE$1592,0)),INDEX('SKU明细'!$G$9:$G$1592,MATCH("[13120,""B06-RD-Z-0-38""]",'SKU明细'!$AE$9:$AE$1592,0)),INDEX('SKU明细'!$G$9:$G$1592,MATCH("[13120,""B06-RD-Z-0-38.5""]",'SKU明细'!$AE$9:$AE$1592,0)),INDEX('SKU明细'!$G$9:$G$1592,MATCH("[13120,""B06-RD-Z-0-40""]",'SKU明细'!$AE$9:$AE$1592,0)),INDEX('SKU明细'!$G$9:$G$1592,MATCH("[13120,""B06-RD-Z-0-42""]",'SKU明细'!$AE$9:$AE$1592,0)))=5,SUM(INDEX('SKU明细'!$G$9:$G$1592,MATCH("[13120,""B06-RD-Z-0-37.5""]",'SKU明细'!$AE$9:$AE$1592,0)),INDEX('SKU明细'!$G$9:$G$1592,MATCH("[13120,""B06-RD-Z-0-38""]",'SKU明细'!$AE$9:$AE$1592,0)),INDEX('SKU明细'!$G$9:$G$1592,MATCH("[13120,""B06-RD-Z-0-38.5""]",'SKU明细'!$AE$9:$AE$1592,0)),INDEX('SKU明细'!$G$9:$G$1592,MATCH("[13120,""B06-RD-Z-0-40""]",'SKU明细'!$AE$9:$AE$1592,0)),INDEX('SKU明细'!$G$9:$G$1592,MATCH("[13120,""B06-RD-Z-0-42""]",'SKU明细'!$AE$9:$AE$1592,0)))&gt;0),SUM(INDEX('SKU明细'!$H$9:$H$1592,MATCH("[13120,""B06-RD-Z-0-37.5""]",'SKU明细'!$AE$9:$AE$1592,0)),INDEX('SKU明细'!$H$9:$H$1592,MATCH("[13120,""B06-RD-Z-0-38""]",'SKU明细'!$AE$9:$AE$1592,0)),INDEX('SKU明细'!$H$9:$H$1592,MATCH("[13120,""B06-RD-Z-0-38.5""]",'SKU明细'!$AE$9:$AE$1592,0)),INDEX('SKU明细'!$H$9:$H$1592,MATCH("[13120,""B06-RD-Z-0-40""]",'SKU明细'!$AE$9:$AE$1592,0)),INDEX('SKU明细'!$H$9:$H$1592,MATCH("[13120,""B06-RD-Z-0-42""]",'SKU明细'!$AE$9:$AE$1592,0)))/SUM(INDEX('SKU明细'!$G$9:$G$1592,MATCH("[13120,""B06-RD-Z-0-37.5""]",'SKU明细'!$AE$9:$AE$1592,0)),INDEX('SKU明细'!$G$9:$G$1592,MATCH("[13120,""B06-RD-Z-0-38""]",'SKU明细'!$AE$9:$AE$1592,0)),INDEX('SKU明细'!$G$9:$G$1592,MATCH("[13120,""B06-RD-Z-0-38.5""]",'SKU明细'!$AE$9:$AE$1592,0)),INDEX('SKU明细'!$G$9:$G$1592,MATCH("[13120,""B06-RD-Z-0-40""]",'SKU明细'!$AE$9:$AE$1592,0)),INDEX('SKU明细'!$G$9:$G$1592,MATCH("[13120,""B06-RD-Z-0-42""]",'SKU明细'!$AE$9:$AE$1592,0))),"待核")</x:f>
        <x:v>50.05543237250554</x:v>
      </x:c>
      <x:c r="T77" s="21" t="n">
        <x:f>IF(AND(COUNT(INDEX('SKU明细'!$I$9:$I$1592,MATCH("[13120,""B06-RD-Z-0-37.5""]",'SKU明细'!$AE$9:$AE$1592,0)),INDEX('SKU明细'!$I$9:$I$1592,MATCH("[13120,""B06-RD-Z-0-38""]",'SKU明细'!$AE$9:$AE$1592,0)),INDEX('SKU明细'!$I$9:$I$1592,MATCH("[13120,""B06-RD-Z-0-38.5""]",'SKU明细'!$AE$9:$AE$1592,0)),INDEX('SKU明细'!$I$9:$I$1592,MATCH("[13120,""B06-RD-Z-0-40""]",'SKU明细'!$AE$9:$AE$1592,0)),INDEX('SKU明细'!$I$9:$I$1592,MATCH("[13120,""B06-RD-Z-0-42""]",'SKU明细'!$AE$9:$AE$1592,0)))=5,COUNT(INDEX('SKU明细'!$AD$9:$AD$1592,MATCH("[13120,""B06-RD-Z-0-37.5""]",'SKU明细'!$AE$9:$AE$1592,0)),INDEX('SKU明细'!$AD$9:$AD$1592,MATCH("[13120,""B06-RD-Z-0-38""]",'SKU明细'!$AE$9:$AE$1592,0)),INDEX('SKU明细'!$AD$9:$AD$1592,MATCH("[13120,""B06-RD-Z-0-38.5""]",'SKU明细'!$AE$9:$AE$1592,0)),INDEX('SKU明细'!$AD$9:$AD$1592,MATCH("[13120,""B06-RD-Z-0-40""]",'SKU明细'!$AE$9:$AE$1592,0)),INDEX('SKU明细'!$AD$9:$AD$1592,MATCH("[13120,""B06-RD-Z-0-42""]",'SKU明细'!$AE$9:$AE$1592,0)))=5,SUM(INDEX('SKU明细'!$AD$9:$AD$1592,MATCH("[13120,""B06-RD-Z-0-37.5""]",'SKU明细'!$AE$9:$AE$1592,0)),INDEX('SKU明细'!$AD$9:$AD$1592,MATCH("[13120,""B06-RD-Z-0-38""]",'SKU明细'!$AE$9:$AE$1592,0)),INDEX('SKU明细'!$AD$9:$AD$1592,MATCH("[13120,""B06-RD-Z-0-38.5""]",'SKU明细'!$AE$9:$AE$1592,0)),INDEX('SKU明细'!$AD$9:$AD$1592,MATCH("[13120,""B06-RD-Z-0-40""]",'SKU明细'!$AE$9:$AE$1592,0)),INDEX('SKU明细'!$AD$9:$AD$1592,MATCH("[13120,""B06-RD-Z-0-42""]",'SKU明细'!$AE$9:$AE$1592,0)))&gt;0),SUM(INDEX('SKU明细'!$I$9:$I$1592,MATCH("[13120,""B06-RD-Z-0-37.5""]",'SKU明细'!$AE$9:$AE$1592,0)),INDEX('SKU明细'!$I$9:$I$1592,MATCH("[13120,""B06-RD-Z-0-38""]",'SKU明细'!$AE$9:$AE$1592,0)),INDEX('SKU明细'!$I$9:$I$1592,MATCH("[13120,""B06-RD-Z-0-38.5""]",'SKU明细'!$AE$9:$AE$1592,0)),INDEX('SKU明细'!$I$9:$I$1592,MATCH("[13120,""B06-RD-Z-0-40""]",'SKU明细'!$AE$9:$AE$1592,0)),INDEX('SKU明细'!$I$9:$I$1592,MATCH("[13120,""B06-RD-Z-0-42""]",'SKU明细'!$AE$9:$AE$1592,0)))/SUM(INDEX('SKU明细'!$AD$9:$AD$1592,MATCH("[13120,""B06-RD-Z-0-37.5""]",'SKU明细'!$AE$9:$AE$1592,0)),INDEX('SKU明细'!$AD$9:$AD$1592,MATCH("[13120,""B06-RD-Z-0-38""]",'SKU明细'!$AE$9:$AE$1592,0)),INDEX('SKU明细'!$AD$9:$AD$1592,MATCH("[13120,""B06-RD-Z-0-38.5""]",'SKU明细'!$AE$9:$AE$1592,0)),INDEX('SKU明细'!$AD$9:$AD$1592,MATCH("[13120,""B06-RD-Z-0-40""]",'SKU明细'!$AE$9:$AE$1592,0)),INDEX('SKU明细'!$AD$9:$AD$1592,MATCH("[13120,""B06-RD-Z-0-42""]",'SKU明细'!$AE$9:$AE$1592,0))),"待核")</x:f>
        <x:v>462.2009569377991</x:v>
      </x:c>
      <x:c r="U77" s="21" t="n">
        <x:f>IF(COUNT(S77:T77)=2,S77-T77,"待核")</x:f>
        <x:v>-412.14552456529356</x:v>
      </x:c>
      <x:c r="V77" s="22" t="n">
        <x:f>IF(AND(ISNUMBER(U77),ISNUMBER(T77),T77&lt;&gt;0),U77/T77,"")</x:f>
        <x:v>-0.8917020148462355</x:v>
      </x:c>
      <x:c r="W77" s="23" t="n">
        <x:f>IF(COUNT(INDEX('SKU明细'!$H$9:$H$1592,MATCH("[13120,""B06-RD-Z-0-37.5""]",'SKU明细'!$AE$9:$AE$1592,0)),INDEX('SKU明细'!$H$9:$H$1592,MATCH("[13120,""B06-RD-Z-0-38""]",'SKU明细'!$AE$9:$AE$1592,0)),INDEX('SKU明细'!$H$9:$H$1592,MATCH("[13120,""B06-RD-Z-0-38.5""]",'SKU明细'!$AE$9:$AE$1592,0)),INDEX('SKU明细'!$H$9:$H$1592,MATCH("[13120,""B06-RD-Z-0-40""]",'SKU明细'!$AE$9:$AE$1592,0)),INDEX('SKU明细'!$H$9:$H$1592,MATCH("[13120,""B06-RD-Z-0-42""]",'SKU明细'!$AE$9:$AE$1592,0)))=0,"待核",SUM(INDEX('SKU明细'!$H$9:$H$1592,MATCH("[13120,""B06-RD-Z-0-37.5""]",'SKU明细'!$AE$9:$AE$1592,0)),INDEX('SKU明细'!$H$9:$H$1592,MATCH("[13120,""B06-RD-Z-0-38""]",'SKU明细'!$AE$9:$AE$1592,0)),INDEX('SKU明细'!$H$9:$H$1592,MATCH("[13120,""B06-RD-Z-0-38.5""]",'SKU明细'!$AE$9:$AE$1592,0)),INDEX('SKU明细'!$H$9:$H$1592,MATCH("[13120,""B06-RD-Z-0-40""]",'SKU明细'!$AE$9:$AE$1592,0)),INDEX('SKU明细'!$H$9:$H$1592,MATCH("[13120,""B06-RD-Z-0-42""]",'SKU明细'!$AE$9:$AE$1592,0))))</x:f>
        <x:v>43</x:v>
      </x:c>
      <x:c r="X77" s="24" t="str">
        <x:f>IF(COUNTIFS('SKU明细'!$AH$9:$AH$1592,"[""B06"",""B06-RD-Z-0"",""RD-Z"",""红色镜面PU""]",'SKU明细'!$E$9:$E$1592,"促销")&gt;0,"促销 ","")&amp;IF(COUNTIFS('SKU明细'!$AH$9:$AH$1592,"[""B06"",""B06-RD-Z-0"",""RD-Z"",""红色镜面PU""]",'SKU明细'!$E$9:$E$1592,"红线促销")&gt;0,"红线促销 ","")&amp;IF(COUNTIFS('SKU明细'!$AH$9:$AH$1592,"[""B06"",""B06-RD-Z-0"",""RD-Z"",""红色镜面PU""]",'SKU明细'!$E$9:$E$1592,"考虑清仓")&gt;0,"考虑清仓 ","")&amp;IF(COUNTIFS('SKU明细'!$AH$9:$AH$1592,"[""B06"",""B06-RD-Z-0"",""RD-Z"",""红色镜面PU""]",'SKU明细'!$E$9:$E$1592,"断货")&gt;0,"断货 ","")&amp;IF(COUNTIFS('SKU明细'!$AH$9:$AH$1592,"[""B06"",""B06-RD-Z-0"",""RD-Z"",""红色镜面PU""]",'SKU明细'!$E$9:$E$1592,"零日销待复核")&gt;0,"零日销待复核 ","")&amp;IF(COUNTIFS('SKU明细'!$AH$9:$AH$1592,"[""B06"",""B06-RD-Z-0"",""RD-Z"",""红色镜面PU""]",'SKU明细'!$E$9:$E$1592,"数据待核")&gt;0,"数据待核 ","")&amp;IF(COUNTIFS('SKU明细'!$AH$9:$AH$1592,"[""B06"",""B06-RD-Z-0"",""RD-Z"",""红色镜面PU""]",'SKU明细'!$E$9:$E$1592,"正常库存")&gt;0,"正常库存 ","")&amp;IF(COUNTIFS('SKU明细'!$AH$9:$AH$1592,"[""B06"",""B06-RD-Z-0"",""RD-Z"",""红色镜面PU""]",'SKU明细'!$E$9:$E$1592,"补货提醒")&gt;0,"补货提醒 ","")</x:f>
        <x:v>零日销待复核 补货提醒 </x:v>
      </x:c>
      <x:c r="Y77" s="24" t="str">
        <x:f>IF(NOT(ISNUMBER(U77)),"覆盖待核／无可比基准","完整可比")</x:f>
        <x:v>完整可比</x:v>
      </x:c>
      <x:c r="Z77" s="24" t="str">
        <x:v>在售</x:v>
      </x:c>
      <x:c r="AA77" s="24" t="n">
        <x:f>IF(SUMIFS('SKU明细'!$AF$9:$AF$1592,'SKU明细'!$D$9:$D$1592,A77,'SKU明细'!$Z$9:$Z$1592,"&lt;&gt;移出")=0,"待核",SUMIFS('SKU明细'!$H$9:$H$1592,'SKU明细'!$D$9:$D$1592,A77,'SKU明细'!$Z$9:$Z$1592,"&lt;&gt;移出"))</x:f>
        <x:v>2095</x:v>
      </x:c>
    </x:row>
    <x:row r="78" ht="54" customHeight="1">
      <x:c r="A78" s="20" t="str">
        <x:v>B06</x:v>
      </x:c>
      <x:c r="B78" s="20" t="str">
        <x:v>艾年</x:v>
      </x:c>
      <x:c r="C78" s="20" t="str">
        <x:v>玫瑰金PU</x:v>
      </x:c>
      <x:c r="D78" s="20" t="str">
        <x:v>RG</x:v>
      </x:c>
      <x:c r="E78" s="20" t="str">
        <x:v>B06-RG</x:v>
      </x:c>
      <x:c r="F78" s="20"/>
      <x:c r="G78" s="21" t="str">
        <x:f>"—"</x:f>
        <x:v>—</x:v>
      </x:c>
      <x:c r="H78" s="21" t="str">
        <x:f>IF(AND(COUNT(INDEX('SKU明细'!$H$9:$H$1592,MATCH("[13120,""B06-RG-37""]",'SKU明细'!$AE$9:$AE$1592,0)))=1,COUNT(INDEX('SKU明细'!$G$9:$G$1592,MATCH("[13120,""B06-RG-37""]",'SKU明细'!$AE$9:$AE$1592,0)))=1,SUM(INDEX('SKU明细'!$G$9:$G$1592,MATCH("[13120,""B06-RG-37""]",'SKU明细'!$AE$9:$AE$1592,0)))&gt;0),SUM(INDEX('SKU明细'!$H$9:$H$1592,MATCH("[13120,""B06-RG-37""]",'SKU明细'!$AE$9:$AE$1592,0)))/SUM(INDEX('SKU明细'!$G$9:$G$1592,MATCH("[13120,""B06-RG-37""]",'SKU明细'!$AE$9:$AE$1592,0))),"待核")</x:f>
        <x:v>待核</x:v>
      </x:c>
      <x:c r="I78" s="21" t="str">
        <x:f>IF(AND(COUNT(INDEX('SKU明细'!$H$9:$H$1592,MATCH("[13120,""B06-RG-37.5""]",'SKU明细'!$AE$9:$AE$1592,0)))=1,COUNT(INDEX('SKU明细'!$G$9:$G$1592,MATCH("[13120,""B06-RG-37.5""]",'SKU明细'!$AE$9:$AE$1592,0)))=1,SUM(INDEX('SKU明细'!$G$9:$G$1592,MATCH("[13120,""B06-RG-37.5""]",'SKU明细'!$AE$9:$AE$1592,0)))&gt;0),SUM(INDEX('SKU明细'!$H$9:$H$1592,MATCH("[13120,""B06-RG-37.5""]",'SKU明细'!$AE$9:$AE$1592,0)))/SUM(INDEX('SKU明细'!$G$9:$G$1592,MATCH("[13120,""B06-RG-37.5""]",'SKU明细'!$AE$9:$AE$1592,0))),"待核")</x:f>
        <x:v>待核</x:v>
      </x:c>
      <x:c r="J78" s="21" t="str">
        <x:f>IF(AND(COUNT(INDEX('SKU明细'!$H$9:$H$1592,MATCH("[13120,""B06-RG-38""]",'SKU明细'!$AE$9:$AE$1592,0)))=1,COUNT(INDEX('SKU明细'!$G$9:$G$1592,MATCH("[13120,""B06-RG-38""]",'SKU明细'!$AE$9:$AE$1592,0)))=1,SUM(INDEX('SKU明细'!$G$9:$G$1592,MATCH("[13120,""B06-RG-38""]",'SKU明细'!$AE$9:$AE$1592,0)))&gt;0),SUM(INDEX('SKU明细'!$H$9:$H$1592,MATCH("[13120,""B06-RG-38""]",'SKU明细'!$AE$9:$AE$1592,0)))/SUM(INDEX('SKU明细'!$G$9:$G$1592,MATCH("[13120,""B06-RG-38""]",'SKU明细'!$AE$9:$AE$1592,0))),"待核")</x:f>
        <x:v>待核</x:v>
      </x:c>
      <x:c r="K78" s="21" t="str">
        <x:f>"—"</x:f>
        <x:v>—</x:v>
      </x:c>
      <x:c r="L78" s="21" t="n">
        <x:f>IF(AND(COUNT(INDEX('SKU明细'!$H$9:$H$1592,MATCH("[13120,""B06-RG-39-N""]",'SKU明细'!$AE$9:$AE$1592,0)))=1,COUNT(INDEX('SKU明细'!$G$9:$G$1592,MATCH("[13120,""B06-RG-39-N""]",'SKU明细'!$AE$9:$AE$1592,0)))=1,SUM(INDEX('SKU明细'!$G$9:$G$1592,MATCH("[13120,""B06-RG-39-N""]",'SKU明细'!$AE$9:$AE$1592,0)))&gt;0),SUM(INDEX('SKU明细'!$H$9:$H$1592,MATCH("[13120,""B06-RG-39-N""]",'SKU明细'!$AE$9:$AE$1592,0)))/SUM(INDEX('SKU明细'!$G$9:$G$1592,MATCH("[13120,""B06-RG-39-N""]",'SKU明细'!$AE$9:$AE$1592,0))),"待核")</x:f>
        <x:v>0</x:v>
      </x:c>
      <x:c r="M78" s="21" t="str">
        <x:f>IF(AND(COUNT(INDEX('SKU明细'!$H$9:$H$1592,MATCH("[13120,""B06-RG-39.5""]",'SKU明细'!$AE$9:$AE$1592,0)))=1,COUNT(INDEX('SKU明细'!$G$9:$G$1592,MATCH("[13120,""B06-RG-39.5""]",'SKU明细'!$AE$9:$AE$1592,0)))=1,SUM(INDEX('SKU明细'!$G$9:$G$1592,MATCH("[13120,""B06-RG-39.5""]",'SKU明细'!$AE$9:$AE$1592,0)))&gt;0),SUM(INDEX('SKU明细'!$H$9:$H$1592,MATCH("[13120,""B06-RG-39.5""]",'SKU明细'!$AE$9:$AE$1592,0)))/SUM(INDEX('SKU明细'!$G$9:$G$1592,MATCH("[13120,""B06-RG-39.5""]",'SKU明细'!$AE$9:$AE$1592,0))),"待核")</x:f>
        <x:v>待核</x:v>
      </x:c>
      <x:c r="N78" s="21" t="n">
        <x:f>IF(AND(COUNT(INDEX('SKU明细'!$H$9:$H$1592,MATCH("[13120,""B06-RG-40-N""]",'SKU明细'!$AE$9:$AE$1592,0)))=1,COUNT(INDEX('SKU明细'!$G$9:$G$1592,MATCH("[13120,""B06-RG-40-N""]",'SKU明细'!$AE$9:$AE$1592,0)))=1,SUM(INDEX('SKU明细'!$G$9:$G$1592,MATCH("[13120,""B06-RG-40-N""]",'SKU明细'!$AE$9:$AE$1592,0)))&gt;0),SUM(INDEX('SKU明细'!$H$9:$H$1592,MATCH("[13120,""B06-RG-40-N""]",'SKU明细'!$AE$9:$AE$1592,0)))/SUM(INDEX('SKU明细'!$G$9:$G$1592,MATCH("[13120,""B06-RG-40-N""]",'SKU明细'!$AE$9:$AE$1592,0))),"待核")</x:f>
        <x:v>599.9999999999999</x:v>
      </x:c>
      <x:c r="O78" s="21" t="n">
        <x:f>IF(AND(COUNT(INDEX('SKU明细'!$H$9:$H$1592,MATCH("[13120,""B06-RG-40.5""]",'SKU明细'!$AE$9:$AE$1592,0)))=1,COUNT(INDEX('SKU明细'!$G$9:$G$1592,MATCH("[13120,""B06-RG-40.5""]",'SKU明细'!$AE$9:$AE$1592,0)))=1,SUM(INDEX('SKU明细'!$G$9:$G$1592,MATCH("[13120,""B06-RG-40.5""]",'SKU明细'!$AE$9:$AE$1592,0)))&gt;0),SUM(INDEX('SKU明细'!$H$9:$H$1592,MATCH("[13120,""B06-RG-40.5""]",'SKU明细'!$AE$9:$AE$1592,0)))/SUM(INDEX('SKU明细'!$G$9:$G$1592,MATCH("[13120,""B06-RG-40.5""]",'SKU明细'!$AE$9:$AE$1592,0))),"待核")</x:f>
        <x:v>224.99999999999997</x:v>
      </x:c>
      <x:c r="P78" s="21" t="str">
        <x:f>IF(AND(COUNT(INDEX('SKU明细'!$H$9:$H$1592,MATCH("[13120,""B06-RG-41""]",'SKU明细'!$AE$9:$AE$1592,0)))=1,COUNT(INDEX('SKU明细'!$G$9:$G$1592,MATCH("[13120,""B06-RG-41""]",'SKU明细'!$AE$9:$AE$1592,0)))=1,SUM(INDEX('SKU明细'!$G$9:$G$1592,MATCH("[13120,""B06-RG-41""]",'SKU明细'!$AE$9:$AE$1592,0)))&gt;0),SUM(INDEX('SKU明细'!$H$9:$H$1592,MATCH("[13120,""B06-RG-41""]",'SKU明细'!$AE$9:$AE$1592,0)))/SUM(INDEX('SKU明细'!$G$9:$G$1592,MATCH("[13120,""B06-RG-41""]",'SKU明细'!$AE$9:$AE$1592,0))),"待核")</x:f>
        <x:v>待核</x:v>
      </x:c>
      <x:c r="Q78" s="21" t="str">
        <x:f>"—"</x:f>
        <x:v>—</x:v>
      </x:c>
      <x:c r="R78" s="21" t="str">
        <x:f>IF(AND(COUNT(INDEX('SKU明细'!$H$9:$H$1592,MATCH("[13120,""B06-RG-42""]",'SKU明细'!$AE$9:$AE$1592,0)))=1,COUNT(INDEX('SKU明细'!$G$9:$G$1592,MATCH("[13120,""B06-RG-42""]",'SKU明细'!$AE$9:$AE$1592,0)))=1,SUM(INDEX('SKU明细'!$G$9:$G$1592,MATCH("[13120,""B06-RG-42""]",'SKU明细'!$AE$9:$AE$1592,0)))&gt;0),SUM(INDEX('SKU明细'!$H$9:$H$1592,MATCH("[13120,""B06-RG-42""]",'SKU明细'!$AE$9:$AE$1592,0)))/SUM(INDEX('SKU明细'!$G$9:$G$1592,MATCH("[13120,""B06-RG-42""]",'SKU明细'!$AE$9:$AE$1592,0))),"待核")</x:f>
        <x:v>待核</x:v>
      </x:c>
      <x:c r="S78" s="21" t="n">
        <x:f>IF(AND(COUNT(INDEX('SKU明细'!$H$9:$H$1592,MATCH("[13120,""B06-RG-40-N""]",'SKU明细'!$AE$9:$AE$1592,0)),INDEX('SKU明细'!$H$9:$H$1592,MATCH("[13120,""B06-RG-40.5""]",'SKU明细'!$AE$9:$AE$1592,0)),INDEX('SKU明细'!$H$9:$H$1592,MATCH("[13120,""B06-RG-37""]",'SKU明细'!$AE$9:$AE$1592,0)),INDEX('SKU明细'!$H$9:$H$1592,MATCH("[13120,""B06-RG-37.5""]",'SKU明细'!$AE$9:$AE$1592,0)),INDEX('SKU明细'!$H$9:$H$1592,MATCH("[13120,""B06-RG-38""]",'SKU明细'!$AE$9:$AE$1592,0)),INDEX('SKU明细'!$H$9:$H$1592,MATCH("[13120,""B06-RG-39-N""]",'SKU明细'!$AE$9:$AE$1592,0)),INDEX('SKU明细'!$H$9:$H$1592,MATCH("[13120,""B06-RG-41""]",'SKU明细'!$AE$9:$AE$1592,0)),INDEX('SKU明细'!$H$9:$H$1592,MATCH("[13120,""B06-RG-42""]",'SKU明细'!$AE$9:$AE$1592,0)),INDEX('SKU明细'!$H$9:$H$1592,MATCH("[13120,""B06-RG-39.5""]",'SKU明细'!$AE$9:$AE$1592,0)))=9,COUNT(INDEX('SKU明细'!$G$9:$G$1592,MATCH("[13120,""B06-RG-40-N""]",'SKU明细'!$AE$9:$AE$1592,0)),INDEX('SKU明细'!$G$9:$G$1592,MATCH("[13120,""B06-RG-40.5""]",'SKU明细'!$AE$9:$AE$1592,0)),INDEX('SKU明细'!$G$9:$G$1592,MATCH("[13120,""B06-RG-37""]",'SKU明细'!$AE$9:$AE$1592,0)),INDEX('SKU明细'!$G$9:$G$1592,MATCH("[13120,""B06-RG-37.5""]",'SKU明细'!$AE$9:$AE$1592,0)),INDEX('SKU明细'!$G$9:$G$1592,MATCH("[13120,""B06-RG-38""]",'SKU明细'!$AE$9:$AE$1592,0)),INDEX('SKU明细'!$G$9:$G$1592,MATCH("[13120,""B06-RG-39-N""]",'SKU明细'!$AE$9:$AE$1592,0)),INDEX('SKU明细'!$G$9:$G$1592,MATCH("[13120,""B06-RG-41""]",'SKU明细'!$AE$9:$AE$1592,0)),INDEX('SKU明细'!$G$9:$G$1592,MATCH("[13120,""B06-RG-42""]",'SKU明细'!$AE$9:$AE$1592,0)),INDEX('SKU明细'!$G$9:$G$1592,MATCH("[13120,""B06-RG-39.5""]",'SKU明细'!$AE$9:$AE$1592,0)))=9,SUM(INDEX('SKU明细'!$G$9:$G$1592,MATCH("[13120,""B06-RG-40-N""]",'SKU明细'!$AE$9:$AE$1592,0)),INDEX('SKU明细'!$G$9:$G$1592,MATCH("[13120,""B06-RG-40.5""]",'SKU明细'!$AE$9:$AE$1592,0)),INDEX('SKU明细'!$G$9:$G$1592,MATCH("[13120,""B06-RG-37""]",'SKU明细'!$AE$9:$AE$1592,0)),INDEX('SKU明细'!$G$9:$G$1592,MATCH("[13120,""B06-RG-37.5""]",'SKU明细'!$AE$9:$AE$1592,0)),INDEX('SKU明细'!$G$9:$G$1592,MATCH("[13120,""B06-RG-38""]",'SKU明细'!$AE$9:$AE$1592,0)),INDEX('SKU明细'!$G$9:$G$1592,MATCH("[13120,""B06-RG-39-N""]",'SKU明细'!$AE$9:$AE$1592,0)),INDEX('SKU明细'!$G$9:$G$1592,MATCH("[13120,""B06-RG-41""]",'SKU明细'!$AE$9:$AE$1592,0)),INDEX('SKU明细'!$G$9:$G$1592,MATCH("[13120,""B06-RG-42""]",'SKU明细'!$AE$9:$AE$1592,0)),INDEX('SKU明细'!$G$9:$G$1592,MATCH("[13120,""B06-RG-39.5""]",'SKU明细'!$AE$9:$AE$1592,0)))&gt;0),SUM(INDEX('SKU明细'!$H$9:$H$1592,MATCH("[13120,""B06-RG-40-N""]",'SKU明细'!$AE$9:$AE$1592,0)),INDEX('SKU明细'!$H$9:$H$1592,MATCH("[13120,""B06-RG-40.5""]",'SKU明细'!$AE$9:$AE$1592,0)),INDEX('SKU明细'!$H$9:$H$1592,MATCH("[13120,""B06-RG-37""]",'SKU明细'!$AE$9:$AE$1592,0)),INDEX('SKU明细'!$H$9:$H$1592,MATCH("[13120,""B06-RG-37.5""]",'SKU明细'!$AE$9:$AE$1592,0)),INDEX('SKU明细'!$H$9:$H$1592,MATCH("[13120,""B06-RG-38""]",'SKU明细'!$AE$9:$AE$1592,0)),INDEX('SKU明细'!$H$9:$H$1592,MATCH("[13120,""B06-RG-39-N""]",'SKU明细'!$AE$9:$AE$1592,0)),INDEX('SKU明细'!$H$9:$H$1592,MATCH("[13120,""B06-RG-41""]",'SKU明细'!$AE$9:$AE$1592,0)),INDEX('SKU明细'!$H$9:$H$1592,MATCH("[13120,""B06-RG-42""]",'SKU明细'!$AE$9:$AE$1592,0)),INDEX('SKU明细'!$H$9:$H$1592,MATCH("[13120,""B06-RG-39.5""]",'SKU明细'!$AE$9:$AE$1592,0)))/SUM(INDEX('SKU明细'!$G$9:$G$1592,MATCH("[13120,""B06-RG-40-N""]",'SKU明细'!$AE$9:$AE$1592,0)),INDEX('SKU明细'!$G$9:$G$1592,MATCH("[13120,""B06-RG-40.5""]",'SKU明细'!$AE$9:$AE$1592,0)),INDEX('SKU明细'!$G$9:$G$1592,MATCH("[13120,""B06-RG-37""]",'SKU明细'!$AE$9:$AE$1592,0)),INDEX('SKU明细'!$G$9:$G$1592,MATCH("[13120,""B06-RG-37.5""]",'SKU明细'!$AE$9:$AE$1592,0)),INDEX('SKU明细'!$G$9:$G$1592,MATCH("[13120,""B06-RG-38""]",'SKU明细'!$AE$9:$AE$1592,0)),INDEX('SKU明细'!$G$9:$G$1592,MATCH("[13120,""B06-RG-39-N""]",'SKU明细'!$AE$9:$AE$1592,0)),INDEX('SKU明细'!$G$9:$G$1592,MATCH("[13120,""B06-RG-41""]",'SKU明细'!$AE$9:$AE$1592,0)),INDEX('SKU明细'!$G$9:$G$1592,MATCH("[13120,""B06-RG-42""]",'SKU明细'!$AE$9:$AE$1592,0)),INDEX('SKU明细'!$G$9:$G$1592,MATCH("[13120,""B06-RG-39.5""]",'SKU明细'!$AE$9:$AE$1592,0))),"待核")</x:f>
        <x:v>234.96503496503496</x:v>
      </x:c>
      <x:c r="T78" s="21" t="str">
        <x:f>IF(AND(COUNT(INDEX('SKU明细'!$I$9:$I$1592,MATCH("[13120,""B06-RG-40-N""]",'SKU明细'!$AE$9:$AE$1592,0)),INDEX('SKU明细'!$I$9:$I$1592,MATCH("[13120,""B06-RG-40.5""]",'SKU明细'!$AE$9:$AE$1592,0)),INDEX('SKU明细'!$I$9:$I$1592,MATCH("[13120,""B06-RG-37""]",'SKU明细'!$AE$9:$AE$1592,0)),INDEX('SKU明细'!$I$9:$I$1592,MATCH("[13120,""B06-RG-37.5""]",'SKU明细'!$AE$9:$AE$1592,0)),INDEX('SKU明细'!$I$9:$I$1592,MATCH("[13120,""B06-RG-38""]",'SKU明细'!$AE$9:$AE$1592,0)),INDEX('SKU明细'!$I$9:$I$1592,MATCH("[13120,""B06-RG-39-N""]",'SKU明细'!$AE$9:$AE$1592,0)),INDEX('SKU明细'!$I$9:$I$1592,MATCH("[13120,""B06-RG-41""]",'SKU明细'!$AE$9:$AE$1592,0)),INDEX('SKU明细'!$I$9:$I$1592,MATCH("[13120,""B06-RG-42""]",'SKU明细'!$AE$9:$AE$1592,0)),INDEX('SKU明细'!$I$9:$I$1592,MATCH("[13120,""B06-RG-39.5""]",'SKU明细'!$AE$9:$AE$1592,0)))=9,COUNT(INDEX('SKU明细'!$AD$9:$AD$1592,MATCH("[13120,""B06-RG-40-N""]",'SKU明细'!$AE$9:$AE$1592,0)),INDEX('SKU明细'!$AD$9:$AD$1592,MATCH("[13120,""B06-RG-40.5""]",'SKU明细'!$AE$9:$AE$1592,0)),INDEX('SKU明细'!$AD$9:$AD$1592,MATCH("[13120,""B06-RG-37""]",'SKU明细'!$AE$9:$AE$1592,0)),INDEX('SKU明细'!$AD$9:$AD$1592,MATCH("[13120,""B06-RG-37.5""]",'SKU明细'!$AE$9:$AE$1592,0)),INDEX('SKU明细'!$AD$9:$AD$1592,MATCH("[13120,""B06-RG-38""]",'SKU明细'!$AE$9:$AE$1592,0)),INDEX('SKU明细'!$AD$9:$AD$1592,MATCH("[13120,""B06-RG-39-N""]",'SKU明细'!$AE$9:$AE$1592,0)),INDEX('SKU明细'!$AD$9:$AD$1592,MATCH("[13120,""B06-RG-41""]",'SKU明细'!$AE$9:$AE$1592,0)),INDEX('SKU明细'!$AD$9:$AD$1592,MATCH("[13120,""B06-RG-42""]",'SKU明细'!$AE$9:$AE$1592,0)),INDEX('SKU明细'!$AD$9:$AD$1592,MATCH("[13120,""B06-RG-39.5""]",'SKU明细'!$AE$9:$AE$1592,0)))=9,SUM(INDEX('SKU明细'!$AD$9:$AD$1592,MATCH("[13120,""B06-RG-40-N""]",'SKU明细'!$AE$9:$AE$1592,0)),INDEX('SKU明细'!$AD$9:$AD$1592,MATCH("[13120,""B06-RG-40.5""]",'SKU明细'!$AE$9:$AE$1592,0)),INDEX('SKU明细'!$AD$9:$AD$1592,MATCH("[13120,""B06-RG-37""]",'SKU明细'!$AE$9:$AE$1592,0)),INDEX('SKU明细'!$AD$9:$AD$1592,MATCH("[13120,""B06-RG-37.5""]",'SKU明细'!$AE$9:$AE$1592,0)),INDEX('SKU明细'!$AD$9:$AD$1592,MATCH("[13120,""B06-RG-38""]",'SKU明细'!$AE$9:$AE$1592,0)),INDEX('SKU明细'!$AD$9:$AD$1592,MATCH("[13120,""B06-RG-39-N""]",'SKU明细'!$AE$9:$AE$1592,0)),INDEX('SKU明细'!$AD$9:$AD$1592,MATCH("[13120,""B06-RG-41""]",'SKU明细'!$AE$9:$AE$1592,0)),INDEX('SKU明细'!$AD$9:$AD$1592,MATCH("[13120,""B06-RG-42""]",'SKU明细'!$AE$9:$AE$1592,0)),INDEX('SKU明细'!$AD$9:$AD$1592,MATCH("[13120,""B06-RG-39.5""]",'SKU明细'!$AE$9:$AE$1592,0)))&gt;0),SUM(INDEX('SKU明细'!$I$9:$I$1592,MATCH("[13120,""B06-RG-40-N""]",'SKU明细'!$AE$9:$AE$1592,0)),INDEX('SKU明细'!$I$9:$I$1592,MATCH("[13120,""B06-RG-40.5""]",'SKU明细'!$AE$9:$AE$1592,0)),INDEX('SKU明细'!$I$9:$I$1592,MATCH("[13120,""B06-RG-37""]",'SKU明细'!$AE$9:$AE$1592,0)),INDEX('SKU明细'!$I$9:$I$1592,MATCH("[13120,""B06-RG-37.5""]",'SKU明细'!$AE$9:$AE$1592,0)),INDEX('SKU明细'!$I$9:$I$1592,MATCH("[13120,""B06-RG-38""]",'SKU明细'!$AE$9:$AE$1592,0)),INDEX('SKU明细'!$I$9:$I$1592,MATCH("[13120,""B06-RG-39-N""]",'SKU明细'!$AE$9:$AE$1592,0)),INDEX('SKU明细'!$I$9:$I$1592,MATCH("[13120,""B06-RG-41""]",'SKU明细'!$AE$9:$AE$1592,0)),INDEX('SKU明细'!$I$9:$I$1592,MATCH("[13120,""B06-RG-42""]",'SKU明细'!$AE$9:$AE$1592,0)),INDEX('SKU明细'!$I$9:$I$1592,MATCH("[13120,""B06-RG-39.5""]",'SKU明细'!$AE$9:$AE$1592,0)))/SUM(INDEX('SKU明细'!$AD$9:$AD$1592,MATCH("[13120,""B06-RG-40-N""]",'SKU明细'!$AE$9:$AE$1592,0)),INDEX('SKU明细'!$AD$9:$AD$1592,MATCH("[13120,""B06-RG-40.5""]",'SKU明细'!$AE$9:$AE$1592,0)),INDEX('SKU明细'!$AD$9:$AD$1592,MATCH("[13120,""B06-RG-37""]",'SKU明细'!$AE$9:$AE$1592,0)),INDEX('SKU明细'!$AD$9:$AD$1592,MATCH("[13120,""B06-RG-37.5""]",'SKU明细'!$AE$9:$AE$1592,0)),INDEX('SKU明细'!$AD$9:$AD$1592,MATCH("[13120,""B06-RG-38""]",'SKU明细'!$AE$9:$AE$1592,0)),INDEX('SKU明细'!$AD$9:$AD$1592,MATCH("[13120,""B06-RG-39-N""]",'SKU明细'!$AE$9:$AE$1592,0)),INDEX('SKU明细'!$AD$9:$AD$1592,MATCH("[13120,""B06-RG-41""]",'SKU明细'!$AE$9:$AE$1592,0)),INDEX('SKU明细'!$AD$9:$AD$1592,MATCH("[13120,""B06-RG-42""]",'SKU明细'!$AE$9:$AE$1592,0)),INDEX('SKU明细'!$AD$9:$AD$1592,MATCH("[13120,""B06-RG-39.5""]",'SKU明细'!$AE$9:$AE$1592,0))),"待核")</x:f>
        <x:v>待核</x:v>
      </x:c>
      <x:c r="U78" s="21" t="str">
        <x:f>IF(COUNT(S78:T78)=2,S78-T78,"待核")</x:f>
        <x:v>待核</x:v>
      </x:c>
      <x:c r="V78" s="22" t="str">
        <x:f>IF(AND(ISNUMBER(U78),ISNUMBER(T78),T78&lt;&gt;0),U78/T78,"")</x:f>
      </x:c>
      <x:c r="W78" s="23" t="n">
        <x:f>IF(COUNT(INDEX('SKU明细'!$H$9:$H$1592,MATCH("[13120,""B06-RG-40-N""]",'SKU明细'!$AE$9:$AE$1592,0)),INDEX('SKU明细'!$H$9:$H$1592,MATCH("[13120,""B06-RG-40.5""]",'SKU明细'!$AE$9:$AE$1592,0)),INDEX('SKU明细'!$H$9:$H$1592,MATCH("[13120,""B06-RG-37""]",'SKU明细'!$AE$9:$AE$1592,0)),INDEX('SKU明细'!$H$9:$H$1592,MATCH("[13120,""B06-RG-37.5""]",'SKU明细'!$AE$9:$AE$1592,0)),INDEX('SKU明细'!$H$9:$H$1592,MATCH("[13120,""B06-RG-38""]",'SKU明细'!$AE$9:$AE$1592,0)),INDEX('SKU明细'!$H$9:$H$1592,MATCH("[13120,""B06-RG-39-N""]",'SKU明细'!$AE$9:$AE$1592,0)),INDEX('SKU明细'!$H$9:$H$1592,MATCH("[13120,""B06-RG-41""]",'SKU明细'!$AE$9:$AE$1592,0)),INDEX('SKU明细'!$H$9:$H$1592,MATCH("[13120,""B06-RG-42""]",'SKU明细'!$AE$9:$AE$1592,0)),INDEX('SKU明细'!$H$9:$H$1592,MATCH("[13120,""B06-RG-39.5""]",'SKU明细'!$AE$9:$AE$1592,0)))=0,"待核",SUM(INDEX('SKU明细'!$H$9:$H$1592,MATCH("[13120,""B06-RG-40-N""]",'SKU明细'!$AE$9:$AE$1592,0)),INDEX('SKU明细'!$H$9:$H$1592,MATCH("[13120,""B06-RG-40.5""]",'SKU明细'!$AE$9:$AE$1592,0)),INDEX('SKU明细'!$H$9:$H$1592,MATCH("[13120,""B06-RG-37""]",'SKU明细'!$AE$9:$AE$1592,0)),INDEX('SKU明细'!$H$9:$H$1592,MATCH("[13120,""B06-RG-37.5""]",'SKU明细'!$AE$9:$AE$1592,0)),INDEX('SKU明细'!$H$9:$H$1592,MATCH("[13120,""B06-RG-38""]",'SKU明细'!$AE$9:$AE$1592,0)),INDEX('SKU明细'!$H$9:$H$1592,MATCH("[13120,""B06-RG-39-N""]",'SKU明细'!$AE$9:$AE$1592,0)),INDEX('SKU明细'!$H$9:$H$1592,MATCH("[13120,""B06-RG-41""]",'SKU明细'!$AE$9:$AE$1592,0)),INDEX('SKU明细'!$H$9:$H$1592,MATCH("[13120,""B06-RG-42""]",'SKU明细'!$AE$9:$AE$1592,0)),INDEX('SKU明细'!$H$9:$H$1592,MATCH("[13120,""B06-RG-39.5""]",'SKU明细'!$AE$9:$AE$1592,0))))</x:f>
        <x:v>16</x:v>
      </x:c>
      <x:c r="X78" s="24" t="str">
        <x:f>IF(COUNTIFS('SKU明细'!$AH$9:$AH$1592,"[""B06"",""B06-RG"",""RG"",""玫瑰金PU""]",'SKU明细'!$E$9:$E$1592,"促销")&gt;0,"促销 ","")&amp;IF(COUNTIFS('SKU明细'!$AH$9:$AH$1592,"[""B06"",""B06-RG"",""RG"",""玫瑰金PU""]",'SKU明细'!$E$9:$E$1592,"红线促销")&gt;0,"红线促销 ","")&amp;IF(COUNTIFS('SKU明细'!$AH$9:$AH$1592,"[""B06"",""B06-RG"",""RG"",""玫瑰金PU""]",'SKU明细'!$E$9:$E$1592,"考虑清仓")&gt;0,"考虑清仓 ","")&amp;IF(COUNTIFS('SKU明细'!$AH$9:$AH$1592,"[""B06"",""B06-RG"",""RG"",""玫瑰金PU""]",'SKU明细'!$E$9:$E$1592,"断货")&gt;0,"断货 ","")&amp;IF(COUNTIFS('SKU明细'!$AH$9:$AH$1592,"[""B06"",""B06-RG"",""RG"",""玫瑰金PU""]",'SKU明细'!$E$9:$E$1592,"零日销待复核")&gt;0,"零日销待复核 ","")&amp;IF(COUNTIFS('SKU明细'!$AH$9:$AH$1592,"[""B06"",""B06-RG"",""RG"",""玫瑰金PU""]",'SKU明细'!$E$9:$E$1592,"数据待核")&gt;0,"数据待核 ","")&amp;IF(COUNTIFS('SKU明细'!$AH$9:$AH$1592,"[""B06"",""B06-RG"",""RG"",""玫瑰金PU""]",'SKU明细'!$E$9:$E$1592,"正常库存")&gt;0,"正常库存 ","")&amp;IF(COUNTIFS('SKU明细'!$AH$9:$AH$1592,"[""B06"",""B06-RG"",""RG"",""玫瑰金PU""]",'SKU明细'!$E$9:$E$1592,"补货提醒")&gt;0,"补货提醒 ","")</x:f>
        <x:v>红线促销 考虑清仓 断货 零日销待复核 </x:v>
      </x:c>
      <x:c r="Y78" s="24" t="str">
        <x:f>IF(NOT(ISNUMBER(U78)),"覆盖待核／无可比基准","完整可比")</x:f>
        <x:v>覆盖待核／无可比基准</x:v>
      </x:c>
      <x:c r="Z78" s="24" t="str">
        <x:v>在售、停售</x:v>
      </x:c>
      <x:c r="AA78" s="24" t="n">
        <x:f>IF(SUMIFS('SKU明细'!$AF$9:$AF$1592,'SKU明细'!$D$9:$D$1592,A78,'SKU明细'!$Z$9:$Z$1592,"&lt;&gt;移出")=0,"待核",SUMIFS('SKU明细'!$H$9:$H$1592,'SKU明细'!$D$9:$D$1592,A78,'SKU明细'!$Z$9:$Z$1592,"&lt;&gt;移出"))</x:f>
        <x:v>2095</x:v>
      </x:c>
    </x:row>
    <x:row r="79" ht="54" customHeight="1">
      <x:c r="A79" s="20" t="str">
        <x:v>B06</x:v>
      </x:c>
      <x:c r="B79" s="20" t="str">
        <x:v>艾年</x:v>
      </x:c>
      <x:c r="C79" s="20" t="str">
        <x:v>银色格利特</x:v>
      </x:c>
      <x:c r="D79" s="20" t="str">
        <x:v>SLG</x:v>
      </x:c>
      <x:c r="E79" s="20" t="str">
        <x:v>B06-SLG</x:v>
      </x:c>
      <x:c r="F79" s="20"/>
      <x:c r="G79" s="21" t="str">
        <x:f>"—"</x:f>
        <x:v>—</x:v>
      </x:c>
      <x:c r="H79" s="21" t="str">
        <x:f>"—"</x:f>
        <x:v>—</x:v>
      </x:c>
      <x:c r="I79" s="21" t="str">
        <x:f>"—"</x:f>
        <x:v>—</x:v>
      </x:c>
      <x:c r="J79" s="21" t="str">
        <x:f>IF(AND(COUNT(INDEX('SKU明细'!$H$9:$H$1592,MATCH("[13120,""B06-SLG-38""]",'SKU明细'!$AE$9:$AE$1592,0)))=1,COUNT(INDEX('SKU明细'!$G$9:$G$1592,MATCH("[13120,""B06-SLG-38""]",'SKU明细'!$AE$9:$AE$1592,0)))=1,SUM(INDEX('SKU明细'!$G$9:$G$1592,MATCH("[13120,""B06-SLG-38""]",'SKU明细'!$AE$9:$AE$1592,0)))&gt;0),SUM(INDEX('SKU明细'!$H$9:$H$1592,MATCH("[13120,""B06-SLG-38""]",'SKU明细'!$AE$9:$AE$1592,0)))/SUM(INDEX('SKU明细'!$G$9:$G$1592,MATCH("[13120,""B06-SLG-38""]",'SKU明细'!$AE$9:$AE$1592,0))),"待核")</x:f>
        <x:v>待核</x:v>
      </x:c>
      <x:c r="K79" s="21" t="str">
        <x:f>IF(AND(COUNT(INDEX('SKU明细'!$H$9:$H$1592,MATCH("[13120,""B06-SLG-38.5""]",'SKU明细'!$AE$9:$AE$1592,0)))=1,COUNT(INDEX('SKU明细'!$G$9:$G$1592,MATCH("[13120,""B06-SLG-38.5""]",'SKU明细'!$AE$9:$AE$1592,0)))=1,SUM(INDEX('SKU明细'!$G$9:$G$1592,MATCH("[13120,""B06-SLG-38.5""]",'SKU明细'!$AE$9:$AE$1592,0)))&gt;0),SUM(INDEX('SKU明细'!$H$9:$H$1592,MATCH("[13120,""B06-SLG-38.5""]",'SKU明细'!$AE$9:$AE$1592,0)))/SUM(INDEX('SKU明细'!$G$9:$G$1592,MATCH("[13120,""B06-SLG-38.5""]",'SKU明细'!$AE$9:$AE$1592,0))),"待核")</x:f>
        <x:v>待核</x:v>
      </x:c>
      <x:c r="L79" s="21" t="str">
        <x:f>"—"</x:f>
        <x:v>—</x:v>
      </x:c>
      <x:c r="M79" s="21" t="str">
        <x:f>"—"</x:f>
        <x:v>—</x:v>
      </x:c>
      <x:c r="N79" s="21" t="str">
        <x:f>"—"</x:f>
        <x:v>—</x:v>
      </x:c>
      <x:c r="O79" s="21" t="str">
        <x:f>"—"</x:f>
        <x:v>—</x:v>
      </x:c>
      <x:c r="P79" s="21" t="str">
        <x:f>IF(AND(COUNT(INDEX('SKU明细'!$H$9:$H$1592,MATCH("[13120,""B06-SLG-41""]",'SKU明细'!$AE$9:$AE$1592,0)))=1,COUNT(INDEX('SKU明细'!$G$9:$G$1592,MATCH("[13120,""B06-SLG-41""]",'SKU明细'!$AE$9:$AE$1592,0)))=1,SUM(INDEX('SKU明细'!$G$9:$G$1592,MATCH("[13120,""B06-SLG-41""]",'SKU明细'!$AE$9:$AE$1592,0)))&gt;0),SUM(INDEX('SKU明细'!$H$9:$H$1592,MATCH("[13120,""B06-SLG-41""]",'SKU明细'!$AE$9:$AE$1592,0)))/SUM(INDEX('SKU明细'!$G$9:$G$1592,MATCH("[13120,""B06-SLG-41""]",'SKU明细'!$AE$9:$AE$1592,0))),"待核")</x:f>
        <x:v>待核</x:v>
      </x:c>
      <x:c r="Q79" s="21" t="str">
        <x:f>"—"</x:f>
        <x:v>—</x:v>
      </x:c>
      <x:c r="R79" s="21" t="str">
        <x:f>"—"</x:f>
        <x:v>—</x:v>
      </x:c>
      <x:c r="S79" s="21" t="str">
        <x:f>"—"</x:f>
        <x:v>—</x:v>
      </x:c>
      <x:c r="T79" s="21" t="str">
        <x:f>"—"</x:f>
        <x:v>—</x:v>
      </x:c>
      <x:c r="U79" s="21" t="str">
        <x:f>IF(COUNT(S79:T79)=2,S79-T79,"待核")</x:f>
        <x:v>待核</x:v>
      </x:c>
      <x:c r="V79" s="22" t="str">
        <x:f>IF(AND(ISNUMBER(U79),ISNUMBER(T79),T79&lt;&gt;0),U79/T79,"")</x:f>
      </x:c>
      <x:c r="W79" s="23" t="n">
        <x:f>IF(COUNT(INDEX('SKU明细'!$H$9:$H$1592,MATCH("[13120,""B06-SLG-38""]",'SKU明细'!$AE$9:$AE$1592,0)),INDEX('SKU明细'!$H$9:$H$1592,MATCH("[13120,""B06-SLG-38.5""]",'SKU明细'!$AE$9:$AE$1592,0)),INDEX('SKU明细'!$H$9:$H$1592,MATCH("[13120,""B06-SLG-41""]",'SKU明细'!$AE$9:$AE$1592,0)))=0,"待核",SUM(INDEX('SKU明细'!$H$9:$H$1592,MATCH("[13120,""B06-SLG-38""]",'SKU明细'!$AE$9:$AE$1592,0)),INDEX('SKU明细'!$H$9:$H$1592,MATCH("[13120,""B06-SLG-38.5""]",'SKU明细'!$AE$9:$AE$1592,0)),INDEX('SKU明细'!$H$9:$H$1592,MATCH("[13120,""B06-SLG-41""]",'SKU明细'!$AE$9:$AE$1592,0))))</x:f>
        <x:v>0</x:v>
      </x:c>
      <x:c r="X79" s="24" t="str">
        <x:f>IF(COUNTIFS('SKU明细'!$AH$9:$AH$1592,"[""B06"",""B06-SLG"",""SLG"",""银色格利特""]",'SKU明细'!$E$9:$E$1592,"促销")&gt;0,"促销 ","")&amp;IF(COUNTIFS('SKU明细'!$AH$9:$AH$1592,"[""B06"",""B06-SLG"",""SLG"",""银色格利特""]",'SKU明细'!$E$9:$E$1592,"红线促销")&gt;0,"红线促销 ","")&amp;IF(COUNTIFS('SKU明细'!$AH$9:$AH$1592,"[""B06"",""B06-SLG"",""SLG"",""银色格利特""]",'SKU明细'!$E$9:$E$1592,"考虑清仓")&gt;0,"考虑清仓 ","")&amp;IF(COUNTIFS('SKU明细'!$AH$9:$AH$1592,"[""B06"",""B06-SLG"",""SLG"",""银色格利特""]",'SKU明细'!$E$9:$E$1592,"断货")&gt;0,"断货 ","")&amp;IF(COUNTIFS('SKU明细'!$AH$9:$AH$1592,"[""B06"",""B06-SLG"",""SLG"",""银色格利特""]",'SKU明细'!$E$9:$E$1592,"零日销待复核")&gt;0,"零日销待复核 ","")&amp;IF(COUNTIFS('SKU明细'!$AH$9:$AH$1592,"[""B06"",""B06-SLG"",""SLG"",""银色格利特""]",'SKU明细'!$E$9:$E$1592,"数据待核")&gt;0,"数据待核 ","")&amp;IF(COUNTIFS('SKU明细'!$AH$9:$AH$1592,"[""B06"",""B06-SLG"",""SLG"",""银色格利特""]",'SKU明细'!$E$9:$E$1592,"正常库存")&gt;0,"正常库存 ","")&amp;IF(COUNTIFS('SKU明细'!$AH$9:$AH$1592,"[""B06"",""B06-SLG"",""SLG"",""银色格利特""]",'SKU明细'!$E$9:$E$1592,"补货提醒")&gt;0,"补货提醒 ","")</x:f>
        <x:v>断货 </x:v>
      </x:c>
      <x:c r="Y79" s="24" t="str">
        <x:f>IF(NOT(ISNUMBER(U79)),"覆盖待核／无可比基准","仅共同SKU")</x:f>
        <x:v>覆盖待核／无可比基准</x:v>
      </x:c>
      <x:c r="Z79" s="24" t="str">
        <x:v>停售</x:v>
      </x:c>
      <x:c r="AA79" s="24" t="n">
        <x:f>IF(SUMIFS('SKU明细'!$AF$9:$AF$1592,'SKU明细'!$D$9:$D$1592,A79,'SKU明细'!$Z$9:$Z$1592,"&lt;&gt;移出")=0,"待核",SUMIFS('SKU明细'!$H$9:$H$1592,'SKU明细'!$D$9:$D$1592,A79,'SKU明细'!$Z$9:$Z$1592,"&lt;&gt;移出"))</x:f>
        <x:v>2095</x:v>
      </x:c>
    </x:row>
    <x:row r="80" ht="54" customHeight="1">
      <x:c r="A80" s="20" t="str">
        <x:v>B06</x:v>
      </x:c>
      <x:c r="B80" s="20" t="str">
        <x:v>艾年</x:v>
      </x:c>
      <x:c r="C80" s="20" t="str">
        <x:v>蛇纹PU</x:v>
      </x:c>
      <x:c r="D80" s="20" t="str">
        <x:v>SP</x:v>
      </x:c>
      <x:c r="E80" s="20" t="str">
        <x:v>B06-SP</x:v>
      </x:c>
      <x:c r="F80" s="20"/>
      <x:c r="G80" s="21" t="str">
        <x:f>"—"</x:f>
        <x:v>—</x:v>
      </x:c>
      <x:c r="H80" s="21" t="n">
        <x:f>IF(AND(COUNT(INDEX('SKU明细'!$H$9:$H$1592,MATCH("[13120,""B06-SP-37""]",'SKU明细'!$AE$9:$AE$1592,0)))=1,COUNT(INDEX('SKU明细'!$G$9:$G$1592,MATCH("[13120,""B06-SP-37""]",'SKU明细'!$AE$9:$AE$1592,0)))=1,SUM(INDEX('SKU明细'!$G$9:$G$1592,MATCH("[13120,""B06-SP-37""]",'SKU明细'!$AE$9:$AE$1592,0)))&gt;0),SUM(INDEX('SKU明细'!$H$9:$H$1592,MATCH("[13120,""B06-SP-37""]",'SKU明细'!$AE$9:$AE$1592,0)))/SUM(INDEX('SKU明细'!$G$9:$G$1592,MATCH("[13120,""B06-SP-37""]",'SKU明细'!$AE$9:$AE$1592,0))),"待核")</x:f>
        <x:v>17.721518987341774</x:v>
      </x:c>
      <x:c r="I80" s="21" t="n">
        <x:f>IF(AND(COUNT(INDEX('SKU明细'!$H$9:$H$1592,MATCH("[13120,""B06-SP-37.5""]",'SKU明细'!$AE$9:$AE$1592,0)))=1,COUNT(INDEX('SKU明细'!$G$9:$G$1592,MATCH("[13120,""B06-SP-37.5""]",'SKU明细'!$AE$9:$AE$1592,0)))=1,SUM(INDEX('SKU明细'!$G$9:$G$1592,MATCH("[13120,""B06-SP-37.5""]",'SKU明细'!$AE$9:$AE$1592,0)))&gt;0),SUM(INDEX('SKU明细'!$H$9:$H$1592,MATCH("[13120,""B06-SP-37.5""]",'SKU明细'!$AE$9:$AE$1592,0)))/SUM(INDEX('SKU明细'!$G$9:$G$1592,MATCH("[13120,""B06-SP-37.5""]",'SKU明细'!$AE$9:$AE$1592,0))),"待核")</x:f>
        <x:v>150</x:v>
      </x:c>
      <x:c r="J80" s="21" t="n">
        <x:f>IF(AND(COUNT(INDEX('SKU明细'!$H$9:$H$1592,MATCH("[13120,""B06-SP-38""]",'SKU明细'!$AE$9:$AE$1592,0)))=1,COUNT(INDEX('SKU明细'!$G$9:$G$1592,MATCH("[13120,""B06-SP-38""]",'SKU明细'!$AE$9:$AE$1592,0)))=1,SUM(INDEX('SKU明细'!$G$9:$G$1592,MATCH("[13120,""B06-SP-38""]",'SKU明细'!$AE$9:$AE$1592,0)))&gt;0),SUM(INDEX('SKU明细'!$H$9:$H$1592,MATCH("[13120,""B06-SP-38""]",'SKU明细'!$AE$9:$AE$1592,0)))/SUM(INDEX('SKU明细'!$G$9:$G$1592,MATCH("[13120,""B06-SP-38""]",'SKU明细'!$AE$9:$AE$1592,0))),"待核")</x:f>
        <x:v>0</x:v>
      </x:c>
      <x:c r="K80" s="21" t="n">
        <x:f>IF(AND(COUNT(INDEX('SKU明细'!$H$9:$H$1592,MATCH("[13120,""B06-SP-38.5""]",'SKU明细'!$AE$9:$AE$1592,0)))=1,COUNT(INDEX('SKU明细'!$G$9:$G$1592,MATCH("[13120,""B06-SP-38.5""]",'SKU明细'!$AE$9:$AE$1592,0)))=1,SUM(INDEX('SKU明细'!$G$9:$G$1592,MATCH("[13120,""B06-SP-38.5""]",'SKU明细'!$AE$9:$AE$1592,0)))&gt;0),SUM(INDEX('SKU明细'!$H$9:$H$1592,MATCH("[13120,""B06-SP-38.5""]",'SKU明细'!$AE$9:$AE$1592,0)))/SUM(INDEX('SKU明细'!$G$9:$G$1592,MATCH("[13120,""B06-SP-38.5""]",'SKU明细'!$AE$9:$AE$1592,0))),"待核")</x:f>
        <x:v>23.076923076923077</x:v>
      </x:c>
      <x:c r="L80" s="21" t="n">
        <x:f>IF(AND(COUNT(INDEX('SKU明细'!$H$9:$H$1592,MATCH("[13120,""B06-SP-39""]",'SKU明细'!$AE$9:$AE$1592,0)))=1,COUNT(INDEX('SKU明细'!$G$9:$G$1592,MATCH("[13120,""B06-SP-39""]",'SKU明细'!$AE$9:$AE$1592,0)))=1,SUM(INDEX('SKU明细'!$G$9:$G$1592,MATCH("[13120,""B06-SP-39""]",'SKU明细'!$AE$9:$AE$1592,0)))&gt;0),SUM(INDEX('SKU明细'!$H$9:$H$1592,MATCH("[13120,""B06-SP-39""]",'SKU明细'!$AE$9:$AE$1592,0)))/SUM(INDEX('SKU明细'!$G$9:$G$1592,MATCH("[13120,""B06-SP-39""]",'SKU明细'!$AE$9:$AE$1592,0))),"待核")</x:f>
        <x:v>0</x:v>
      </x:c>
      <x:c r="M80" s="21" t="n">
        <x:f>IF(AND(COUNT(INDEX('SKU明细'!$H$9:$H$1592,MATCH("[13120,""B06-SP-39.5""]",'SKU明细'!$AE$9:$AE$1592,0)))=1,COUNT(INDEX('SKU明细'!$G$9:$G$1592,MATCH("[13120,""B06-SP-39.5""]",'SKU明细'!$AE$9:$AE$1592,0)))=1,SUM(INDEX('SKU明细'!$G$9:$G$1592,MATCH("[13120,""B06-SP-39.5""]",'SKU明细'!$AE$9:$AE$1592,0)))&gt;0),SUM(INDEX('SKU明细'!$H$9:$H$1592,MATCH("[13120,""B06-SP-39.5""]",'SKU明细'!$AE$9:$AE$1592,0)))/SUM(INDEX('SKU明细'!$G$9:$G$1592,MATCH("[13120,""B06-SP-39.5""]",'SKU明细'!$AE$9:$AE$1592,0))),"待核")</x:f>
        <x:v>0</x:v>
      </x:c>
      <x:c r="N80" s="21" t="str">
        <x:f>IF(AND(COUNT(INDEX('SKU明细'!$H$9:$H$1592,MATCH("[13120,""B06-SP-40""]",'SKU明细'!$AE$9:$AE$1592,0)))=1,COUNT(INDEX('SKU明细'!$G$9:$G$1592,MATCH("[13120,""B06-SP-40""]",'SKU明细'!$AE$9:$AE$1592,0)))=1,SUM(INDEX('SKU明细'!$G$9:$G$1592,MATCH("[13120,""B06-SP-40""]",'SKU明细'!$AE$9:$AE$1592,0)))&gt;0),SUM(INDEX('SKU明细'!$H$9:$H$1592,MATCH("[13120,""B06-SP-40""]",'SKU明细'!$AE$9:$AE$1592,0)))/SUM(INDEX('SKU明细'!$G$9:$G$1592,MATCH("[13120,""B06-SP-40""]",'SKU明细'!$AE$9:$AE$1592,0))),"待核")</x:f>
        <x:v>待核</x:v>
      </x:c>
      <x:c r="O80" s="21" t="n">
        <x:f>IF(AND(COUNT(INDEX('SKU明细'!$H$9:$H$1592,MATCH("[13120,""B06-SP-40.5""]",'SKU明细'!$AE$9:$AE$1592,0)))=1,COUNT(INDEX('SKU明细'!$G$9:$G$1592,MATCH("[13120,""B06-SP-40.5""]",'SKU明细'!$AE$9:$AE$1592,0)))=1,SUM(INDEX('SKU明细'!$G$9:$G$1592,MATCH("[13120,""B06-SP-40.5""]",'SKU明细'!$AE$9:$AE$1592,0)))&gt;0),SUM(INDEX('SKU明细'!$H$9:$H$1592,MATCH("[13120,""B06-SP-40.5""]",'SKU明细'!$AE$9:$AE$1592,0)))/SUM(INDEX('SKU明细'!$G$9:$G$1592,MATCH("[13120,""B06-SP-40.5""]",'SKU明细'!$AE$9:$AE$1592,0))),"待核")</x:f>
        <x:v>0</x:v>
      </x:c>
      <x:c r="P80" s="21" t="str">
        <x:f>IF(AND(COUNT(INDEX('SKU明细'!$H$9:$H$1592,MATCH("[13120,""B06-SP-41""]",'SKU明细'!$AE$9:$AE$1592,0)))=1,COUNT(INDEX('SKU明细'!$G$9:$G$1592,MATCH("[13120,""B06-SP-41""]",'SKU明细'!$AE$9:$AE$1592,0)))=1,SUM(INDEX('SKU明细'!$G$9:$G$1592,MATCH("[13120,""B06-SP-41""]",'SKU明细'!$AE$9:$AE$1592,0)))&gt;0),SUM(INDEX('SKU明细'!$H$9:$H$1592,MATCH("[13120,""B06-SP-41""]",'SKU明细'!$AE$9:$AE$1592,0)))/SUM(INDEX('SKU明细'!$G$9:$G$1592,MATCH("[13120,""B06-SP-41""]",'SKU明细'!$AE$9:$AE$1592,0))),"待核")</x:f>
        <x:v>待核</x:v>
      </x:c>
      <x:c r="Q80" s="21" t="str">
        <x:f>"—"</x:f>
        <x:v>—</x:v>
      </x:c>
      <x:c r="R80" s="21" t="str">
        <x:f>IF(AND(COUNT(INDEX('SKU明细'!$H$9:$H$1592,MATCH("[13120,""B06-SP-42""]",'SKU明细'!$AE$9:$AE$1592,0)))=1,COUNT(INDEX('SKU明细'!$G$9:$G$1592,MATCH("[13120,""B06-SP-42""]",'SKU明细'!$AE$9:$AE$1592,0)))=1,SUM(INDEX('SKU明细'!$G$9:$G$1592,MATCH("[13120,""B06-SP-42""]",'SKU明细'!$AE$9:$AE$1592,0)))&gt;0),SUM(INDEX('SKU明细'!$H$9:$H$1592,MATCH("[13120,""B06-SP-42""]",'SKU明细'!$AE$9:$AE$1592,0)))/SUM(INDEX('SKU明细'!$G$9:$G$1592,MATCH("[13120,""B06-SP-42""]",'SKU明细'!$AE$9:$AE$1592,0))),"待核")</x:f>
        <x:v>待核</x:v>
      </x:c>
      <x:c r="S80" s="21" t="n">
        <x:f>IF(AND(COUNT(INDEX('SKU明细'!$H$9:$H$1592,MATCH("[13120,""B06-SP-37.5""]",'SKU明细'!$AE$9:$AE$1592,0)),INDEX('SKU明细'!$H$9:$H$1592,MATCH("[13120,""B06-SP-38""]",'SKU明细'!$AE$9:$AE$1592,0)),INDEX('SKU明细'!$H$9:$H$1592,MATCH("[13120,""B06-SP-39""]",'SKU明细'!$AE$9:$AE$1592,0)),INDEX('SKU明细'!$H$9:$H$1592,MATCH("[13120,""B06-SP-39.5""]",'SKU明细'!$AE$9:$AE$1592,0)),INDEX('SKU明细'!$H$9:$H$1592,MATCH("[13120,""B06-SP-40""]",'SKU明细'!$AE$9:$AE$1592,0)),INDEX('SKU明细'!$H$9:$H$1592,MATCH("[13120,""B06-SP-40.5""]",'SKU明细'!$AE$9:$AE$1592,0)),INDEX('SKU明细'!$H$9:$H$1592,MATCH("[13120,""B06-SP-41""]",'SKU明细'!$AE$9:$AE$1592,0)),INDEX('SKU明细'!$H$9:$H$1592,MATCH("[13120,""B06-SP-42""]",'SKU明细'!$AE$9:$AE$1592,0)),INDEX('SKU明细'!$H$9:$H$1592,MATCH("[13120,""B06-SP-37""]",'SKU明细'!$AE$9:$AE$1592,0)),INDEX('SKU明细'!$H$9:$H$1592,MATCH("[13120,""B06-SP-38.5""]",'SKU明细'!$AE$9:$AE$1592,0)))=10,COUNT(INDEX('SKU明细'!$G$9:$G$1592,MATCH("[13120,""B06-SP-37.5""]",'SKU明细'!$AE$9:$AE$1592,0)),INDEX('SKU明细'!$G$9:$G$1592,MATCH("[13120,""B06-SP-38""]",'SKU明细'!$AE$9:$AE$1592,0)),INDEX('SKU明细'!$G$9:$G$1592,MATCH("[13120,""B06-SP-39""]",'SKU明细'!$AE$9:$AE$1592,0)),INDEX('SKU明细'!$G$9:$G$1592,MATCH("[13120,""B06-SP-39.5""]",'SKU明细'!$AE$9:$AE$1592,0)),INDEX('SKU明细'!$G$9:$G$1592,MATCH("[13120,""B06-SP-40""]",'SKU明细'!$AE$9:$AE$1592,0)),INDEX('SKU明细'!$G$9:$G$1592,MATCH("[13120,""B06-SP-40.5""]",'SKU明细'!$AE$9:$AE$1592,0)),INDEX('SKU明细'!$G$9:$G$1592,MATCH("[13120,""B06-SP-41""]",'SKU明细'!$AE$9:$AE$1592,0)),INDEX('SKU明细'!$G$9:$G$1592,MATCH("[13120,""B06-SP-42""]",'SKU明细'!$AE$9:$AE$1592,0)),INDEX('SKU明细'!$G$9:$G$1592,MATCH("[13120,""B06-SP-37""]",'SKU明细'!$AE$9:$AE$1592,0)),INDEX('SKU明细'!$G$9:$G$1592,MATCH("[13120,""B06-SP-38.5""]",'SKU明细'!$AE$9:$AE$1592,0)))=10,SUM(INDEX('SKU明细'!$G$9:$G$1592,MATCH("[13120,""B06-SP-37.5""]",'SKU明细'!$AE$9:$AE$1592,0)),INDEX('SKU明细'!$G$9:$G$1592,MATCH("[13120,""B06-SP-38""]",'SKU明细'!$AE$9:$AE$1592,0)),INDEX('SKU明细'!$G$9:$G$1592,MATCH("[13120,""B06-SP-39""]",'SKU明细'!$AE$9:$AE$1592,0)),INDEX('SKU明细'!$G$9:$G$1592,MATCH("[13120,""B06-SP-39.5""]",'SKU明细'!$AE$9:$AE$1592,0)),INDEX('SKU明细'!$G$9:$G$1592,MATCH("[13120,""B06-SP-40""]",'SKU明细'!$AE$9:$AE$1592,0)),INDEX('SKU明细'!$G$9:$G$1592,MATCH("[13120,""B06-SP-40.5""]",'SKU明细'!$AE$9:$AE$1592,0)),INDEX('SKU明细'!$G$9:$G$1592,MATCH("[13120,""B06-SP-41""]",'SKU明细'!$AE$9:$AE$1592,0)),INDEX('SKU明细'!$G$9:$G$1592,MATCH("[13120,""B06-SP-42""]",'SKU明细'!$AE$9:$AE$1592,0)),INDEX('SKU明细'!$G$9:$G$1592,MATCH("[13120,""B06-SP-37""]",'SKU明细'!$AE$9:$AE$1592,0)),INDEX('SKU明细'!$G$9:$G$1592,MATCH("[13120,""B06-SP-38.5""]",'SKU明细'!$AE$9:$AE$1592,0)))&gt;0),SUM(INDEX('SKU明细'!$H$9:$H$1592,MATCH("[13120,""B06-SP-37.5""]",'SKU明细'!$AE$9:$AE$1592,0)),INDEX('SKU明细'!$H$9:$H$1592,MATCH("[13120,""B06-SP-38""]",'SKU明细'!$AE$9:$AE$1592,0)),INDEX('SKU明细'!$H$9:$H$1592,MATCH("[13120,""B06-SP-39""]",'SKU明细'!$AE$9:$AE$1592,0)),INDEX('SKU明细'!$H$9:$H$1592,MATCH("[13120,""B06-SP-39.5""]",'SKU明细'!$AE$9:$AE$1592,0)),INDEX('SKU明细'!$H$9:$H$1592,MATCH("[13120,""B06-SP-40""]",'SKU明细'!$AE$9:$AE$1592,0)),INDEX('SKU明细'!$H$9:$H$1592,MATCH("[13120,""B06-SP-40.5""]",'SKU明细'!$AE$9:$AE$1592,0)),INDEX('SKU明细'!$H$9:$H$1592,MATCH("[13120,""B06-SP-41""]",'SKU明细'!$AE$9:$AE$1592,0)),INDEX('SKU明细'!$H$9:$H$1592,MATCH("[13120,""B06-SP-42""]",'SKU明细'!$AE$9:$AE$1592,0)),INDEX('SKU明细'!$H$9:$H$1592,MATCH("[13120,""B06-SP-37""]",'SKU明细'!$AE$9:$AE$1592,0)),INDEX('SKU明细'!$H$9:$H$1592,MATCH("[13120,""B06-SP-38.5""]",'SKU明细'!$AE$9:$AE$1592,0)))/SUM(INDEX('SKU明细'!$G$9:$G$1592,MATCH("[13120,""B06-SP-37.5""]",'SKU明细'!$AE$9:$AE$1592,0)),INDEX('SKU明细'!$G$9:$G$1592,MATCH("[13120,""B06-SP-38""]",'SKU明细'!$AE$9:$AE$1592,0)),INDEX('SKU明细'!$G$9:$G$1592,MATCH("[13120,""B06-SP-39""]",'SKU明细'!$AE$9:$AE$1592,0)),INDEX('SKU明细'!$G$9:$G$1592,MATCH("[13120,""B06-SP-39.5""]",'SKU明细'!$AE$9:$AE$1592,0)),INDEX('SKU明细'!$G$9:$G$1592,MATCH("[13120,""B06-SP-40""]",'SKU明细'!$AE$9:$AE$1592,0)),INDEX('SKU明细'!$G$9:$G$1592,MATCH("[13120,""B06-SP-40.5""]",'SKU明细'!$AE$9:$AE$1592,0)),INDEX('SKU明细'!$G$9:$G$1592,MATCH("[13120,""B06-SP-41""]",'SKU明细'!$AE$9:$AE$1592,0)),INDEX('SKU明细'!$G$9:$G$1592,MATCH("[13120,""B06-SP-42""]",'SKU明细'!$AE$9:$AE$1592,0)),INDEX('SKU明细'!$G$9:$G$1592,MATCH("[13120,""B06-SP-37""]",'SKU明细'!$AE$9:$AE$1592,0)),INDEX('SKU明细'!$G$9:$G$1592,MATCH("[13120,""B06-SP-38.5""]",'SKU明细'!$AE$9:$AE$1592,0))),"待核")</x:f>
        <x:v>9.61978928080623</x:v>
      </x:c>
      <x:c r="T80" s="21" t="str">
        <x:f>IF(AND(COUNT(INDEX('SKU明细'!$I$9:$I$1592,MATCH("[13120,""B06-SP-37.5""]",'SKU明细'!$AE$9:$AE$1592,0)),INDEX('SKU明细'!$I$9:$I$1592,MATCH("[13120,""B06-SP-38""]",'SKU明细'!$AE$9:$AE$1592,0)),INDEX('SKU明细'!$I$9:$I$1592,MATCH("[13120,""B06-SP-39""]",'SKU明细'!$AE$9:$AE$1592,0)),INDEX('SKU明细'!$I$9:$I$1592,MATCH("[13120,""B06-SP-39.5""]",'SKU明细'!$AE$9:$AE$1592,0)),INDEX('SKU明细'!$I$9:$I$1592,MATCH("[13120,""B06-SP-40""]",'SKU明细'!$AE$9:$AE$1592,0)),INDEX('SKU明细'!$I$9:$I$1592,MATCH("[13120,""B06-SP-40.5""]",'SKU明细'!$AE$9:$AE$1592,0)),INDEX('SKU明细'!$I$9:$I$1592,MATCH("[13120,""B06-SP-41""]",'SKU明细'!$AE$9:$AE$1592,0)),INDEX('SKU明细'!$I$9:$I$1592,MATCH("[13120,""B06-SP-42""]",'SKU明细'!$AE$9:$AE$1592,0)),INDEX('SKU明细'!$I$9:$I$1592,MATCH("[13120,""B06-SP-37""]",'SKU明细'!$AE$9:$AE$1592,0)),INDEX('SKU明细'!$I$9:$I$1592,MATCH("[13120,""B06-SP-38.5""]",'SKU明细'!$AE$9:$AE$1592,0)))=10,COUNT(INDEX('SKU明细'!$AD$9:$AD$1592,MATCH("[13120,""B06-SP-37.5""]",'SKU明细'!$AE$9:$AE$1592,0)),INDEX('SKU明细'!$AD$9:$AD$1592,MATCH("[13120,""B06-SP-38""]",'SKU明细'!$AE$9:$AE$1592,0)),INDEX('SKU明细'!$AD$9:$AD$1592,MATCH("[13120,""B06-SP-39""]",'SKU明细'!$AE$9:$AE$1592,0)),INDEX('SKU明细'!$AD$9:$AD$1592,MATCH("[13120,""B06-SP-39.5""]",'SKU明细'!$AE$9:$AE$1592,0)),INDEX('SKU明细'!$AD$9:$AD$1592,MATCH("[13120,""B06-SP-40""]",'SKU明细'!$AE$9:$AE$1592,0)),INDEX('SKU明细'!$AD$9:$AD$1592,MATCH("[13120,""B06-SP-40.5""]",'SKU明细'!$AE$9:$AE$1592,0)),INDEX('SKU明细'!$AD$9:$AD$1592,MATCH("[13120,""B06-SP-41""]",'SKU明细'!$AE$9:$AE$1592,0)),INDEX('SKU明细'!$AD$9:$AD$1592,MATCH("[13120,""B06-SP-42""]",'SKU明细'!$AE$9:$AE$1592,0)),INDEX('SKU明细'!$AD$9:$AD$1592,MATCH("[13120,""B06-SP-37""]",'SKU明细'!$AE$9:$AE$1592,0)),INDEX('SKU明细'!$AD$9:$AD$1592,MATCH("[13120,""B06-SP-38.5""]",'SKU明细'!$AE$9:$AE$1592,0)))=10,SUM(INDEX('SKU明细'!$AD$9:$AD$1592,MATCH("[13120,""B06-SP-37.5""]",'SKU明细'!$AE$9:$AE$1592,0)),INDEX('SKU明细'!$AD$9:$AD$1592,MATCH("[13120,""B06-SP-38""]",'SKU明细'!$AE$9:$AE$1592,0)),INDEX('SKU明细'!$AD$9:$AD$1592,MATCH("[13120,""B06-SP-39""]",'SKU明细'!$AE$9:$AE$1592,0)),INDEX('SKU明细'!$AD$9:$AD$1592,MATCH("[13120,""B06-SP-39.5""]",'SKU明细'!$AE$9:$AE$1592,0)),INDEX('SKU明细'!$AD$9:$AD$1592,MATCH("[13120,""B06-SP-40""]",'SKU明细'!$AE$9:$AE$1592,0)),INDEX('SKU明细'!$AD$9:$AD$1592,MATCH("[13120,""B06-SP-40.5""]",'SKU明细'!$AE$9:$AE$1592,0)),INDEX('SKU明细'!$AD$9:$AD$1592,MATCH("[13120,""B06-SP-41""]",'SKU明细'!$AE$9:$AE$1592,0)),INDEX('SKU明细'!$AD$9:$AD$1592,MATCH("[13120,""B06-SP-42""]",'SKU明细'!$AE$9:$AE$1592,0)),INDEX('SKU明细'!$AD$9:$AD$1592,MATCH("[13120,""B06-SP-37""]",'SKU明细'!$AE$9:$AE$1592,0)),INDEX('SKU明细'!$AD$9:$AD$1592,MATCH("[13120,""B06-SP-38.5""]",'SKU明细'!$AE$9:$AE$1592,0)))&gt;0),SUM(INDEX('SKU明细'!$I$9:$I$1592,MATCH("[13120,""B06-SP-37.5""]",'SKU明细'!$AE$9:$AE$1592,0)),INDEX('SKU明细'!$I$9:$I$1592,MATCH("[13120,""B06-SP-38""]",'SKU明细'!$AE$9:$AE$1592,0)),INDEX('SKU明细'!$I$9:$I$1592,MATCH("[13120,""B06-SP-39""]",'SKU明细'!$AE$9:$AE$1592,0)),INDEX('SKU明细'!$I$9:$I$1592,MATCH("[13120,""B06-SP-39.5""]",'SKU明细'!$AE$9:$AE$1592,0)),INDEX('SKU明细'!$I$9:$I$1592,MATCH("[13120,""B06-SP-40""]",'SKU明细'!$AE$9:$AE$1592,0)),INDEX('SKU明细'!$I$9:$I$1592,MATCH("[13120,""B06-SP-40.5""]",'SKU明细'!$AE$9:$AE$1592,0)),INDEX('SKU明细'!$I$9:$I$1592,MATCH("[13120,""B06-SP-41""]",'SKU明细'!$AE$9:$AE$1592,0)),INDEX('SKU明细'!$I$9:$I$1592,MATCH("[13120,""B06-SP-42""]",'SKU明细'!$AE$9:$AE$1592,0)),INDEX('SKU明细'!$I$9:$I$1592,MATCH("[13120,""B06-SP-37""]",'SKU明细'!$AE$9:$AE$1592,0)),INDEX('SKU明细'!$I$9:$I$1592,MATCH("[13120,""B06-SP-38.5""]",'SKU明细'!$AE$9:$AE$1592,0)))/SUM(INDEX('SKU明细'!$AD$9:$AD$1592,MATCH("[13120,""B06-SP-37.5""]",'SKU明细'!$AE$9:$AE$1592,0)),INDEX('SKU明细'!$AD$9:$AD$1592,MATCH("[13120,""B06-SP-38""]",'SKU明细'!$AE$9:$AE$1592,0)),INDEX('SKU明细'!$AD$9:$AD$1592,MATCH("[13120,""B06-SP-39""]",'SKU明细'!$AE$9:$AE$1592,0)),INDEX('SKU明细'!$AD$9:$AD$1592,MATCH("[13120,""B06-SP-39.5""]",'SKU明细'!$AE$9:$AE$1592,0)),INDEX('SKU明细'!$AD$9:$AD$1592,MATCH("[13120,""B06-SP-40""]",'SKU明细'!$AE$9:$AE$1592,0)),INDEX('SKU明细'!$AD$9:$AD$1592,MATCH("[13120,""B06-SP-40.5""]",'SKU明细'!$AE$9:$AE$1592,0)),INDEX('SKU明细'!$AD$9:$AD$1592,MATCH("[13120,""B06-SP-41""]",'SKU明细'!$AE$9:$AE$1592,0)),INDEX('SKU明细'!$AD$9:$AD$1592,MATCH("[13120,""B06-SP-42""]",'SKU明细'!$AE$9:$AE$1592,0)),INDEX('SKU明细'!$AD$9:$AD$1592,MATCH("[13120,""B06-SP-37""]",'SKU明细'!$AE$9:$AE$1592,0)),INDEX('SKU明细'!$AD$9:$AD$1592,MATCH("[13120,""B06-SP-38.5""]",'SKU明细'!$AE$9:$AE$1592,0))),"待核")</x:f>
        <x:v>待核</x:v>
      </x:c>
      <x:c r="U80" s="21" t="str">
        <x:f>IF(COUNT(S80:T80)=2,S80-T80,"待核")</x:f>
        <x:v>待核</x:v>
      </x:c>
      <x:c r="V80" s="22" t="str">
        <x:f>IF(AND(ISNUMBER(U80),ISNUMBER(T80),T80&lt;&gt;0),U80/T80,"")</x:f>
      </x:c>
      <x:c r="W80" s="23" t="n">
        <x:f>IF(COUNT(INDEX('SKU明细'!$H$9:$H$1592,MATCH("[13120,""B06-SP-37.5""]",'SKU明细'!$AE$9:$AE$1592,0)),INDEX('SKU明细'!$H$9:$H$1592,MATCH("[13120,""B06-SP-38""]",'SKU明细'!$AE$9:$AE$1592,0)),INDEX('SKU明细'!$H$9:$H$1592,MATCH("[13120,""B06-SP-39""]",'SKU明细'!$AE$9:$AE$1592,0)),INDEX('SKU明细'!$H$9:$H$1592,MATCH("[13120,""B06-SP-39.5""]",'SKU明细'!$AE$9:$AE$1592,0)),INDEX('SKU明细'!$H$9:$H$1592,MATCH("[13120,""B06-SP-40""]",'SKU明细'!$AE$9:$AE$1592,0)),INDEX('SKU明细'!$H$9:$H$1592,MATCH("[13120,""B06-SP-40.5""]",'SKU明细'!$AE$9:$AE$1592,0)),INDEX('SKU明细'!$H$9:$H$1592,MATCH("[13120,""B06-SP-41""]",'SKU明细'!$AE$9:$AE$1592,0)),INDEX('SKU明细'!$H$9:$H$1592,MATCH("[13120,""B06-SP-42""]",'SKU明细'!$AE$9:$AE$1592,0)),INDEX('SKU明细'!$H$9:$H$1592,MATCH("[13120,""B06-SP-37""]",'SKU明细'!$AE$9:$AE$1592,0)),INDEX('SKU明细'!$H$9:$H$1592,MATCH("[13120,""B06-SP-38.5""]",'SKU明细'!$AE$9:$AE$1592,0)))=0,"待核",SUM(INDEX('SKU明细'!$H$9:$H$1592,MATCH("[13120,""B06-SP-37.5""]",'SKU明细'!$AE$9:$AE$1592,0)),INDEX('SKU明细'!$H$9:$H$1592,MATCH("[13120,""B06-SP-38""]",'SKU明细'!$AE$9:$AE$1592,0)),INDEX('SKU明细'!$H$9:$H$1592,MATCH("[13120,""B06-SP-39""]",'SKU明细'!$AE$9:$AE$1592,0)),INDEX('SKU明细'!$H$9:$H$1592,MATCH("[13120,""B06-SP-39.5""]",'SKU明细'!$AE$9:$AE$1592,0)),INDEX('SKU明细'!$H$9:$H$1592,MATCH("[13120,""B06-SP-40""]",'SKU明细'!$AE$9:$AE$1592,0)),INDEX('SKU明细'!$H$9:$H$1592,MATCH("[13120,""B06-SP-40.5""]",'SKU明细'!$AE$9:$AE$1592,0)),INDEX('SKU明细'!$H$9:$H$1592,MATCH("[13120,""B06-SP-41""]",'SKU明细'!$AE$9:$AE$1592,0)),INDEX('SKU明细'!$H$9:$H$1592,MATCH("[13120,""B06-SP-42""]",'SKU明细'!$AE$9:$AE$1592,0)),INDEX('SKU明细'!$H$9:$H$1592,MATCH("[13120,""B06-SP-37""]",'SKU明细'!$AE$9:$AE$1592,0)),INDEX('SKU明细'!$H$9:$H$1592,MATCH("[13120,""B06-SP-38.5""]",'SKU明细'!$AE$9:$AE$1592,0))))</x:f>
        <x:v>10</x:v>
      </x:c>
      <x:c r="X80" s="24" t="str">
        <x:f>IF(COUNTIFS('SKU明细'!$AH$9:$AH$1592,"[""B06"",""B06-SP"",""SP"",""蛇纹PU""]",'SKU明细'!$E$9:$E$1592,"促销")&gt;0,"促销 ","")&amp;IF(COUNTIFS('SKU明细'!$AH$9:$AH$1592,"[""B06"",""B06-SP"",""SP"",""蛇纹PU""]",'SKU明细'!$E$9:$E$1592,"红线促销")&gt;0,"红线促销 ","")&amp;IF(COUNTIFS('SKU明细'!$AH$9:$AH$1592,"[""B06"",""B06-SP"",""SP"",""蛇纹PU""]",'SKU明细'!$E$9:$E$1592,"考虑清仓")&gt;0,"考虑清仓 ","")&amp;IF(COUNTIFS('SKU明细'!$AH$9:$AH$1592,"[""B06"",""B06-SP"",""SP"",""蛇纹PU""]",'SKU明细'!$E$9:$E$1592,"断货")&gt;0,"断货 ","")&amp;IF(COUNTIFS('SKU明细'!$AH$9:$AH$1592,"[""B06"",""B06-SP"",""SP"",""蛇纹PU""]",'SKU明细'!$E$9:$E$1592,"零日销待复核")&gt;0,"零日销待复核 ","")&amp;IF(COUNTIFS('SKU明细'!$AH$9:$AH$1592,"[""B06"",""B06-SP"",""SP"",""蛇纹PU""]",'SKU明细'!$E$9:$E$1592,"数据待核")&gt;0,"数据待核 ","")&amp;IF(COUNTIFS('SKU明细'!$AH$9:$AH$1592,"[""B06"",""B06-SP"",""SP"",""蛇纹PU""]",'SKU明细'!$E$9:$E$1592,"正常库存")&gt;0,"正常库存 ","")&amp;IF(COUNTIFS('SKU明细'!$AH$9:$AH$1592,"[""B06"",""B06-SP"",""SP"",""蛇纹PU""]",'SKU明细'!$E$9:$E$1592,"补货提醒")&gt;0,"补货提醒 ","")</x:f>
        <x:v>促销 断货 补货提醒 </x:v>
      </x:c>
      <x:c r="Y80" s="24" t="str">
        <x:f>IF(NOT(ISNUMBER(U80)),"覆盖待核／无可比基准","完整可比")</x:f>
        <x:v>覆盖待核／无可比基准</x:v>
      </x:c>
      <x:c r="Z80" s="24" t="str">
        <x:v>在售、停售</x:v>
      </x:c>
      <x:c r="AA80" s="24" t="n">
        <x:f>IF(SUMIFS('SKU明细'!$AF$9:$AF$1592,'SKU明细'!$D$9:$D$1592,A80,'SKU明细'!$Z$9:$Z$1592,"&lt;&gt;移出")=0,"待核",SUMIFS('SKU明细'!$H$9:$H$1592,'SKU明细'!$D$9:$D$1592,A80,'SKU明细'!$Z$9:$Z$1592,"&lt;&gt;移出"))</x:f>
        <x:v>2095</x:v>
      </x:c>
    </x:row>
    <x:row r="81" ht="54" customHeight="1">
      <x:c r="A81" s="20" t="str">
        <x:v>B06</x:v>
      </x:c>
      <x:c r="B81" s="20" t="str">
        <x:v>艾年</x:v>
      </x:c>
      <x:c r="C81" s="20" t="str">
        <x:v>驼色羊京绒</x:v>
      </x:c>
      <x:c r="D81" s="20" t="str">
        <x:v>TN</x:v>
      </x:c>
      <x:c r="E81" s="20" t="str">
        <x:v>B06-TN</x:v>
      </x:c>
      <x:c r="F81" s="20"/>
      <x:c r="G81" s="21" t="str">
        <x:f>"—"</x:f>
        <x:v>—</x:v>
      </x:c>
      <x:c r="H81" s="21" t="n">
        <x:f>IF(AND(COUNT(INDEX('SKU明细'!$H$9:$H$1592,MATCH("[13120,""B06-TN-37""]",'SKU明细'!$AE$9:$AE$1592,0)))=1,COUNT(INDEX('SKU明细'!$G$9:$G$1592,MATCH("[13120,""B06-TN-37""]",'SKU明细'!$AE$9:$AE$1592,0)))=1,SUM(INDEX('SKU明细'!$G$9:$G$1592,MATCH("[13120,""B06-TN-37""]",'SKU明细'!$AE$9:$AE$1592,0)))&gt;0),SUM(INDEX('SKU明细'!$H$9:$H$1592,MATCH("[13120,""B06-TN-37""]",'SKU明细'!$AE$9:$AE$1592,0)))/SUM(INDEX('SKU明细'!$G$9:$G$1592,MATCH("[13120,""B06-TN-37""]",'SKU明细'!$AE$9:$AE$1592,0))),"待核")</x:f>
        <x:v>76.78244972577697</x:v>
      </x:c>
      <x:c r="I81" s="21" t="n">
        <x:f>IF(AND(COUNT(INDEX('SKU明细'!$H$9:$H$1592,MATCH("[13120,""B06-TN-37.5""]",'SKU明细'!$AE$9:$AE$1592,0)))=1,COUNT(INDEX('SKU明细'!$G$9:$G$1592,MATCH("[13120,""B06-TN-37.5""]",'SKU明细'!$AE$9:$AE$1592,0)))=1,SUM(INDEX('SKU明细'!$G$9:$G$1592,MATCH("[13120,""B06-TN-37.5""]",'SKU明细'!$AE$9:$AE$1592,0)))&gt;0),SUM(INDEX('SKU明细'!$H$9:$H$1592,MATCH("[13120,""B06-TN-37.5""]",'SKU明细'!$AE$9:$AE$1592,0)))/SUM(INDEX('SKU明细'!$G$9:$G$1592,MATCH("[13120,""B06-TN-37.5""]",'SKU明细'!$AE$9:$AE$1592,0))),"待核")</x:f>
        <x:v>72.70875763747455</x:v>
      </x:c>
      <x:c r="J81" s="21" t="n">
        <x:f>IF(AND(COUNT(INDEX('SKU明细'!$H$9:$H$1592,MATCH("[13120,""B06-TN-38-N""]",'SKU明细'!$AE$9:$AE$1592,0)))=1,COUNT(INDEX('SKU明细'!$G$9:$G$1592,MATCH("[13120,""B06-TN-38-N""]",'SKU明细'!$AE$9:$AE$1592,0)))=1,SUM(INDEX('SKU明细'!$G$9:$G$1592,MATCH("[13120,""B06-TN-38-N""]",'SKU明细'!$AE$9:$AE$1592,0)))&gt;0),SUM(INDEX('SKU明细'!$H$9:$H$1592,MATCH("[13120,""B06-TN-38-N""]",'SKU明细'!$AE$9:$AE$1592,0)))/SUM(INDEX('SKU明细'!$G$9:$G$1592,MATCH("[13120,""B06-TN-38-N""]",'SKU明细'!$AE$9:$AE$1592,0))),"待核")</x:f>
        <x:v>85.29411764705883</x:v>
      </x:c>
      <x:c r="K81" s="21" t="n">
        <x:f>IF(AND(COUNT(INDEX('SKU明细'!$H$9:$H$1592,MATCH("[13120,""B06-TN-38.5""]",'SKU明细'!$AE$9:$AE$1592,0)))=1,COUNT(INDEX('SKU明细'!$G$9:$G$1592,MATCH("[13120,""B06-TN-38.5""]",'SKU明细'!$AE$9:$AE$1592,0)))=1,SUM(INDEX('SKU明细'!$G$9:$G$1592,MATCH("[13120,""B06-TN-38.5""]",'SKU明细'!$AE$9:$AE$1592,0)))&gt;0),SUM(INDEX('SKU明细'!$H$9:$H$1592,MATCH("[13120,""B06-TN-38.5""]",'SKU明细'!$AE$9:$AE$1592,0)))/SUM(INDEX('SKU明细'!$G$9:$G$1592,MATCH("[13120,""B06-TN-38.5""]",'SKU明细'!$AE$9:$AE$1592,0))),"待核")</x:f>
        <x:v>0</x:v>
      </x:c>
      <x:c r="L81" s="21" t="n">
        <x:f>IF(AND(COUNT(INDEX('SKU明细'!$H$9:$H$1592,MATCH("[13120,""B06-TN-39-N""]",'SKU明细'!$AE$9:$AE$1592,0)))=1,COUNT(INDEX('SKU明细'!$G$9:$G$1592,MATCH("[13120,""B06-TN-39-N""]",'SKU明细'!$AE$9:$AE$1592,0)))=1,SUM(INDEX('SKU明细'!$G$9:$G$1592,MATCH("[13120,""B06-TN-39-N""]",'SKU明细'!$AE$9:$AE$1592,0)))&gt;0),SUM(INDEX('SKU明细'!$H$9:$H$1592,MATCH("[13120,""B06-TN-39-N""]",'SKU明细'!$AE$9:$AE$1592,0)))/SUM(INDEX('SKU明细'!$G$9:$G$1592,MATCH("[13120,""B06-TN-39-N""]",'SKU明细'!$AE$9:$AE$1592,0))),"待核")</x:f>
        <x:v>38.0246913580247</x:v>
      </x:c>
      <x:c r="M81" s="21" t="n">
        <x:f>IF(AND(COUNT(INDEX('SKU明细'!$H$9:$H$1592,MATCH("[13120,""B06-TN-39.5""]",'SKU明细'!$AE$9:$AE$1592,0)))=1,COUNT(INDEX('SKU明细'!$G$9:$G$1592,MATCH("[13120,""B06-TN-39.5""]",'SKU明细'!$AE$9:$AE$1592,0)))=1,SUM(INDEX('SKU明细'!$G$9:$G$1592,MATCH("[13120,""B06-TN-39.5""]",'SKU明细'!$AE$9:$AE$1592,0)))&gt;0),SUM(INDEX('SKU明细'!$H$9:$H$1592,MATCH("[13120,""B06-TN-39.5""]",'SKU明细'!$AE$9:$AE$1592,0)))/SUM(INDEX('SKU明细'!$G$9:$G$1592,MATCH("[13120,""B06-TN-39.5""]",'SKU明细'!$AE$9:$AE$1592,0))),"待核")</x:f>
        <x:v>1650</x:v>
      </x:c>
      <x:c r="N81" s="21" t="n">
        <x:f>IF(AND(COUNT(INDEX('SKU明细'!$H$9:$H$1592,MATCH("[13120,""B06-TN-40-N""]",'SKU明细'!$AE$9:$AE$1592,0)))=1,COUNT(INDEX('SKU明细'!$G$9:$G$1592,MATCH("[13120,""B06-TN-40-N""]",'SKU明细'!$AE$9:$AE$1592,0)))=1,SUM(INDEX('SKU明细'!$G$9:$G$1592,MATCH("[13120,""B06-TN-40-N""]",'SKU明细'!$AE$9:$AE$1592,0)))&gt;0),SUM(INDEX('SKU明细'!$H$9:$H$1592,MATCH("[13120,""B06-TN-40-N""]",'SKU明细'!$AE$9:$AE$1592,0)))/SUM(INDEX('SKU明细'!$G$9:$G$1592,MATCH("[13120,""B06-TN-40-N""]",'SKU明细'!$AE$9:$AE$1592,0))),"待核")</x:f>
        <x:v>105.80152671755725</x:v>
      </x:c>
      <x:c r="O81" s="21" t="n">
        <x:f>IF(AND(COUNT(INDEX('SKU明细'!$H$9:$H$1592,MATCH("[13120,""B06-TN-40.5""]",'SKU明细'!$AE$9:$AE$1592,0)))=1,COUNT(INDEX('SKU明细'!$G$9:$G$1592,MATCH("[13120,""B06-TN-40.5""]",'SKU明细'!$AE$9:$AE$1592,0)))=1,SUM(INDEX('SKU明细'!$G$9:$G$1592,MATCH("[13120,""B06-TN-40.5""]",'SKU明细'!$AE$9:$AE$1592,0)))&gt;0),SUM(INDEX('SKU明细'!$H$9:$H$1592,MATCH("[13120,""B06-TN-40.5""]",'SKU明细'!$AE$9:$AE$1592,0)))/SUM(INDEX('SKU明细'!$G$9:$G$1592,MATCH("[13120,""B06-TN-40.5""]",'SKU明细'!$AE$9:$AE$1592,0))),"待核")</x:f>
        <x:v>600</x:v>
      </x:c>
      <x:c r="P81" s="21" t="n">
        <x:f>IF(AND(COUNT(INDEX('SKU明细'!$H$9:$H$1592,MATCH("[13120,""B06-TN-41-N""]",'SKU明细'!$AE$9:$AE$1592,0)))=1,COUNT(INDEX('SKU明细'!$G$9:$G$1592,MATCH("[13120,""B06-TN-41-N""]",'SKU明细'!$AE$9:$AE$1592,0)))=1,SUM(INDEX('SKU明细'!$G$9:$G$1592,MATCH("[13120,""B06-TN-41-N""]",'SKU明细'!$AE$9:$AE$1592,0)))&gt;0),SUM(INDEX('SKU明细'!$H$9:$H$1592,MATCH("[13120,""B06-TN-41-N""]",'SKU明细'!$AE$9:$AE$1592,0)))/SUM(INDEX('SKU明细'!$G$9:$G$1592,MATCH("[13120,""B06-TN-41-N""]",'SKU明细'!$AE$9:$AE$1592,0))),"待核")</x:f>
        <x:v>18.59778597785978</x:v>
      </x:c>
      <x:c r="Q81" s="21" t="n">
        <x:f>IF(AND(COUNT(INDEX('SKU明细'!$H$9:$H$1592,MATCH("[13120,""B06-TN-41.5""]",'SKU明细'!$AE$9:$AE$1592,0)))=1,COUNT(INDEX('SKU明细'!$G$9:$G$1592,MATCH("[13120,""B06-TN-41.5""]",'SKU明细'!$AE$9:$AE$1592,0)))=1,SUM(INDEX('SKU明细'!$G$9:$G$1592,MATCH("[13120,""B06-TN-41.5""]",'SKU明细'!$AE$9:$AE$1592,0)))&gt;0),SUM(INDEX('SKU明细'!$H$9:$H$1592,MATCH("[13120,""B06-TN-41.5""]",'SKU明细'!$AE$9:$AE$1592,0)))/SUM(INDEX('SKU明细'!$G$9:$G$1592,MATCH("[13120,""B06-TN-41.5""]",'SKU明细'!$AE$9:$AE$1592,0))),"待核")</x:f>
        <x:v>113.00448430493275</x:v>
      </x:c>
      <x:c r="R81" s="21" t="n">
        <x:f>IF(AND(COUNT(INDEX('SKU明细'!$H$9:$H$1592,MATCH("[13120,""B06-TN-42-N""]",'SKU明细'!$AE$9:$AE$1592,0)))=1,COUNT(INDEX('SKU明细'!$G$9:$G$1592,MATCH("[13120,""B06-TN-42-N""]",'SKU明细'!$AE$9:$AE$1592,0)))=1,SUM(INDEX('SKU明细'!$G$9:$G$1592,MATCH("[13120,""B06-TN-42-N""]",'SKU明细'!$AE$9:$AE$1592,0)))&gt;0),SUM(INDEX('SKU明细'!$H$9:$H$1592,MATCH("[13120,""B06-TN-42-N""]",'SKU明细'!$AE$9:$AE$1592,0)))/SUM(INDEX('SKU明细'!$G$9:$G$1592,MATCH("[13120,""B06-TN-42-N""]",'SKU明细'!$AE$9:$AE$1592,0))),"待核")</x:f>
        <x:v>92.19512195121952</x:v>
      </x:c>
      <x:c r="S81" s="21" t="n">
        <x:f>IF(AND(COUNT(INDEX('SKU明细'!$H$9:$H$1592,MATCH("[13120,""B06-TN-39.5""]",'SKU明细'!$AE$9:$AE$1592,0)),INDEX('SKU明细'!$H$9:$H$1592,MATCH("[13120,""B06-TN-40.5""]",'SKU明细'!$AE$9:$AE$1592,0)),INDEX('SKU明细'!$H$9:$H$1592,MATCH("[13120,""B06-TN-40-N""]",'SKU明细'!$AE$9:$AE$1592,0)),INDEX('SKU明细'!$H$9:$H$1592,MATCH("[13120,""B06-TN-41.5""]",'SKU明细'!$AE$9:$AE$1592,0)),INDEX('SKU明细'!$H$9:$H$1592,MATCH("[13120,""B06-TN-42-N""]",'SKU明细'!$AE$9:$AE$1592,0)),INDEX('SKU明细'!$H$9:$H$1592,MATCH("[13120,""B06-TN-38.5""]",'SKU明细'!$AE$9:$AE$1592,0)),INDEX('SKU明细'!$H$9:$H$1592,MATCH("[13120,""B06-TN-37""]",'SKU明细'!$AE$9:$AE$1592,0)),INDEX('SKU明细'!$H$9:$H$1592,MATCH("[13120,""B06-TN-37.5""]",'SKU明细'!$AE$9:$AE$1592,0)),INDEX('SKU明细'!$H$9:$H$1592,MATCH("[13120,""B06-TN-38-N""]",'SKU明细'!$AE$9:$AE$1592,0)),INDEX('SKU明细'!$H$9:$H$1592,MATCH("[13120,""B06-TN-39-N""]",'SKU明细'!$AE$9:$AE$1592,0)),INDEX('SKU明细'!$H$9:$H$1592,MATCH("[13120,""B06-TN-41-N""]",'SKU明细'!$AE$9:$AE$1592,0)))=11,COUNT(INDEX('SKU明细'!$G$9:$G$1592,MATCH("[13120,""B06-TN-39.5""]",'SKU明细'!$AE$9:$AE$1592,0)),INDEX('SKU明细'!$G$9:$G$1592,MATCH("[13120,""B06-TN-40.5""]",'SKU明细'!$AE$9:$AE$1592,0)),INDEX('SKU明细'!$G$9:$G$1592,MATCH("[13120,""B06-TN-40-N""]",'SKU明细'!$AE$9:$AE$1592,0)),INDEX('SKU明细'!$G$9:$G$1592,MATCH("[13120,""B06-TN-41.5""]",'SKU明细'!$AE$9:$AE$1592,0)),INDEX('SKU明细'!$G$9:$G$1592,MATCH("[13120,""B06-TN-42-N""]",'SKU明细'!$AE$9:$AE$1592,0)),INDEX('SKU明细'!$G$9:$G$1592,MATCH("[13120,""B06-TN-38.5""]",'SKU明细'!$AE$9:$AE$1592,0)),INDEX('SKU明细'!$G$9:$G$1592,MATCH("[13120,""B06-TN-37""]",'SKU明细'!$AE$9:$AE$1592,0)),INDEX('SKU明细'!$G$9:$G$1592,MATCH("[13120,""B06-TN-37.5""]",'SKU明细'!$AE$9:$AE$1592,0)),INDEX('SKU明细'!$G$9:$G$1592,MATCH("[13120,""B06-TN-38-N""]",'SKU明细'!$AE$9:$AE$1592,0)),INDEX('SKU明细'!$G$9:$G$1592,MATCH("[13120,""B06-TN-39-N""]",'SKU明细'!$AE$9:$AE$1592,0)),INDEX('SKU明细'!$G$9:$G$1592,MATCH("[13120,""B06-TN-41-N""]",'SKU明细'!$AE$9:$AE$1592,0)))=11,SUM(INDEX('SKU明细'!$G$9:$G$1592,MATCH("[13120,""B06-TN-39.5""]",'SKU明细'!$AE$9:$AE$1592,0)),INDEX('SKU明细'!$G$9:$G$1592,MATCH("[13120,""B06-TN-40.5""]",'SKU明细'!$AE$9:$AE$1592,0)),INDEX('SKU明细'!$G$9:$G$1592,MATCH("[13120,""B06-TN-40-N""]",'SKU明细'!$AE$9:$AE$1592,0)),INDEX('SKU明细'!$G$9:$G$1592,MATCH("[13120,""B06-TN-41.5""]",'SKU明细'!$AE$9:$AE$1592,0)),INDEX('SKU明细'!$G$9:$G$1592,MATCH("[13120,""B06-TN-42-N""]",'SKU明细'!$AE$9:$AE$1592,0)),INDEX('SKU明细'!$G$9:$G$1592,MATCH("[13120,""B06-TN-38.5""]",'SKU明细'!$AE$9:$AE$1592,0)),INDEX('SKU明细'!$G$9:$G$1592,MATCH("[13120,""B06-TN-37""]",'SKU明细'!$AE$9:$AE$1592,0)),INDEX('SKU明细'!$G$9:$G$1592,MATCH("[13120,""B06-TN-37.5""]",'SKU明细'!$AE$9:$AE$1592,0)),INDEX('SKU明细'!$G$9:$G$1592,MATCH("[13120,""B06-TN-38-N""]",'SKU明细'!$AE$9:$AE$1592,0)),INDEX('SKU明细'!$G$9:$G$1592,MATCH("[13120,""B06-TN-39-N""]",'SKU明细'!$AE$9:$AE$1592,0)),INDEX('SKU明细'!$G$9:$G$1592,MATCH("[13120,""B06-TN-41-N""]",'SKU明细'!$AE$9:$AE$1592,0)))&gt;0),SUM(INDEX('SKU明细'!$H$9:$H$1592,MATCH("[13120,""B06-TN-39.5""]",'SKU明细'!$AE$9:$AE$1592,0)),INDEX('SKU明细'!$H$9:$H$1592,MATCH("[13120,""B06-TN-40.5""]",'SKU明细'!$AE$9:$AE$1592,0)),INDEX('SKU明细'!$H$9:$H$1592,MATCH("[13120,""B06-TN-40-N""]",'SKU明细'!$AE$9:$AE$1592,0)),INDEX('SKU明细'!$H$9:$H$1592,MATCH("[13120,""B06-TN-41.5""]",'SKU明细'!$AE$9:$AE$1592,0)),INDEX('SKU明细'!$H$9:$H$1592,MATCH("[13120,""B06-TN-42-N""]",'SKU明细'!$AE$9:$AE$1592,0)),INDEX('SKU明细'!$H$9:$H$1592,MATCH("[13120,""B06-TN-38.5""]",'SKU明细'!$AE$9:$AE$1592,0)),INDEX('SKU明细'!$H$9:$H$1592,MATCH("[13120,""B06-TN-37""]",'SKU明细'!$AE$9:$AE$1592,0)),INDEX('SKU明细'!$H$9:$H$1592,MATCH("[13120,""B06-TN-37.5""]",'SKU明细'!$AE$9:$AE$1592,0)),INDEX('SKU明细'!$H$9:$H$1592,MATCH("[13120,""B06-TN-38-N""]",'SKU明细'!$AE$9:$AE$1592,0)),INDEX('SKU明细'!$H$9:$H$1592,MATCH("[13120,""B06-TN-39-N""]",'SKU明细'!$AE$9:$AE$1592,0)),INDEX('SKU明细'!$H$9:$H$1592,MATCH("[13120,""B06-TN-41-N""]",'SKU明细'!$AE$9:$AE$1592,0)))/SUM(INDEX('SKU明细'!$G$9:$G$1592,MATCH("[13120,""B06-TN-39.5""]",'SKU明细'!$AE$9:$AE$1592,0)),INDEX('SKU明细'!$G$9:$G$1592,MATCH("[13120,""B06-TN-40.5""]",'SKU明细'!$AE$9:$AE$1592,0)),INDEX('SKU明细'!$G$9:$G$1592,MATCH("[13120,""B06-TN-40-N""]",'SKU明细'!$AE$9:$AE$1592,0)),INDEX('SKU明细'!$G$9:$G$1592,MATCH("[13120,""B06-TN-41.5""]",'SKU明细'!$AE$9:$AE$1592,0)),INDEX('SKU明细'!$G$9:$G$1592,MATCH("[13120,""B06-TN-42-N""]",'SKU明细'!$AE$9:$AE$1592,0)),INDEX('SKU明细'!$G$9:$G$1592,MATCH("[13120,""B06-TN-38.5""]",'SKU明细'!$AE$9:$AE$1592,0)),INDEX('SKU明细'!$G$9:$G$1592,MATCH("[13120,""B06-TN-37""]",'SKU明细'!$AE$9:$AE$1592,0)),INDEX('SKU明细'!$G$9:$G$1592,MATCH("[13120,""B06-TN-37.5""]",'SKU明细'!$AE$9:$AE$1592,0)),INDEX('SKU明细'!$G$9:$G$1592,MATCH("[13120,""B06-TN-38-N""]",'SKU明细'!$AE$9:$AE$1592,0)),INDEX('SKU明细'!$G$9:$G$1592,MATCH("[13120,""B06-TN-39-N""]",'SKU明细'!$AE$9:$AE$1592,0)),INDEX('SKU明细'!$G$9:$G$1592,MATCH("[13120,""B06-TN-41-N""]",'SKU明细'!$AE$9:$AE$1592,0))),"待核")</x:f>
        <x:v>64.1308276111312</x:v>
      </x:c>
      <x:c r="T81" s="21" t="n">
        <x:f>IF(AND(COUNT(INDEX('SKU明细'!$I$9:$I$1592,MATCH("[13120,""B06-TN-39.5""]",'SKU明细'!$AE$9:$AE$1592,0)),INDEX('SKU明细'!$I$9:$I$1592,MATCH("[13120,""B06-TN-40.5""]",'SKU明细'!$AE$9:$AE$1592,0)),INDEX('SKU明细'!$I$9:$I$1592,MATCH("[13120,""B06-TN-40-N""]",'SKU明细'!$AE$9:$AE$1592,0)),INDEX('SKU明细'!$I$9:$I$1592,MATCH("[13120,""B06-TN-41.5""]",'SKU明细'!$AE$9:$AE$1592,0)),INDEX('SKU明细'!$I$9:$I$1592,MATCH("[13120,""B06-TN-42-N""]",'SKU明细'!$AE$9:$AE$1592,0)),INDEX('SKU明细'!$I$9:$I$1592,MATCH("[13120,""B06-TN-38.5""]",'SKU明细'!$AE$9:$AE$1592,0)),INDEX('SKU明细'!$I$9:$I$1592,MATCH("[13120,""B06-TN-37""]",'SKU明细'!$AE$9:$AE$1592,0)),INDEX('SKU明细'!$I$9:$I$1592,MATCH("[13120,""B06-TN-37.5""]",'SKU明细'!$AE$9:$AE$1592,0)),INDEX('SKU明细'!$I$9:$I$1592,MATCH("[13120,""B06-TN-38-N""]",'SKU明细'!$AE$9:$AE$1592,0)),INDEX('SKU明细'!$I$9:$I$1592,MATCH("[13120,""B06-TN-39-N""]",'SKU明细'!$AE$9:$AE$1592,0)),INDEX('SKU明细'!$I$9:$I$1592,MATCH("[13120,""B06-TN-41-N""]",'SKU明细'!$AE$9:$AE$1592,0)))=11,COUNT(INDEX('SKU明细'!$AD$9:$AD$1592,MATCH("[13120,""B06-TN-39.5""]",'SKU明细'!$AE$9:$AE$1592,0)),INDEX('SKU明细'!$AD$9:$AD$1592,MATCH("[13120,""B06-TN-40.5""]",'SKU明细'!$AE$9:$AE$1592,0)),INDEX('SKU明细'!$AD$9:$AD$1592,MATCH("[13120,""B06-TN-40-N""]",'SKU明细'!$AE$9:$AE$1592,0)),INDEX('SKU明细'!$AD$9:$AD$1592,MATCH("[13120,""B06-TN-41.5""]",'SKU明细'!$AE$9:$AE$1592,0)),INDEX('SKU明细'!$AD$9:$AD$1592,MATCH("[13120,""B06-TN-42-N""]",'SKU明细'!$AE$9:$AE$1592,0)),INDEX('SKU明细'!$AD$9:$AD$1592,MATCH("[13120,""B06-TN-38.5""]",'SKU明细'!$AE$9:$AE$1592,0)),INDEX('SKU明细'!$AD$9:$AD$1592,MATCH("[13120,""B06-TN-37""]",'SKU明细'!$AE$9:$AE$1592,0)),INDEX('SKU明细'!$AD$9:$AD$1592,MATCH("[13120,""B06-TN-37.5""]",'SKU明细'!$AE$9:$AE$1592,0)),INDEX('SKU明细'!$AD$9:$AD$1592,MATCH("[13120,""B06-TN-38-N""]",'SKU明细'!$AE$9:$AE$1592,0)),INDEX('SKU明细'!$AD$9:$AD$1592,MATCH("[13120,""B06-TN-39-N""]",'SKU明细'!$AE$9:$AE$1592,0)),INDEX('SKU明细'!$AD$9:$AD$1592,MATCH("[13120,""B06-TN-41-N""]",'SKU明细'!$AE$9:$AE$1592,0)))=11,SUM(INDEX('SKU明细'!$AD$9:$AD$1592,MATCH("[13120,""B06-TN-39.5""]",'SKU明细'!$AE$9:$AE$1592,0)),INDEX('SKU明细'!$AD$9:$AD$1592,MATCH("[13120,""B06-TN-40.5""]",'SKU明细'!$AE$9:$AE$1592,0)),INDEX('SKU明细'!$AD$9:$AD$1592,MATCH("[13120,""B06-TN-40-N""]",'SKU明细'!$AE$9:$AE$1592,0)),INDEX('SKU明细'!$AD$9:$AD$1592,MATCH("[13120,""B06-TN-41.5""]",'SKU明细'!$AE$9:$AE$1592,0)),INDEX('SKU明细'!$AD$9:$AD$1592,MATCH("[13120,""B06-TN-42-N""]",'SKU明细'!$AE$9:$AE$1592,0)),INDEX('SKU明细'!$AD$9:$AD$1592,MATCH("[13120,""B06-TN-38.5""]",'SKU明细'!$AE$9:$AE$1592,0)),INDEX('SKU明细'!$AD$9:$AD$1592,MATCH("[13120,""B06-TN-37""]",'SKU明细'!$AE$9:$AE$1592,0)),INDEX('SKU明细'!$AD$9:$AD$1592,MATCH("[13120,""B06-TN-37.5""]",'SKU明细'!$AE$9:$AE$1592,0)),INDEX('SKU明细'!$AD$9:$AD$1592,MATCH("[13120,""B06-TN-38-N""]",'SKU明细'!$AE$9:$AE$1592,0)),INDEX('SKU明细'!$AD$9:$AD$1592,MATCH("[13120,""B06-TN-39-N""]",'SKU明细'!$AE$9:$AE$1592,0)),INDEX('SKU明细'!$AD$9:$AD$1592,MATCH("[13120,""B06-TN-41-N""]",'SKU明细'!$AE$9:$AE$1592,0)))&gt;0),SUM(INDEX('SKU明细'!$I$9:$I$1592,MATCH("[13120,""B06-TN-39.5""]",'SKU明细'!$AE$9:$AE$1592,0)),INDEX('SKU明细'!$I$9:$I$1592,MATCH("[13120,""B06-TN-40.5""]",'SKU明细'!$AE$9:$AE$1592,0)),INDEX('SKU明细'!$I$9:$I$1592,MATCH("[13120,""B06-TN-40-N""]",'SKU明细'!$AE$9:$AE$1592,0)),INDEX('SKU明细'!$I$9:$I$1592,MATCH("[13120,""B06-TN-41.5""]",'SKU明细'!$AE$9:$AE$1592,0)),INDEX('SKU明细'!$I$9:$I$1592,MATCH("[13120,""B06-TN-42-N""]",'SKU明细'!$AE$9:$AE$1592,0)),INDEX('SKU明细'!$I$9:$I$1592,MATCH("[13120,""B06-TN-38.5""]",'SKU明细'!$AE$9:$AE$1592,0)),INDEX('SKU明细'!$I$9:$I$1592,MATCH("[13120,""B06-TN-37""]",'SKU明细'!$AE$9:$AE$1592,0)),INDEX('SKU明细'!$I$9:$I$1592,MATCH("[13120,""B06-TN-37.5""]",'SKU明细'!$AE$9:$AE$1592,0)),INDEX('SKU明细'!$I$9:$I$1592,MATCH("[13120,""B06-TN-38-N""]",'SKU明细'!$AE$9:$AE$1592,0)),INDEX('SKU明细'!$I$9:$I$1592,MATCH("[13120,""B06-TN-39-N""]",'SKU明细'!$AE$9:$AE$1592,0)),INDEX('SKU明细'!$I$9:$I$1592,MATCH("[13120,""B06-TN-41-N""]",'SKU明细'!$AE$9:$AE$1592,0)))/SUM(INDEX('SKU明细'!$AD$9:$AD$1592,MATCH("[13120,""B06-TN-39.5""]",'SKU明细'!$AE$9:$AE$1592,0)),INDEX('SKU明细'!$AD$9:$AD$1592,MATCH("[13120,""B06-TN-40.5""]",'SKU明细'!$AE$9:$AE$1592,0)),INDEX('SKU明细'!$AD$9:$AD$1592,MATCH("[13120,""B06-TN-40-N""]",'SKU明细'!$AE$9:$AE$1592,0)),INDEX('SKU明细'!$AD$9:$AD$1592,MATCH("[13120,""B06-TN-41.5""]",'SKU明细'!$AE$9:$AE$1592,0)),INDEX('SKU明细'!$AD$9:$AD$1592,MATCH("[13120,""B06-TN-42-N""]",'SKU明细'!$AE$9:$AE$1592,0)),INDEX('SKU明细'!$AD$9:$AD$1592,MATCH("[13120,""B06-TN-38.5""]",'SKU明细'!$AE$9:$AE$1592,0)),INDEX('SKU明细'!$AD$9:$AD$1592,MATCH("[13120,""B06-TN-37""]",'SKU明细'!$AE$9:$AE$1592,0)),INDEX('SKU明细'!$AD$9:$AD$1592,MATCH("[13120,""B06-TN-37.5""]",'SKU明细'!$AE$9:$AE$1592,0)),INDEX('SKU明细'!$AD$9:$AD$1592,MATCH("[13120,""B06-TN-38-N""]",'SKU明细'!$AE$9:$AE$1592,0)),INDEX('SKU明细'!$AD$9:$AD$1592,MATCH("[13120,""B06-TN-39-N""]",'SKU明细'!$AE$9:$AE$1592,0)),INDEX('SKU明细'!$AD$9:$AD$1592,MATCH("[13120,""B06-TN-41-N""]",'SKU明细'!$AE$9:$AE$1592,0))),"待核")</x:f>
        <x:v>81.40449438202246</x:v>
      </x:c>
      <x:c r="U81" s="21" t="n">
        <x:f>IF(COUNT(S81:T81)=2,S81-T81,"待核")</x:f>
        <x:v>-17.273666770891268</x:v>
      </x:c>
      <x:c r="V81" s="22" t="n">
        <x:f>IF(AND(ISNUMBER(U81),ISNUMBER(T81),T81&lt;&gt;0),U81/T81,"")</x:f>
        <x:v>-0.21219549242364708</x:v>
      </x:c>
      <x:c r="W81" s="23" t="n">
        <x:f>IF(COUNT(INDEX('SKU明细'!$H$9:$H$1592,MATCH("[13120,""B06-TN-39.5""]",'SKU明细'!$AE$9:$AE$1592,0)),INDEX('SKU明细'!$H$9:$H$1592,MATCH("[13120,""B06-TN-40.5""]",'SKU明细'!$AE$9:$AE$1592,0)),INDEX('SKU明细'!$H$9:$H$1592,MATCH("[13120,""B06-TN-40-N""]",'SKU明细'!$AE$9:$AE$1592,0)),INDEX('SKU明细'!$H$9:$H$1592,MATCH("[13120,""B06-TN-41.5""]",'SKU明细'!$AE$9:$AE$1592,0)),INDEX('SKU明细'!$H$9:$H$1592,MATCH("[13120,""B06-TN-42-N""]",'SKU明细'!$AE$9:$AE$1592,0)),INDEX('SKU明细'!$H$9:$H$1592,MATCH("[13120,""B06-TN-38.5""]",'SKU明细'!$AE$9:$AE$1592,0)),INDEX('SKU明细'!$H$9:$H$1592,MATCH("[13120,""B06-TN-37""]",'SKU明细'!$AE$9:$AE$1592,0)),INDEX('SKU明细'!$H$9:$H$1592,MATCH("[13120,""B06-TN-37.5""]",'SKU明细'!$AE$9:$AE$1592,0)),INDEX('SKU明细'!$H$9:$H$1592,MATCH("[13120,""B06-TN-38-N""]",'SKU明细'!$AE$9:$AE$1592,0)),INDEX('SKU明细'!$H$9:$H$1592,MATCH("[13120,""B06-TN-39-N""]",'SKU明细'!$AE$9:$AE$1592,0)),INDEX('SKU明细'!$H$9:$H$1592,MATCH("[13120,""B06-TN-41-N""]",'SKU明细'!$AE$9:$AE$1592,0)))=0,"待核",SUM(INDEX('SKU明细'!$H$9:$H$1592,MATCH("[13120,""B06-TN-39.5""]",'SKU明细'!$AE$9:$AE$1592,0)),INDEX('SKU明细'!$H$9:$H$1592,MATCH("[13120,""B06-TN-40.5""]",'SKU明细'!$AE$9:$AE$1592,0)),INDEX('SKU明细'!$H$9:$H$1592,MATCH("[13120,""B06-TN-40-N""]",'SKU明细'!$AE$9:$AE$1592,0)),INDEX('SKU明细'!$H$9:$H$1592,MATCH("[13120,""B06-TN-41.5""]",'SKU明细'!$AE$9:$AE$1592,0)),INDEX('SKU明细'!$H$9:$H$1592,MATCH("[13120,""B06-TN-42-N""]",'SKU明细'!$AE$9:$AE$1592,0)),INDEX('SKU明细'!$H$9:$H$1592,MATCH("[13120,""B06-TN-38.5""]",'SKU明细'!$AE$9:$AE$1592,0)),INDEX('SKU明细'!$H$9:$H$1592,MATCH("[13120,""B06-TN-37""]",'SKU明细'!$AE$9:$AE$1592,0)),INDEX('SKU明细'!$H$9:$H$1592,MATCH("[13120,""B06-TN-37.5""]",'SKU明细'!$AE$9:$AE$1592,0)),INDEX('SKU明细'!$H$9:$H$1592,MATCH("[13120,""B06-TN-38-N""]",'SKU明细'!$AE$9:$AE$1592,0)),INDEX('SKU明细'!$H$9:$H$1592,MATCH("[13120,""B06-TN-39-N""]",'SKU明细'!$AE$9:$AE$1592,0)),INDEX('SKU明细'!$H$9:$H$1592,MATCH("[13120,""B06-TN-41-N""]",'SKU明细'!$AE$9:$AE$1592,0))))</x:f>
        <x:v>169</x:v>
      </x:c>
      <x:c r="X81" s="24" t="str">
        <x:f>IF(COUNTIFS('SKU明细'!$AH$9:$AH$1592,"[""B06"",""B06-TN"",""TN"",""驼色羊京绒""]",'SKU明细'!$E$9:$E$1592,"促销")&gt;0,"促销 ","")&amp;IF(COUNTIFS('SKU明细'!$AH$9:$AH$1592,"[""B06"",""B06-TN"",""TN"",""驼色羊京绒""]",'SKU明细'!$E$9:$E$1592,"红线促销")&gt;0,"红线促销 ","")&amp;IF(COUNTIFS('SKU明细'!$AH$9:$AH$1592,"[""B06"",""B06-TN"",""TN"",""驼色羊京绒""]",'SKU明细'!$E$9:$E$1592,"考虑清仓")&gt;0,"考虑清仓 ","")&amp;IF(COUNTIFS('SKU明细'!$AH$9:$AH$1592,"[""B06"",""B06-TN"",""TN"",""驼色羊京绒""]",'SKU明细'!$E$9:$E$1592,"断货")&gt;0,"断货 ","")&amp;IF(COUNTIFS('SKU明细'!$AH$9:$AH$1592,"[""B06"",""B06-TN"",""TN"",""驼色羊京绒""]",'SKU明细'!$E$9:$E$1592,"零日销待复核")&gt;0,"零日销待复核 ","")&amp;IF(COUNTIFS('SKU明细'!$AH$9:$AH$1592,"[""B06"",""B06-TN"",""TN"",""驼色羊京绒""]",'SKU明细'!$E$9:$E$1592,"数据待核")&gt;0,"数据待核 ","")&amp;IF(COUNTIFS('SKU明细'!$AH$9:$AH$1592,"[""B06"",""B06-TN"",""TN"",""驼色羊京绒""]",'SKU明细'!$E$9:$E$1592,"正常库存")&gt;0,"正常库存 ","")&amp;IF(COUNTIFS('SKU明细'!$AH$9:$AH$1592,"[""B06"",""B06-TN"",""TN"",""驼色羊京绒""]",'SKU明细'!$E$9:$E$1592,"补货提醒")&gt;0,"补货提醒 ","")</x:f>
        <x:v>促销 考虑清仓 断货 正常库存 补货提醒 </x:v>
      </x:c>
      <x:c r="Y81" s="24" t="str">
        <x:f>IF(NOT(ISNUMBER(U81)),"覆盖待核／无可比基准","完整可比")</x:f>
        <x:v>完整可比</x:v>
      </x:c>
      <x:c r="Z81" s="24" t="str">
        <x:v>在售</x:v>
      </x:c>
      <x:c r="AA81" s="24" t="n">
        <x:f>IF(SUMIFS('SKU明细'!$AF$9:$AF$1592,'SKU明细'!$D$9:$D$1592,A81,'SKU明细'!$Z$9:$Z$1592,"&lt;&gt;移出")=0,"待核",SUMIFS('SKU明细'!$H$9:$H$1592,'SKU明细'!$D$9:$D$1592,A81,'SKU明细'!$Z$9:$Z$1592,"&lt;&gt;移出"))</x:f>
        <x:v>2095</x:v>
      </x:c>
    </x:row>
    <x:row r="82" ht="54" customHeight="1">
      <x:c r="A82" s="20" t="str">
        <x:v>B06</x:v>
      </x:c>
      <x:c r="B82" s="20" t="str">
        <x:v>艾年</x:v>
      </x:c>
      <x:c r="C82" s="20" t="str">
        <x:v>白色PU</x:v>
      </x:c>
      <x:c r="D82" s="20" t="str">
        <x:v>WT</x:v>
      </x:c>
      <x:c r="E82" s="20" t="str">
        <x:v>B06-WT</x:v>
      </x:c>
      <x:c r="F82" s="20"/>
      <x:c r="G82" s="21" t="str">
        <x:f>"—"</x:f>
        <x:v>—</x:v>
      </x:c>
      <x:c r="H82" s="21" t="n">
        <x:f>IF(AND(COUNT(INDEX('SKU明细'!$H$9:$H$1592,MATCH("[13120,""B06-WT-37""]",'SKU明细'!$AE$9:$AE$1592,0)))=1,COUNT(INDEX('SKU明细'!$G$9:$G$1592,MATCH("[13120,""B06-WT-37""]",'SKU明细'!$AE$9:$AE$1592,0)))=1,SUM(INDEX('SKU明细'!$G$9:$G$1592,MATCH("[13120,""B06-WT-37""]",'SKU明细'!$AE$9:$AE$1592,0)))&gt;0),SUM(INDEX('SKU明细'!$H$9:$H$1592,MATCH("[13120,""B06-WT-37""]",'SKU明细'!$AE$9:$AE$1592,0)))/SUM(INDEX('SKU明细'!$G$9:$G$1592,MATCH("[13120,""B06-WT-37""]",'SKU明细'!$AE$9:$AE$1592,0))),"待核")</x:f>
        <x:v>75.35885167464116</x:v>
      </x:c>
      <x:c r="I82" s="21" t="str">
        <x:f>"—"</x:f>
        <x:v>—</x:v>
      </x:c>
      <x:c r="J82" s="21" t="n">
        <x:f>IF(AND(COUNT(INDEX('SKU明细'!$H$9:$H$1592,MATCH("[13120,""B06-WT-38""]",'SKU明细'!$AE$9:$AE$1592,0)))=1,COUNT(INDEX('SKU明细'!$G$9:$G$1592,MATCH("[13120,""B06-WT-38""]",'SKU明细'!$AE$9:$AE$1592,0)))=1,SUM(INDEX('SKU明细'!$G$9:$G$1592,MATCH("[13120,""B06-WT-38""]",'SKU明细'!$AE$9:$AE$1592,0)))&gt;0),SUM(INDEX('SKU明细'!$H$9:$H$1592,MATCH("[13120,""B06-WT-38""]",'SKU明细'!$AE$9:$AE$1592,0)))/SUM(INDEX('SKU明细'!$G$9:$G$1592,MATCH("[13120,""B06-WT-38""]",'SKU明细'!$AE$9:$AE$1592,0))),"待核")</x:f>
        <x:v>484.04255319148933</x:v>
      </x:c>
      <x:c r="K82" s="21" t="str">
        <x:f>"—"</x:f>
        <x:v>—</x:v>
      </x:c>
      <x:c r="L82" s="21" t="n">
        <x:f>IF(AND(COUNT(INDEX('SKU明细'!$H$9:$H$1592,MATCH("[13120,""B06-WT-39-N""]",'SKU明细'!$AE$9:$AE$1592,0)))=1,COUNT(INDEX('SKU明细'!$G$9:$G$1592,MATCH("[13120,""B06-WT-39-N""]",'SKU明细'!$AE$9:$AE$1592,0)))=1,SUM(INDEX('SKU明细'!$G$9:$G$1592,MATCH("[13120,""B06-WT-39-N""]",'SKU明细'!$AE$9:$AE$1592,0)))&gt;0),SUM(INDEX('SKU明细'!$H$9:$H$1592,MATCH("[13120,""B06-WT-39-N""]",'SKU明细'!$AE$9:$AE$1592,0)))/SUM(INDEX('SKU明细'!$G$9:$G$1592,MATCH("[13120,""B06-WT-39-N""]",'SKU明细'!$AE$9:$AE$1592,0))),"待核")</x:f>
        <x:v>113.95348837209302</x:v>
      </x:c>
      <x:c r="M82" s="21" t="str">
        <x:f>"—"</x:f>
        <x:v>—</x:v>
      </x:c>
      <x:c r="N82" s="21" t="n">
        <x:f>IF(AND(COUNT(INDEX('SKU明细'!$H$9:$H$1592,MATCH("[13120,""B06-WT-40""]",'SKU明细'!$AE$9:$AE$1592,0)))=1,COUNT(INDEX('SKU明细'!$G$9:$G$1592,MATCH("[13120,""B06-WT-40""]",'SKU明细'!$AE$9:$AE$1592,0)))=1,SUM(INDEX('SKU明细'!$G$9:$G$1592,MATCH("[13120,""B06-WT-40""]",'SKU明细'!$AE$9:$AE$1592,0)))&gt;0),SUM(INDEX('SKU明细'!$H$9:$H$1592,MATCH("[13120,""B06-WT-40""]",'SKU明细'!$AE$9:$AE$1592,0)))/SUM(INDEX('SKU明细'!$G$9:$G$1592,MATCH("[13120,""B06-WT-40""]",'SKU明细'!$AE$9:$AE$1592,0))),"待核")</x:f>
        <x:v>1499.9999999999998</x:v>
      </x:c>
      <x:c r="O82" s="21" t="str">
        <x:f>IF(AND(COUNT(INDEX('SKU明细'!$H$9:$H$1592,MATCH("[13120,""B06-WT-40.5""]",'SKU明细'!$AE$9:$AE$1592,0)))=1,COUNT(INDEX('SKU明细'!$G$9:$G$1592,MATCH("[13120,""B06-WT-40.5""]",'SKU明细'!$AE$9:$AE$1592,0)))=1,SUM(INDEX('SKU明细'!$G$9:$G$1592,MATCH("[13120,""B06-WT-40.5""]",'SKU明细'!$AE$9:$AE$1592,0)))&gt;0),SUM(INDEX('SKU明细'!$H$9:$H$1592,MATCH("[13120,""B06-WT-40.5""]",'SKU明细'!$AE$9:$AE$1592,0)))/SUM(INDEX('SKU明细'!$G$9:$G$1592,MATCH("[13120,""B06-WT-40.5""]",'SKU明细'!$AE$9:$AE$1592,0))),"待核")</x:f>
        <x:v>待核</x:v>
      </x:c>
      <x:c r="P82" s="21" t="str">
        <x:f>IF(AND(COUNT(INDEX('SKU明细'!$H$9:$H$1592,MATCH("[13120,""B06-WT-41-N""]",'SKU明细'!$AE$9:$AE$1592,0)))=1,COUNT(INDEX('SKU明细'!$G$9:$G$1592,MATCH("[13120,""B06-WT-41-N""]",'SKU明细'!$AE$9:$AE$1592,0)))=1,SUM(INDEX('SKU明细'!$G$9:$G$1592,MATCH("[13120,""B06-WT-41-N""]",'SKU明细'!$AE$9:$AE$1592,0)))&gt;0),SUM(INDEX('SKU明细'!$H$9:$H$1592,MATCH("[13120,""B06-WT-41-N""]",'SKU明细'!$AE$9:$AE$1592,0)))/SUM(INDEX('SKU明细'!$G$9:$G$1592,MATCH("[13120,""B06-WT-41-N""]",'SKU明细'!$AE$9:$AE$1592,0))),"待核")</x:f>
        <x:v>待核</x:v>
      </x:c>
      <x:c r="Q82" s="21" t="n">
        <x:f>IF(AND(COUNT(INDEX('SKU明细'!$H$9:$H$1592,MATCH("[13120,""B06-WT-41.5""]",'SKU明细'!$AE$9:$AE$1592,0)))=1,COUNT(INDEX('SKU明细'!$G$9:$G$1592,MATCH("[13120,""B06-WT-41.5""]",'SKU明细'!$AE$9:$AE$1592,0)))=1,SUM(INDEX('SKU明细'!$G$9:$G$1592,MATCH("[13120,""B06-WT-41.5""]",'SKU明细'!$AE$9:$AE$1592,0)))&gt;0),SUM(INDEX('SKU明细'!$H$9:$H$1592,MATCH("[13120,""B06-WT-41.5""]",'SKU明细'!$AE$9:$AE$1592,0)))/SUM(INDEX('SKU明细'!$G$9:$G$1592,MATCH("[13120,""B06-WT-41.5""]",'SKU明细'!$AE$9:$AE$1592,0))),"待核")</x:f>
        <x:v>0</x:v>
      </x:c>
      <x:c r="R82" s="21" t="str">
        <x:f>IF(AND(COUNT(INDEX('SKU明细'!$H$9:$H$1592,MATCH("[13120,""B06-WT-42-N""]",'SKU明细'!$AE$9:$AE$1592,0)))=1,COUNT(INDEX('SKU明细'!$G$9:$G$1592,MATCH("[13120,""B06-WT-42-N""]",'SKU明细'!$AE$9:$AE$1592,0)))=1,SUM(INDEX('SKU明细'!$G$9:$G$1592,MATCH("[13120,""B06-WT-42-N""]",'SKU明细'!$AE$9:$AE$1592,0)))&gt;0),SUM(INDEX('SKU明细'!$H$9:$H$1592,MATCH("[13120,""B06-WT-42-N""]",'SKU明细'!$AE$9:$AE$1592,0)))/SUM(INDEX('SKU明细'!$G$9:$G$1592,MATCH("[13120,""B06-WT-42-N""]",'SKU明细'!$AE$9:$AE$1592,0))),"待核")</x:f>
        <x:v>待核</x:v>
      </x:c>
      <x:c r="S82" s="21" t="n">
        <x:f>IF(AND(COUNT(INDEX('SKU明细'!$H$9:$H$1592,MATCH("[13120,""B06-WT-38""]",'SKU明细'!$AE$9:$AE$1592,0)),INDEX('SKU明细'!$H$9:$H$1592,MATCH("[13120,""B06-WT-40""]",'SKU明细'!$AE$9:$AE$1592,0)),INDEX('SKU明细'!$H$9:$H$1592,MATCH("[13120,""B06-WT-39-N""]",'SKU明细'!$AE$9:$AE$1592,0)),INDEX('SKU明细'!$H$9:$H$1592,MATCH("[13120,""B06-WT-40.5""]",'SKU明细'!$AE$9:$AE$1592,0)),INDEX('SKU明细'!$H$9:$H$1592,MATCH("[13120,""B06-WT-41-N""]",'SKU明细'!$AE$9:$AE$1592,0)),INDEX('SKU明细'!$H$9:$H$1592,MATCH("[13120,""B06-WT-41.5""]",'SKU明细'!$AE$9:$AE$1592,0)),INDEX('SKU明细'!$H$9:$H$1592,MATCH("[13120,""B06-WT-42-N""]",'SKU明细'!$AE$9:$AE$1592,0)),INDEX('SKU明细'!$H$9:$H$1592,MATCH("[13120,""B06-WT-37""]",'SKU明细'!$AE$9:$AE$1592,0)))=8,COUNT(INDEX('SKU明细'!$G$9:$G$1592,MATCH("[13120,""B06-WT-38""]",'SKU明细'!$AE$9:$AE$1592,0)),INDEX('SKU明细'!$G$9:$G$1592,MATCH("[13120,""B06-WT-40""]",'SKU明细'!$AE$9:$AE$1592,0)),INDEX('SKU明细'!$G$9:$G$1592,MATCH("[13120,""B06-WT-39-N""]",'SKU明细'!$AE$9:$AE$1592,0)),INDEX('SKU明细'!$G$9:$G$1592,MATCH("[13120,""B06-WT-40.5""]",'SKU明细'!$AE$9:$AE$1592,0)),INDEX('SKU明细'!$G$9:$G$1592,MATCH("[13120,""B06-WT-41-N""]",'SKU明细'!$AE$9:$AE$1592,0)),INDEX('SKU明细'!$G$9:$G$1592,MATCH("[13120,""B06-WT-41.5""]",'SKU明细'!$AE$9:$AE$1592,0)),INDEX('SKU明细'!$G$9:$G$1592,MATCH("[13120,""B06-WT-42-N""]",'SKU明细'!$AE$9:$AE$1592,0)),INDEX('SKU明细'!$G$9:$G$1592,MATCH("[13120,""B06-WT-37""]",'SKU明细'!$AE$9:$AE$1592,0)))=8,SUM(INDEX('SKU明细'!$G$9:$G$1592,MATCH("[13120,""B06-WT-38""]",'SKU明细'!$AE$9:$AE$1592,0)),INDEX('SKU明细'!$G$9:$G$1592,MATCH("[13120,""B06-WT-40""]",'SKU明细'!$AE$9:$AE$1592,0)),INDEX('SKU明细'!$G$9:$G$1592,MATCH("[13120,""B06-WT-39-N""]",'SKU明细'!$AE$9:$AE$1592,0)),INDEX('SKU明细'!$G$9:$G$1592,MATCH("[13120,""B06-WT-40.5""]",'SKU明细'!$AE$9:$AE$1592,0)),INDEX('SKU明细'!$G$9:$G$1592,MATCH("[13120,""B06-WT-41-N""]",'SKU明细'!$AE$9:$AE$1592,0)),INDEX('SKU明细'!$G$9:$G$1592,MATCH("[13120,""B06-WT-41.5""]",'SKU明细'!$AE$9:$AE$1592,0)),INDEX('SKU明细'!$G$9:$G$1592,MATCH("[13120,""B06-WT-42-N""]",'SKU明细'!$AE$9:$AE$1592,0)),INDEX('SKU明细'!$G$9:$G$1592,MATCH("[13120,""B06-WT-37""]",'SKU明细'!$AE$9:$AE$1592,0)))&gt;0),SUM(INDEX('SKU明细'!$H$9:$H$1592,MATCH("[13120,""B06-WT-38""]",'SKU明细'!$AE$9:$AE$1592,0)),INDEX('SKU明细'!$H$9:$H$1592,MATCH("[13120,""B06-WT-40""]",'SKU明细'!$AE$9:$AE$1592,0)),INDEX('SKU明细'!$H$9:$H$1592,MATCH("[13120,""B06-WT-39-N""]",'SKU明细'!$AE$9:$AE$1592,0)),INDEX('SKU明细'!$H$9:$H$1592,MATCH("[13120,""B06-WT-40.5""]",'SKU明细'!$AE$9:$AE$1592,0)),INDEX('SKU明细'!$H$9:$H$1592,MATCH("[13120,""B06-WT-41-N""]",'SKU明细'!$AE$9:$AE$1592,0)),INDEX('SKU明细'!$H$9:$H$1592,MATCH("[13120,""B06-WT-41.5""]",'SKU明细'!$AE$9:$AE$1592,0)),INDEX('SKU明细'!$H$9:$H$1592,MATCH("[13120,""B06-WT-42-N""]",'SKU明细'!$AE$9:$AE$1592,0)),INDEX('SKU明细'!$H$9:$H$1592,MATCH("[13120,""B06-WT-37""]",'SKU明细'!$AE$9:$AE$1592,0)))/SUM(INDEX('SKU明细'!$G$9:$G$1592,MATCH("[13120,""B06-WT-38""]",'SKU明细'!$AE$9:$AE$1592,0)),INDEX('SKU明细'!$G$9:$G$1592,MATCH("[13120,""B06-WT-40""]",'SKU明细'!$AE$9:$AE$1592,0)),INDEX('SKU明细'!$G$9:$G$1592,MATCH("[13120,""B06-WT-39-N""]",'SKU明细'!$AE$9:$AE$1592,0)),INDEX('SKU明细'!$G$9:$G$1592,MATCH("[13120,""B06-WT-40.5""]",'SKU明细'!$AE$9:$AE$1592,0)),INDEX('SKU明细'!$G$9:$G$1592,MATCH("[13120,""B06-WT-41-N""]",'SKU明细'!$AE$9:$AE$1592,0)),INDEX('SKU明细'!$G$9:$G$1592,MATCH("[13120,""B06-WT-41.5""]",'SKU明细'!$AE$9:$AE$1592,0)),INDEX('SKU明细'!$G$9:$G$1592,MATCH("[13120,""B06-WT-42-N""]",'SKU明细'!$AE$9:$AE$1592,0)),INDEX('SKU明细'!$G$9:$G$1592,MATCH("[13120,""B06-WT-37""]",'SKU明细'!$AE$9:$AE$1592,0))),"待核")</x:f>
        <x:v>264.19354838709677</x:v>
      </x:c>
      <x:c r="T82" s="21" t="str">
        <x:f>IF(AND(COUNT(INDEX('SKU明细'!$I$9:$I$1592,MATCH("[13120,""B06-WT-38""]",'SKU明细'!$AE$9:$AE$1592,0)),INDEX('SKU明细'!$I$9:$I$1592,MATCH("[13120,""B06-WT-40""]",'SKU明细'!$AE$9:$AE$1592,0)),INDEX('SKU明细'!$I$9:$I$1592,MATCH("[13120,""B06-WT-39-N""]",'SKU明细'!$AE$9:$AE$1592,0)),INDEX('SKU明细'!$I$9:$I$1592,MATCH("[13120,""B06-WT-40.5""]",'SKU明细'!$AE$9:$AE$1592,0)),INDEX('SKU明细'!$I$9:$I$1592,MATCH("[13120,""B06-WT-41-N""]",'SKU明细'!$AE$9:$AE$1592,0)),INDEX('SKU明细'!$I$9:$I$1592,MATCH("[13120,""B06-WT-41.5""]",'SKU明细'!$AE$9:$AE$1592,0)),INDEX('SKU明细'!$I$9:$I$1592,MATCH("[13120,""B06-WT-42-N""]",'SKU明细'!$AE$9:$AE$1592,0)),INDEX('SKU明细'!$I$9:$I$1592,MATCH("[13120,""B06-WT-37""]",'SKU明细'!$AE$9:$AE$1592,0)))=8,COUNT(INDEX('SKU明细'!$AD$9:$AD$1592,MATCH("[13120,""B06-WT-38""]",'SKU明细'!$AE$9:$AE$1592,0)),INDEX('SKU明细'!$AD$9:$AD$1592,MATCH("[13120,""B06-WT-40""]",'SKU明细'!$AE$9:$AE$1592,0)),INDEX('SKU明细'!$AD$9:$AD$1592,MATCH("[13120,""B06-WT-39-N""]",'SKU明细'!$AE$9:$AE$1592,0)),INDEX('SKU明细'!$AD$9:$AD$1592,MATCH("[13120,""B06-WT-40.5""]",'SKU明细'!$AE$9:$AE$1592,0)),INDEX('SKU明细'!$AD$9:$AD$1592,MATCH("[13120,""B06-WT-41-N""]",'SKU明细'!$AE$9:$AE$1592,0)),INDEX('SKU明细'!$AD$9:$AD$1592,MATCH("[13120,""B06-WT-41.5""]",'SKU明细'!$AE$9:$AE$1592,0)),INDEX('SKU明细'!$AD$9:$AD$1592,MATCH("[13120,""B06-WT-42-N""]",'SKU明细'!$AE$9:$AE$1592,0)),INDEX('SKU明细'!$AD$9:$AD$1592,MATCH("[13120,""B06-WT-37""]",'SKU明细'!$AE$9:$AE$1592,0)))=8,SUM(INDEX('SKU明细'!$AD$9:$AD$1592,MATCH("[13120,""B06-WT-38""]",'SKU明细'!$AE$9:$AE$1592,0)),INDEX('SKU明细'!$AD$9:$AD$1592,MATCH("[13120,""B06-WT-40""]",'SKU明细'!$AE$9:$AE$1592,0)),INDEX('SKU明细'!$AD$9:$AD$1592,MATCH("[13120,""B06-WT-39-N""]",'SKU明细'!$AE$9:$AE$1592,0)),INDEX('SKU明细'!$AD$9:$AD$1592,MATCH("[13120,""B06-WT-40.5""]",'SKU明细'!$AE$9:$AE$1592,0)),INDEX('SKU明细'!$AD$9:$AD$1592,MATCH("[13120,""B06-WT-41-N""]",'SKU明细'!$AE$9:$AE$1592,0)),INDEX('SKU明细'!$AD$9:$AD$1592,MATCH("[13120,""B06-WT-41.5""]",'SKU明细'!$AE$9:$AE$1592,0)),INDEX('SKU明细'!$AD$9:$AD$1592,MATCH("[13120,""B06-WT-42-N""]",'SKU明细'!$AE$9:$AE$1592,0)),INDEX('SKU明细'!$AD$9:$AD$1592,MATCH("[13120,""B06-WT-37""]",'SKU明细'!$AE$9:$AE$1592,0)))&gt;0),SUM(INDEX('SKU明细'!$I$9:$I$1592,MATCH("[13120,""B06-WT-38""]",'SKU明细'!$AE$9:$AE$1592,0)),INDEX('SKU明细'!$I$9:$I$1592,MATCH("[13120,""B06-WT-40""]",'SKU明细'!$AE$9:$AE$1592,0)),INDEX('SKU明细'!$I$9:$I$1592,MATCH("[13120,""B06-WT-39-N""]",'SKU明细'!$AE$9:$AE$1592,0)),INDEX('SKU明细'!$I$9:$I$1592,MATCH("[13120,""B06-WT-40.5""]",'SKU明细'!$AE$9:$AE$1592,0)),INDEX('SKU明细'!$I$9:$I$1592,MATCH("[13120,""B06-WT-41-N""]",'SKU明细'!$AE$9:$AE$1592,0)),INDEX('SKU明细'!$I$9:$I$1592,MATCH("[13120,""B06-WT-41.5""]",'SKU明细'!$AE$9:$AE$1592,0)),INDEX('SKU明细'!$I$9:$I$1592,MATCH("[13120,""B06-WT-42-N""]",'SKU明细'!$AE$9:$AE$1592,0)),INDEX('SKU明细'!$I$9:$I$1592,MATCH("[13120,""B06-WT-37""]",'SKU明细'!$AE$9:$AE$1592,0)))/SUM(INDEX('SKU明细'!$AD$9:$AD$1592,MATCH("[13120,""B06-WT-38""]",'SKU明细'!$AE$9:$AE$1592,0)),INDEX('SKU明细'!$AD$9:$AD$1592,MATCH("[13120,""B06-WT-40""]",'SKU明细'!$AE$9:$AE$1592,0)),INDEX('SKU明细'!$AD$9:$AD$1592,MATCH("[13120,""B06-WT-39-N""]",'SKU明细'!$AE$9:$AE$1592,0)),INDEX('SKU明细'!$AD$9:$AD$1592,MATCH("[13120,""B06-WT-40.5""]",'SKU明细'!$AE$9:$AE$1592,0)),INDEX('SKU明细'!$AD$9:$AD$1592,MATCH("[13120,""B06-WT-41-N""]",'SKU明细'!$AE$9:$AE$1592,0)),INDEX('SKU明细'!$AD$9:$AD$1592,MATCH("[13120,""B06-WT-41.5""]",'SKU明细'!$AE$9:$AE$1592,0)),INDEX('SKU明细'!$AD$9:$AD$1592,MATCH("[13120,""B06-WT-42-N""]",'SKU明细'!$AE$9:$AE$1592,0)),INDEX('SKU明细'!$AD$9:$AD$1592,MATCH("[13120,""B06-WT-37""]",'SKU明细'!$AE$9:$AE$1592,0))),"待核")</x:f>
        <x:v>待核</x:v>
      </x:c>
      <x:c r="U82" s="21" t="str">
        <x:f>IF(COUNT(S82:T82)=2,S82-T82,"待核")</x:f>
        <x:v>待核</x:v>
      </x:c>
      <x:c r="V82" s="22" t="str">
        <x:f>IF(AND(ISNUMBER(U82),ISNUMBER(T82),T82&lt;&gt;0),U82/T82,"")</x:f>
      </x:c>
      <x:c r="W82" s="23" t="n">
        <x:f>IF(COUNT(INDEX('SKU明细'!$H$9:$H$1592,MATCH("[13120,""B06-WT-38""]",'SKU明细'!$AE$9:$AE$1592,0)),INDEX('SKU明细'!$H$9:$H$1592,MATCH("[13120,""B06-WT-40""]",'SKU明细'!$AE$9:$AE$1592,0)),INDEX('SKU明细'!$H$9:$H$1592,MATCH("[13120,""B06-WT-39-N""]",'SKU明细'!$AE$9:$AE$1592,0)),INDEX('SKU明细'!$H$9:$H$1592,MATCH("[13120,""B06-WT-40.5""]",'SKU明细'!$AE$9:$AE$1592,0)),INDEX('SKU明细'!$H$9:$H$1592,MATCH("[13120,""B06-WT-41-N""]",'SKU明细'!$AE$9:$AE$1592,0)),INDEX('SKU明细'!$H$9:$H$1592,MATCH("[13120,""B06-WT-41.5""]",'SKU明细'!$AE$9:$AE$1592,0)),INDEX('SKU明细'!$H$9:$H$1592,MATCH("[13120,""B06-WT-42-N""]",'SKU明细'!$AE$9:$AE$1592,0)),INDEX('SKU明细'!$H$9:$H$1592,MATCH("[13120,""B06-WT-37""]",'SKU明细'!$AE$9:$AE$1592,0)))=0,"待核",SUM(INDEX('SKU明细'!$H$9:$H$1592,MATCH("[13120,""B06-WT-38""]",'SKU明细'!$AE$9:$AE$1592,0)),INDEX('SKU明细'!$H$9:$H$1592,MATCH("[13120,""B06-WT-40""]",'SKU明细'!$AE$9:$AE$1592,0)),INDEX('SKU明细'!$H$9:$H$1592,MATCH("[13120,""B06-WT-39-N""]",'SKU明细'!$AE$9:$AE$1592,0)),INDEX('SKU明细'!$H$9:$H$1592,MATCH("[13120,""B06-WT-40.5""]",'SKU明细'!$AE$9:$AE$1592,0)),INDEX('SKU明细'!$H$9:$H$1592,MATCH("[13120,""B06-WT-41-N""]",'SKU明细'!$AE$9:$AE$1592,0)),INDEX('SKU明细'!$H$9:$H$1592,MATCH("[13120,""B06-WT-41.5""]",'SKU明细'!$AE$9:$AE$1592,0)),INDEX('SKU明细'!$H$9:$H$1592,MATCH("[13120,""B06-WT-42-N""]",'SKU明细'!$AE$9:$AE$1592,0)),INDEX('SKU明细'!$H$9:$H$1592,MATCH("[13120,""B06-WT-37""]",'SKU明细'!$AE$9:$AE$1592,0))))</x:f>
        <x:v>117</x:v>
      </x:c>
      <x:c r="X82" s="24" t="str">
        <x:f>IF(COUNTIFS('SKU明细'!$AH$9:$AH$1592,"[""B06"",""B06-WT"",""WT"",""白色PU""]",'SKU明细'!$E$9:$E$1592,"促销")&gt;0,"促销 ","")&amp;IF(COUNTIFS('SKU明细'!$AH$9:$AH$1592,"[""B06"",""B06-WT"",""WT"",""白色PU""]",'SKU明细'!$E$9:$E$1592,"红线促销")&gt;0,"红线促销 ","")&amp;IF(COUNTIFS('SKU明细'!$AH$9:$AH$1592,"[""B06"",""B06-WT"",""WT"",""白色PU""]",'SKU明细'!$E$9:$E$1592,"考虑清仓")&gt;0,"考虑清仓 ","")&amp;IF(COUNTIFS('SKU明细'!$AH$9:$AH$1592,"[""B06"",""B06-WT"",""WT"",""白色PU""]",'SKU明细'!$E$9:$E$1592,"断货")&gt;0,"断货 ","")&amp;IF(COUNTIFS('SKU明细'!$AH$9:$AH$1592,"[""B06"",""B06-WT"",""WT"",""白色PU""]",'SKU明细'!$E$9:$E$1592,"零日销待复核")&gt;0,"零日销待复核 ","")&amp;IF(COUNTIFS('SKU明细'!$AH$9:$AH$1592,"[""B06"",""B06-WT"",""WT"",""白色PU""]",'SKU明细'!$E$9:$E$1592,"数据待核")&gt;0,"数据待核 ","")&amp;IF(COUNTIFS('SKU明细'!$AH$9:$AH$1592,"[""B06"",""B06-WT"",""WT"",""白色PU""]",'SKU明细'!$E$9:$E$1592,"正常库存")&gt;0,"正常库存 ","")&amp;IF(COUNTIFS('SKU明细'!$AH$9:$AH$1592,"[""B06"",""B06-WT"",""WT"",""白色PU""]",'SKU明细'!$E$9:$E$1592,"补货提醒")&gt;0,"补货提醒 ","")</x:f>
        <x:v>促销 考虑清仓 断货 正常库存 </x:v>
      </x:c>
      <x:c r="Y82" s="24" t="str">
        <x:f>IF(NOT(ISNUMBER(U82)),"覆盖待核／无可比基准","完整可比")</x:f>
        <x:v>覆盖待核／无可比基准</x:v>
      </x:c>
      <x:c r="Z82" s="24" t="str">
        <x:v>在售、停售</x:v>
      </x:c>
      <x:c r="AA82" s="24" t="n">
        <x:f>IF(SUMIFS('SKU明细'!$AF$9:$AF$1592,'SKU明细'!$D$9:$D$1592,A82,'SKU明细'!$Z$9:$Z$1592,"&lt;&gt;移出")=0,"待核",SUMIFS('SKU明细'!$H$9:$H$1592,'SKU明细'!$D$9:$D$1592,A82,'SKU明细'!$Z$9:$Z$1592,"&lt;&gt;移出"))</x:f>
        <x:v>2095</x:v>
      </x:c>
    </x:row>
    <x:row r="83" ht="54" customHeight="1">
      <x:c r="A83" s="15" t="str">
        <x:v>32582</x:v>
      </x:c>
      <x:c r="B83" s="15" t="str">
        <x:v>徐新怡</x:v>
      </x:c>
      <x:c r="C83" s="15" t="str">
        <x:v>黑色</x:v>
      </x:c>
      <x:c r="D83" s="15" t="str">
        <x:v>BK</x:v>
      </x:c>
      <x:c r="E83" s="15" t="str">
        <x:v>32582-BK</x:v>
      </x:c>
      <x:c r="F83" s="15"/>
      <x:c r="G83" s="16" t="str">
        <x:f>"—"</x:f>
        <x:v>—</x:v>
      </x:c>
      <x:c r="H83" s="16" t="n">
        <x:f>IF(AND(COUNT(INDEX('SKU明细'!$H$9:$H$1592,MATCH("[6574,""32582-BK-37""]",'SKU明细'!$AE$9:$AE$1592,0)))=1,COUNT(INDEX('SKU明细'!$G$9:$G$1592,MATCH("[6574,""32582-BK-37""]",'SKU明细'!$AE$9:$AE$1592,0)))=1,SUM(INDEX('SKU明细'!$G$9:$G$1592,MATCH("[6574,""32582-BK-37""]",'SKU明细'!$AE$9:$AE$1592,0)))&gt;0),SUM(INDEX('SKU明细'!$H$9:$H$1592,MATCH("[6574,""32582-BK-37""]",'SKU明细'!$AE$9:$AE$1592,0)))/SUM(INDEX('SKU明细'!$G$9:$G$1592,MATCH("[6574,""32582-BK-37""]",'SKU明细'!$AE$9:$AE$1592,0))),"待核")</x:f>
        <x:v>0</x:v>
      </x:c>
      <x:c r="I83" s="16" t="str">
        <x:f>IF(AND(COUNT(INDEX('SKU明细'!$H$9:$H$1592,MATCH("[6574,""32582-BK-37.5""]",'SKU明细'!$AE$9:$AE$1592,0)))=1,COUNT(INDEX('SKU明细'!$G$9:$G$1592,MATCH("[6574,""32582-BK-37.5""]",'SKU明细'!$AE$9:$AE$1592,0)))=1,SUM(INDEX('SKU明细'!$G$9:$G$1592,MATCH("[6574,""32582-BK-37.5""]",'SKU明细'!$AE$9:$AE$1592,0)))&gt;0),SUM(INDEX('SKU明细'!$H$9:$H$1592,MATCH("[6574,""32582-BK-37.5""]",'SKU明细'!$AE$9:$AE$1592,0)))/SUM(INDEX('SKU明细'!$G$9:$G$1592,MATCH("[6574,""32582-BK-37.5""]",'SKU明细'!$AE$9:$AE$1592,0))),"待核")</x:f>
        <x:v>待核</x:v>
      </x:c>
      <x:c r="J83" s="16" t="n">
        <x:f>IF(AND(COUNT(INDEX('SKU明细'!$H$9:$H$1592,MATCH("[6574,""32582-BK-38""]",'SKU明细'!$AE$9:$AE$1592,0)))=1,COUNT(INDEX('SKU明细'!$G$9:$G$1592,MATCH("[6574,""32582-BK-38""]",'SKU明细'!$AE$9:$AE$1592,0)))=1,SUM(INDEX('SKU明细'!$G$9:$G$1592,MATCH("[6574,""32582-BK-38""]",'SKU明细'!$AE$9:$AE$1592,0)))&gt;0),SUM(INDEX('SKU明细'!$H$9:$H$1592,MATCH("[6574,""32582-BK-38""]",'SKU明细'!$AE$9:$AE$1592,0)))/SUM(INDEX('SKU明细'!$G$9:$G$1592,MATCH("[6574,""32582-BK-38""]",'SKU明细'!$AE$9:$AE$1592,0))),"待核")</x:f>
        <x:v>61.93029490616622</x:v>
      </x:c>
      <x:c r="K83" s="16" t="n">
        <x:f>IF(AND(COUNT(INDEX('SKU明细'!$H$9:$H$1592,MATCH("[6574,""32582-BK-38.5""]",'SKU明细'!$AE$9:$AE$1592,0)))=1,COUNT(INDEX('SKU明细'!$G$9:$G$1592,MATCH("[6574,""32582-BK-38.5""]",'SKU明细'!$AE$9:$AE$1592,0)))=1,SUM(INDEX('SKU明细'!$G$9:$G$1592,MATCH("[6574,""32582-BK-38.5""]",'SKU明细'!$AE$9:$AE$1592,0)))&gt;0),SUM(INDEX('SKU明细'!$H$9:$H$1592,MATCH("[6574,""32582-BK-38.5""]",'SKU明细'!$AE$9:$AE$1592,0)))/SUM(INDEX('SKU明细'!$G$9:$G$1592,MATCH("[6574,""32582-BK-38.5""]",'SKU明细'!$AE$9:$AE$1592,0))),"待核")</x:f>
        <x:v>53.29428989751098</x:v>
      </x:c>
      <x:c r="L83" s="16" t="n">
        <x:f>IF(AND(COUNT(INDEX('SKU明细'!$H$9:$H$1592,MATCH("[6574,""32582-BK-39""]",'SKU明细'!$AE$9:$AE$1592,0)))=1,COUNT(INDEX('SKU明细'!$G$9:$G$1592,MATCH("[6574,""32582-BK-39""]",'SKU明细'!$AE$9:$AE$1592,0)))=1,SUM(INDEX('SKU明细'!$G$9:$G$1592,MATCH("[6574,""32582-BK-39""]",'SKU明细'!$AE$9:$AE$1592,0)))&gt;0),SUM(INDEX('SKU明细'!$H$9:$H$1592,MATCH("[6574,""32582-BK-39""]",'SKU明细'!$AE$9:$AE$1592,0)))/SUM(INDEX('SKU明细'!$G$9:$G$1592,MATCH("[6574,""32582-BK-39""]",'SKU明细'!$AE$9:$AE$1592,0))),"待核")</x:f>
        <x:v>19.148936170212767</x:v>
      </x:c>
      <x:c r="M83" s="16" t="n">
        <x:f>IF(AND(COUNT(INDEX('SKU明细'!$H$9:$H$1592,MATCH("[6574,""32582-BK-39.5""]",'SKU明细'!$AE$9:$AE$1592,0)))=1,COUNT(INDEX('SKU明细'!$G$9:$G$1592,MATCH("[6574,""32582-BK-39.5""]",'SKU明细'!$AE$9:$AE$1592,0)))=1,SUM(INDEX('SKU明细'!$G$9:$G$1592,MATCH("[6574,""32582-BK-39.5""]",'SKU明细'!$AE$9:$AE$1592,0)))&gt;0),SUM(INDEX('SKU明细'!$H$9:$H$1592,MATCH("[6574,""32582-BK-39.5""]",'SKU明细'!$AE$9:$AE$1592,0)))/SUM(INDEX('SKU明细'!$G$9:$G$1592,MATCH("[6574,""32582-BK-39.5""]",'SKU明细'!$AE$9:$AE$1592,0))),"待核")</x:f>
        <x:v>39.494163424124515</x:v>
      </x:c>
      <x:c r="N83" s="16" t="n">
        <x:f>IF(AND(COUNT(INDEX('SKU明细'!$H$9:$H$1592,MATCH("[6574,""32582-BK-40""]",'SKU明细'!$AE$9:$AE$1592,0)))=1,COUNT(INDEX('SKU明细'!$G$9:$G$1592,MATCH("[6574,""32582-BK-40""]",'SKU明细'!$AE$9:$AE$1592,0)))=1,SUM(INDEX('SKU明细'!$G$9:$G$1592,MATCH("[6574,""32582-BK-40""]",'SKU明细'!$AE$9:$AE$1592,0)))&gt;0),SUM(INDEX('SKU明细'!$H$9:$H$1592,MATCH("[6574,""32582-BK-40""]",'SKU明细'!$AE$9:$AE$1592,0)))/SUM(INDEX('SKU明细'!$G$9:$G$1592,MATCH("[6574,""32582-BK-40""]",'SKU明细'!$AE$9:$AE$1592,0))),"待核")</x:f>
        <x:v>71.8220338983051</x:v>
      </x:c>
      <x:c r="O83" s="16" t="n">
        <x:f>IF(AND(COUNT(INDEX('SKU明细'!$H$9:$H$1592,MATCH("[6574,""32582-BK-40.5""]",'SKU明细'!$AE$9:$AE$1592,0)))=1,COUNT(INDEX('SKU明细'!$G$9:$G$1592,MATCH("[6574,""32582-BK-40.5""]",'SKU明细'!$AE$9:$AE$1592,0)))=1,SUM(INDEX('SKU明细'!$G$9:$G$1592,MATCH("[6574,""32582-BK-40.5""]",'SKU明细'!$AE$9:$AE$1592,0)))&gt;0),SUM(INDEX('SKU明细'!$H$9:$H$1592,MATCH("[6574,""32582-BK-40.5""]",'SKU明细'!$AE$9:$AE$1592,0)))/SUM(INDEX('SKU明细'!$G$9:$G$1592,MATCH("[6574,""32582-BK-40.5""]",'SKU明细'!$AE$9:$AE$1592,0))),"待核")</x:f>
        <x:v>108.51438637698179</x:v>
      </x:c>
      <x:c r="P83" s="16" t="n">
        <x:f>IF(AND(COUNT(INDEX('SKU明细'!$H$9:$H$1592,MATCH("[6574,""32582-BK-41""]",'SKU明细'!$AE$9:$AE$1592,0)))=1,COUNT(INDEX('SKU明细'!$G$9:$G$1592,MATCH("[6574,""32582-BK-41""]",'SKU明细'!$AE$9:$AE$1592,0)))=1,SUM(INDEX('SKU明细'!$G$9:$G$1592,MATCH("[6574,""32582-BK-41""]",'SKU明细'!$AE$9:$AE$1592,0)))&gt;0),SUM(INDEX('SKU明细'!$H$9:$H$1592,MATCH("[6574,""32582-BK-41""]",'SKU明细'!$AE$9:$AE$1592,0)))/SUM(INDEX('SKU明细'!$G$9:$G$1592,MATCH("[6574,""32582-BK-41""]",'SKU明细'!$AE$9:$AE$1592,0))),"待核")</x:f>
        <x:v>12.403452975920036</x:v>
      </x:c>
      <x:c r="Q83" s="16" t="n">
        <x:f>IF(AND(COUNT(INDEX('SKU明细'!$H$9:$H$1592,MATCH("[6574,""32582-BK-41.5""]",'SKU明细'!$AE$9:$AE$1592,0)))=1,COUNT(INDEX('SKU明细'!$G$9:$G$1592,MATCH("[6574,""32582-BK-41.5""]",'SKU明细'!$AE$9:$AE$1592,0)))=1,SUM(INDEX('SKU明细'!$G$9:$G$1592,MATCH("[6574,""32582-BK-41.5""]",'SKU明细'!$AE$9:$AE$1592,0)))&gt;0),SUM(INDEX('SKU明细'!$H$9:$H$1592,MATCH("[6574,""32582-BK-41.5""]",'SKU明细'!$AE$9:$AE$1592,0)))/SUM(INDEX('SKU明细'!$G$9:$G$1592,MATCH("[6574,""32582-BK-41.5""]",'SKU明细'!$AE$9:$AE$1592,0))),"待核")</x:f>
        <x:v>39.39393939393939</x:v>
      </x:c>
      <x:c r="R83" s="16" t="n">
        <x:f>IF(AND(COUNT(INDEX('SKU明细'!$H$9:$H$1592,MATCH("[6574,""32582-BK-42""]",'SKU明细'!$AE$9:$AE$1592,0)))=1,COUNT(INDEX('SKU明细'!$G$9:$G$1592,MATCH("[6574,""32582-BK-42""]",'SKU明细'!$AE$9:$AE$1592,0)))=1,SUM(INDEX('SKU明细'!$G$9:$G$1592,MATCH("[6574,""32582-BK-42""]",'SKU明细'!$AE$9:$AE$1592,0)))&gt;0),SUM(INDEX('SKU明细'!$H$9:$H$1592,MATCH("[6574,""32582-BK-42""]",'SKU明细'!$AE$9:$AE$1592,0)))/SUM(INDEX('SKU明细'!$G$9:$G$1592,MATCH("[6574,""32582-BK-42""]",'SKU明细'!$AE$9:$AE$1592,0))),"待核")</x:f>
        <x:v>0</x:v>
      </x:c>
      <x:c r="S83" s="16" t="n">
        <x:f>IF(AND(COUNT(INDEX('SKU明细'!$H$9:$H$1592,MATCH("[6574,""32582-BK-40.5""]",'SKU明细'!$AE$9:$AE$1592,0)),INDEX('SKU明细'!$H$9:$H$1592,MATCH("[6574,""32582-BK-37""]",'SKU明细'!$AE$9:$AE$1592,0)),INDEX('SKU明细'!$H$9:$H$1592,MATCH("[6574,""32582-BK-37.5""]",'SKU明细'!$AE$9:$AE$1592,0)),INDEX('SKU明细'!$H$9:$H$1592,MATCH("[6574,""32582-BK-42""]",'SKU明细'!$AE$9:$AE$1592,0)),INDEX('SKU明细'!$H$9:$H$1592,MATCH("[6574,""32582-BK-38""]",'SKU明细'!$AE$9:$AE$1592,0)),INDEX('SKU明细'!$H$9:$H$1592,MATCH("[6574,""32582-BK-40""]",'SKU明细'!$AE$9:$AE$1592,0)),INDEX('SKU明细'!$H$9:$H$1592,MATCH("[6574,""32582-BK-38.5""]",'SKU明细'!$AE$9:$AE$1592,0)),INDEX('SKU明细'!$H$9:$H$1592,MATCH("[6574,""32582-BK-39""]",'SKU明细'!$AE$9:$AE$1592,0)),INDEX('SKU明细'!$H$9:$H$1592,MATCH("[6574,""32582-BK-39.5""]",'SKU明细'!$AE$9:$AE$1592,0)),INDEX('SKU明细'!$H$9:$H$1592,MATCH("[6574,""32582-BK-41""]",'SKU明细'!$AE$9:$AE$1592,0)),INDEX('SKU明细'!$H$9:$H$1592,MATCH("[6574,""32582-BK-41.5""]",'SKU明细'!$AE$9:$AE$1592,0)))=11,COUNT(INDEX('SKU明细'!$G$9:$G$1592,MATCH("[6574,""32582-BK-40.5""]",'SKU明细'!$AE$9:$AE$1592,0)),INDEX('SKU明细'!$G$9:$G$1592,MATCH("[6574,""32582-BK-37""]",'SKU明细'!$AE$9:$AE$1592,0)),INDEX('SKU明细'!$G$9:$G$1592,MATCH("[6574,""32582-BK-37.5""]",'SKU明细'!$AE$9:$AE$1592,0)),INDEX('SKU明细'!$G$9:$G$1592,MATCH("[6574,""32582-BK-42""]",'SKU明细'!$AE$9:$AE$1592,0)),INDEX('SKU明细'!$G$9:$G$1592,MATCH("[6574,""32582-BK-38""]",'SKU明细'!$AE$9:$AE$1592,0)),INDEX('SKU明细'!$G$9:$G$1592,MATCH("[6574,""32582-BK-40""]",'SKU明细'!$AE$9:$AE$1592,0)),INDEX('SKU明细'!$G$9:$G$1592,MATCH("[6574,""32582-BK-38.5""]",'SKU明细'!$AE$9:$AE$1592,0)),INDEX('SKU明细'!$G$9:$G$1592,MATCH("[6574,""32582-BK-39""]",'SKU明细'!$AE$9:$AE$1592,0)),INDEX('SKU明细'!$G$9:$G$1592,MATCH("[6574,""32582-BK-39.5""]",'SKU明细'!$AE$9:$AE$1592,0)),INDEX('SKU明细'!$G$9:$G$1592,MATCH("[6574,""32582-BK-41""]",'SKU明细'!$AE$9:$AE$1592,0)),INDEX('SKU明细'!$G$9:$G$1592,MATCH("[6574,""32582-BK-41.5""]",'SKU明细'!$AE$9:$AE$1592,0)))=11,SUM(INDEX('SKU明细'!$G$9:$G$1592,MATCH("[6574,""32582-BK-40.5""]",'SKU明细'!$AE$9:$AE$1592,0)),INDEX('SKU明细'!$G$9:$G$1592,MATCH("[6574,""32582-BK-37""]",'SKU明细'!$AE$9:$AE$1592,0)),INDEX('SKU明细'!$G$9:$G$1592,MATCH("[6574,""32582-BK-37.5""]",'SKU明细'!$AE$9:$AE$1592,0)),INDEX('SKU明细'!$G$9:$G$1592,MATCH("[6574,""32582-BK-42""]",'SKU明细'!$AE$9:$AE$1592,0)),INDEX('SKU明细'!$G$9:$G$1592,MATCH("[6574,""32582-BK-38""]",'SKU明细'!$AE$9:$AE$1592,0)),INDEX('SKU明细'!$G$9:$G$1592,MATCH("[6574,""32582-BK-40""]",'SKU明细'!$AE$9:$AE$1592,0)),INDEX('SKU明细'!$G$9:$G$1592,MATCH("[6574,""32582-BK-38.5""]",'SKU明细'!$AE$9:$AE$1592,0)),INDEX('SKU明细'!$G$9:$G$1592,MATCH("[6574,""32582-BK-39""]",'SKU明细'!$AE$9:$AE$1592,0)),INDEX('SKU明细'!$G$9:$G$1592,MATCH("[6574,""32582-BK-39.5""]",'SKU明细'!$AE$9:$AE$1592,0)),INDEX('SKU明细'!$G$9:$G$1592,MATCH("[6574,""32582-BK-41""]",'SKU明细'!$AE$9:$AE$1592,0)),INDEX('SKU明细'!$G$9:$G$1592,MATCH("[6574,""32582-BK-41.5""]",'SKU明细'!$AE$9:$AE$1592,0)))&gt;0),SUM(INDEX('SKU明细'!$H$9:$H$1592,MATCH("[6574,""32582-BK-40.5""]",'SKU明细'!$AE$9:$AE$1592,0)),INDEX('SKU明细'!$H$9:$H$1592,MATCH("[6574,""32582-BK-37""]",'SKU明细'!$AE$9:$AE$1592,0)),INDEX('SKU明细'!$H$9:$H$1592,MATCH("[6574,""32582-BK-37.5""]",'SKU明细'!$AE$9:$AE$1592,0)),INDEX('SKU明细'!$H$9:$H$1592,MATCH("[6574,""32582-BK-42""]",'SKU明细'!$AE$9:$AE$1592,0)),INDEX('SKU明细'!$H$9:$H$1592,MATCH("[6574,""32582-BK-38""]",'SKU明细'!$AE$9:$AE$1592,0)),INDEX('SKU明细'!$H$9:$H$1592,MATCH("[6574,""32582-BK-40""]",'SKU明细'!$AE$9:$AE$1592,0)),INDEX('SKU明细'!$H$9:$H$1592,MATCH("[6574,""32582-BK-38.5""]",'SKU明细'!$AE$9:$AE$1592,0)),INDEX('SKU明细'!$H$9:$H$1592,MATCH("[6574,""32582-BK-39""]",'SKU明细'!$AE$9:$AE$1592,0)),INDEX('SKU明细'!$H$9:$H$1592,MATCH("[6574,""32582-BK-39.5""]",'SKU明细'!$AE$9:$AE$1592,0)),INDEX('SKU明细'!$H$9:$H$1592,MATCH("[6574,""32582-BK-41""]",'SKU明细'!$AE$9:$AE$1592,0)),INDEX('SKU明细'!$H$9:$H$1592,MATCH("[6574,""32582-BK-41.5""]",'SKU明细'!$AE$9:$AE$1592,0)))/SUM(INDEX('SKU明细'!$G$9:$G$1592,MATCH("[6574,""32582-BK-40.5""]",'SKU明细'!$AE$9:$AE$1592,0)),INDEX('SKU明细'!$G$9:$G$1592,MATCH("[6574,""32582-BK-37""]",'SKU明细'!$AE$9:$AE$1592,0)),INDEX('SKU明细'!$G$9:$G$1592,MATCH("[6574,""32582-BK-37.5""]",'SKU明细'!$AE$9:$AE$1592,0)),INDEX('SKU明细'!$G$9:$G$1592,MATCH("[6574,""32582-BK-42""]",'SKU明细'!$AE$9:$AE$1592,0)),INDEX('SKU明细'!$G$9:$G$1592,MATCH("[6574,""32582-BK-38""]",'SKU明细'!$AE$9:$AE$1592,0)),INDEX('SKU明细'!$G$9:$G$1592,MATCH("[6574,""32582-BK-40""]",'SKU明细'!$AE$9:$AE$1592,0)),INDEX('SKU明细'!$G$9:$G$1592,MATCH("[6574,""32582-BK-38.5""]",'SKU明细'!$AE$9:$AE$1592,0)),INDEX('SKU明细'!$G$9:$G$1592,MATCH("[6574,""32582-BK-39""]",'SKU明细'!$AE$9:$AE$1592,0)),INDEX('SKU明细'!$G$9:$G$1592,MATCH("[6574,""32582-BK-39.5""]",'SKU明细'!$AE$9:$AE$1592,0)),INDEX('SKU明细'!$G$9:$G$1592,MATCH("[6574,""32582-BK-41""]",'SKU明细'!$AE$9:$AE$1592,0)),INDEX('SKU明细'!$G$9:$G$1592,MATCH("[6574,""32582-BK-41.5""]",'SKU明细'!$AE$9:$AE$1592,0))),"待核")</x:f>
        <x:v>46.064359300845005</x:v>
      </x:c>
      <x:c r="T83" s="16" t="n">
        <x:f>IF(AND(COUNT(INDEX('SKU明细'!$I$9:$I$1592,MATCH("[6574,""32582-BK-40.5""]",'SKU明细'!$AE$9:$AE$1592,0)),INDEX('SKU明细'!$I$9:$I$1592,MATCH("[6574,""32582-BK-37""]",'SKU明细'!$AE$9:$AE$1592,0)),INDEX('SKU明细'!$I$9:$I$1592,MATCH("[6574,""32582-BK-37.5""]",'SKU明细'!$AE$9:$AE$1592,0)),INDEX('SKU明细'!$I$9:$I$1592,MATCH("[6574,""32582-BK-42""]",'SKU明细'!$AE$9:$AE$1592,0)),INDEX('SKU明细'!$I$9:$I$1592,MATCH("[6574,""32582-BK-38""]",'SKU明细'!$AE$9:$AE$1592,0)),INDEX('SKU明细'!$I$9:$I$1592,MATCH("[6574,""32582-BK-40""]",'SKU明细'!$AE$9:$AE$1592,0)),INDEX('SKU明细'!$I$9:$I$1592,MATCH("[6574,""32582-BK-38.5""]",'SKU明细'!$AE$9:$AE$1592,0)),INDEX('SKU明细'!$I$9:$I$1592,MATCH("[6574,""32582-BK-39""]",'SKU明细'!$AE$9:$AE$1592,0)),INDEX('SKU明细'!$I$9:$I$1592,MATCH("[6574,""32582-BK-39.5""]",'SKU明细'!$AE$9:$AE$1592,0)),INDEX('SKU明细'!$I$9:$I$1592,MATCH("[6574,""32582-BK-41""]",'SKU明细'!$AE$9:$AE$1592,0)),INDEX('SKU明细'!$I$9:$I$1592,MATCH("[6574,""32582-BK-41.5""]",'SKU明细'!$AE$9:$AE$1592,0)))=11,COUNT(INDEX('SKU明细'!$AD$9:$AD$1592,MATCH("[6574,""32582-BK-40.5""]",'SKU明细'!$AE$9:$AE$1592,0)),INDEX('SKU明细'!$AD$9:$AD$1592,MATCH("[6574,""32582-BK-37""]",'SKU明细'!$AE$9:$AE$1592,0)),INDEX('SKU明细'!$AD$9:$AD$1592,MATCH("[6574,""32582-BK-37.5""]",'SKU明细'!$AE$9:$AE$1592,0)),INDEX('SKU明细'!$AD$9:$AD$1592,MATCH("[6574,""32582-BK-42""]",'SKU明细'!$AE$9:$AE$1592,0)),INDEX('SKU明细'!$AD$9:$AD$1592,MATCH("[6574,""32582-BK-38""]",'SKU明细'!$AE$9:$AE$1592,0)),INDEX('SKU明细'!$AD$9:$AD$1592,MATCH("[6574,""32582-BK-40""]",'SKU明细'!$AE$9:$AE$1592,0)),INDEX('SKU明细'!$AD$9:$AD$1592,MATCH("[6574,""32582-BK-38.5""]",'SKU明细'!$AE$9:$AE$1592,0)),INDEX('SKU明细'!$AD$9:$AD$1592,MATCH("[6574,""32582-BK-39""]",'SKU明细'!$AE$9:$AE$1592,0)),INDEX('SKU明细'!$AD$9:$AD$1592,MATCH("[6574,""32582-BK-39.5""]",'SKU明细'!$AE$9:$AE$1592,0)),INDEX('SKU明细'!$AD$9:$AD$1592,MATCH("[6574,""32582-BK-41""]",'SKU明细'!$AE$9:$AE$1592,0)),INDEX('SKU明细'!$AD$9:$AD$1592,MATCH("[6574,""32582-BK-41.5""]",'SKU明细'!$AE$9:$AE$1592,0)))=11,SUM(INDEX('SKU明细'!$AD$9:$AD$1592,MATCH("[6574,""32582-BK-40.5""]",'SKU明细'!$AE$9:$AE$1592,0)),INDEX('SKU明细'!$AD$9:$AD$1592,MATCH("[6574,""32582-BK-37""]",'SKU明细'!$AE$9:$AE$1592,0)),INDEX('SKU明细'!$AD$9:$AD$1592,MATCH("[6574,""32582-BK-37.5""]",'SKU明细'!$AE$9:$AE$1592,0)),INDEX('SKU明细'!$AD$9:$AD$1592,MATCH("[6574,""32582-BK-42""]",'SKU明细'!$AE$9:$AE$1592,0)),INDEX('SKU明细'!$AD$9:$AD$1592,MATCH("[6574,""32582-BK-38""]",'SKU明细'!$AE$9:$AE$1592,0)),INDEX('SKU明细'!$AD$9:$AD$1592,MATCH("[6574,""32582-BK-40""]",'SKU明细'!$AE$9:$AE$1592,0)),INDEX('SKU明细'!$AD$9:$AD$1592,MATCH("[6574,""32582-BK-38.5""]",'SKU明细'!$AE$9:$AE$1592,0)),INDEX('SKU明细'!$AD$9:$AD$1592,MATCH("[6574,""32582-BK-39""]",'SKU明细'!$AE$9:$AE$1592,0)),INDEX('SKU明细'!$AD$9:$AD$1592,MATCH("[6574,""32582-BK-39.5""]",'SKU明细'!$AE$9:$AE$1592,0)),INDEX('SKU明细'!$AD$9:$AD$1592,MATCH("[6574,""32582-BK-41""]",'SKU明细'!$AE$9:$AE$1592,0)),INDEX('SKU明细'!$AD$9:$AD$1592,MATCH("[6574,""32582-BK-41.5""]",'SKU明细'!$AE$9:$AE$1592,0)))&gt;0),SUM(INDEX('SKU明细'!$I$9:$I$1592,MATCH("[6574,""32582-BK-40.5""]",'SKU明细'!$AE$9:$AE$1592,0)),INDEX('SKU明细'!$I$9:$I$1592,MATCH("[6574,""32582-BK-37""]",'SKU明细'!$AE$9:$AE$1592,0)),INDEX('SKU明细'!$I$9:$I$1592,MATCH("[6574,""32582-BK-37.5""]",'SKU明细'!$AE$9:$AE$1592,0)),INDEX('SKU明细'!$I$9:$I$1592,MATCH("[6574,""32582-BK-42""]",'SKU明细'!$AE$9:$AE$1592,0)),INDEX('SKU明细'!$I$9:$I$1592,MATCH("[6574,""32582-BK-38""]",'SKU明细'!$AE$9:$AE$1592,0)),INDEX('SKU明细'!$I$9:$I$1592,MATCH("[6574,""32582-BK-40""]",'SKU明细'!$AE$9:$AE$1592,0)),INDEX('SKU明细'!$I$9:$I$1592,MATCH("[6574,""32582-BK-38.5""]",'SKU明细'!$AE$9:$AE$1592,0)),INDEX('SKU明细'!$I$9:$I$1592,MATCH("[6574,""32582-BK-39""]",'SKU明细'!$AE$9:$AE$1592,0)),INDEX('SKU明细'!$I$9:$I$1592,MATCH("[6574,""32582-BK-39.5""]",'SKU明细'!$AE$9:$AE$1592,0)),INDEX('SKU明细'!$I$9:$I$1592,MATCH("[6574,""32582-BK-41""]",'SKU明细'!$AE$9:$AE$1592,0)),INDEX('SKU明细'!$I$9:$I$1592,MATCH("[6574,""32582-BK-41.5""]",'SKU明细'!$AE$9:$AE$1592,0)))/SUM(INDEX('SKU明细'!$AD$9:$AD$1592,MATCH("[6574,""32582-BK-40.5""]",'SKU明细'!$AE$9:$AE$1592,0)),INDEX('SKU明细'!$AD$9:$AD$1592,MATCH("[6574,""32582-BK-37""]",'SKU明细'!$AE$9:$AE$1592,0)),INDEX('SKU明细'!$AD$9:$AD$1592,MATCH("[6574,""32582-BK-37.5""]",'SKU明细'!$AE$9:$AE$1592,0)),INDEX('SKU明细'!$AD$9:$AD$1592,MATCH("[6574,""32582-BK-42""]",'SKU明细'!$AE$9:$AE$1592,0)),INDEX('SKU明细'!$AD$9:$AD$1592,MATCH("[6574,""32582-BK-38""]",'SKU明细'!$AE$9:$AE$1592,0)),INDEX('SKU明细'!$AD$9:$AD$1592,MATCH("[6574,""32582-BK-40""]",'SKU明细'!$AE$9:$AE$1592,0)),INDEX('SKU明细'!$AD$9:$AD$1592,MATCH("[6574,""32582-BK-38.5""]",'SKU明细'!$AE$9:$AE$1592,0)),INDEX('SKU明细'!$AD$9:$AD$1592,MATCH("[6574,""32582-BK-39""]",'SKU明细'!$AE$9:$AE$1592,0)),INDEX('SKU明细'!$AD$9:$AD$1592,MATCH("[6574,""32582-BK-39.5""]",'SKU明细'!$AE$9:$AE$1592,0)),INDEX('SKU明细'!$AD$9:$AD$1592,MATCH("[6574,""32582-BK-41""]",'SKU明细'!$AE$9:$AE$1592,0)),INDEX('SKU明细'!$AD$9:$AD$1592,MATCH("[6574,""32582-BK-41.5""]",'SKU明细'!$AE$9:$AE$1592,0))),"待核")</x:f>
        <x:v>37.80190743569629</x:v>
      </x:c>
      <x:c r="U83" s="16" t="n">
        <x:f>IF(COUNT(S83:T83)=2,S83-T83,"待核")</x:f>
        <x:v>8.262451865148712</x:v>
      </x:c>
      <x:c r="V83" s="17" t="n">
        <x:f>IF(AND(ISNUMBER(U83),ISNUMBER(T83),T83&lt;&gt;0),U83/T83,"")</x:f>
        <x:v>0.21857235323915136</x:v>
      </x:c>
      <x:c r="W83" s="18" t="n">
        <x:f>IF(COUNT(INDEX('SKU明细'!$H$9:$H$1592,MATCH("[6574,""32582-BK-40.5""]",'SKU明细'!$AE$9:$AE$1592,0)),INDEX('SKU明细'!$H$9:$H$1592,MATCH("[6574,""32582-BK-37""]",'SKU明细'!$AE$9:$AE$1592,0)),INDEX('SKU明细'!$H$9:$H$1592,MATCH("[6574,""32582-BK-37.5""]",'SKU明细'!$AE$9:$AE$1592,0)),INDEX('SKU明细'!$H$9:$H$1592,MATCH("[6574,""32582-BK-42""]",'SKU明细'!$AE$9:$AE$1592,0)),INDEX('SKU明细'!$H$9:$H$1592,MATCH("[6574,""32582-BK-38""]",'SKU明细'!$AE$9:$AE$1592,0)),INDEX('SKU明细'!$H$9:$H$1592,MATCH("[6574,""32582-BK-40""]",'SKU明细'!$AE$9:$AE$1592,0)),INDEX('SKU明细'!$H$9:$H$1592,MATCH("[6574,""32582-BK-38.5""]",'SKU明细'!$AE$9:$AE$1592,0)),INDEX('SKU明细'!$H$9:$H$1592,MATCH("[6574,""32582-BK-39""]",'SKU明细'!$AE$9:$AE$1592,0)),INDEX('SKU明细'!$H$9:$H$1592,MATCH("[6574,""32582-BK-39.5""]",'SKU明细'!$AE$9:$AE$1592,0)),INDEX('SKU明细'!$H$9:$H$1592,MATCH("[6574,""32582-BK-41""]",'SKU明细'!$AE$9:$AE$1592,0)),INDEX('SKU明细'!$H$9:$H$1592,MATCH("[6574,""32582-BK-41.5""]",'SKU明细'!$AE$9:$AE$1592,0)))=0,"待核",SUM(INDEX('SKU明细'!$H$9:$H$1592,MATCH("[6574,""32582-BK-40.5""]",'SKU明细'!$AE$9:$AE$1592,0)),INDEX('SKU明细'!$H$9:$H$1592,MATCH("[6574,""32582-BK-37""]",'SKU明细'!$AE$9:$AE$1592,0)),INDEX('SKU明细'!$H$9:$H$1592,MATCH("[6574,""32582-BK-37.5""]",'SKU明细'!$AE$9:$AE$1592,0)),INDEX('SKU明细'!$H$9:$H$1592,MATCH("[6574,""32582-BK-42""]",'SKU明细'!$AE$9:$AE$1592,0)),INDEX('SKU明细'!$H$9:$H$1592,MATCH("[6574,""32582-BK-38""]",'SKU明细'!$AE$9:$AE$1592,0)),INDEX('SKU明细'!$H$9:$H$1592,MATCH("[6574,""32582-BK-40""]",'SKU明细'!$AE$9:$AE$1592,0)),INDEX('SKU明细'!$H$9:$H$1592,MATCH("[6574,""32582-BK-38.5""]",'SKU明细'!$AE$9:$AE$1592,0)),INDEX('SKU明细'!$H$9:$H$1592,MATCH("[6574,""32582-BK-39""]",'SKU明细'!$AE$9:$AE$1592,0)),INDEX('SKU明细'!$H$9:$H$1592,MATCH("[6574,""32582-BK-39.5""]",'SKU明细'!$AE$9:$AE$1592,0)),INDEX('SKU明细'!$H$9:$H$1592,MATCH("[6574,""32582-BK-41""]",'SKU明细'!$AE$9:$AE$1592,0)),INDEX('SKU明细'!$H$9:$H$1592,MATCH("[6574,""32582-BK-41.5""]",'SKU明细'!$AE$9:$AE$1592,0))))</x:f>
        <x:v>379</x:v>
      </x:c>
      <x:c r="X83" s="19" t="str">
        <x:f>IF(COUNTIFS('SKU明细'!$AH$9:$AH$1592,"[""32582"",""32582-BK"",""BK"",""黑色""]",'SKU明细'!$E$9:$E$1592,"促销")&gt;0,"促销 ","")&amp;IF(COUNTIFS('SKU明细'!$AH$9:$AH$1592,"[""32582"",""32582-BK"",""BK"",""黑色""]",'SKU明细'!$E$9:$E$1592,"红线促销")&gt;0,"红线促销 ","")&amp;IF(COUNTIFS('SKU明细'!$AH$9:$AH$1592,"[""32582"",""32582-BK"",""BK"",""黑色""]",'SKU明细'!$E$9:$E$1592,"考虑清仓")&gt;0,"考虑清仓 ","")&amp;IF(COUNTIFS('SKU明细'!$AH$9:$AH$1592,"[""32582"",""32582-BK"",""BK"",""黑色""]",'SKU明细'!$E$9:$E$1592,"断货")&gt;0,"断货 ","")&amp;IF(COUNTIFS('SKU明细'!$AH$9:$AH$1592,"[""32582"",""32582-BK"",""BK"",""黑色""]",'SKU明细'!$E$9:$E$1592,"零日销待复核")&gt;0,"零日销待复核 ","")&amp;IF(COUNTIFS('SKU明细'!$AH$9:$AH$1592,"[""32582"",""32582-BK"",""BK"",""黑色""]",'SKU明细'!$E$9:$E$1592,"数据待核")&gt;0,"数据待核 ","")&amp;IF(COUNTIFS('SKU明细'!$AH$9:$AH$1592,"[""32582"",""32582-BK"",""BK"",""黑色""]",'SKU明细'!$E$9:$E$1592,"正常库存")&gt;0,"正常库存 ","")&amp;IF(COUNTIFS('SKU明细'!$AH$9:$AH$1592,"[""32582"",""32582-BK"",""BK"",""黑色""]",'SKU明细'!$E$9:$E$1592,"补货提醒")&gt;0,"补货提醒 ","")</x:f>
        <x:v>促销 断货 正常库存 补货提醒 </x:v>
      </x:c>
      <x:c r="Y83" s="19" t="str">
        <x:f>IF(NOT(ISNUMBER(U83)),"覆盖待核／无可比基准","完整可比")</x:f>
        <x:v>完整可比</x:v>
      </x:c>
      <x:c r="Z83" s="19" t="str">
        <x:v>在售、停售</x:v>
      </x:c>
      <x:c r="AA83" s="19" t="n">
        <x:f>IF(SUMIFS('SKU明细'!$AF$9:$AF$1592,'SKU明细'!$D$9:$D$1592,A83,'SKU明细'!$Z$9:$Z$1592,"&lt;&gt;移出")=0,"待核",SUMIFS('SKU明细'!$H$9:$H$1592,'SKU明细'!$D$9:$D$1592,A83,'SKU明细'!$Z$9:$Z$1592,"&lt;&gt;移出"))</x:f>
        <x:v>1442</x:v>
      </x:c>
    </x:row>
    <x:row r="84" ht="54" customHeight="1">
      <x:c r="A84" s="15" t="str">
        <x:v>32582</x:v>
      </x:c>
      <x:c r="B84" s="15" t="str">
        <x:v>徐新怡</x:v>
      </x:c>
      <x:c r="C84" s="15" t="str">
        <x:v>黑色白色内里</x:v>
      </x:c>
      <x:c r="D84" s="15" t="str">
        <x:v>BKW</x:v>
      </x:c>
      <x:c r="E84" s="15" t="str">
        <x:v>32582-BKW</x:v>
      </x:c>
      <x:c r="F84" s="15"/>
      <x:c r="G84" s="16" t="str">
        <x:f>"—"</x:f>
        <x:v>—</x:v>
      </x:c>
      <x:c r="H84" s="16" t="str">
        <x:f>IF(AND(COUNT(INDEX('SKU明细'!$H$9:$H$1592,MATCH("[6574,""32582-BKW-37""]",'SKU明细'!$AE$9:$AE$1592,0)))=1,COUNT(INDEX('SKU明细'!$G$9:$G$1592,MATCH("[6574,""32582-BKW-37""]",'SKU明细'!$AE$9:$AE$1592,0)))=1,SUM(INDEX('SKU明细'!$G$9:$G$1592,MATCH("[6574,""32582-BKW-37""]",'SKU明细'!$AE$9:$AE$1592,0)))&gt;0),SUM(INDEX('SKU明细'!$H$9:$H$1592,MATCH("[6574,""32582-BKW-37""]",'SKU明细'!$AE$9:$AE$1592,0)))/SUM(INDEX('SKU明细'!$G$9:$G$1592,MATCH("[6574,""32582-BKW-37""]",'SKU明细'!$AE$9:$AE$1592,0))),"待核")</x:f>
        <x:v>待核</x:v>
      </x:c>
      <x:c r="I84" s="16" t="n">
        <x:f>IF(AND(COUNT(INDEX('SKU明细'!$H$9:$H$1592,MATCH("[6574,""32582-BKW-37.5""]",'SKU明细'!$AE$9:$AE$1592,0)))=1,COUNT(INDEX('SKU明细'!$G$9:$G$1592,MATCH("[6574,""32582-BKW-37.5""]",'SKU明细'!$AE$9:$AE$1592,0)))=1,SUM(INDEX('SKU明细'!$G$9:$G$1592,MATCH("[6574,""32582-BKW-37.5""]",'SKU明细'!$AE$9:$AE$1592,0)))&gt;0),SUM(INDEX('SKU明细'!$H$9:$H$1592,MATCH("[6574,""32582-BKW-37.5""]",'SKU明细'!$AE$9:$AE$1592,0)))/SUM(INDEX('SKU明细'!$G$9:$G$1592,MATCH("[6574,""32582-BKW-37.5""]",'SKU明细'!$AE$9:$AE$1592,0))),"待核")</x:f>
        <x:v>6.213017751479291</x:v>
      </x:c>
      <x:c r="J84" s="16" t="n">
        <x:f>IF(AND(COUNT(INDEX('SKU明细'!$H$9:$H$1592,MATCH("[6574,""32582-BKW-38""]",'SKU明细'!$AE$9:$AE$1592,0)))=1,COUNT(INDEX('SKU明细'!$G$9:$G$1592,MATCH("[6574,""32582-BKW-38""]",'SKU明细'!$AE$9:$AE$1592,0)))=1,SUM(INDEX('SKU明细'!$G$9:$G$1592,MATCH("[6574,""32582-BKW-38""]",'SKU明细'!$AE$9:$AE$1592,0)))&gt;0),SUM(INDEX('SKU明细'!$H$9:$H$1592,MATCH("[6574,""32582-BKW-38""]",'SKU明细'!$AE$9:$AE$1592,0)))/SUM(INDEX('SKU明细'!$G$9:$G$1592,MATCH("[6574,""32582-BKW-38""]",'SKU明细'!$AE$9:$AE$1592,0))),"待核")</x:f>
        <x:v>43.75000000000001</x:v>
      </x:c>
      <x:c r="K84" s="16" t="n">
        <x:f>IF(AND(COUNT(INDEX('SKU明细'!$H$9:$H$1592,MATCH("[6574,""32582-BKW-38.5""]",'SKU明细'!$AE$9:$AE$1592,0)))=1,COUNT(INDEX('SKU明细'!$G$9:$G$1592,MATCH("[6574,""32582-BKW-38.5""]",'SKU明细'!$AE$9:$AE$1592,0)))=1,SUM(INDEX('SKU明细'!$G$9:$G$1592,MATCH("[6574,""32582-BKW-38.5""]",'SKU明细'!$AE$9:$AE$1592,0)))&gt;0),SUM(INDEX('SKU明细'!$H$9:$H$1592,MATCH("[6574,""32582-BKW-38.5""]",'SKU明细'!$AE$9:$AE$1592,0)))/SUM(INDEX('SKU明细'!$G$9:$G$1592,MATCH("[6574,""32582-BKW-38.5""]",'SKU明细'!$AE$9:$AE$1592,0))),"待核")</x:f>
        <x:v>399.99999999999994</x:v>
      </x:c>
      <x:c r="L84" s="16" t="n">
        <x:f>IF(AND(COUNT(INDEX('SKU明细'!$H$9:$H$1592,MATCH("[6574,""32582-BKW-39""]",'SKU明细'!$AE$9:$AE$1592,0)))=1,COUNT(INDEX('SKU明细'!$G$9:$G$1592,MATCH("[6574,""32582-BKW-39""]",'SKU明细'!$AE$9:$AE$1592,0)))=1,SUM(INDEX('SKU明细'!$G$9:$G$1592,MATCH("[6574,""32582-BKW-39""]",'SKU明细'!$AE$9:$AE$1592,0)))&gt;0),SUM(INDEX('SKU明细'!$H$9:$H$1592,MATCH("[6574,""32582-BKW-39""]",'SKU明细'!$AE$9:$AE$1592,0)))/SUM(INDEX('SKU明细'!$G$9:$G$1592,MATCH("[6574,""32582-BKW-39""]",'SKU明细'!$AE$9:$AE$1592,0))),"待核")</x:f>
        <x:v>856.9506726457399</x:v>
      </x:c>
      <x:c r="M84" s="16" t="n">
        <x:f>IF(AND(COUNT(INDEX('SKU明细'!$H$9:$H$1592,MATCH("[6574,""32582-BKW-39.5""]",'SKU明细'!$AE$9:$AE$1592,0)))=1,COUNT(INDEX('SKU明细'!$G$9:$G$1592,MATCH("[6574,""32582-BKW-39.5""]",'SKU明细'!$AE$9:$AE$1592,0)))=1,SUM(INDEX('SKU明细'!$G$9:$G$1592,MATCH("[6574,""32582-BKW-39.5""]",'SKU明细'!$AE$9:$AE$1592,0)))&gt;0),SUM(INDEX('SKU明细'!$H$9:$H$1592,MATCH("[6574,""32582-BKW-39.5""]",'SKU明细'!$AE$9:$AE$1592,0)))/SUM(INDEX('SKU明细'!$G$9:$G$1592,MATCH("[6574,""32582-BKW-39.5""]",'SKU明细'!$AE$9:$AE$1592,0))),"待核")</x:f>
        <x:v>167.1280276816609</x:v>
      </x:c>
      <x:c r="N84" s="16" t="n">
        <x:f>IF(AND(COUNT(INDEX('SKU明细'!$H$9:$H$1592,MATCH("[6574,""32582-BKW-40""]",'SKU明细'!$AE$9:$AE$1592,0)))=1,COUNT(INDEX('SKU明细'!$G$9:$G$1592,MATCH("[6574,""32582-BKW-40""]",'SKU明细'!$AE$9:$AE$1592,0)))=1,SUM(INDEX('SKU明细'!$G$9:$G$1592,MATCH("[6574,""32582-BKW-40""]",'SKU明细'!$AE$9:$AE$1592,0)))&gt;0),SUM(INDEX('SKU明细'!$H$9:$H$1592,MATCH("[6574,""32582-BKW-40""]",'SKU明细'!$AE$9:$AE$1592,0)))/SUM(INDEX('SKU明细'!$G$9:$G$1592,MATCH("[6574,""32582-BKW-40""]",'SKU明细'!$AE$9:$AE$1592,0))),"待核")</x:f>
        <x:v>110.22099447513814</x:v>
      </x:c>
      <x:c r="O84" s="16" t="str">
        <x:f>IF(AND(COUNT(INDEX('SKU明细'!$H$9:$H$1592,MATCH("[6574,""32582-BKW-40.5""]",'SKU明细'!$AE$9:$AE$1592,0)))=1,COUNT(INDEX('SKU明细'!$G$9:$G$1592,MATCH("[6574,""32582-BKW-40.5""]",'SKU明细'!$AE$9:$AE$1592,0)))=1,SUM(INDEX('SKU明细'!$G$9:$G$1592,MATCH("[6574,""32582-BKW-40.5""]",'SKU明细'!$AE$9:$AE$1592,0)))&gt;0),SUM(INDEX('SKU明细'!$H$9:$H$1592,MATCH("[6574,""32582-BKW-40.5""]",'SKU明细'!$AE$9:$AE$1592,0)))/SUM(INDEX('SKU明细'!$G$9:$G$1592,MATCH("[6574,""32582-BKW-40.5""]",'SKU明细'!$AE$9:$AE$1592,0))),"待核")</x:f>
        <x:v>待核</x:v>
      </x:c>
      <x:c r="P84" s="16" t="n">
        <x:f>IF(AND(COUNT(INDEX('SKU明细'!$H$9:$H$1592,MATCH("[6574,""32582-BKW-41""]",'SKU明细'!$AE$9:$AE$1592,0)))=1,COUNT(INDEX('SKU明细'!$G$9:$G$1592,MATCH("[6574,""32582-BKW-41""]",'SKU明细'!$AE$9:$AE$1592,0)))=1,SUM(INDEX('SKU明细'!$G$9:$G$1592,MATCH("[6574,""32582-BKW-41""]",'SKU明细'!$AE$9:$AE$1592,0)))&gt;0),SUM(INDEX('SKU明细'!$H$9:$H$1592,MATCH("[6574,""32582-BKW-41""]",'SKU明细'!$AE$9:$AE$1592,0)))/SUM(INDEX('SKU明细'!$G$9:$G$1592,MATCH("[6574,""32582-BKW-41""]",'SKU明细'!$AE$9:$AE$1592,0))),"待核")</x:f>
        <x:v>1253.4883720930231</x:v>
      </x:c>
      <x:c r="Q84" s="16" t="n">
        <x:f>IF(AND(COUNT(INDEX('SKU明细'!$H$9:$H$1592,MATCH("[6574,""32582-BKW-41.5""]",'SKU明细'!$AE$9:$AE$1592,0)))=1,COUNT(INDEX('SKU明细'!$G$9:$G$1592,MATCH("[6574,""32582-BKW-41.5""]",'SKU明细'!$AE$9:$AE$1592,0)))=1,SUM(INDEX('SKU明细'!$G$9:$G$1592,MATCH("[6574,""32582-BKW-41.5""]",'SKU明细'!$AE$9:$AE$1592,0)))&gt;0),SUM(INDEX('SKU明细'!$H$9:$H$1592,MATCH("[6574,""32582-BKW-41.5""]",'SKU明细'!$AE$9:$AE$1592,0)))/SUM(INDEX('SKU明细'!$G$9:$G$1592,MATCH("[6574,""32582-BKW-41.5""]",'SKU明细'!$AE$9:$AE$1592,0))),"待核")</x:f>
        <x:v>150</x:v>
      </x:c>
      <x:c r="R84" s="16" t="n">
        <x:f>IF(AND(COUNT(INDEX('SKU明细'!$H$9:$H$1592,MATCH("[6574,""32582-BKW-42""]",'SKU明细'!$AE$9:$AE$1592,0)))=1,COUNT(INDEX('SKU明细'!$G$9:$G$1592,MATCH("[6574,""32582-BKW-42""]",'SKU明细'!$AE$9:$AE$1592,0)))=1,SUM(INDEX('SKU明细'!$G$9:$G$1592,MATCH("[6574,""32582-BKW-42""]",'SKU明细'!$AE$9:$AE$1592,0)))&gt;0),SUM(INDEX('SKU明细'!$H$9:$H$1592,MATCH("[6574,""32582-BKW-42""]",'SKU明细'!$AE$9:$AE$1592,0)))/SUM(INDEX('SKU明细'!$G$9:$G$1592,MATCH("[6574,""32582-BKW-42""]",'SKU明细'!$AE$9:$AE$1592,0))),"待核")</x:f>
        <x:v>21.298174442190668</x:v>
      </x:c>
      <x:c r="S84" s="16" t="n">
        <x:f>IF(AND(COUNT(INDEX('SKU明细'!$H$9:$H$1592,MATCH("[6574,""32582-BKW-38.5""]",'SKU明细'!$AE$9:$AE$1592,0)),INDEX('SKU明细'!$H$9:$H$1592,MATCH("[6574,""32582-BKW-39""]",'SKU明细'!$AE$9:$AE$1592,0)),INDEX('SKU明细'!$H$9:$H$1592,MATCH("[6574,""32582-BKW-41""]",'SKU明细'!$AE$9:$AE$1592,0)),INDEX('SKU明细'!$H$9:$H$1592,MATCH("[6574,""32582-BKW-39.5""]",'SKU明细'!$AE$9:$AE$1592,0)),INDEX('SKU明细'!$H$9:$H$1592,MATCH("[6574,""32582-BKW-40""]",'SKU明细'!$AE$9:$AE$1592,0)),INDEX('SKU明细'!$H$9:$H$1592,MATCH("[6574,""32582-BKW-41.5""]",'SKU明细'!$AE$9:$AE$1592,0)),INDEX('SKU明细'!$H$9:$H$1592,MATCH("[6574,""32582-BKW-37""]",'SKU明细'!$AE$9:$AE$1592,0)),INDEX('SKU明细'!$H$9:$H$1592,MATCH("[6574,""32582-BKW-40.5""]",'SKU明细'!$AE$9:$AE$1592,0)),INDEX('SKU明细'!$H$9:$H$1592,MATCH("[6574,""32582-BKW-37.5""]",'SKU明细'!$AE$9:$AE$1592,0)),INDEX('SKU明细'!$H$9:$H$1592,MATCH("[6574,""32582-BKW-38""]",'SKU明细'!$AE$9:$AE$1592,0)),INDEX('SKU明细'!$H$9:$H$1592,MATCH("[6574,""32582-BKW-42""]",'SKU明细'!$AE$9:$AE$1592,0)))=11,COUNT(INDEX('SKU明细'!$G$9:$G$1592,MATCH("[6574,""32582-BKW-38.5""]",'SKU明细'!$AE$9:$AE$1592,0)),INDEX('SKU明细'!$G$9:$G$1592,MATCH("[6574,""32582-BKW-39""]",'SKU明细'!$AE$9:$AE$1592,0)),INDEX('SKU明细'!$G$9:$G$1592,MATCH("[6574,""32582-BKW-41""]",'SKU明细'!$AE$9:$AE$1592,0)),INDEX('SKU明细'!$G$9:$G$1592,MATCH("[6574,""32582-BKW-39.5""]",'SKU明细'!$AE$9:$AE$1592,0)),INDEX('SKU明细'!$G$9:$G$1592,MATCH("[6574,""32582-BKW-40""]",'SKU明细'!$AE$9:$AE$1592,0)),INDEX('SKU明细'!$G$9:$G$1592,MATCH("[6574,""32582-BKW-41.5""]",'SKU明细'!$AE$9:$AE$1592,0)),INDEX('SKU明细'!$G$9:$G$1592,MATCH("[6574,""32582-BKW-37""]",'SKU明细'!$AE$9:$AE$1592,0)),INDEX('SKU明细'!$G$9:$G$1592,MATCH("[6574,""32582-BKW-40.5""]",'SKU明细'!$AE$9:$AE$1592,0)),INDEX('SKU明细'!$G$9:$G$1592,MATCH("[6574,""32582-BKW-37.5""]",'SKU明细'!$AE$9:$AE$1592,0)),INDEX('SKU明细'!$G$9:$G$1592,MATCH("[6574,""32582-BKW-38""]",'SKU明细'!$AE$9:$AE$1592,0)),INDEX('SKU明细'!$G$9:$G$1592,MATCH("[6574,""32582-BKW-42""]",'SKU明细'!$AE$9:$AE$1592,0)))=11,SUM(INDEX('SKU明细'!$G$9:$G$1592,MATCH("[6574,""32582-BKW-38.5""]",'SKU明细'!$AE$9:$AE$1592,0)),INDEX('SKU明细'!$G$9:$G$1592,MATCH("[6574,""32582-BKW-39""]",'SKU明细'!$AE$9:$AE$1592,0)),INDEX('SKU明细'!$G$9:$G$1592,MATCH("[6574,""32582-BKW-41""]",'SKU明细'!$AE$9:$AE$1592,0)),INDEX('SKU明细'!$G$9:$G$1592,MATCH("[6574,""32582-BKW-39.5""]",'SKU明细'!$AE$9:$AE$1592,0)),INDEX('SKU明细'!$G$9:$G$1592,MATCH("[6574,""32582-BKW-40""]",'SKU明细'!$AE$9:$AE$1592,0)),INDEX('SKU明细'!$G$9:$G$1592,MATCH("[6574,""32582-BKW-41.5""]",'SKU明细'!$AE$9:$AE$1592,0)),INDEX('SKU明细'!$G$9:$G$1592,MATCH("[6574,""32582-BKW-37""]",'SKU明细'!$AE$9:$AE$1592,0)),INDEX('SKU明细'!$G$9:$G$1592,MATCH("[6574,""32582-BKW-40.5""]",'SKU明细'!$AE$9:$AE$1592,0)),INDEX('SKU明细'!$G$9:$G$1592,MATCH("[6574,""32582-BKW-37.5""]",'SKU明细'!$AE$9:$AE$1592,0)),INDEX('SKU明细'!$G$9:$G$1592,MATCH("[6574,""32582-BKW-38""]",'SKU明细'!$AE$9:$AE$1592,0)),INDEX('SKU明细'!$G$9:$G$1592,MATCH("[6574,""32582-BKW-42""]",'SKU明细'!$AE$9:$AE$1592,0)))&gt;0),SUM(INDEX('SKU明细'!$H$9:$H$1592,MATCH("[6574,""32582-BKW-38.5""]",'SKU明细'!$AE$9:$AE$1592,0)),INDEX('SKU明细'!$H$9:$H$1592,MATCH("[6574,""32582-BKW-39""]",'SKU明细'!$AE$9:$AE$1592,0)),INDEX('SKU明细'!$H$9:$H$1592,MATCH("[6574,""32582-BKW-41""]",'SKU明细'!$AE$9:$AE$1592,0)),INDEX('SKU明细'!$H$9:$H$1592,MATCH("[6574,""32582-BKW-39.5""]",'SKU明细'!$AE$9:$AE$1592,0)),INDEX('SKU明细'!$H$9:$H$1592,MATCH("[6574,""32582-BKW-40""]",'SKU明细'!$AE$9:$AE$1592,0)),INDEX('SKU明细'!$H$9:$H$1592,MATCH("[6574,""32582-BKW-41.5""]",'SKU明细'!$AE$9:$AE$1592,0)),INDEX('SKU明细'!$H$9:$H$1592,MATCH("[6574,""32582-BKW-37""]",'SKU明细'!$AE$9:$AE$1592,0)),INDEX('SKU明细'!$H$9:$H$1592,MATCH("[6574,""32582-BKW-40.5""]",'SKU明细'!$AE$9:$AE$1592,0)),INDEX('SKU明细'!$H$9:$H$1592,MATCH("[6574,""32582-BKW-37.5""]",'SKU明细'!$AE$9:$AE$1592,0)),INDEX('SKU明细'!$H$9:$H$1592,MATCH("[6574,""32582-BKW-38""]",'SKU明细'!$AE$9:$AE$1592,0)),INDEX('SKU明细'!$H$9:$H$1592,MATCH("[6574,""32582-BKW-42""]",'SKU明细'!$AE$9:$AE$1592,0)))/SUM(INDEX('SKU明细'!$G$9:$G$1592,MATCH("[6574,""32582-BKW-38.5""]",'SKU明细'!$AE$9:$AE$1592,0)),INDEX('SKU明细'!$G$9:$G$1592,MATCH("[6574,""32582-BKW-39""]",'SKU明细'!$AE$9:$AE$1592,0)),INDEX('SKU明细'!$G$9:$G$1592,MATCH("[6574,""32582-BKW-41""]",'SKU明细'!$AE$9:$AE$1592,0)),INDEX('SKU明细'!$G$9:$G$1592,MATCH("[6574,""32582-BKW-39.5""]",'SKU明细'!$AE$9:$AE$1592,0)),INDEX('SKU明细'!$G$9:$G$1592,MATCH("[6574,""32582-BKW-40""]",'SKU明细'!$AE$9:$AE$1592,0)),INDEX('SKU明细'!$G$9:$G$1592,MATCH("[6574,""32582-BKW-41.5""]",'SKU明细'!$AE$9:$AE$1592,0)),INDEX('SKU明细'!$G$9:$G$1592,MATCH("[6574,""32582-BKW-37""]",'SKU明细'!$AE$9:$AE$1592,0)),INDEX('SKU明细'!$G$9:$G$1592,MATCH("[6574,""32582-BKW-40.5""]",'SKU明细'!$AE$9:$AE$1592,0)),INDEX('SKU明细'!$G$9:$G$1592,MATCH("[6574,""32582-BKW-37.5""]",'SKU明细'!$AE$9:$AE$1592,0)),INDEX('SKU明细'!$G$9:$G$1592,MATCH("[6574,""32582-BKW-38""]",'SKU明细'!$AE$9:$AE$1592,0)),INDEX('SKU明细'!$G$9:$G$1592,MATCH("[6574,""32582-BKW-42""]",'SKU明细'!$AE$9:$AE$1592,0))),"待核")</x:f>
        <x:v>170.2538949798038</x:v>
      </x:c>
      <x:c r="T84" s="16" t="str">
        <x:f>IF(AND(COUNT(INDEX('SKU明细'!$I$9:$I$1592,MATCH("[6574,""32582-BKW-38.5""]",'SKU明细'!$AE$9:$AE$1592,0)),INDEX('SKU明细'!$I$9:$I$1592,MATCH("[6574,""32582-BKW-39""]",'SKU明细'!$AE$9:$AE$1592,0)),INDEX('SKU明细'!$I$9:$I$1592,MATCH("[6574,""32582-BKW-41""]",'SKU明细'!$AE$9:$AE$1592,0)),INDEX('SKU明细'!$I$9:$I$1592,MATCH("[6574,""32582-BKW-39.5""]",'SKU明细'!$AE$9:$AE$1592,0)),INDEX('SKU明细'!$I$9:$I$1592,MATCH("[6574,""32582-BKW-40""]",'SKU明细'!$AE$9:$AE$1592,0)),INDEX('SKU明细'!$I$9:$I$1592,MATCH("[6574,""32582-BKW-41.5""]",'SKU明细'!$AE$9:$AE$1592,0)),INDEX('SKU明细'!$I$9:$I$1592,MATCH("[6574,""32582-BKW-37""]",'SKU明细'!$AE$9:$AE$1592,0)),INDEX('SKU明细'!$I$9:$I$1592,MATCH("[6574,""32582-BKW-40.5""]",'SKU明细'!$AE$9:$AE$1592,0)),INDEX('SKU明细'!$I$9:$I$1592,MATCH("[6574,""32582-BKW-37.5""]",'SKU明细'!$AE$9:$AE$1592,0)),INDEX('SKU明细'!$I$9:$I$1592,MATCH("[6574,""32582-BKW-38""]",'SKU明细'!$AE$9:$AE$1592,0)),INDEX('SKU明细'!$I$9:$I$1592,MATCH("[6574,""32582-BKW-42""]",'SKU明细'!$AE$9:$AE$1592,0)))=11,COUNT(INDEX('SKU明细'!$AD$9:$AD$1592,MATCH("[6574,""32582-BKW-38.5""]",'SKU明细'!$AE$9:$AE$1592,0)),INDEX('SKU明细'!$AD$9:$AD$1592,MATCH("[6574,""32582-BKW-39""]",'SKU明细'!$AE$9:$AE$1592,0)),INDEX('SKU明细'!$AD$9:$AD$1592,MATCH("[6574,""32582-BKW-41""]",'SKU明细'!$AE$9:$AE$1592,0)),INDEX('SKU明细'!$AD$9:$AD$1592,MATCH("[6574,""32582-BKW-39.5""]",'SKU明细'!$AE$9:$AE$1592,0)),INDEX('SKU明细'!$AD$9:$AD$1592,MATCH("[6574,""32582-BKW-40""]",'SKU明细'!$AE$9:$AE$1592,0)),INDEX('SKU明细'!$AD$9:$AD$1592,MATCH("[6574,""32582-BKW-41.5""]",'SKU明细'!$AE$9:$AE$1592,0)),INDEX('SKU明细'!$AD$9:$AD$1592,MATCH("[6574,""32582-BKW-37""]",'SKU明细'!$AE$9:$AE$1592,0)),INDEX('SKU明细'!$AD$9:$AD$1592,MATCH("[6574,""32582-BKW-40.5""]",'SKU明细'!$AE$9:$AE$1592,0)),INDEX('SKU明细'!$AD$9:$AD$1592,MATCH("[6574,""32582-BKW-37.5""]",'SKU明细'!$AE$9:$AE$1592,0)),INDEX('SKU明细'!$AD$9:$AD$1592,MATCH("[6574,""32582-BKW-38""]",'SKU明细'!$AE$9:$AE$1592,0)),INDEX('SKU明细'!$AD$9:$AD$1592,MATCH("[6574,""32582-BKW-42""]",'SKU明细'!$AE$9:$AE$1592,0)))=11,SUM(INDEX('SKU明细'!$AD$9:$AD$1592,MATCH("[6574,""32582-BKW-38.5""]",'SKU明细'!$AE$9:$AE$1592,0)),INDEX('SKU明细'!$AD$9:$AD$1592,MATCH("[6574,""32582-BKW-39""]",'SKU明细'!$AE$9:$AE$1592,0)),INDEX('SKU明细'!$AD$9:$AD$1592,MATCH("[6574,""32582-BKW-41""]",'SKU明细'!$AE$9:$AE$1592,0)),INDEX('SKU明细'!$AD$9:$AD$1592,MATCH("[6574,""32582-BKW-39.5""]",'SKU明细'!$AE$9:$AE$1592,0)),INDEX('SKU明细'!$AD$9:$AD$1592,MATCH("[6574,""32582-BKW-40""]",'SKU明细'!$AE$9:$AE$1592,0)),INDEX('SKU明细'!$AD$9:$AD$1592,MATCH("[6574,""32582-BKW-41.5""]",'SKU明细'!$AE$9:$AE$1592,0)),INDEX('SKU明细'!$AD$9:$AD$1592,MATCH("[6574,""32582-BKW-37""]",'SKU明细'!$AE$9:$AE$1592,0)),INDEX('SKU明细'!$AD$9:$AD$1592,MATCH("[6574,""32582-BKW-40.5""]",'SKU明细'!$AE$9:$AE$1592,0)),INDEX('SKU明细'!$AD$9:$AD$1592,MATCH("[6574,""32582-BKW-37.5""]",'SKU明细'!$AE$9:$AE$1592,0)),INDEX('SKU明细'!$AD$9:$AD$1592,MATCH("[6574,""32582-BKW-38""]",'SKU明细'!$AE$9:$AE$1592,0)),INDEX('SKU明细'!$AD$9:$AD$1592,MATCH("[6574,""32582-BKW-42""]",'SKU明细'!$AE$9:$AE$1592,0)))&gt;0),SUM(INDEX('SKU明细'!$I$9:$I$1592,MATCH("[6574,""32582-BKW-38.5""]",'SKU明细'!$AE$9:$AE$1592,0)),INDEX('SKU明细'!$I$9:$I$1592,MATCH("[6574,""32582-BKW-39""]",'SKU明细'!$AE$9:$AE$1592,0)),INDEX('SKU明细'!$I$9:$I$1592,MATCH("[6574,""32582-BKW-41""]",'SKU明细'!$AE$9:$AE$1592,0)),INDEX('SKU明细'!$I$9:$I$1592,MATCH("[6574,""32582-BKW-39.5""]",'SKU明细'!$AE$9:$AE$1592,0)),INDEX('SKU明细'!$I$9:$I$1592,MATCH("[6574,""32582-BKW-40""]",'SKU明细'!$AE$9:$AE$1592,0)),INDEX('SKU明细'!$I$9:$I$1592,MATCH("[6574,""32582-BKW-41.5""]",'SKU明细'!$AE$9:$AE$1592,0)),INDEX('SKU明细'!$I$9:$I$1592,MATCH("[6574,""32582-BKW-37""]",'SKU明细'!$AE$9:$AE$1592,0)),INDEX('SKU明细'!$I$9:$I$1592,MATCH("[6574,""32582-BKW-40.5""]",'SKU明细'!$AE$9:$AE$1592,0)),INDEX('SKU明细'!$I$9:$I$1592,MATCH("[6574,""32582-BKW-37.5""]",'SKU明细'!$AE$9:$AE$1592,0)),INDEX('SKU明细'!$I$9:$I$1592,MATCH("[6574,""32582-BKW-38""]",'SKU明细'!$AE$9:$AE$1592,0)),INDEX('SKU明细'!$I$9:$I$1592,MATCH("[6574,""32582-BKW-42""]",'SKU明细'!$AE$9:$AE$1592,0)))/SUM(INDEX('SKU明细'!$AD$9:$AD$1592,MATCH("[6574,""32582-BKW-38.5""]",'SKU明细'!$AE$9:$AE$1592,0)),INDEX('SKU明细'!$AD$9:$AD$1592,MATCH("[6574,""32582-BKW-39""]",'SKU明细'!$AE$9:$AE$1592,0)),INDEX('SKU明细'!$AD$9:$AD$1592,MATCH("[6574,""32582-BKW-41""]",'SKU明细'!$AE$9:$AE$1592,0)),INDEX('SKU明细'!$AD$9:$AD$1592,MATCH("[6574,""32582-BKW-39.5""]",'SKU明细'!$AE$9:$AE$1592,0)),INDEX('SKU明细'!$AD$9:$AD$1592,MATCH("[6574,""32582-BKW-40""]",'SKU明细'!$AE$9:$AE$1592,0)),INDEX('SKU明细'!$AD$9:$AD$1592,MATCH("[6574,""32582-BKW-41.5""]",'SKU明细'!$AE$9:$AE$1592,0)),INDEX('SKU明细'!$AD$9:$AD$1592,MATCH("[6574,""32582-BKW-37""]",'SKU明细'!$AE$9:$AE$1592,0)),INDEX('SKU明细'!$AD$9:$AD$1592,MATCH("[6574,""32582-BKW-40.5""]",'SKU明细'!$AE$9:$AE$1592,0)),INDEX('SKU明细'!$AD$9:$AD$1592,MATCH("[6574,""32582-BKW-37.5""]",'SKU明细'!$AE$9:$AE$1592,0)),INDEX('SKU明细'!$AD$9:$AD$1592,MATCH("[6574,""32582-BKW-38""]",'SKU明细'!$AE$9:$AE$1592,0)),INDEX('SKU明细'!$AD$9:$AD$1592,MATCH("[6574,""32582-BKW-42""]",'SKU明细'!$AE$9:$AE$1592,0))),"待核")</x:f>
        <x:v>待核</x:v>
      </x:c>
      <x:c r="U84" s="16" t="str">
        <x:f>IF(COUNT(S84:T84)=2,S84-T84,"待核")</x:f>
        <x:v>待核</x:v>
      </x:c>
      <x:c r="V84" s="17" t="str">
        <x:f>IF(AND(ISNUMBER(U84),ISNUMBER(T84),T84&lt;&gt;0),U84/T84,"")</x:f>
      </x:c>
      <x:c r="W84" s="18" t="n">
        <x:f>IF(COUNT(INDEX('SKU明细'!$H$9:$H$1592,MATCH("[6574,""32582-BKW-38.5""]",'SKU明细'!$AE$9:$AE$1592,0)),INDEX('SKU明细'!$H$9:$H$1592,MATCH("[6574,""32582-BKW-39""]",'SKU明细'!$AE$9:$AE$1592,0)),INDEX('SKU明细'!$H$9:$H$1592,MATCH("[6574,""32582-BKW-41""]",'SKU明细'!$AE$9:$AE$1592,0)),INDEX('SKU明细'!$H$9:$H$1592,MATCH("[6574,""32582-BKW-39.5""]",'SKU明细'!$AE$9:$AE$1592,0)),INDEX('SKU明细'!$H$9:$H$1592,MATCH("[6574,""32582-BKW-40""]",'SKU明细'!$AE$9:$AE$1592,0)),INDEX('SKU明细'!$H$9:$H$1592,MATCH("[6574,""32582-BKW-41.5""]",'SKU明细'!$AE$9:$AE$1592,0)),INDEX('SKU明细'!$H$9:$H$1592,MATCH("[6574,""32582-BKW-37""]",'SKU明细'!$AE$9:$AE$1592,0)),INDEX('SKU明细'!$H$9:$H$1592,MATCH("[6574,""32582-BKW-40.5""]",'SKU明细'!$AE$9:$AE$1592,0)),INDEX('SKU明细'!$H$9:$H$1592,MATCH("[6574,""32582-BKW-37.5""]",'SKU明细'!$AE$9:$AE$1592,0)),INDEX('SKU明细'!$H$9:$H$1592,MATCH("[6574,""32582-BKW-38""]",'SKU明细'!$AE$9:$AE$1592,0)),INDEX('SKU明细'!$H$9:$H$1592,MATCH("[6574,""32582-BKW-42""]",'SKU明细'!$AE$9:$AE$1592,0)))=0,"待核",SUM(INDEX('SKU明细'!$H$9:$H$1592,MATCH("[6574,""32582-BKW-38.5""]",'SKU明细'!$AE$9:$AE$1592,0)),INDEX('SKU明细'!$H$9:$H$1592,MATCH("[6574,""32582-BKW-39""]",'SKU明细'!$AE$9:$AE$1592,0)),INDEX('SKU明细'!$H$9:$H$1592,MATCH("[6574,""32582-BKW-41""]",'SKU明细'!$AE$9:$AE$1592,0)),INDEX('SKU明细'!$H$9:$H$1592,MATCH("[6574,""32582-BKW-39.5""]",'SKU明细'!$AE$9:$AE$1592,0)),INDEX('SKU明细'!$H$9:$H$1592,MATCH("[6574,""32582-BKW-40""]",'SKU明细'!$AE$9:$AE$1592,0)),INDEX('SKU明细'!$H$9:$H$1592,MATCH("[6574,""32582-BKW-41.5""]",'SKU明细'!$AE$9:$AE$1592,0)),INDEX('SKU明细'!$H$9:$H$1592,MATCH("[6574,""32582-BKW-37""]",'SKU明细'!$AE$9:$AE$1592,0)),INDEX('SKU明细'!$H$9:$H$1592,MATCH("[6574,""32582-BKW-40.5""]",'SKU明细'!$AE$9:$AE$1592,0)),INDEX('SKU明细'!$H$9:$H$1592,MATCH("[6574,""32582-BKW-37.5""]",'SKU明细'!$AE$9:$AE$1592,0)),INDEX('SKU明细'!$H$9:$H$1592,MATCH("[6574,""32582-BKW-38""]",'SKU明细'!$AE$9:$AE$1592,0)),INDEX('SKU明细'!$H$9:$H$1592,MATCH("[6574,""32582-BKW-42""]",'SKU明细'!$AE$9:$AE$1592,0))))</x:f>
        <x:v>281</x:v>
      </x:c>
      <x:c r="X84" s="19" t="str">
        <x:f>IF(COUNTIFS('SKU明细'!$AH$9:$AH$1592,"[""32582"",""32582-BKW"",""BKW"",""黑色白色内里""]",'SKU明细'!$E$9:$E$1592,"促销")&gt;0,"促销 ","")&amp;IF(COUNTIFS('SKU明细'!$AH$9:$AH$1592,"[""32582"",""32582-BKW"",""BKW"",""黑色白色内里""]",'SKU明细'!$E$9:$E$1592,"红线促销")&gt;0,"红线促销 ","")&amp;IF(COUNTIFS('SKU明细'!$AH$9:$AH$1592,"[""32582"",""32582-BKW"",""BKW"",""黑色白色内里""]",'SKU明细'!$E$9:$E$1592,"考虑清仓")&gt;0,"考虑清仓 ","")&amp;IF(COUNTIFS('SKU明细'!$AH$9:$AH$1592,"[""32582"",""32582-BKW"",""BKW"",""黑色白色内里""]",'SKU明细'!$E$9:$E$1592,"断货")&gt;0,"断货 ","")&amp;IF(COUNTIFS('SKU明细'!$AH$9:$AH$1592,"[""32582"",""32582-BKW"",""BKW"",""黑色白色内里""]",'SKU明细'!$E$9:$E$1592,"零日销待复核")&gt;0,"零日销待复核 ","")&amp;IF(COUNTIFS('SKU明细'!$AH$9:$AH$1592,"[""32582"",""32582-BKW"",""BKW"",""黑色白色内里""]",'SKU明细'!$E$9:$E$1592,"数据待核")&gt;0,"数据待核 ","")&amp;IF(COUNTIFS('SKU明细'!$AH$9:$AH$1592,"[""32582"",""32582-BKW"",""BKW"",""黑色白色内里""]",'SKU明细'!$E$9:$E$1592,"正常库存")&gt;0,"正常库存 ","")&amp;IF(COUNTIFS('SKU明细'!$AH$9:$AH$1592,"[""32582"",""32582-BKW"",""BKW"",""黑色白色内里""]",'SKU明细'!$E$9:$E$1592,"补货提醒")&gt;0,"补货提醒 ","")</x:f>
        <x:v>促销 考虑清仓 断货 补货提醒 </x:v>
      </x:c>
      <x:c r="Y84" s="19" t="str">
        <x:f>IF(NOT(ISNUMBER(U84)),"覆盖待核／无可比基准","完整可比")</x:f>
        <x:v>覆盖待核／无可比基准</x:v>
      </x:c>
      <x:c r="Z84" s="19" t="str">
        <x:v>在售、停售</x:v>
      </x:c>
      <x:c r="AA84" s="19" t="n">
        <x:f>IF(SUMIFS('SKU明细'!$AF$9:$AF$1592,'SKU明细'!$D$9:$D$1592,A84,'SKU明细'!$Z$9:$Z$1592,"&lt;&gt;移出")=0,"待核",SUMIFS('SKU明细'!$H$9:$H$1592,'SKU明细'!$D$9:$D$1592,A84,'SKU明细'!$Z$9:$Z$1592,"&lt;&gt;移出"))</x:f>
        <x:v>1442</x:v>
      </x:c>
    </x:row>
    <x:row r="85" ht="54" customHeight="1">
      <x:c r="A85" s="15" t="str">
        <x:v>32582</x:v>
      </x:c>
      <x:c r="B85" s="15" t="str">
        <x:v>徐新怡</x:v>
      </x:c>
      <x:c r="C85" s="15" t="str">
        <x:v>灰色</x:v>
      </x:c>
      <x:c r="D85" s="15" t="str">
        <x:v>gy</x:v>
      </x:c>
      <x:c r="E85" s="15" t="str">
        <x:v>32582-gy</x:v>
      </x:c>
      <x:c r="F85" s="15"/>
      <x:c r="G85" s="16" t="str">
        <x:f>"—"</x:f>
        <x:v>—</x:v>
      </x:c>
      <x:c r="H85" s="16" t="str">
        <x:f>"—"</x:f>
        <x:v>—</x:v>
      </x:c>
      <x:c r="I85" s="16" t="str">
        <x:f>"—"</x:f>
        <x:v>—</x:v>
      </x:c>
      <x:c r="J85" s="16" t="str">
        <x:f>"—"</x:f>
        <x:v>—</x:v>
      </x:c>
      <x:c r="K85" s="16" t="str">
        <x:f>"—"</x:f>
        <x:v>—</x:v>
      </x:c>
      <x:c r="L85" s="16" t="str">
        <x:f>"—"</x:f>
        <x:v>—</x:v>
      </x:c>
      <x:c r="M85" s="16" t="str">
        <x:f>"—"</x:f>
        <x:v>—</x:v>
      </x:c>
      <x:c r="N85" s="16" t="str">
        <x:f>"—"</x:f>
        <x:v>—</x:v>
      </x:c>
      <x:c r="O85" s="16" t="str">
        <x:f>"—"</x:f>
        <x:v>—</x:v>
      </x:c>
      <x:c r="P85" s="16" t="str">
        <x:f>"—"</x:f>
        <x:v>—</x:v>
      </x:c>
      <x:c r="Q85" s="16" t="str">
        <x:f>"—"</x:f>
        <x:v>—</x:v>
      </x:c>
      <x:c r="R85" s="16" t="str">
        <x:f>IF(AND(COUNT(INDEX('SKU明细'!$H$9:$H$1592,MATCH("[6574,""32582-gy-42""]",'SKU明细'!$AE$9:$AE$1592,0)))=1,COUNT(INDEX('SKU明细'!$G$9:$G$1592,MATCH("[6574,""32582-gy-42""]",'SKU明细'!$AE$9:$AE$1592,0)))=1,SUM(INDEX('SKU明细'!$G$9:$G$1592,MATCH("[6574,""32582-gy-42""]",'SKU明细'!$AE$9:$AE$1592,0)))&gt;0),SUM(INDEX('SKU明细'!$H$9:$H$1592,MATCH("[6574,""32582-gy-42""]",'SKU明细'!$AE$9:$AE$1592,0)))/SUM(INDEX('SKU明细'!$G$9:$G$1592,MATCH("[6574,""32582-gy-42""]",'SKU明细'!$AE$9:$AE$1592,0))),"待核")</x:f>
        <x:v>待核</x:v>
      </x:c>
      <x:c r="S85" s="16" t="str">
        <x:f>IF(AND(COUNT(INDEX('SKU明细'!$H$9:$H$1592,MATCH("[6574,""32582-gy-42""]",'SKU明细'!$AE$9:$AE$1592,0)))=1,COUNT(INDEX('SKU明细'!$G$9:$G$1592,MATCH("[6574,""32582-gy-42""]",'SKU明细'!$AE$9:$AE$1592,0)))=1,SUM(INDEX('SKU明细'!$G$9:$G$1592,MATCH("[6574,""32582-gy-42""]",'SKU明细'!$AE$9:$AE$1592,0)))&gt;0),SUM(INDEX('SKU明细'!$H$9:$H$1592,MATCH("[6574,""32582-gy-42""]",'SKU明细'!$AE$9:$AE$1592,0)))/SUM(INDEX('SKU明细'!$G$9:$G$1592,MATCH("[6574,""32582-gy-42""]",'SKU明细'!$AE$9:$AE$1592,0))),"待核")</x:f>
        <x:v>待核</x:v>
      </x:c>
      <x:c r="T85" s="16" t="str">
        <x:f>IF(AND(COUNT(INDEX('SKU明细'!$I$9:$I$1592,MATCH("[6574,""32582-gy-42""]",'SKU明细'!$AE$9:$AE$1592,0)))=1,COUNT(INDEX('SKU明细'!$AD$9:$AD$1592,MATCH("[6574,""32582-gy-42""]",'SKU明细'!$AE$9:$AE$1592,0)))=1,SUM(INDEX('SKU明细'!$AD$9:$AD$1592,MATCH("[6574,""32582-gy-42""]",'SKU明细'!$AE$9:$AE$1592,0)))&gt;0),SUM(INDEX('SKU明细'!$I$9:$I$1592,MATCH("[6574,""32582-gy-42""]",'SKU明细'!$AE$9:$AE$1592,0)))/SUM(INDEX('SKU明细'!$AD$9:$AD$1592,MATCH("[6574,""32582-gy-42""]",'SKU明细'!$AE$9:$AE$1592,0))),"待核")</x:f>
        <x:v>待核</x:v>
      </x:c>
      <x:c r="U85" s="16" t="str">
        <x:f>IF(COUNT(S85:T85)=2,S85-T85,"待核")</x:f>
        <x:v>待核</x:v>
      </x:c>
      <x:c r="V85" s="17" t="str">
        <x:f>IF(AND(ISNUMBER(U85),ISNUMBER(T85),T85&lt;&gt;0),U85/T85,"")</x:f>
      </x:c>
      <x:c r="W85" s="18" t="n">
        <x:f>IF(COUNT(INDEX('SKU明细'!$H$9:$H$1592,MATCH("[6574,""32582-gy-42""]",'SKU明细'!$AE$9:$AE$1592,0)))=0,"待核",SUM(INDEX('SKU明细'!$H$9:$H$1592,MATCH("[6574,""32582-gy-42""]",'SKU明细'!$AE$9:$AE$1592,0))))</x:f>
        <x:v>0</x:v>
      </x:c>
      <x:c r="X85" s="19" t="str">
        <x:f>IF(COUNTIFS('SKU明细'!$AH$9:$AH$1592,"[""32582"",""32582-gy"",""gy"",""灰色""]",'SKU明细'!$E$9:$E$1592,"促销")&gt;0,"促销 ","")&amp;IF(COUNTIFS('SKU明细'!$AH$9:$AH$1592,"[""32582"",""32582-gy"",""gy"",""灰色""]",'SKU明细'!$E$9:$E$1592,"红线促销")&gt;0,"红线促销 ","")&amp;IF(COUNTIFS('SKU明细'!$AH$9:$AH$1592,"[""32582"",""32582-gy"",""gy"",""灰色""]",'SKU明细'!$E$9:$E$1592,"考虑清仓")&gt;0,"考虑清仓 ","")&amp;IF(COUNTIFS('SKU明细'!$AH$9:$AH$1592,"[""32582"",""32582-gy"",""gy"",""灰色""]",'SKU明细'!$E$9:$E$1592,"断货")&gt;0,"断货 ","")&amp;IF(COUNTIFS('SKU明细'!$AH$9:$AH$1592,"[""32582"",""32582-gy"",""gy"",""灰色""]",'SKU明细'!$E$9:$E$1592,"零日销待复核")&gt;0,"零日销待复核 ","")&amp;IF(COUNTIFS('SKU明细'!$AH$9:$AH$1592,"[""32582"",""32582-gy"",""gy"",""灰色""]",'SKU明细'!$E$9:$E$1592,"数据待核")&gt;0,"数据待核 ","")&amp;IF(COUNTIFS('SKU明细'!$AH$9:$AH$1592,"[""32582"",""32582-gy"",""gy"",""灰色""]",'SKU明细'!$E$9:$E$1592,"正常库存")&gt;0,"正常库存 ","")&amp;IF(COUNTIFS('SKU明细'!$AH$9:$AH$1592,"[""32582"",""32582-gy"",""gy"",""灰色""]",'SKU明细'!$E$9:$E$1592,"补货提醒")&gt;0,"补货提醒 ","")</x:f>
        <x:v>断货 补货提醒 </x:v>
      </x:c>
      <x:c r="Y85" s="19" t="str">
        <x:f>IF(NOT(ISNUMBER(U85)),"覆盖待核／无可比基准","完整可比")</x:f>
        <x:v>覆盖待核／无可比基准</x:v>
      </x:c>
      <x:c r="Z85" s="19" t="str">
        <x:v>停售</x:v>
      </x:c>
      <x:c r="AA85" s="19" t="n">
        <x:f>IF(SUMIFS('SKU明细'!$AF$9:$AF$1592,'SKU明细'!$D$9:$D$1592,A85,'SKU明细'!$Z$9:$Z$1592,"&lt;&gt;移出")=0,"待核",SUMIFS('SKU明细'!$H$9:$H$1592,'SKU明细'!$D$9:$D$1592,A85,'SKU明细'!$Z$9:$Z$1592,"&lt;&gt;移出"))</x:f>
        <x:v>1442</x:v>
      </x:c>
    </x:row>
    <x:row r="86" ht="54" customHeight="1">
      <x:c r="A86" s="15" t="str">
        <x:v>32582</x:v>
      </x:c>
      <x:c r="B86" s="15" t="str">
        <x:v>徐新怡</x:v>
      </x:c>
      <x:c r="C86" s="15" t="str">
        <x:v>灰色</x:v>
      </x:c>
      <x:c r="D86" s="15" t="str">
        <x:v>GY</x:v>
      </x:c>
      <x:c r="E86" s="15" t="str">
        <x:v>32582-GY</x:v>
      </x:c>
      <x:c r="F86" s="15"/>
      <x:c r="G86" s="16" t="str">
        <x:f>"—"</x:f>
        <x:v>—</x:v>
      </x:c>
      <x:c r="H86" s="16" t="str">
        <x:f>IF(AND(COUNT(INDEX('SKU明细'!$H$9:$H$1592,MATCH("[6574,""32582-GY-37""]",'SKU明细'!$AE$9:$AE$1592,0)))=1,COUNT(INDEX('SKU明细'!$G$9:$G$1592,MATCH("[6574,""32582-GY-37""]",'SKU明细'!$AE$9:$AE$1592,0)))=1,SUM(INDEX('SKU明细'!$G$9:$G$1592,MATCH("[6574,""32582-GY-37""]",'SKU明细'!$AE$9:$AE$1592,0)))&gt;0),SUM(INDEX('SKU明细'!$H$9:$H$1592,MATCH("[6574,""32582-GY-37""]",'SKU明细'!$AE$9:$AE$1592,0)))/SUM(INDEX('SKU明细'!$G$9:$G$1592,MATCH("[6574,""32582-GY-37""]",'SKU明细'!$AE$9:$AE$1592,0))),"待核")</x:f>
        <x:v>待核</x:v>
      </x:c>
      <x:c r="I86" s="16" t="str">
        <x:f>IF(AND(COUNT(INDEX('SKU明细'!$H$9:$H$1592,MATCH("[6574,""32582-GY-37.5""]",'SKU明细'!$AE$9:$AE$1592,0)))=1,COUNT(INDEX('SKU明细'!$G$9:$G$1592,MATCH("[6574,""32582-GY-37.5""]",'SKU明细'!$AE$9:$AE$1592,0)))=1,SUM(INDEX('SKU明细'!$G$9:$G$1592,MATCH("[6574,""32582-GY-37.5""]",'SKU明细'!$AE$9:$AE$1592,0)))&gt;0),SUM(INDEX('SKU明细'!$H$9:$H$1592,MATCH("[6574,""32582-GY-37.5""]",'SKU明细'!$AE$9:$AE$1592,0)))/SUM(INDEX('SKU明细'!$G$9:$G$1592,MATCH("[6574,""32582-GY-37.5""]",'SKU明细'!$AE$9:$AE$1592,0))),"待核")</x:f>
        <x:v>待核</x:v>
      </x:c>
      <x:c r="J86" s="16" t="n">
        <x:f>IF(AND(COUNT(INDEX('SKU明细'!$H$9:$H$1592,MATCH("[6574,""32582-GY-38""]",'SKU明细'!$AE$9:$AE$1592,0)))=1,COUNT(INDEX('SKU明细'!$G$9:$G$1592,MATCH("[6574,""32582-GY-38""]",'SKU明细'!$AE$9:$AE$1592,0)))=1,SUM(INDEX('SKU明细'!$G$9:$G$1592,MATCH("[6574,""32582-GY-38""]",'SKU明细'!$AE$9:$AE$1592,0)))&gt;0),SUM(INDEX('SKU明细'!$H$9:$H$1592,MATCH("[6574,""32582-GY-38""]",'SKU明细'!$AE$9:$AE$1592,0)))/SUM(INDEX('SKU明细'!$G$9:$G$1592,MATCH("[6574,""32582-GY-38""]",'SKU明细'!$AE$9:$AE$1592,0))),"待核")</x:f>
        <x:v>37.668161434977584</x:v>
      </x:c>
      <x:c r="K86" s="16" t="str">
        <x:f>IF(AND(COUNT(INDEX('SKU明细'!$H$9:$H$1592,MATCH("[6574,""32582-GY-38.5""]",'SKU明细'!$AE$9:$AE$1592,0)))=1,COUNT(INDEX('SKU明细'!$G$9:$G$1592,MATCH("[6574,""32582-GY-38.5""]",'SKU明细'!$AE$9:$AE$1592,0)))=1,SUM(INDEX('SKU明细'!$G$9:$G$1592,MATCH("[6574,""32582-GY-38.5""]",'SKU明细'!$AE$9:$AE$1592,0)))&gt;0),SUM(INDEX('SKU明细'!$H$9:$H$1592,MATCH("[6574,""32582-GY-38.5""]",'SKU明细'!$AE$9:$AE$1592,0)))/SUM(INDEX('SKU明细'!$G$9:$G$1592,MATCH("[6574,""32582-GY-38.5""]",'SKU明细'!$AE$9:$AE$1592,0))),"待核")</x:f>
        <x:v>待核</x:v>
      </x:c>
      <x:c r="L86" s="16" t="str">
        <x:f>IF(AND(COUNT(INDEX('SKU明细'!$H$9:$H$1592,MATCH("[6574,""32582-GY-39""]",'SKU明细'!$AE$9:$AE$1592,0)))=1,COUNT(INDEX('SKU明细'!$G$9:$G$1592,MATCH("[6574,""32582-GY-39""]",'SKU明细'!$AE$9:$AE$1592,0)))=1,SUM(INDEX('SKU明细'!$G$9:$G$1592,MATCH("[6574,""32582-GY-39""]",'SKU明细'!$AE$9:$AE$1592,0)))&gt;0),SUM(INDEX('SKU明细'!$H$9:$H$1592,MATCH("[6574,""32582-GY-39""]",'SKU明细'!$AE$9:$AE$1592,0)))/SUM(INDEX('SKU明细'!$G$9:$G$1592,MATCH("[6574,""32582-GY-39""]",'SKU明细'!$AE$9:$AE$1592,0))),"待核")</x:f>
        <x:v>待核</x:v>
      </x:c>
      <x:c r="M86" s="16" t="str">
        <x:f>IF(AND(COUNT(INDEX('SKU明细'!$H$9:$H$1592,MATCH("[6574,""32582-GY-39.5""]",'SKU明细'!$AE$9:$AE$1592,0)))=1,COUNT(INDEX('SKU明细'!$G$9:$G$1592,MATCH("[6574,""32582-GY-39.5""]",'SKU明细'!$AE$9:$AE$1592,0)))=1,SUM(INDEX('SKU明细'!$G$9:$G$1592,MATCH("[6574,""32582-GY-39.5""]",'SKU明细'!$AE$9:$AE$1592,0)))&gt;0),SUM(INDEX('SKU明细'!$H$9:$H$1592,MATCH("[6574,""32582-GY-39.5""]",'SKU明细'!$AE$9:$AE$1592,0)))/SUM(INDEX('SKU明细'!$G$9:$G$1592,MATCH("[6574,""32582-GY-39.5""]",'SKU明细'!$AE$9:$AE$1592,0))),"待核")</x:f>
        <x:v>待核</x:v>
      </x:c>
      <x:c r="N86" s="16" t="str">
        <x:f>IF(AND(COUNT(INDEX('SKU明细'!$H$9:$H$1592,MATCH("[6574,""32582-GY-40""]",'SKU明细'!$AE$9:$AE$1592,0)))=1,COUNT(INDEX('SKU明细'!$G$9:$G$1592,MATCH("[6574,""32582-GY-40""]",'SKU明细'!$AE$9:$AE$1592,0)))=1,SUM(INDEX('SKU明细'!$G$9:$G$1592,MATCH("[6574,""32582-GY-40""]",'SKU明细'!$AE$9:$AE$1592,0)))&gt;0),SUM(INDEX('SKU明细'!$H$9:$H$1592,MATCH("[6574,""32582-GY-40""]",'SKU明细'!$AE$9:$AE$1592,0)))/SUM(INDEX('SKU明细'!$G$9:$G$1592,MATCH("[6574,""32582-GY-40""]",'SKU明细'!$AE$9:$AE$1592,0))),"待核")</x:f>
        <x:v>待核</x:v>
      </x:c>
      <x:c r="O86" s="16" t="str">
        <x:f>IF(AND(COUNT(INDEX('SKU明细'!$H$9:$H$1592,MATCH("[6574,""32582-GY-40.5""]",'SKU明细'!$AE$9:$AE$1592,0)))=1,COUNT(INDEX('SKU明细'!$G$9:$G$1592,MATCH("[6574,""32582-GY-40.5""]",'SKU明细'!$AE$9:$AE$1592,0)))=1,SUM(INDEX('SKU明细'!$G$9:$G$1592,MATCH("[6574,""32582-GY-40.5""]",'SKU明细'!$AE$9:$AE$1592,0)))&gt;0),SUM(INDEX('SKU明细'!$H$9:$H$1592,MATCH("[6574,""32582-GY-40.5""]",'SKU明细'!$AE$9:$AE$1592,0)))/SUM(INDEX('SKU明细'!$G$9:$G$1592,MATCH("[6574,""32582-GY-40.5""]",'SKU明细'!$AE$9:$AE$1592,0))),"待核")</x:f>
        <x:v>待核</x:v>
      </x:c>
      <x:c r="P86" s="16" t="str">
        <x:f>IF(AND(COUNT(INDEX('SKU明细'!$H$9:$H$1592,MATCH("[6574,""32582-GY-41""]",'SKU明细'!$AE$9:$AE$1592,0)))=1,COUNT(INDEX('SKU明细'!$G$9:$G$1592,MATCH("[6574,""32582-GY-41""]",'SKU明细'!$AE$9:$AE$1592,0)))=1,SUM(INDEX('SKU明细'!$G$9:$G$1592,MATCH("[6574,""32582-GY-41""]",'SKU明细'!$AE$9:$AE$1592,0)))&gt;0),SUM(INDEX('SKU明细'!$H$9:$H$1592,MATCH("[6574,""32582-GY-41""]",'SKU明细'!$AE$9:$AE$1592,0)))/SUM(INDEX('SKU明细'!$G$9:$G$1592,MATCH("[6574,""32582-GY-41""]",'SKU明细'!$AE$9:$AE$1592,0))),"待核")</x:f>
        <x:v>待核</x:v>
      </x:c>
      <x:c r="Q86" s="16" t="str">
        <x:f>IF(AND(COUNT(INDEX('SKU明细'!$H$9:$H$1592,MATCH("[6574,""32582-GY-41.5""]",'SKU明细'!$AE$9:$AE$1592,0)))=1,COUNT(INDEX('SKU明细'!$G$9:$G$1592,MATCH("[6574,""32582-GY-41.5""]",'SKU明细'!$AE$9:$AE$1592,0)))=1,SUM(INDEX('SKU明细'!$G$9:$G$1592,MATCH("[6574,""32582-GY-41.5""]",'SKU明细'!$AE$9:$AE$1592,0)))&gt;0),SUM(INDEX('SKU明细'!$H$9:$H$1592,MATCH("[6574,""32582-GY-41.5""]",'SKU明细'!$AE$9:$AE$1592,0)))/SUM(INDEX('SKU明细'!$G$9:$G$1592,MATCH("[6574,""32582-GY-41.5""]",'SKU明细'!$AE$9:$AE$1592,0))),"待核")</x:f>
        <x:v>待核</x:v>
      </x:c>
      <x:c r="R86" s="16" t="str">
        <x:f>"—"</x:f>
        <x:v>—</x:v>
      </x:c>
      <x:c r="S86" s="16" t="n">
        <x:f>IF(AND(COUNT(INDEX('SKU明细'!$H$9:$H$1592,MATCH("[6574,""32582-GY-37""]",'SKU明细'!$AE$9:$AE$1592,0)),INDEX('SKU明细'!$H$9:$H$1592,MATCH("[6574,""32582-GY-37.5""]",'SKU明细'!$AE$9:$AE$1592,0)),INDEX('SKU明细'!$H$9:$H$1592,MATCH("[6574,""32582-GY-38.5""]",'SKU明细'!$AE$9:$AE$1592,0)),INDEX('SKU明细'!$H$9:$H$1592,MATCH("[6574,""32582-GY-39""]",'SKU明细'!$AE$9:$AE$1592,0)),INDEX('SKU明细'!$H$9:$H$1592,MATCH("[6574,""32582-GY-39.5""]",'SKU明细'!$AE$9:$AE$1592,0)),INDEX('SKU明细'!$H$9:$H$1592,MATCH("[6574,""32582-GY-40""]",'SKU明细'!$AE$9:$AE$1592,0)),INDEX('SKU明细'!$H$9:$H$1592,MATCH("[6574,""32582-GY-40.5""]",'SKU明细'!$AE$9:$AE$1592,0)),INDEX('SKU明细'!$H$9:$H$1592,MATCH("[6574,""32582-GY-41""]",'SKU明细'!$AE$9:$AE$1592,0)),INDEX('SKU明细'!$H$9:$H$1592,MATCH("[6574,""32582-GY-41.5""]",'SKU明细'!$AE$9:$AE$1592,0)),INDEX('SKU明细'!$H$9:$H$1592,MATCH("[6574,""32582-GY-38""]",'SKU明细'!$AE$9:$AE$1592,0)))=10,COUNT(INDEX('SKU明细'!$G$9:$G$1592,MATCH("[6574,""32582-GY-37""]",'SKU明细'!$AE$9:$AE$1592,0)),INDEX('SKU明细'!$G$9:$G$1592,MATCH("[6574,""32582-GY-37.5""]",'SKU明细'!$AE$9:$AE$1592,0)),INDEX('SKU明细'!$G$9:$G$1592,MATCH("[6574,""32582-GY-38.5""]",'SKU明细'!$AE$9:$AE$1592,0)),INDEX('SKU明细'!$G$9:$G$1592,MATCH("[6574,""32582-GY-39""]",'SKU明细'!$AE$9:$AE$1592,0)),INDEX('SKU明细'!$G$9:$G$1592,MATCH("[6574,""32582-GY-39.5""]",'SKU明细'!$AE$9:$AE$1592,0)),INDEX('SKU明细'!$G$9:$G$1592,MATCH("[6574,""32582-GY-40""]",'SKU明细'!$AE$9:$AE$1592,0)),INDEX('SKU明细'!$G$9:$G$1592,MATCH("[6574,""32582-GY-40.5""]",'SKU明细'!$AE$9:$AE$1592,0)),INDEX('SKU明细'!$G$9:$G$1592,MATCH("[6574,""32582-GY-41""]",'SKU明细'!$AE$9:$AE$1592,0)),INDEX('SKU明细'!$G$9:$G$1592,MATCH("[6574,""32582-GY-41.5""]",'SKU明细'!$AE$9:$AE$1592,0)),INDEX('SKU明细'!$G$9:$G$1592,MATCH("[6574,""32582-GY-38""]",'SKU明细'!$AE$9:$AE$1592,0)))=10,SUM(INDEX('SKU明细'!$G$9:$G$1592,MATCH("[6574,""32582-GY-37""]",'SKU明细'!$AE$9:$AE$1592,0)),INDEX('SKU明细'!$G$9:$G$1592,MATCH("[6574,""32582-GY-37.5""]",'SKU明细'!$AE$9:$AE$1592,0)),INDEX('SKU明细'!$G$9:$G$1592,MATCH("[6574,""32582-GY-38.5""]",'SKU明细'!$AE$9:$AE$1592,0)),INDEX('SKU明细'!$G$9:$G$1592,MATCH("[6574,""32582-GY-39""]",'SKU明细'!$AE$9:$AE$1592,0)),INDEX('SKU明细'!$G$9:$G$1592,MATCH("[6574,""32582-GY-39.5""]",'SKU明细'!$AE$9:$AE$1592,0)),INDEX('SKU明细'!$G$9:$G$1592,MATCH("[6574,""32582-GY-40""]",'SKU明细'!$AE$9:$AE$1592,0)),INDEX('SKU明细'!$G$9:$G$1592,MATCH("[6574,""32582-GY-40.5""]",'SKU明细'!$AE$9:$AE$1592,0)),INDEX('SKU明细'!$G$9:$G$1592,MATCH("[6574,""32582-GY-41""]",'SKU明细'!$AE$9:$AE$1592,0)),INDEX('SKU明细'!$G$9:$G$1592,MATCH("[6574,""32582-GY-41.5""]",'SKU明细'!$AE$9:$AE$1592,0)),INDEX('SKU明细'!$G$9:$G$1592,MATCH("[6574,""32582-GY-38""]",'SKU明细'!$AE$9:$AE$1592,0)))&gt;0),SUM(INDEX('SKU明细'!$H$9:$H$1592,MATCH("[6574,""32582-GY-37""]",'SKU明细'!$AE$9:$AE$1592,0)),INDEX('SKU明细'!$H$9:$H$1592,MATCH("[6574,""32582-GY-37.5""]",'SKU明细'!$AE$9:$AE$1592,0)),INDEX('SKU明细'!$H$9:$H$1592,MATCH("[6574,""32582-GY-38.5""]",'SKU明细'!$AE$9:$AE$1592,0)),INDEX('SKU明细'!$H$9:$H$1592,MATCH("[6574,""32582-GY-39""]",'SKU明细'!$AE$9:$AE$1592,0)),INDEX('SKU明细'!$H$9:$H$1592,MATCH("[6574,""32582-GY-39.5""]",'SKU明细'!$AE$9:$AE$1592,0)),INDEX('SKU明细'!$H$9:$H$1592,MATCH("[6574,""32582-GY-40""]",'SKU明细'!$AE$9:$AE$1592,0)),INDEX('SKU明细'!$H$9:$H$1592,MATCH("[6574,""32582-GY-40.5""]",'SKU明细'!$AE$9:$AE$1592,0)),INDEX('SKU明细'!$H$9:$H$1592,MATCH("[6574,""32582-GY-41""]",'SKU明细'!$AE$9:$AE$1592,0)),INDEX('SKU明细'!$H$9:$H$1592,MATCH("[6574,""32582-GY-41.5""]",'SKU明细'!$AE$9:$AE$1592,0)),INDEX('SKU明细'!$H$9:$H$1592,MATCH("[6574,""32582-GY-38""]",'SKU明细'!$AE$9:$AE$1592,0)))/SUM(INDEX('SKU明细'!$G$9:$G$1592,MATCH("[6574,""32582-GY-37""]",'SKU明细'!$AE$9:$AE$1592,0)),INDEX('SKU明细'!$G$9:$G$1592,MATCH("[6574,""32582-GY-37.5""]",'SKU明细'!$AE$9:$AE$1592,0)),INDEX('SKU明细'!$G$9:$G$1592,MATCH("[6574,""32582-GY-38.5""]",'SKU明细'!$AE$9:$AE$1592,0)),INDEX('SKU明细'!$G$9:$G$1592,MATCH("[6574,""32582-GY-39""]",'SKU明细'!$AE$9:$AE$1592,0)),INDEX('SKU明细'!$G$9:$G$1592,MATCH("[6574,""32582-GY-39.5""]",'SKU明细'!$AE$9:$AE$1592,0)),INDEX('SKU明细'!$G$9:$G$1592,MATCH("[6574,""32582-GY-40""]",'SKU明细'!$AE$9:$AE$1592,0)),INDEX('SKU明细'!$G$9:$G$1592,MATCH("[6574,""32582-GY-40.5""]",'SKU明细'!$AE$9:$AE$1592,0)),INDEX('SKU明细'!$G$9:$G$1592,MATCH("[6574,""32582-GY-41""]",'SKU明细'!$AE$9:$AE$1592,0)),INDEX('SKU明细'!$G$9:$G$1592,MATCH("[6574,""32582-GY-41.5""]",'SKU明细'!$AE$9:$AE$1592,0)),INDEX('SKU明细'!$G$9:$G$1592,MATCH("[6574,""32582-GY-38""]",'SKU明细'!$AE$9:$AE$1592,0))),"待核")</x:f>
        <x:v>37.668161434977584</x:v>
      </x:c>
      <x:c r="T86" s="16" t="str">
        <x:f>IF(AND(COUNT(INDEX('SKU明细'!$I$9:$I$1592,MATCH("[6574,""32582-GY-37""]",'SKU明细'!$AE$9:$AE$1592,0)),INDEX('SKU明细'!$I$9:$I$1592,MATCH("[6574,""32582-GY-37.5""]",'SKU明细'!$AE$9:$AE$1592,0)),INDEX('SKU明细'!$I$9:$I$1592,MATCH("[6574,""32582-GY-38.5""]",'SKU明细'!$AE$9:$AE$1592,0)),INDEX('SKU明细'!$I$9:$I$1592,MATCH("[6574,""32582-GY-39""]",'SKU明细'!$AE$9:$AE$1592,0)),INDEX('SKU明细'!$I$9:$I$1592,MATCH("[6574,""32582-GY-39.5""]",'SKU明细'!$AE$9:$AE$1592,0)),INDEX('SKU明细'!$I$9:$I$1592,MATCH("[6574,""32582-GY-40""]",'SKU明细'!$AE$9:$AE$1592,0)),INDEX('SKU明细'!$I$9:$I$1592,MATCH("[6574,""32582-GY-40.5""]",'SKU明细'!$AE$9:$AE$1592,0)),INDEX('SKU明细'!$I$9:$I$1592,MATCH("[6574,""32582-GY-41""]",'SKU明细'!$AE$9:$AE$1592,0)),INDEX('SKU明细'!$I$9:$I$1592,MATCH("[6574,""32582-GY-41.5""]",'SKU明细'!$AE$9:$AE$1592,0)),INDEX('SKU明细'!$I$9:$I$1592,MATCH("[6574,""32582-GY-38""]",'SKU明细'!$AE$9:$AE$1592,0)))=10,COUNT(INDEX('SKU明细'!$AD$9:$AD$1592,MATCH("[6574,""32582-GY-37""]",'SKU明细'!$AE$9:$AE$1592,0)),INDEX('SKU明细'!$AD$9:$AD$1592,MATCH("[6574,""32582-GY-37.5""]",'SKU明细'!$AE$9:$AE$1592,0)),INDEX('SKU明细'!$AD$9:$AD$1592,MATCH("[6574,""32582-GY-38.5""]",'SKU明细'!$AE$9:$AE$1592,0)),INDEX('SKU明细'!$AD$9:$AD$1592,MATCH("[6574,""32582-GY-39""]",'SKU明细'!$AE$9:$AE$1592,0)),INDEX('SKU明细'!$AD$9:$AD$1592,MATCH("[6574,""32582-GY-39.5""]",'SKU明细'!$AE$9:$AE$1592,0)),INDEX('SKU明细'!$AD$9:$AD$1592,MATCH("[6574,""32582-GY-40""]",'SKU明细'!$AE$9:$AE$1592,0)),INDEX('SKU明细'!$AD$9:$AD$1592,MATCH("[6574,""32582-GY-40.5""]",'SKU明细'!$AE$9:$AE$1592,0)),INDEX('SKU明细'!$AD$9:$AD$1592,MATCH("[6574,""32582-GY-41""]",'SKU明细'!$AE$9:$AE$1592,0)),INDEX('SKU明细'!$AD$9:$AD$1592,MATCH("[6574,""32582-GY-41.5""]",'SKU明细'!$AE$9:$AE$1592,0)),INDEX('SKU明细'!$AD$9:$AD$1592,MATCH("[6574,""32582-GY-38""]",'SKU明细'!$AE$9:$AE$1592,0)))=10,SUM(INDEX('SKU明细'!$AD$9:$AD$1592,MATCH("[6574,""32582-GY-37""]",'SKU明细'!$AE$9:$AE$1592,0)),INDEX('SKU明细'!$AD$9:$AD$1592,MATCH("[6574,""32582-GY-37.5""]",'SKU明细'!$AE$9:$AE$1592,0)),INDEX('SKU明细'!$AD$9:$AD$1592,MATCH("[6574,""32582-GY-38.5""]",'SKU明细'!$AE$9:$AE$1592,0)),INDEX('SKU明细'!$AD$9:$AD$1592,MATCH("[6574,""32582-GY-39""]",'SKU明细'!$AE$9:$AE$1592,0)),INDEX('SKU明细'!$AD$9:$AD$1592,MATCH("[6574,""32582-GY-39.5""]",'SKU明细'!$AE$9:$AE$1592,0)),INDEX('SKU明细'!$AD$9:$AD$1592,MATCH("[6574,""32582-GY-40""]",'SKU明细'!$AE$9:$AE$1592,0)),INDEX('SKU明细'!$AD$9:$AD$1592,MATCH("[6574,""32582-GY-40.5""]",'SKU明细'!$AE$9:$AE$1592,0)),INDEX('SKU明细'!$AD$9:$AD$1592,MATCH("[6574,""32582-GY-41""]",'SKU明细'!$AE$9:$AE$1592,0)),INDEX('SKU明细'!$AD$9:$AD$1592,MATCH("[6574,""32582-GY-41.5""]",'SKU明细'!$AE$9:$AE$1592,0)),INDEX('SKU明细'!$AD$9:$AD$1592,MATCH("[6574,""32582-GY-38""]",'SKU明细'!$AE$9:$AE$1592,0)))&gt;0),SUM(INDEX('SKU明细'!$I$9:$I$1592,MATCH("[6574,""32582-GY-37""]",'SKU明细'!$AE$9:$AE$1592,0)),INDEX('SKU明细'!$I$9:$I$1592,MATCH("[6574,""32582-GY-37.5""]",'SKU明细'!$AE$9:$AE$1592,0)),INDEX('SKU明细'!$I$9:$I$1592,MATCH("[6574,""32582-GY-38.5""]",'SKU明细'!$AE$9:$AE$1592,0)),INDEX('SKU明细'!$I$9:$I$1592,MATCH("[6574,""32582-GY-39""]",'SKU明细'!$AE$9:$AE$1592,0)),INDEX('SKU明细'!$I$9:$I$1592,MATCH("[6574,""32582-GY-39.5""]",'SKU明细'!$AE$9:$AE$1592,0)),INDEX('SKU明细'!$I$9:$I$1592,MATCH("[6574,""32582-GY-40""]",'SKU明细'!$AE$9:$AE$1592,0)),INDEX('SKU明细'!$I$9:$I$1592,MATCH("[6574,""32582-GY-40.5""]",'SKU明细'!$AE$9:$AE$1592,0)),INDEX('SKU明细'!$I$9:$I$1592,MATCH("[6574,""32582-GY-41""]",'SKU明细'!$AE$9:$AE$1592,0)),INDEX('SKU明细'!$I$9:$I$1592,MATCH("[6574,""32582-GY-41.5""]",'SKU明细'!$AE$9:$AE$1592,0)),INDEX('SKU明细'!$I$9:$I$1592,MATCH("[6574,""32582-GY-38""]",'SKU明细'!$AE$9:$AE$1592,0)))/SUM(INDEX('SKU明细'!$AD$9:$AD$1592,MATCH("[6574,""32582-GY-37""]",'SKU明细'!$AE$9:$AE$1592,0)),INDEX('SKU明细'!$AD$9:$AD$1592,MATCH("[6574,""32582-GY-37.5""]",'SKU明细'!$AE$9:$AE$1592,0)),INDEX('SKU明细'!$AD$9:$AD$1592,MATCH("[6574,""32582-GY-38.5""]",'SKU明细'!$AE$9:$AE$1592,0)),INDEX('SKU明细'!$AD$9:$AD$1592,MATCH("[6574,""32582-GY-39""]",'SKU明细'!$AE$9:$AE$1592,0)),INDEX('SKU明细'!$AD$9:$AD$1592,MATCH("[6574,""32582-GY-39.5""]",'SKU明细'!$AE$9:$AE$1592,0)),INDEX('SKU明细'!$AD$9:$AD$1592,MATCH("[6574,""32582-GY-40""]",'SKU明细'!$AE$9:$AE$1592,0)),INDEX('SKU明细'!$AD$9:$AD$1592,MATCH("[6574,""32582-GY-40.5""]",'SKU明细'!$AE$9:$AE$1592,0)),INDEX('SKU明细'!$AD$9:$AD$1592,MATCH("[6574,""32582-GY-41""]",'SKU明细'!$AE$9:$AE$1592,0)),INDEX('SKU明细'!$AD$9:$AD$1592,MATCH("[6574,""32582-GY-41.5""]",'SKU明细'!$AE$9:$AE$1592,0)),INDEX('SKU明细'!$AD$9:$AD$1592,MATCH("[6574,""32582-GY-38""]",'SKU明细'!$AE$9:$AE$1592,0))),"待核")</x:f>
        <x:v>待核</x:v>
      </x:c>
      <x:c r="U86" s="16" t="str">
        <x:f>IF(COUNT(S86:T86)=2,S86-T86,"待核")</x:f>
        <x:v>待核</x:v>
      </x:c>
      <x:c r="V86" s="17" t="str">
        <x:f>IF(AND(ISNUMBER(U86),ISNUMBER(T86),T86&lt;&gt;0),U86/T86,"")</x:f>
      </x:c>
      <x:c r="W86" s="18" t="n">
        <x:f>IF(COUNT(INDEX('SKU明细'!$H$9:$H$1592,MATCH("[6574,""32582-GY-37""]",'SKU明细'!$AE$9:$AE$1592,0)),INDEX('SKU明细'!$H$9:$H$1592,MATCH("[6574,""32582-GY-37.5""]",'SKU明细'!$AE$9:$AE$1592,0)),INDEX('SKU明细'!$H$9:$H$1592,MATCH("[6574,""32582-GY-38.5""]",'SKU明细'!$AE$9:$AE$1592,0)),INDEX('SKU明细'!$H$9:$H$1592,MATCH("[6574,""32582-GY-39""]",'SKU明细'!$AE$9:$AE$1592,0)),INDEX('SKU明细'!$H$9:$H$1592,MATCH("[6574,""32582-GY-39.5""]",'SKU明细'!$AE$9:$AE$1592,0)),INDEX('SKU明细'!$H$9:$H$1592,MATCH("[6574,""32582-GY-40""]",'SKU明细'!$AE$9:$AE$1592,0)),INDEX('SKU明细'!$H$9:$H$1592,MATCH("[6574,""32582-GY-40.5""]",'SKU明细'!$AE$9:$AE$1592,0)),INDEX('SKU明细'!$H$9:$H$1592,MATCH("[6574,""32582-GY-41""]",'SKU明细'!$AE$9:$AE$1592,0)),INDEX('SKU明细'!$H$9:$H$1592,MATCH("[6574,""32582-GY-41.5""]",'SKU明细'!$AE$9:$AE$1592,0)),INDEX('SKU明细'!$H$9:$H$1592,MATCH("[6574,""32582-GY-38""]",'SKU明细'!$AE$9:$AE$1592,0)))=0,"待核",SUM(INDEX('SKU明细'!$H$9:$H$1592,MATCH("[6574,""32582-GY-37""]",'SKU明细'!$AE$9:$AE$1592,0)),INDEX('SKU明细'!$H$9:$H$1592,MATCH("[6574,""32582-GY-37.5""]",'SKU明细'!$AE$9:$AE$1592,0)),INDEX('SKU明细'!$H$9:$H$1592,MATCH("[6574,""32582-GY-38.5""]",'SKU明细'!$AE$9:$AE$1592,0)),INDEX('SKU明细'!$H$9:$H$1592,MATCH("[6574,""32582-GY-39""]",'SKU明细'!$AE$9:$AE$1592,0)),INDEX('SKU明细'!$H$9:$H$1592,MATCH("[6574,""32582-GY-39.5""]",'SKU明细'!$AE$9:$AE$1592,0)),INDEX('SKU明细'!$H$9:$H$1592,MATCH("[6574,""32582-GY-40""]",'SKU明细'!$AE$9:$AE$1592,0)),INDEX('SKU明细'!$H$9:$H$1592,MATCH("[6574,""32582-GY-40.5""]",'SKU明细'!$AE$9:$AE$1592,0)),INDEX('SKU明细'!$H$9:$H$1592,MATCH("[6574,""32582-GY-41""]",'SKU明细'!$AE$9:$AE$1592,0)),INDEX('SKU明细'!$H$9:$H$1592,MATCH("[6574,""32582-GY-41.5""]",'SKU明细'!$AE$9:$AE$1592,0)),INDEX('SKU明细'!$H$9:$H$1592,MATCH("[6574,""32582-GY-38""]",'SKU明细'!$AE$9:$AE$1592,0))))</x:f>
        <x:v>4</x:v>
      </x:c>
      <x:c r="X86" s="19" t="str">
        <x:f>IF(COUNTIFS('SKU明细'!$AH$9:$AH$1592,"[""32582"",""32582-GY"",""GY"",""灰色""]",'SKU明细'!$E$9:$E$1592,"促销")&gt;0,"促销 ","")&amp;IF(COUNTIFS('SKU明细'!$AH$9:$AH$1592,"[""32582"",""32582-GY"",""GY"",""灰色""]",'SKU明细'!$E$9:$E$1592,"红线促销")&gt;0,"红线促销 ","")&amp;IF(COUNTIFS('SKU明细'!$AH$9:$AH$1592,"[""32582"",""32582-GY"",""GY"",""灰色""]",'SKU明细'!$E$9:$E$1592,"考虑清仓")&gt;0,"考虑清仓 ","")&amp;IF(COUNTIFS('SKU明细'!$AH$9:$AH$1592,"[""32582"",""32582-GY"",""GY"",""灰色""]",'SKU明细'!$E$9:$E$1592,"断货")&gt;0,"断货 ","")&amp;IF(COUNTIFS('SKU明细'!$AH$9:$AH$1592,"[""32582"",""32582-GY"",""GY"",""灰色""]",'SKU明细'!$E$9:$E$1592,"零日销待复核")&gt;0,"零日销待复核 ","")&amp;IF(COUNTIFS('SKU明细'!$AH$9:$AH$1592,"[""32582"",""32582-GY"",""GY"",""灰色""]",'SKU明细'!$E$9:$E$1592,"数据待核")&gt;0,"数据待核 ","")&amp;IF(COUNTIFS('SKU明细'!$AH$9:$AH$1592,"[""32582"",""32582-GY"",""GY"",""灰色""]",'SKU明细'!$E$9:$E$1592,"正常库存")&gt;0,"正常库存 ","")&amp;IF(COUNTIFS('SKU明细'!$AH$9:$AH$1592,"[""32582"",""32582-GY"",""GY"",""灰色""]",'SKU明细'!$E$9:$E$1592,"补货提醒")&gt;0,"补货提醒 ","")</x:f>
        <x:v>断货 补货提醒 </x:v>
      </x:c>
      <x:c r="Y86" s="19" t="str">
        <x:f>IF(NOT(ISNUMBER(U86)),"覆盖待核／无可比基准","完整可比")</x:f>
        <x:v>覆盖待核／无可比基准</x:v>
      </x:c>
      <x:c r="Z86" s="19" t="str">
        <x:v>停售、在售</x:v>
      </x:c>
      <x:c r="AA86" s="19" t="n">
        <x:f>IF(SUMIFS('SKU明细'!$AF$9:$AF$1592,'SKU明细'!$D$9:$D$1592,A86,'SKU明细'!$Z$9:$Z$1592,"&lt;&gt;移出")=0,"待核",SUMIFS('SKU明细'!$H$9:$H$1592,'SKU明细'!$D$9:$D$1592,A86,'SKU明细'!$Z$9:$Z$1592,"&lt;&gt;移出"))</x:f>
        <x:v>1442</x:v>
      </x:c>
    </x:row>
    <x:row r="87" ht="54" customHeight="1">
      <x:c r="A87" s="15" t="str">
        <x:v>32582</x:v>
      </x:c>
      <x:c r="B87" s="15" t="str">
        <x:v>徐新怡</x:v>
      </x:c>
      <x:c r="C87" s="15" t="str">
        <x:v>豹纹</x:v>
      </x:c>
      <x:c r="D87" s="15" t="str">
        <x:v>LD</x:v>
      </x:c>
      <x:c r="E87" s="15" t="str">
        <x:v>32582-LD</x:v>
      </x:c>
      <x:c r="F87" s="15"/>
      <x:c r="G87" s="16" t="str">
        <x:f>"—"</x:f>
        <x:v>—</x:v>
      </x:c>
      <x:c r="H87" s="16" t="n">
        <x:f>IF(AND(COUNT(INDEX('SKU明细'!$H$9:$H$1592,MATCH("[6574,""32582-LD-37""]",'SKU明细'!$AE$9:$AE$1592,0)))=1,COUNT(INDEX('SKU明细'!$G$9:$G$1592,MATCH("[6574,""32582-LD-37""]",'SKU明细'!$AE$9:$AE$1592,0)))=1,SUM(INDEX('SKU明细'!$G$9:$G$1592,MATCH("[6574,""32582-LD-37""]",'SKU明细'!$AE$9:$AE$1592,0)))&gt;0),SUM(INDEX('SKU明细'!$H$9:$H$1592,MATCH("[6574,""32582-LD-37""]",'SKU明细'!$AE$9:$AE$1592,0)))/SUM(INDEX('SKU明细'!$G$9:$G$1592,MATCH("[6574,""32582-LD-37""]",'SKU明细'!$AE$9:$AE$1592,0))),"待核")</x:f>
        <x:v>36.41618497109827</x:v>
      </x:c>
      <x:c r="I87" s="16" t="n">
        <x:f>IF(AND(COUNT(INDEX('SKU明细'!$H$9:$H$1592,MATCH("[6574,""32582-LD-37.5""]",'SKU明细'!$AE$9:$AE$1592,0)))=1,COUNT(INDEX('SKU明细'!$G$9:$G$1592,MATCH("[6574,""32582-LD-37.5""]",'SKU明细'!$AE$9:$AE$1592,0)))=1,SUM(INDEX('SKU明细'!$G$9:$G$1592,MATCH("[6574,""32582-LD-37.5""]",'SKU明细'!$AE$9:$AE$1592,0)))&gt;0),SUM(INDEX('SKU明细'!$H$9:$H$1592,MATCH("[6574,""32582-LD-37.5""]",'SKU明细'!$AE$9:$AE$1592,0)))/SUM(INDEX('SKU明细'!$G$9:$G$1592,MATCH("[6574,""32582-LD-37.5""]",'SKU明细'!$AE$9:$AE$1592,0))),"待核")</x:f>
        <x:v>75.53956834532374</x:v>
      </x:c>
      <x:c r="J87" s="16" t="str">
        <x:f>IF(AND(COUNT(INDEX('SKU明细'!$H$9:$H$1592,MATCH("[6574,""32582-LD-38""]",'SKU明细'!$AE$9:$AE$1592,0)))=1,COUNT(INDEX('SKU明细'!$G$9:$G$1592,MATCH("[6574,""32582-LD-38""]",'SKU明细'!$AE$9:$AE$1592,0)))=1,SUM(INDEX('SKU明细'!$G$9:$G$1592,MATCH("[6574,""32582-LD-38""]",'SKU明细'!$AE$9:$AE$1592,0)))&gt;0),SUM(INDEX('SKU明细'!$H$9:$H$1592,MATCH("[6574,""32582-LD-38""]",'SKU明细'!$AE$9:$AE$1592,0)))/SUM(INDEX('SKU明细'!$G$9:$G$1592,MATCH("[6574,""32582-LD-38""]",'SKU明细'!$AE$9:$AE$1592,0))),"待核")</x:f>
        <x:v>待核</x:v>
      </x:c>
      <x:c r="K87" s="16" t="n">
        <x:f>IF(AND(COUNT(INDEX('SKU明细'!$H$9:$H$1592,MATCH("[6574,""32582-LD-38.5""]",'SKU明细'!$AE$9:$AE$1592,0)))=1,COUNT(INDEX('SKU明细'!$G$9:$G$1592,MATCH("[6574,""32582-LD-38.5""]",'SKU明细'!$AE$9:$AE$1592,0)))=1,SUM(INDEX('SKU明细'!$G$9:$G$1592,MATCH("[6574,""32582-LD-38.5""]",'SKU明细'!$AE$9:$AE$1592,0)))&gt;0),SUM(INDEX('SKU明细'!$H$9:$H$1592,MATCH("[6574,""32582-LD-38.5""]",'SKU明细'!$AE$9:$AE$1592,0)))/SUM(INDEX('SKU明细'!$G$9:$G$1592,MATCH("[6574,""32582-LD-38.5""]",'SKU明细'!$AE$9:$AE$1592,0))),"待核")</x:f>
        <x:v>71.67235494880546</x:v>
      </x:c>
      <x:c r="L87" s="16" t="n">
        <x:f>IF(AND(COUNT(INDEX('SKU明细'!$H$9:$H$1592,MATCH("[6574,""32582-LD-39""]",'SKU明细'!$AE$9:$AE$1592,0)))=1,COUNT(INDEX('SKU明细'!$G$9:$G$1592,MATCH("[6574,""32582-LD-39""]",'SKU明细'!$AE$9:$AE$1592,0)))=1,SUM(INDEX('SKU明细'!$G$9:$G$1592,MATCH("[6574,""32582-LD-39""]",'SKU明细'!$AE$9:$AE$1592,0)))&gt;0),SUM(INDEX('SKU明细'!$H$9:$H$1592,MATCH("[6574,""32582-LD-39""]",'SKU明细'!$AE$9:$AE$1592,0)))/SUM(INDEX('SKU明细'!$G$9:$G$1592,MATCH("[6574,""32582-LD-39""]",'SKU明细'!$AE$9:$AE$1592,0))),"待核")</x:f>
        <x:v>31.732325957906095</x:v>
      </x:c>
      <x:c r="M87" s="16" t="n">
        <x:f>IF(AND(COUNT(INDEX('SKU明细'!$H$9:$H$1592,MATCH("[6574,""32582-LD-39.5""]",'SKU明细'!$AE$9:$AE$1592,0)))=1,COUNT(INDEX('SKU明细'!$G$9:$G$1592,MATCH("[6574,""32582-LD-39.5""]",'SKU明细'!$AE$9:$AE$1592,0)))=1,SUM(INDEX('SKU明细'!$G$9:$G$1592,MATCH("[6574,""32582-LD-39.5""]",'SKU明细'!$AE$9:$AE$1592,0)))&gt;0),SUM(INDEX('SKU明细'!$H$9:$H$1592,MATCH("[6574,""32582-LD-39.5""]",'SKU明细'!$AE$9:$AE$1592,0)))/SUM(INDEX('SKU明细'!$G$9:$G$1592,MATCH("[6574,""32582-LD-39.5""]",'SKU明细'!$AE$9:$AE$1592,0))),"待核")</x:f>
        <x:v>1.1615044247787611</x:v>
      </x:c>
      <x:c r="N87" s="16" t="n">
        <x:f>IF(AND(COUNT(INDEX('SKU明细'!$H$9:$H$1592,MATCH("[6574,""32582-LD-40""]",'SKU明细'!$AE$9:$AE$1592,0)))=1,COUNT(INDEX('SKU明细'!$G$9:$G$1592,MATCH("[6574,""32582-LD-40""]",'SKU明细'!$AE$9:$AE$1592,0)))=1,SUM(INDEX('SKU明细'!$G$9:$G$1592,MATCH("[6574,""32582-LD-40""]",'SKU明细'!$AE$9:$AE$1592,0)))&gt;0),SUM(INDEX('SKU明细'!$H$9:$H$1592,MATCH("[6574,""32582-LD-40""]",'SKU明细'!$AE$9:$AE$1592,0)))/SUM(INDEX('SKU明细'!$G$9:$G$1592,MATCH("[6574,""32582-LD-40""]",'SKU明细'!$AE$9:$AE$1592,0))),"待核")</x:f>
        <x:v>0</x:v>
      </x:c>
      <x:c r="O87" s="16" t="n">
        <x:f>IF(AND(COUNT(INDEX('SKU明细'!$H$9:$H$1592,MATCH("[6574,""32582-LD-40.5""]",'SKU明细'!$AE$9:$AE$1592,0)))=1,COUNT(INDEX('SKU明细'!$G$9:$G$1592,MATCH("[6574,""32582-LD-40.5""]",'SKU明细'!$AE$9:$AE$1592,0)))=1,SUM(INDEX('SKU明细'!$G$9:$G$1592,MATCH("[6574,""32582-LD-40.5""]",'SKU明细'!$AE$9:$AE$1592,0)))&gt;0),SUM(INDEX('SKU明细'!$H$9:$H$1592,MATCH("[6574,""32582-LD-40.5""]",'SKU明细'!$AE$9:$AE$1592,0)))/SUM(INDEX('SKU明细'!$G$9:$G$1592,MATCH("[6574,""32582-LD-40.5""]",'SKU明细'!$AE$9:$AE$1592,0))),"待核")</x:f>
        <x:v>22.483940042826557</x:v>
      </x:c>
      <x:c r="P87" s="16" t="n">
        <x:f>IF(AND(COUNT(INDEX('SKU明细'!$H$9:$H$1592,MATCH("[6574,""32582-LD-41""]",'SKU明细'!$AE$9:$AE$1592,0)))=1,COUNT(INDEX('SKU明细'!$G$9:$G$1592,MATCH("[6574,""32582-LD-41""]",'SKU明细'!$AE$9:$AE$1592,0)))=1,SUM(INDEX('SKU明细'!$G$9:$G$1592,MATCH("[6574,""32582-LD-41""]",'SKU明细'!$AE$9:$AE$1592,0)))&gt;0),SUM(INDEX('SKU明细'!$H$9:$H$1592,MATCH("[6574,""32582-LD-41""]",'SKU明细'!$AE$9:$AE$1592,0)))/SUM(INDEX('SKU明细'!$G$9:$G$1592,MATCH("[6574,""32582-LD-41""]",'SKU明细'!$AE$9:$AE$1592,0))),"待核")</x:f>
        <x:v>54.0650406504065</x:v>
      </x:c>
      <x:c r="Q87" s="16" t="str">
        <x:f>IF(AND(COUNT(INDEX('SKU明细'!$H$9:$H$1592,MATCH("[6574,""32582-LD-41.5""]",'SKU明细'!$AE$9:$AE$1592,0)))=1,COUNT(INDEX('SKU明细'!$G$9:$G$1592,MATCH("[6574,""32582-LD-41.5""]",'SKU明细'!$AE$9:$AE$1592,0)))=1,SUM(INDEX('SKU明细'!$G$9:$G$1592,MATCH("[6574,""32582-LD-41.5""]",'SKU明细'!$AE$9:$AE$1592,0)))&gt;0),SUM(INDEX('SKU明细'!$H$9:$H$1592,MATCH("[6574,""32582-LD-41.5""]",'SKU明细'!$AE$9:$AE$1592,0)))/SUM(INDEX('SKU明细'!$G$9:$G$1592,MATCH("[6574,""32582-LD-41.5""]",'SKU明细'!$AE$9:$AE$1592,0))),"待核")</x:f>
        <x:v>待核</x:v>
      </x:c>
      <x:c r="R87" s="16" t="str">
        <x:f>IF(AND(COUNT(INDEX('SKU明细'!$H$9:$H$1592,MATCH("[6574,""32582-LD-42""]",'SKU明细'!$AE$9:$AE$1592,0)))=1,COUNT(INDEX('SKU明细'!$G$9:$G$1592,MATCH("[6574,""32582-LD-42""]",'SKU明细'!$AE$9:$AE$1592,0)))=1,SUM(INDEX('SKU明细'!$G$9:$G$1592,MATCH("[6574,""32582-LD-42""]",'SKU明细'!$AE$9:$AE$1592,0)))&gt;0),SUM(INDEX('SKU明细'!$H$9:$H$1592,MATCH("[6574,""32582-LD-42""]",'SKU明细'!$AE$9:$AE$1592,0)))/SUM(INDEX('SKU明细'!$G$9:$G$1592,MATCH("[6574,""32582-LD-42""]",'SKU明细'!$AE$9:$AE$1592,0))),"待核")</x:f>
        <x:v>待核</x:v>
      </x:c>
      <x:c r="S87" s="16" t="n">
        <x:f>IF(AND(COUNT(INDEX('SKU明细'!$H$9:$H$1592,MATCH("[6574,""32582-LD-38""]",'SKU明细'!$AE$9:$AE$1592,0)),INDEX('SKU明细'!$H$9:$H$1592,MATCH("[6574,""32582-LD-40""]",'SKU明细'!$AE$9:$AE$1592,0)),INDEX('SKU明细'!$H$9:$H$1592,MATCH("[6574,""32582-LD-41.5""]",'SKU明细'!$AE$9:$AE$1592,0)),INDEX('SKU明细'!$H$9:$H$1592,MATCH("[6574,""32582-LD-42""]",'SKU明细'!$AE$9:$AE$1592,0)),INDEX('SKU明细'!$H$9:$H$1592,MATCH("[6574,""32582-LD-37.5""]",'SKU明细'!$AE$9:$AE$1592,0)),INDEX('SKU明细'!$H$9:$H$1592,MATCH("[6574,""32582-LD-38.5""]",'SKU明细'!$AE$9:$AE$1592,0)),INDEX('SKU明细'!$H$9:$H$1592,MATCH("[6574,""32582-LD-37""]",'SKU明细'!$AE$9:$AE$1592,0)),INDEX('SKU明细'!$H$9:$H$1592,MATCH("[6574,""32582-LD-39""]",'SKU明细'!$AE$9:$AE$1592,0)),INDEX('SKU明细'!$H$9:$H$1592,MATCH("[6574,""32582-LD-39.5""]",'SKU明细'!$AE$9:$AE$1592,0)),INDEX('SKU明细'!$H$9:$H$1592,MATCH("[6574,""32582-LD-40.5""]",'SKU明细'!$AE$9:$AE$1592,0)),INDEX('SKU明细'!$H$9:$H$1592,MATCH("[6574,""32582-LD-41""]",'SKU明细'!$AE$9:$AE$1592,0)))=11,COUNT(INDEX('SKU明细'!$G$9:$G$1592,MATCH("[6574,""32582-LD-38""]",'SKU明细'!$AE$9:$AE$1592,0)),INDEX('SKU明细'!$G$9:$G$1592,MATCH("[6574,""32582-LD-40""]",'SKU明细'!$AE$9:$AE$1592,0)),INDEX('SKU明细'!$G$9:$G$1592,MATCH("[6574,""32582-LD-41.5""]",'SKU明细'!$AE$9:$AE$1592,0)),INDEX('SKU明细'!$G$9:$G$1592,MATCH("[6574,""32582-LD-42""]",'SKU明细'!$AE$9:$AE$1592,0)),INDEX('SKU明细'!$G$9:$G$1592,MATCH("[6574,""32582-LD-37.5""]",'SKU明细'!$AE$9:$AE$1592,0)),INDEX('SKU明细'!$G$9:$G$1592,MATCH("[6574,""32582-LD-38.5""]",'SKU明细'!$AE$9:$AE$1592,0)),INDEX('SKU明细'!$G$9:$G$1592,MATCH("[6574,""32582-LD-37""]",'SKU明细'!$AE$9:$AE$1592,0)),INDEX('SKU明细'!$G$9:$G$1592,MATCH("[6574,""32582-LD-39""]",'SKU明细'!$AE$9:$AE$1592,0)),INDEX('SKU明细'!$G$9:$G$1592,MATCH("[6574,""32582-LD-39.5""]",'SKU明细'!$AE$9:$AE$1592,0)),INDEX('SKU明细'!$G$9:$G$1592,MATCH("[6574,""32582-LD-40.5""]",'SKU明细'!$AE$9:$AE$1592,0)),INDEX('SKU明细'!$G$9:$G$1592,MATCH("[6574,""32582-LD-41""]",'SKU明细'!$AE$9:$AE$1592,0)))=11,SUM(INDEX('SKU明细'!$G$9:$G$1592,MATCH("[6574,""32582-LD-38""]",'SKU明细'!$AE$9:$AE$1592,0)),INDEX('SKU明细'!$G$9:$G$1592,MATCH("[6574,""32582-LD-40""]",'SKU明细'!$AE$9:$AE$1592,0)),INDEX('SKU明细'!$G$9:$G$1592,MATCH("[6574,""32582-LD-41.5""]",'SKU明细'!$AE$9:$AE$1592,0)),INDEX('SKU明细'!$G$9:$G$1592,MATCH("[6574,""32582-LD-42""]",'SKU明细'!$AE$9:$AE$1592,0)),INDEX('SKU明细'!$G$9:$G$1592,MATCH("[6574,""32582-LD-37.5""]",'SKU明细'!$AE$9:$AE$1592,0)),INDEX('SKU明细'!$G$9:$G$1592,MATCH("[6574,""32582-LD-38.5""]",'SKU明细'!$AE$9:$AE$1592,0)),INDEX('SKU明细'!$G$9:$G$1592,MATCH("[6574,""32582-LD-37""]",'SKU明细'!$AE$9:$AE$1592,0)),INDEX('SKU明细'!$G$9:$G$1592,MATCH("[6574,""32582-LD-39""]",'SKU明细'!$AE$9:$AE$1592,0)),INDEX('SKU明细'!$G$9:$G$1592,MATCH("[6574,""32582-LD-39.5""]",'SKU明细'!$AE$9:$AE$1592,0)),INDEX('SKU明细'!$G$9:$G$1592,MATCH("[6574,""32582-LD-40.5""]",'SKU明细'!$AE$9:$AE$1592,0)),INDEX('SKU明细'!$G$9:$G$1592,MATCH("[6574,""32582-LD-41""]",'SKU明细'!$AE$9:$AE$1592,0)))&gt;0),SUM(INDEX('SKU明细'!$H$9:$H$1592,MATCH("[6574,""32582-LD-38""]",'SKU明细'!$AE$9:$AE$1592,0)),INDEX('SKU明细'!$H$9:$H$1592,MATCH("[6574,""32582-LD-40""]",'SKU明细'!$AE$9:$AE$1592,0)),INDEX('SKU明细'!$H$9:$H$1592,MATCH("[6574,""32582-LD-41.5""]",'SKU明细'!$AE$9:$AE$1592,0)),INDEX('SKU明细'!$H$9:$H$1592,MATCH("[6574,""32582-LD-42""]",'SKU明细'!$AE$9:$AE$1592,0)),INDEX('SKU明细'!$H$9:$H$1592,MATCH("[6574,""32582-LD-37.5""]",'SKU明细'!$AE$9:$AE$1592,0)),INDEX('SKU明细'!$H$9:$H$1592,MATCH("[6574,""32582-LD-38.5""]",'SKU明细'!$AE$9:$AE$1592,0)),INDEX('SKU明细'!$H$9:$H$1592,MATCH("[6574,""32582-LD-37""]",'SKU明细'!$AE$9:$AE$1592,0)),INDEX('SKU明细'!$H$9:$H$1592,MATCH("[6574,""32582-LD-39""]",'SKU明细'!$AE$9:$AE$1592,0)),INDEX('SKU明细'!$H$9:$H$1592,MATCH("[6574,""32582-LD-39.5""]",'SKU明细'!$AE$9:$AE$1592,0)),INDEX('SKU明细'!$H$9:$H$1592,MATCH("[6574,""32582-LD-40.5""]",'SKU明细'!$AE$9:$AE$1592,0)),INDEX('SKU明细'!$H$9:$H$1592,MATCH("[6574,""32582-LD-41""]",'SKU明细'!$AE$9:$AE$1592,0)))/SUM(INDEX('SKU明细'!$G$9:$G$1592,MATCH("[6574,""32582-LD-38""]",'SKU明细'!$AE$9:$AE$1592,0)),INDEX('SKU明细'!$G$9:$G$1592,MATCH("[6574,""32582-LD-40""]",'SKU明细'!$AE$9:$AE$1592,0)),INDEX('SKU明细'!$G$9:$G$1592,MATCH("[6574,""32582-LD-41.5""]",'SKU明细'!$AE$9:$AE$1592,0)),INDEX('SKU明细'!$G$9:$G$1592,MATCH("[6574,""32582-LD-42""]",'SKU明细'!$AE$9:$AE$1592,0)),INDEX('SKU明细'!$G$9:$G$1592,MATCH("[6574,""32582-LD-37.5""]",'SKU明细'!$AE$9:$AE$1592,0)),INDEX('SKU明细'!$G$9:$G$1592,MATCH("[6574,""32582-LD-38.5""]",'SKU明细'!$AE$9:$AE$1592,0)),INDEX('SKU明细'!$G$9:$G$1592,MATCH("[6574,""32582-LD-37""]",'SKU明细'!$AE$9:$AE$1592,0)),INDEX('SKU明细'!$G$9:$G$1592,MATCH("[6574,""32582-LD-39""]",'SKU明细'!$AE$9:$AE$1592,0)),INDEX('SKU明细'!$G$9:$G$1592,MATCH("[6574,""32582-LD-39.5""]",'SKU明细'!$AE$9:$AE$1592,0)),INDEX('SKU明细'!$G$9:$G$1592,MATCH("[6574,""32582-LD-40.5""]",'SKU明细'!$AE$9:$AE$1592,0)),INDEX('SKU明细'!$G$9:$G$1592,MATCH("[6574,""32582-LD-41""]",'SKU明细'!$AE$9:$AE$1592,0))),"待核")</x:f>
        <x:v>28.064516129032256</x:v>
      </x:c>
      <x:c r="T87" s="16" t="str">
        <x:f>IF(AND(COUNT(INDEX('SKU明细'!$I$9:$I$1592,MATCH("[6574,""32582-LD-38""]",'SKU明细'!$AE$9:$AE$1592,0)),INDEX('SKU明细'!$I$9:$I$1592,MATCH("[6574,""32582-LD-40""]",'SKU明细'!$AE$9:$AE$1592,0)),INDEX('SKU明细'!$I$9:$I$1592,MATCH("[6574,""32582-LD-41.5""]",'SKU明细'!$AE$9:$AE$1592,0)),INDEX('SKU明细'!$I$9:$I$1592,MATCH("[6574,""32582-LD-42""]",'SKU明细'!$AE$9:$AE$1592,0)),INDEX('SKU明细'!$I$9:$I$1592,MATCH("[6574,""32582-LD-37.5""]",'SKU明细'!$AE$9:$AE$1592,0)),INDEX('SKU明细'!$I$9:$I$1592,MATCH("[6574,""32582-LD-38.5""]",'SKU明细'!$AE$9:$AE$1592,0)),INDEX('SKU明细'!$I$9:$I$1592,MATCH("[6574,""32582-LD-37""]",'SKU明细'!$AE$9:$AE$1592,0)),INDEX('SKU明细'!$I$9:$I$1592,MATCH("[6574,""32582-LD-39""]",'SKU明细'!$AE$9:$AE$1592,0)),INDEX('SKU明细'!$I$9:$I$1592,MATCH("[6574,""32582-LD-39.5""]",'SKU明细'!$AE$9:$AE$1592,0)),INDEX('SKU明细'!$I$9:$I$1592,MATCH("[6574,""32582-LD-40.5""]",'SKU明细'!$AE$9:$AE$1592,0)),INDEX('SKU明细'!$I$9:$I$1592,MATCH("[6574,""32582-LD-41""]",'SKU明细'!$AE$9:$AE$1592,0)))=11,COUNT(INDEX('SKU明细'!$AD$9:$AD$1592,MATCH("[6574,""32582-LD-38""]",'SKU明细'!$AE$9:$AE$1592,0)),INDEX('SKU明细'!$AD$9:$AD$1592,MATCH("[6574,""32582-LD-40""]",'SKU明细'!$AE$9:$AE$1592,0)),INDEX('SKU明细'!$AD$9:$AD$1592,MATCH("[6574,""32582-LD-41.5""]",'SKU明细'!$AE$9:$AE$1592,0)),INDEX('SKU明细'!$AD$9:$AD$1592,MATCH("[6574,""32582-LD-42""]",'SKU明细'!$AE$9:$AE$1592,0)),INDEX('SKU明细'!$AD$9:$AD$1592,MATCH("[6574,""32582-LD-37.5""]",'SKU明细'!$AE$9:$AE$1592,0)),INDEX('SKU明细'!$AD$9:$AD$1592,MATCH("[6574,""32582-LD-38.5""]",'SKU明细'!$AE$9:$AE$1592,0)),INDEX('SKU明细'!$AD$9:$AD$1592,MATCH("[6574,""32582-LD-37""]",'SKU明细'!$AE$9:$AE$1592,0)),INDEX('SKU明细'!$AD$9:$AD$1592,MATCH("[6574,""32582-LD-39""]",'SKU明细'!$AE$9:$AE$1592,0)),INDEX('SKU明细'!$AD$9:$AD$1592,MATCH("[6574,""32582-LD-39.5""]",'SKU明细'!$AE$9:$AE$1592,0)),INDEX('SKU明细'!$AD$9:$AD$1592,MATCH("[6574,""32582-LD-40.5""]",'SKU明细'!$AE$9:$AE$1592,0)),INDEX('SKU明细'!$AD$9:$AD$1592,MATCH("[6574,""32582-LD-41""]",'SKU明细'!$AE$9:$AE$1592,0)))=11,SUM(INDEX('SKU明细'!$AD$9:$AD$1592,MATCH("[6574,""32582-LD-38""]",'SKU明细'!$AE$9:$AE$1592,0)),INDEX('SKU明细'!$AD$9:$AD$1592,MATCH("[6574,""32582-LD-40""]",'SKU明细'!$AE$9:$AE$1592,0)),INDEX('SKU明细'!$AD$9:$AD$1592,MATCH("[6574,""32582-LD-41.5""]",'SKU明细'!$AE$9:$AE$1592,0)),INDEX('SKU明细'!$AD$9:$AD$1592,MATCH("[6574,""32582-LD-42""]",'SKU明细'!$AE$9:$AE$1592,0)),INDEX('SKU明细'!$AD$9:$AD$1592,MATCH("[6574,""32582-LD-37.5""]",'SKU明细'!$AE$9:$AE$1592,0)),INDEX('SKU明细'!$AD$9:$AD$1592,MATCH("[6574,""32582-LD-38.5""]",'SKU明细'!$AE$9:$AE$1592,0)),INDEX('SKU明细'!$AD$9:$AD$1592,MATCH("[6574,""32582-LD-37""]",'SKU明细'!$AE$9:$AE$1592,0)),INDEX('SKU明细'!$AD$9:$AD$1592,MATCH("[6574,""32582-LD-39""]",'SKU明细'!$AE$9:$AE$1592,0)),INDEX('SKU明细'!$AD$9:$AD$1592,MATCH("[6574,""32582-LD-39.5""]",'SKU明细'!$AE$9:$AE$1592,0)),INDEX('SKU明细'!$AD$9:$AD$1592,MATCH("[6574,""32582-LD-40.5""]",'SKU明细'!$AE$9:$AE$1592,0)),INDEX('SKU明细'!$AD$9:$AD$1592,MATCH("[6574,""32582-LD-41""]",'SKU明细'!$AE$9:$AE$1592,0)))&gt;0),SUM(INDEX('SKU明细'!$I$9:$I$1592,MATCH("[6574,""32582-LD-38""]",'SKU明细'!$AE$9:$AE$1592,0)),INDEX('SKU明细'!$I$9:$I$1592,MATCH("[6574,""32582-LD-40""]",'SKU明细'!$AE$9:$AE$1592,0)),INDEX('SKU明细'!$I$9:$I$1592,MATCH("[6574,""32582-LD-41.5""]",'SKU明细'!$AE$9:$AE$1592,0)),INDEX('SKU明细'!$I$9:$I$1592,MATCH("[6574,""32582-LD-42""]",'SKU明细'!$AE$9:$AE$1592,0)),INDEX('SKU明细'!$I$9:$I$1592,MATCH("[6574,""32582-LD-37.5""]",'SKU明细'!$AE$9:$AE$1592,0)),INDEX('SKU明细'!$I$9:$I$1592,MATCH("[6574,""32582-LD-38.5""]",'SKU明细'!$AE$9:$AE$1592,0)),INDEX('SKU明细'!$I$9:$I$1592,MATCH("[6574,""32582-LD-37""]",'SKU明细'!$AE$9:$AE$1592,0)),INDEX('SKU明细'!$I$9:$I$1592,MATCH("[6574,""32582-LD-39""]",'SKU明细'!$AE$9:$AE$1592,0)),INDEX('SKU明细'!$I$9:$I$1592,MATCH("[6574,""32582-LD-39.5""]",'SKU明细'!$AE$9:$AE$1592,0)),INDEX('SKU明细'!$I$9:$I$1592,MATCH("[6574,""32582-LD-40.5""]",'SKU明细'!$AE$9:$AE$1592,0)),INDEX('SKU明细'!$I$9:$I$1592,MATCH("[6574,""32582-LD-41""]",'SKU明细'!$AE$9:$AE$1592,0)))/SUM(INDEX('SKU明细'!$AD$9:$AD$1592,MATCH("[6574,""32582-LD-38""]",'SKU明细'!$AE$9:$AE$1592,0)),INDEX('SKU明细'!$AD$9:$AD$1592,MATCH("[6574,""32582-LD-40""]",'SKU明细'!$AE$9:$AE$1592,0)),INDEX('SKU明细'!$AD$9:$AD$1592,MATCH("[6574,""32582-LD-41.5""]",'SKU明细'!$AE$9:$AE$1592,0)),INDEX('SKU明细'!$AD$9:$AD$1592,MATCH("[6574,""32582-LD-42""]",'SKU明细'!$AE$9:$AE$1592,0)),INDEX('SKU明细'!$AD$9:$AD$1592,MATCH("[6574,""32582-LD-37.5""]",'SKU明细'!$AE$9:$AE$1592,0)),INDEX('SKU明细'!$AD$9:$AD$1592,MATCH("[6574,""32582-LD-38.5""]",'SKU明细'!$AE$9:$AE$1592,0)),INDEX('SKU明细'!$AD$9:$AD$1592,MATCH("[6574,""32582-LD-37""]",'SKU明细'!$AE$9:$AE$1592,0)),INDEX('SKU明细'!$AD$9:$AD$1592,MATCH("[6574,""32582-LD-39""]",'SKU明细'!$AE$9:$AE$1592,0)),INDEX('SKU明细'!$AD$9:$AD$1592,MATCH("[6574,""32582-LD-39.5""]",'SKU明细'!$AE$9:$AE$1592,0)),INDEX('SKU明细'!$AD$9:$AD$1592,MATCH("[6574,""32582-LD-40.5""]",'SKU明细'!$AE$9:$AE$1592,0)),INDEX('SKU明细'!$AD$9:$AD$1592,MATCH("[6574,""32582-LD-41""]",'SKU明细'!$AE$9:$AE$1592,0))),"待核")</x:f>
        <x:v>待核</x:v>
      </x:c>
      <x:c r="U87" s="16" t="str">
        <x:f>IF(COUNT(S87:T87)=2,S87-T87,"待核")</x:f>
        <x:v>待核</x:v>
      </x:c>
      <x:c r="V87" s="17" t="str">
        <x:f>IF(AND(ISNUMBER(U87),ISNUMBER(T87),T87&lt;&gt;0),U87/T87,"")</x:f>
      </x:c>
      <x:c r="W87" s="18" t="n">
        <x:f>IF(COUNT(INDEX('SKU明细'!$H$9:$H$1592,MATCH("[6574,""32582-LD-38""]",'SKU明细'!$AE$9:$AE$1592,0)),INDEX('SKU明细'!$H$9:$H$1592,MATCH("[6574,""32582-LD-40""]",'SKU明细'!$AE$9:$AE$1592,0)),INDEX('SKU明细'!$H$9:$H$1592,MATCH("[6574,""32582-LD-41.5""]",'SKU明细'!$AE$9:$AE$1592,0)),INDEX('SKU明细'!$H$9:$H$1592,MATCH("[6574,""32582-LD-42""]",'SKU明细'!$AE$9:$AE$1592,0)),INDEX('SKU明细'!$H$9:$H$1592,MATCH("[6574,""32582-LD-37.5""]",'SKU明细'!$AE$9:$AE$1592,0)),INDEX('SKU明细'!$H$9:$H$1592,MATCH("[6574,""32582-LD-38.5""]",'SKU明细'!$AE$9:$AE$1592,0)),INDEX('SKU明细'!$H$9:$H$1592,MATCH("[6574,""32582-LD-37""]",'SKU明细'!$AE$9:$AE$1592,0)),INDEX('SKU明细'!$H$9:$H$1592,MATCH("[6574,""32582-LD-39""]",'SKU明细'!$AE$9:$AE$1592,0)),INDEX('SKU明细'!$H$9:$H$1592,MATCH("[6574,""32582-LD-39.5""]",'SKU明细'!$AE$9:$AE$1592,0)),INDEX('SKU明细'!$H$9:$H$1592,MATCH("[6574,""32582-LD-40.5""]",'SKU明细'!$AE$9:$AE$1592,0)),INDEX('SKU明细'!$H$9:$H$1592,MATCH("[6574,""32582-LD-41""]",'SKU明细'!$AE$9:$AE$1592,0)))=0,"待核",SUM(INDEX('SKU明细'!$H$9:$H$1592,MATCH("[6574,""32582-LD-38""]",'SKU明细'!$AE$9:$AE$1592,0)),INDEX('SKU明细'!$H$9:$H$1592,MATCH("[6574,""32582-LD-40""]",'SKU明细'!$AE$9:$AE$1592,0)),INDEX('SKU明细'!$H$9:$H$1592,MATCH("[6574,""32582-LD-41.5""]",'SKU明细'!$AE$9:$AE$1592,0)),INDEX('SKU明细'!$H$9:$H$1592,MATCH("[6574,""32582-LD-42""]",'SKU明细'!$AE$9:$AE$1592,0)),INDEX('SKU明细'!$H$9:$H$1592,MATCH("[6574,""32582-LD-37.5""]",'SKU明细'!$AE$9:$AE$1592,0)),INDEX('SKU明细'!$H$9:$H$1592,MATCH("[6574,""32582-LD-38.5""]",'SKU明细'!$AE$9:$AE$1592,0)),INDEX('SKU明细'!$H$9:$H$1592,MATCH("[6574,""32582-LD-37""]",'SKU明细'!$AE$9:$AE$1592,0)),INDEX('SKU明细'!$H$9:$H$1592,MATCH("[6574,""32582-LD-39""]",'SKU明细'!$AE$9:$AE$1592,0)),INDEX('SKU明细'!$H$9:$H$1592,MATCH("[6574,""32582-LD-39.5""]",'SKU明细'!$AE$9:$AE$1592,0)),INDEX('SKU明细'!$H$9:$H$1592,MATCH("[6574,""32582-LD-40.5""]",'SKU明细'!$AE$9:$AE$1592,0)),INDEX('SKU明细'!$H$9:$H$1592,MATCH("[6574,""32582-LD-41""]",'SKU明细'!$AE$9:$AE$1592,0))))</x:f>
        <x:v>87</x:v>
      </x:c>
      <x:c r="X87" s="19" t="str">
        <x:f>IF(COUNTIFS('SKU明细'!$AH$9:$AH$1592,"[""32582"",""32582-LD"",""LD"",""豹纹""]",'SKU明细'!$E$9:$E$1592,"促销")&gt;0,"促销 ","")&amp;IF(COUNTIFS('SKU明细'!$AH$9:$AH$1592,"[""32582"",""32582-LD"",""LD"",""豹纹""]",'SKU明细'!$E$9:$E$1592,"红线促销")&gt;0,"红线促销 ","")&amp;IF(COUNTIFS('SKU明细'!$AH$9:$AH$1592,"[""32582"",""32582-LD"",""LD"",""豹纹""]",'SKU明细'!$E$9:$E$1592,"考虑清仓")&gt;0,"考虑清仓 ","")&amp;IF(COUNTIFS('SKU明细'!$AH$9:$AH$1592,"[""32582"",""32582-LD"",""LD"",""豹纹""]",'SKU明细'!$E$9:$E$1592,"断货")&gt;0,"断货 ","")&amp;IF(COUNTIFS('SKU明细'!$AH$9:$AH$1592,"[""32582"",""32582-LD"",""LD"",""豹纹""]",'SKU明细'!$E$9:$E$1592,"零日销待复核")&gt;0,"零日销待复核 ","")&amp;IF(COUNTIFS('SKU明细'!$AH$9:$AH$1592,"[""32582"",""32582-LD"",""LD"",""豹纹""]",'SKU明细'!$E$9:$E$1592,"数据待核")&gt;0,"数据待核 ","")&amp;IF(COUNTIFS('SKU明细'!$AH$9:$AH$1592,"[""32582"",""32582-LD"",""LD"",""豹纹""]",'SKU明细'!$E$9:$E$1592,"正常库存")&gt;0,"正常库存 ","")&amp;IF(COUNTIFS('SKU明细'!$AH$9:$AH$1592,"[""32582"",""32582-LD"",""LD"",""豹纹""]",'SKU明细'!$E$9:$E$1592,"补货提醒")&gt;0,"补货提醒 ","")</x:f>
        <x:v>断货 正常库存 补货提醒 </x:v>
      </x:c>
      <x:c r="Y87" s="19" t="str">
        <x:f>IF(NOT(ISNUMBER(U87)),"覆盖待核／无可比基准","完整可比")</x:f>
        <x:v>覆盖待核／无可比基准</x:v>
      </x:c>
      <x:c r="Z87" s="19" t="str">
        <x:v>停售、在售</x:v>
      </x:c>
      <x:c r="AA87" s="19" t="n">
        <x:f>IF(SUMIFS('SKU明细'!$AF$9:$AF$1592,'SKU明细'!$D$9:$D$1592,A87,'SKU明细'!$Z$9:$Z$1592,"&lt;&gt;移出")=0,"待核",SUMIFS('SKU明细'!$H$9:$H$1592,'SKU明细'!$D$9:$D$1592,A87,'SKU明细'!$Z$9:$Z$1592,"&lt;&gt;移出"))</x:f>
        <x:v>1442</x:v>
      </x:c>
    </x:row>
    <x:row r="88" ht="54" customHeight="1">
      <x:c r="A88" s="15" t="str">
        <x:v>32582</x:v>
      </x:c>
      <x:c r="B88" s="15" t="str">
        <x:v>徐新怡</x:v>
      </x:c>
      <x:c r="C88" s="15" t="str">
        <x:v>豹纹黑色内里</x:v>
      </x:c>
      <x:c r="D88" s="15" t="str">
        <x:v>LPB</x:v>
      </x:c>
      <x:c r="E88" s="15" t="str">
        <x:v>32582-LPB</x:v>
      </x:c>
      <x:c r="F88" s="15"/>
      <x:c r="G88" s="16" t="str">
        <x:f>"—"</x:f>
        <x:v>—</x:v>
      </x:c>
      <x:c r="H88" s="16" t="n">
        <x:f>IF(AND(COUNT(INDEX('SKU明细'!$H$9:$H$1592,MATCH("[6574,""32582-LPB-37""]",'SKU明细'!$AE$9:$AE$1592,0)))=1,COUNT(INDEX('SKU明细'!$G$9:$G$1592,MATCH("[6574,""32582-LPB-37""]",'SKU明细'!$AE$9:$AE$1592,0)))=1,SUM(INDEX('SKU明细'!$G$9:$G$1592,MATCH("[6574,""32582-LPB-37""]",'SKU明细'!$AE$9:$AE$1592,0)))&gt;0),SUM(INDEX('SKU明细'!$H$9:$H$1592,MATCH("[6574,""32582-LPB-37""]",'SKU明细'!$AE$9:$AE$1592,0)))/SUM(INDEX('SKU明细'!$G$9:$G$1592,MATCH("[6574,""32582-LPB-37""]",'SKU明细'!$AE$9:$AE$1592,0))),"待核")</x:f>
        <x:v>0</x:v>
      </x:c>
      <x:c r="I88" s="16" t="n">
        <x:f>IF(AND(COUNT(INDEX('SKU明细'!$H$9:$H$1592,MATCH("[6574,""32582-LPB-37.5""]",'SKU明细'!$AE$9:$AE$1592,0)))=1,COUNT(INDEX('SKU明细'!$G$9:$G$1592,MATCH("[6574,""32582-LPB-37.5""]",'SKU明细'!$AE$9:$AE$1592,0)))=1,SUM(INDEX('SKU明细'!$G$9:$G$1592,MATCH("[6574,""32582-LPB-37.5""]",'SKU明细'!$AE$9:$AE$1592,0)))&gt;0),SUM(INDEX('SKU明细'!$H$9:$H$1592,MATCH("[6574,""32582-LPB-37.5""]",'SKU明细'!$AE$9:$AE$1592,0)))/SUM(INDEX('SKU明细'!$G$9:$G$1592,MATCH("[6574,""32582-LPB-37.5""]",'SKU明细'!$AE$9:$AE$1592,0))),"待核")</x:f>
        <x:v>37.668161434977584</x:v>
      </x:c>
      <x:c r="J88" s="16" t="n">
        <x:f>IF(AND(COUNT(INDEX('SKU明细'!$H$9:$H$1592,MATCH("[6574,""32582-LPB-38""]",'SKU明细'!$AE$9:$AE$1592,0)))=1,COUNT(INDEX('SKU明细'!$G$9:$G$1592,MATCH("[6574,""32582-LPB-38""]",'SKU明细'!$AE$9:$AE$1592,0)))=1,SUM(INDEX('SKU明细'!$G$9:$G$1592,MATCH("[6574,""32582-LPB-38""]",'SKU明细'!$AE$9:$AE$1592,0)))&gt;0),SUM(INDEX('SKU明细'!$H$9:$H$1592,MATCH("[6574,""32582-LPB-38""]",'SKU明细'!$AE$9:$AE$1592,0)))/SUM(INDEX('SKU明细'!$G$9:$G$1592,MATCH("[6574,""32582-LPB-38""]",'SKU明细'!$AE$9:$AE$1592,0))),"待核")</x:f>
        <x:v>11.072056239015817</x:v>
      </x:c>
      <x:c r="K88" s="16" t="n">
        <x:f>IF(AND(COUNT(INDEX('SKU明细'!$H$9:$H$1592,MATCH("[6574,""32582-LPB-38.5""]",'SKU明细'!$AE$9:$AE$1592,0)))=1,COUNT(INDEX('SKU明细'!$G$9:$G$1592,MATCH("[6574,""32582-LPB-38.5""]",'SKU明细'!$AE$9:$AE$1592,0)))=1,SUM(INDEX('SKU明细'!$G$9:$G$1592,MATCH("[6574,""32582-LPB-38.5""]",'SKU明细'!$AE$9:$AE$1592,0)))&gt;0),SUM(INDEX('SKU明细'!$H$9:$H$1592,MATCH("[6574,""32582-LPB-38.5""]",'SKU明细'!$AE$9:$AE$1592,0)))/SUM(INDEX('SKU明细'!$G$9:$G$1592,MATCH("[6574,""32582-LPB-38.5""]",'SKU明细'!$AE$9:$AE$1592,0))),"待核")</x:f>
        <x:v>63.46153846153846</x:v>
      </x:c>
      <x:c r="L88" s="16" t="n">
        <x:f>IF(AND(COUNT(INDEX('SKU明细'!$H$9:$H$1592,MATCH("[6574,""32582-LPB-39""]",'SKU明细'!$AE$9:$AE$1592,0)))=1,COUNT(INDEX('SKU明细'!$G$9:$G$1592,MATCH("[6574,""32582-LPB-39""]",'SKU明细'!$AE$9:$AE$1592,0)))=1,SUM(INDEX('SKU明细'!$G$9:$G$1592,MATCH("[6574,""32582-LPB-39""]",'SKU明细'!$AE$9:$AE$1592,0)))&gt;0),SUM(INDEX('SKU明细'!$H$9:$H$1592,MATCH("[6574,""32582-LPB-39""]",'SKU明细'!$AE$9:$AE$1592,0)))/SUM(INDEX('SKU明细'!$G$9:$G$1592,MATCH("[6574,""32582-LPB-39""]",'SKU明细'!$AE$9:$AE$1592,0))),"待核")</x:f>
        <x:v>45.91254752851711</x:v>
      </x:c>
      <x:c r="M88" s="16" t="str">
        <x:f>IF(AND(COUNT(INDEX('SKU明细'!$H$9:$H$1592,MATCH("[6574,""32582-LPB-39.5""]",'SKU明细'!$AE$9:$AE$1592,0)))=1,COUNT(INDEX('SKU明细'!$G$9:$G$1592,MATCH("[6574,""32582-LPB-39.5""]",'SKU明细'!$AE$9:$AE$1592,0)))=1,SUM(INDEX('SKU明细'!$G$9:$G$1592,MATCH("[6574,""32582-LPB-39.5""]",'SKU明细'!$AE$9:$AE$1592,0)))&gt;0),SUM(INDEX('SKU明细'!$H$9:$H$1592,MATCH("[6574,""32582-LPB-39.5""]",'SKU明细'!$AE$9:$AE$1592,0)))/SUM(INDEX('SKU明细'!$G$9:$G$1592,MATCH("[6574,""32582-LPB-39.5""]",'SKU明细'!$AE$9:$AE$1592,0))),"待核")</x:f>
        <x:v>待核</x:v>
      </x:c>
      <x:c r="N88" s="16" t="n">
        <x:f>IF(AND(COUNT(INDEX('SKU明细'!$H$9:$H$1592,MATCH("[6574,""32582-LPB-40""]",'SKU明细'!$AE$9:$AE$1592,0)))=1,COUNT(INDEX('SKU明细'!$G$9:$G$1592,MATCH("[6574,""32582-LPB-40""]",'SKU明细'!$AE$9:$AE$1592,0)))=1,SUM(INDEX('SKU明细'!$G$9:$G$1592,MATCH("[6574,""32582-LPB-40""]",'SKU明细'!$AE$9:$AE$1592,0)))&gt;0),SUM(INDEX('SKU明细'!$H$9:$H$1592,MATCH("[6574,""32582-LPB-40""]",'SKU明细'!$AE$9:$AE$1592,0)))/SUM(INDEX('SKU明细'!$G$9:$G$1592,MATCH("[6574,""32582-LPB-40""]",'SKU明细'!$AE$9:$AE$1592,0))),"待核")</x:f>
        <x:v>0</x:v>
      </x:c>
      <x:c r="O88" s="16" t="n">
        <x:f>IF(AND(COUNT(INDEX('SKU明细'!$H$9:$H$1592,MATCH("[6574,""32582-LPB-40.5""]",'SKU明细'!$AE$9:$AE$1592,0)))=1,COUNT(INDEX('SKU明细'!$G$9:$G$1592,MATCH("[6574,""32582-LPB-40.5""]",'SKU明细'!$AE$9:$AE$1592,0)))=1,SUM(INDEX('SKU明细'!$G$9:$G$1592,MATCH("[6574,""32582-LPB-40.5""]",'SKU明细'!$AE$9:$AE$1592,0)))&gt;0),SUM(INDEX('SKU明细'!$H$9:$H$1592,MATCH("[6574,""32582-LPB-40.5""]",'SKU明细'!$AE$9:$AE$1592,0)))/SUM(INDEX('SKU明细'!$G$9:$G$1592,MATCH("[6574,""32582-LPB-40.5""]",'SKU明细'!$AE$9:$AE$1592,0))),"待核")</x:f>
        <x:v>62.264150943396224</x:v>
      </x:c>
      <x:c r="P88" s="16" t="n">
        <x:f>IF(AND(COUNT(INDEX('SKU明细'!$H$9:$H$1592,MATCH("[6574,""32582-LPB-41""]",'SKU明细'!$AE$9:$AE$1592,0)))=1,COUNT(INDEX('SKU明细'!$G$9:$G$1592,MATCH("[6574,""32582-LPB-41""]",'SKU明细'!$AE$9:$AE$1592,0)))=1,SUM(INDEX('SKU明细'!$G$9:$G$1592,MATCH("[6574,""32582-LPB-41""]",'SKU明细'!$AE$9:$AE$1592,0)))&gt;0),SUM(INDEX('SKU明细'!$H$9:$H$1592,MATCH("[6574,""32582-LPB-41""]",'SKU明细'!$AE$9:$AE$1592,0)))/SUM(INDEX('SKU明细'!$G$9:$G$1592,MATCH("[6574,""32582-LPB-41""]",'SKU明细'!$AE$9:$AE$1592,0))),"待核")</x:f>
        <x:v>33.93536121673004</x:v>
      </x:c>
      <x:c r="Q88" s="16" t="n">
        <x:f>IF(AND(COUNT(INDEX('SKU明细'!$H$9:$H$1592,MATCH("[6574,""32582-LPB-41.5""]",'SKU明细'!$AE$9:$AE$1592,0)))=1,COUNT(INDEX('SKU明细'!$G$9:$G$1592,MATCH("[6574,""32582-LPB-41.5""]",'SKU明细'!$AE$9:$AE$1592,0)))=1,SUM(INDEX('SKU明细'!$G$9:$G$1592,MATCH("[6574,""32582-LPB-41.5""]",'SKU明细'!$AE$9:$AE$1592,0)))&gt;0),SUM(INDEX('SKU明细'!$H$9:$H$1592,MATCH("[6574,""32582-LPB-41.5""]",'SKU明细'!$AE$9:$AE$1592,0)))/SUM(INDEX('SKU明细'!$G$9:$G$1592,MATCH("[6574,""32582-LPB-41.5""]",'SKU明细'!$AE$9:$AE$1592,0))),"待核")</x:f>
        <x:v>0</x:v>
      </x:c>
      <x:c r="R88" s="16" t="str">
        <x:f>IF(AND(COUNT(INDEX('SKU明细'!$H$9:$H$1592,MATCH("[6574,""32582-LPB-42""]",'SKU明细'!$AE$9:$AE$1592,0)))=1,COUNT(INDEX('SKU明细'!$G$9:$G$1592,MATCH("[6574,""32582-LPB-42""]",'SKU明细'!$AE$9:$AE$1592,0)))=1,SUM(INDEX('SKU明细'!$G$9:$G$1592,MATCH("[6574,""32582-LPB-42""]",'SKU明细'!$AE$9:$AE$1592,0)))&gt;0),SUM(INDEX('SKU明细'!$H$9:$H$1592,MATCH("[6574,""32582-LPB-42""]",'SKU明细'!$AE$9:$AE$1592,0)))/SUM(INDEX('SKU明细'!$G$9:$G$1592,MATCH("[6574,""32582-LPB-42""]",'SKU明细'!$AE$9:$AE$1592,0))),"待核")</x:f>
        <x:v>待核</x:v>
      </x:c>
      <x:c r="S88" s="16" t="n">
        <x:f>IF(AND(COUNT(INDEX('SKU明细'!$H$9:$H$1592,MATCH("[6574,""32582-LPB-37""]",'SKU明细'!$AE$9:$AE$1592,0)),INDEX('SKU明细'!$H$9:$H$1592,MATCH("[6574,""32582-LPB-39.5""]",'SKU明细'!$AE$9:$AE$1592,0)),INDEX('SKU明细'!$H$9:$H$1592,MATCH("[6574,""32582-LPB-40""]",'SKU明细'!$AE$9:$AE$1592,0)),INDEX('SKU明细'!$H$9:$H$1592,MATCH("[6574,""32582-LPB-41.5""]",'SKU明细'!$AE$9:$AE$1592,0)),INDEX('SKU明细'!$H$9:$H$1592,MATCH("[6574,""32582-LPB-42""]",'SKU明细'!$AE$9:$AE$1592,0)),INDEX('SKU明细'!$H$9:$H$1592,MATCH("[6574,""32582-LPB-38.5""]",'SKU明细'!$AE$9:$AE$1592,0)),INDEX('SKU明细'!$H$9:$H$1592,MATCH("[6574,""32582-LPB-40.5""]",'SKU明细'!$AE$9:$AE$1592,0)),INDEX('SKU明细'!$H$9:$H$1592,MATCH("[6574,""32582-LPB-37.5""]",'SKU明细'!$AE$9:$AE$1592,0)),INDEX('SKU明细'!$H$9:$H$1592,MATCH("[6574,""32582-LPB-38""]",'SKU明细'!$AE$9:$AE$1592,0)),INDEX('SKU明细'!$H$9:$H$1592,MATCH("[6574,""32582-LPB-39""]",'SKU明细'!$AE$9:$AE$1592,0)),INDEX('SKU明细'!$H$9:$H$1592,MATCH("[6574,""32582-LPB-41""]",'SKU明细'!$AE$9:$AE$1592,0)))=11,COUNT(INDEX('SKU明细'!$G$9:$G$1592,MATCH("[6574,""32582-LPB-37""]",'SKU明细'!$AE$9:$AE$1592,0)),INDEX('SKU明细'!$G$9:$G$1592,MATCH("[6574,""32582-LPB-39.5""]",'SKU明细'!$AE$9:$AE$1592,0)),INDEX('SKU明细'!$G$9:$G$1592,MATCH("[6574,""32582-LPB-40""]",'SKU明细'!$AE$9:$AE$1592,0)),INDEX('SKU明细'!$G$9:$G$1592,MATCH("[6574,""32582-LPB-41.5""]",'SKU明细'!$AE$9:$AE$1592,0)),INDEX('SKU明细'!$G$9:$G$1592,MATCH("[6574,""32582-LPB-42""]",'SKU明细'!$AE$9:$AE$1592,0)),INDEX('SKU明细'!$G$9:$G$1592,MATCH("[6574,""32582-LPB-38.5""]",'SKU明细'!$AE$9:$AE$1592,0)),INDEX('SKU明细'!$G$9:$G$1592,MATCH("[6574,""32582-LPB-40.5""]",'SKU明细'!$AE$9:$AE$1592,0)),INDEX('SKU明细'!$G$9:$G$1592,MATCH("[6574,""32582-LPB-37.5""]",'SKU明细'!$AE$9:$AE$1592,0)),INDEX('SKU明细'!$G$9:$G$1592,MATCH("[6574,""32582-LPB-38""]",'SKU明细'!$AE$9:$AE$1592,0)),INDEX('SKU明细'!$G$9:$G$1592,MATCH("[6574,""32582-LPB-39""]",'SKU明细'!$AE$9:$AE$1592,0)),INDEX('SKU明细'!$G$9:$G$1592,MATCH("[6574,""32582-LPB-41""]",'SKU明细'!$AE$9:$AE$1592,0)))=11,SUM(INDEX('SKU明细'!$G$9:$G$1592,MATCH("[6574,""32582-LPB-37""]",'SKU明细'!$AE$9:$AE$1592,0)),INDEX('SKU明细'!$G$9:$G$1592,MATCH("[6574,""32582-LPB-39.5""]",'SKU明细'!$AE$9:$AE$1592,0)),INDEX('SKU明细'!$G$9:$G$1592,MATCH("[6574,""32582-LPB-40""]",'SKU明细'!$AE$9:$AE$1592,0)),INDEX('SKU明细'!$G$9:$G$1592,MATCH("[6574,""32582-LPB-41.5""]",'SKU明细'!$AE$9:$AE$1592,0)),INDEX('SKU明细'!$G$9:$G$1592,MATCH("[6574,""32582-LPB-42""]",'SKU明细'!$AE$9:$AE$1592,0)),INDEX('SKU明细'!$G$9:$G$1592,MATCH("[6574,""32582-LPB-38.5""]",'SKU明细'!$AE$9:$AE$1592,0)),INDEX('SKU明细'!$G$9:$G$1592,MATCH("[6574,""32582-LPB-40.5""]",'SKU明细'!$AE$9:$AE$1592,0)),INDEX('SKU明细'!$G$9:$G$1592,MATCH("[6574,""32582-LPB-37.5""]",'SKU明细'!$AE$9:$AE$1592,0)),INDEX('SKU明细'!$G$9:$G$1592,MATCH("[6574,""32582-LPB-38""]",'SKU明细'!$AE$9:$AE$1592,0)),INDEX('SKU明细'!$G$9:$G$1592,MATCH("[6574,""32582-LPB-39""]",'SKU明细'!$AE$9:$AE$1592,0)),INDEX('SKU明细'!$G$9:$G$1592,MATCH("[6574,""32582-LPB-41""]",'SKU明细'!$AE$9:$AE$1592,0)))&gt;0),SUM(INDEX('SKU明细'!$H$9:$H$1592,MATCH("[6574,""32582-LPB-37""]",'SKU明细'!$AE$9:$AE$1592,0)),INDEX('SKU明细'!$H$9:$H$1592,MATCH("[6574,""32582-LPB-39.5""]",'SKU明细'!$AE$9:$AE$1592,0)),INDEX('SKU明细'!$H$9:$H$1592,MATCH("[6574,""32582-LPB-40""]",'SKU明细'!$AE$9:$AE$1592,0)),INDEX('SKU明细'!$H$9:$H$1592,MATCH("[6574,""32582-LPB-41.5""]",'SKU明细'!$AE$9:$AE$1592,0)),INDEX('SKU明细'!$H$9:$H$1592,MATCH("[6574,""32582-LPB-42""]",'SKU明细'!$AE$9:$AE$1592,0)),INDEX('SKU明细'!$H$9:$H$1592,MATCH("[6574,""32582-LPB-38.5""]",'SKU明细'!$AE$9:$AE$1592,0)),INDEX('SKU明细'!$H$9:$H$1592,MATCH("[6574,""32582-LPB-40.5""]",'SKU明细'!$AE$9:$AE$1592,0)),INDEX('SKU明细'!$H$9:$H$1592,MATCH("[6574,""32582-LPB-37.5""]",'SKU明细'!$AE$9:$AE$1592,0)),INDEX('SKU明细'!$H$9:$H$1592,MATCH("[6574,""32582-LPB-38""]",'SKU明细'!$AE$9:$AE$1592,0)),INDEX('SKU明细'!$H$9:$H$1592,MATCH("[6574,""32582-LPB-39""]",'SKU明细'!$AE$9:$AE$1592,0)),INDEX('SKU明细'!$H$9:$H$1592,MATCH("[6574,""32582-LPB-41""]",'SKU明细'!$AE$9:$AE$1592,0)))/SUM(INDEX('SKU明细'!$G$9:$G$1592,MATCH("[6574,""32582-LPB-37""]",'SKU明细'!$AE$9:$AE$1592,0)),INDEX('SKU明细'!$G$9:$G$1592,MATCH("[6574,""32582-LPB-39.5""]",'SKU明细'!$AE$9:$AE$1592,0)),INDEX('SKU明细'!$G$9:$G$1592,MATCH("[6574,""32582-LPB-40""]",'SKU明细'!$AE$9:$AE$1592,0)),INDEX('SKU明细'!$G$9:$G$1592,MATCH("[6574,""32582-LPB-41.5""]",'SKU明细'!$AE$9:$AE$1592,0)),INDEX('SKU明细'!$G$9:$G$1592,MATCH("[6574,""32582-LPB-42""]",'SKU明细'!$AE$9:$AE$1592,0)),INDEX('SKU明细'!$G$9:$G$1592,MATCH("[6574,""32582-LPB-38.5""]",'SKU明细'!$AE$9:$AE$1592,0)),INDEX('SKU明细'!$G$9:$G$1592,MATCH("[6574,""32582-LPB-40.5""]",'SKU明细'!$AE$9:$AE$1592,0)),INDEX('SKU明细'!$G$9:$G$1592,MATCH("[6574,""32582-LPB-37.5""]",'SKU明细'!$AE$9:$AE$1592,0)),INDEX('SKU明细'!$G$9:$G$1592,MATCH("[6574,""32582-LPB-38""]",'SKU明细'!$AE$9:$AE$1592,0)),INDEX('SKU明细'!$G$9:$G$1592,MATCH("[6574,""32582-LPB-39""]",'SKU明细'!$AE$9:$AE$1592,0)),INDEX('SKU明细'!$G$9:$G$1592,MATCH("[6574,""32582-LPB-41""]",'SKU明细'!$AE$9:$AE$1592,0))),"待核")</x:f>
        <x:v>35.16209476309227</x:v>
      </x:c>
      <x:c r="T88" s="16" t="str">
        <x:f>IF(AND(COUNT(INDEX('SKU明细'!$I$9:$I$1592,MATCH("[6574,""32582-LPB-37""]",'SKU明细'!$AE$9:$AE$1592,0)),INDEX('SKU明细'!$I$9:$I$1592,MATCH("[6574,""32582-LPB-39.5""]",'SKU明细'!$AE$9:$AE$1592,0)),INDEX('SKU明细'!$I$9:$I$1592,MATCH("[6574,""32582-LPB-40""]",'SKU明细'!$AE$9:$AE$1592,0)),INDEX('SKU明细'!$I$9:$I$1592,MATCH("[6574,""32582-LPB-41.5""]",'SKU明细'!$AE$9:$AE$1592,0)),INDEX('SKU明细'!$I$9:$I$1592,MATCH("[6574,""32582-LPB-42""]",'SKU明细'!$AE$9:$AE$1592,0)),INDEX('SKU明细'!$I$9:$I$1592,MATCH("[6574,""32582-LPB-38.5""]",'SKU明细'!$AE$9:$AE$1592,0)),INDEX('SKU明细'!$I$9:$I$1592,MATCH("[6574,""32582-LPB-40.5""]",'SKU明细'!$AE$9:$AE$1592,0)),INDEX('SKU明细'!$I$9:$I$1592,MATCH("[6574,""32582-LPB-37.5""]",'SKU明细'!$AE$9:$AE$1592,0)),INDEX('SKU明细'!$I$9:$I$1592,MATCH("[6574,""32582-LPB-38""]",'SKU明细'!$AE$9:$AE$1592,0)),INDEX('SKU明细'!$I$9:$I$1592,MATCH("[6574,""32582-LPB-39""]",'SKU明细'!$AE$9:$AE$1592,0)),INDEX('SKU明细'!$I$9:$I$1592,MATCH("[6574,""32582-LPB-41""]",'SKU明细'!$AE$9:$AE$1592,0)))=11,COUNT(INDEX('SKU明细'!$AD$9:$AD$1592,MATCH("[6574,""32582-LPB-37""]",'SKU明细'!$AE$9:$AE$1592,0)),INDEX('SKU明细'!$AD$9:$AD$1592,MATCH("[6574,""32582-LPB-39.5""]",'SKU明细'!$AE$9:$AE$1592,0)),INDEX('SKU明细'!$AD$9:$AD$1592,MATCH("[6574,""32582-LPB-40""]",'SKU明细'!$AE$9:$AE$1592,0)),INDEX('SKU明细'!$AD$9:$AD$1592,MATCH("[6574,""32582-LPB-41.5""]",'SKU明细'!$AE$9:$AE$1592,0)),INDEX('SKU明细'!$AD$9:$AD$1592,MATCH("[6574,""32582-LPB-42""]",'SKU明细'!$AE$9:$AE$1592,0)),INDEX('SKU明细'!$AD$9:$AD$1592,MATCH("[6574,""32582-LPB-38.5""]",'SKU明细'!$AE$9:$AE$1592,0)),INDEX('SKU明细'!$AD$9:$AD$1592,MATCH("[6574,""32582-LPB-40.5""]",'SKU明细'!$AE$9:$AE$1592,0)),INDEX('SKU明细'!$AD$9:$AD$1592,MATCH("[6574,""32582-LPB-37.5""]",'SKU明细'!$AE$9:$AE$1592,0)),INDEX('SKU明细'!$AD$9:$AD$1592,MATCH("[6574,""32582-LPB-38""]",'SKU明细'!$AE$9:$AE$1592,0)),INDEX('SKU明细'!$AD$9:$AD$1592,MATCH("[6574,""32582-LPB-39""]",'SKU明细'!$AE$9:$AE$1592,0)),INDEX('SKU明细'!$AD$9:$AD$1592,MATCH("[6574,""32582-LPB-41""]",'SKU明细'!$AE$9:$AE$1592,0)))=11,SUM(INDEX('SKU明细'!$AD$9:$AD$1592,MATCH("[6574,""32582-LPB-37""]",'SKU明细'!$AE$9:$AE$1592,0)),INDEX('SKU明细'!$AD$9:$AD$1592,MATCH("[6574,""32582-LPB-39.5""]",'SKU明细'!$AE$9:$AE$1592,0)),INDEX('SKU明细'!$AD$9:$AD$1592,MATCH("[6574,""32582-LPB-40""]",'SKU明细'!$AE$9:$AE$1592,0)),INDEX('SKU明细'!$AD$9:$AD$1592,MATCH("[6574,""32582-LPB-41.5""]",'SKU明细'!$AE$9:$AE$1592,0)),INDEX('SKU明细'!$AD$9:$AD$1592,MATCH("[6574,""32582-LPB-42""]",'SKU明细'!$AE$9:$AE$1592,0)),INDEX('SKU明细'!$AD$9:$AD$1592,MATCH("[6574,""32582-LPB-38.5""]",'SKU明细'!$AE$9:$AE$1592,0)),INDEX('SKU明细'!$AD$9:$AD$1592,MATCH("[6574,""32582-LPB-40.5""]",'SKU明细'!$AE$9:$AE$1592,0)),INDEX('SKU明细'!$AD$9:$AD$1592,MATCH("[6574,""32582-LPB-37.5""]",'SKU明细'!$AE$9:$AE$1592,0)),INDEX('SKU明细'!$AD$9:$AD$1592,MATCH("[6574,""32582-LPB-38""]",'SKU明细'!$AE$9:$AE$1592,0)),INDEX('SKU明细'!$AD$9:$AD$1592,MATCH("[6574,""32582-LPB-39""]",'SKU明细'!$AE$9:$AE$1592,0)),INDEX('SKU明细'!$AD$9:$AD$1592,MATCH("[6574,""32582-LPB-41""]",'SKU明细'!$AE$9:$AE$1592,0)))&gt;0),SUM(INDEX('SKU明细'!$I$9:$I$1592,MATCH("[6574,""32582-LPB-37""]",'SKU明细'!$AE$9:$AE$1592,0)),INDEX('SKU明细'!$I$9:$I$1592,MATCH("[6574,""32582-LPB-39.5""]",'SKU明细'!$AE$9:$AE$1592,0)),INDEX('SKU明细'!$I$9:$I$1592,MATCH("[6574,""32582-LPB-40""]",'SKU明细'!$AE$9:$AE$1592,0)),INDEX('SKU明细'!$I$9:$I$1592,MATCH("[6574,""32582-LPB-41.5""]",'SKU明细'!$AE$9:$AE$1592,0)),INDEX('SKU明细'!$I$9:$I$1592,MATCH("[6574,""32582-LPB-42""]",'SKU明细'!$AE$9:$AE$1592,0)),INDEX('SKU明细'!$I$9:$I$1592,MATCH("[6574,""32582-LPB-38.5""]",'SKU明细'!$AE$9:$AE$1592,0)),INDEX('SKU明细'!$I$9:$I$1592,MATCH("[6574,""32582-LPB-40.5""]",'SKU明细'!$AE$9:$AE$1592,0)),INDEX('SKU明细'!$I$9:$I$1592,MATCH("[6574,""32582-LPB-37.5""]",'SKU明细'!$AE$9:$AE$1592,0)),INDEX('SKU明细'!$I$9:$I$1592,MATCH("[6574,""32582-LPB-38""]",'SKU明细'!$AE$9:$AE$1592,0)),INDEX('SKU明细'!$I$9:$I$1592,MATCH("[6574,""32582-LPB-39""]",'SKU明细'!$AE$9:$AE$1592,0)),INDEX('SKU明细'!$I$9:$I$1592,MATCH("[6574,""32582-LPB-41""]",'SKU明细'!$AE$9:$AE$1592,0)))/SUM(INDEX('SKU明细'!$AD$9:$AD$1592,MATCH("[6574,""32582-LPB-37""]",'SKU明细'!$AE$9:$AE$1592,0)),INDEX('SKU明细'!$AD$9:$AD$1592,MATCH("[6574,""32582-LPB-39.5""]",'SKU明细'!$AE$9:$AE$1592,0)),INDEX('SKU明细'!$AD$9:$AD$1592,MATCH("[6574,""32582-LPB-40""]",'SKU明细'!$AE$9:$AE$1592,0)),INDEX('SKU明细'!$AD$9:$AD$1592,MATCH("[6574,""32582-LPB-41.5""]",'SKU明细'!$AE$9:$AE$1592,0)),INDEX('SKU明细'!$AD$9:$AD$1592,MATCH("[6574,""32582-LPB-42""]",'SKU明细'!$AE$9:$AE$1592,0)),INDEX('SKU明细'!$AD$9:$AD$1592,MATCH("[6574,""32582-LPB-38.5""]",'SKU明细'!$AE$9:$AE$1592,0)),INDEX('SKU明细'!$AD$9:$AD$1592,MATCH("[6574,""32582-LPB-40.5""]",'SKU明细'!$AE$9:$AE$1592,0)),INDEX('SKU明细'!$AD$9:$AD$1592,MATCH("[6574,""32582-LPB-37.5""]",'SKU明细'!$AE$9:$AE$1592,0)),INDEX('SKU明细'!$AD$9:$AD$1592,MATCH("[6574,""32582-LPB-38""]",'SKU明细'!$AE$9:$AE$1592,0)),INDEX('SKU明细'!$AD$9:$AD$1592,MATCH("[6574,""32582-LPB-39""]",'SKU明细'!$AE$9:$AE$1592,0)),INDEX('SKU明细'!$AD$9:$AD$1592,MATCH("[6574,""32582-LPB-41""]",'SKU明细'!$AE$9:$AE$1592,0))),"待核")</x:f>
        <x:v>待核</x:v>
      </x:c>
      <x:c r="U88" s="16" t="str">
        <x:f>IF(COUNT(S88:T88)=2,S88-T88,"待核")</x:f>
        <x:v>待核</x:v>
      </x:c>
      <x:c r="V88" s="17" t="str">
        <x:f>IF(AND(ISNUMBER(U88),ISNUMBER(T88),T88&lt;&gt;0),U88/T88,"")</x:f>
      </x:c>
      <x:c r="W88" s="18" t="n">
        <x:f>IF(COUNT(INDEX('SKU明细'!$H$9:$H$1592,MATCH("[6574,""32582-LPB-37""]",'SKU明细'!$AE$9:$AE$1592,0)),INDEX('SKU明细'!$H$9:$H$1592,MATCH("[6574,""32582-LPB-39.5""]",'SKU明细'!$AE$9:$AE$1592,0)),INDEX('SKU明细'!$H$9:$H$1592,MATCH("[6574,""32582-LPB-40""]",'SKU明细'!$AE$9:$AE$1592,0)),INDEX('SKU明细'!$H$9:$H$1592,MATCH("[6574,""32582-LPB-41.5""]",'SKU明细'!$AE$9:$AE$1592,0)),INDEX('SKU明细'!$H$9:$H$1592,MATCH("[6574,""32582-LPB-42""]",'SKU明细'!$AE$9:$AE$1592,0)),INDEX('SKU明细'!$H$9:$H$1592,MATCH("[6574,""32582-LPB-38.5""]",'SKU明细'!$AE$9:$AE$1592,0)),INDEX('SKU明细'!$H$9:$H$1592,MATCH("[6574,""32582-LPB-40.5""]",'SKU明细'!$AE$9:$AE$1592,0)),INDEX('SKU明细'!$H$9:$H$1592,MATCH("[6574,""32582-LPB-37.5""]",'SKU明细'!$AE$9:$AE$1592,0)),INDEX('SKU明细'!$H$9:$H$1592,MATCH("[6574,""32582-LPB-38""]",'SKU明细'!$AE$9:$AE$1592,0)),INDEX('SKU明细'!$H$9:$H$1592,MATCH("[6574,""32582-LPB-39""]",'SKU明细'!$AE$9:$AE$1592,0)),INDEX('SKU明细'!$H$9:$H$1592,MATCH("[6574,""32582-LPB-41""]",'SKU明细'!$AE$9:$AE$1592,0)))=0,"待核",SUM(INDEX('SKU明细'!$H$9:$H$1592,MATCH("[6574,""32582-LPB-37""]",'SKU明细'!$AE$9:$AE$1592,0)),INDEX('SKU明细'!$H$9:$H$1592,MATCH("[6574,""32582-LPB-39.5""]",'SKU明细'!$AE$9:$AE$1592,0)),INDEX('SKU明细'!$H$9:$H$1592,MATCH("[6574,""32582-LPB-40""]",'SKU明细'!$AE$9:$AE$1592,0)),INDEX('SKU明细'!$H$9:$H$1592,MATCH("[6574,""32582-LPB-41.5""]",'SKU明细'!$AE$9:$AE$1592,0)),INDEX('SKU明细'!$H$9:$H$1592,MATCH("[6574,""32582-LPB-42""]",'SKU明细'!$AE$9:$AE$1592,0)),INDEX('SKU明细'!$H$9:$H$1592,MATCH("[6574,""32582-LPB-38.5""]",'SKU明细'!$AE$9:$AE$1592,0)),INDEX('SKU明细'!$H$9:$H$1592,MATCH("[6574,""32582-LPB-40.5""]",'SKU明细'!$AE$9:$AE$1592,0)),INDEX('SKU明细'!$H$9:$H$1592,MATCH("[6574,""32582-LPB-37.5""]",'SKU明细'!$AE$9:$AE$1592,0)),INDEX('SKU明细'!$H$9:$H$1592,MATCH("[6574,""32582-LPB-38""]",'SKU明细'!$AE$9:$AE$1592,0)),INDEX('SKU明细'!$H$9:$H$1592,MATCH("[6574,""32582-LPB-39""]",'SKU明细'!$AE$9:$AE$1592,0)),INDEX('SKU明细'!$H$9:$H$1592,MATCH("[6574,""32582-LPB-41""]",'SKU明细'!$AE$9:$AE$1592,0))))</x:f>
        <x:v>94</x:v>
      </x:c>
      <x:c r="X88" s="19" t="str">
        <x:f>IF(COUNTIFS('SKU明细'!$AH$9:$AH$1592,"[""32582"",""32582-LPB"",""LPB"",""豹纹黑色内里""]",'SKU明细'!$E$9:$E$1592,"促销")&gt;0,"促销 ","")&amp;IF(COUNTIFS('SKU明细'!$AH$9:$AH$1592,"[""32582"",""32582-LPB"",""LPB"",""豹纹黑色内里""]",'SKU明细'!$E$9:$E$1592,"红线促销")&gt;0,"红线促销 ","")&amp;IF(COUNTIFS('SKU明细'!$AH$9:$AH$1592,"[""32582"",""32582-LPB"",""LPB"",""豹纹黑色内里""]",'SKU明细'!$E$9:$E$1592,"考虑清仓")&gt;0,"考虑清仓 ","")&amp;IF(COUNTIFS('SKU明细'!$AH$9:$AH$1592,"[""32582"",""32582-LPB"",""LPB"",""豹纹黑色内里""]",'SKU明细'!$E$9:$E$1592,"断货")&gt;0,"断货 ","")&amp;IF(COUNTIFS('SKU明细'!$AH$9:$AH$1592,"[""32582"",""32582-LPB"",""LPB"",""豹纹黑色内里""]",'SKU明细'!$E$9:$E$1592,"零日销待复核")&gt;0,"零日销待复核 ","")&amp;IF(COUNTIFS('SKU明细'!$AH$9:$AH$1592,"[""32582"",""32582-LPB"",""LPB"",""豹纹黑色内里""]",'SKU明细'!$E$9:$E$1592,"数据待核")&gt;0,"数据待核 ","")&amp;IF(COUNTIFS('SKU明细'!$AH$9:$AH$1592,"[""32582"",""32582-LPB"",""LPB"",""豹纹黑色内里""]",'SKU明细'!$E$9:$E$1592,"正常库存")&gt;0,"正常库存 ","")&amp;IF(COUNTIFS('SKU明细'!$AH$9:$AH$1592,"[""32582"",""32582-LPB"",""LPB"",""豹纹黑色内里""]",'SKU明细'!$E$9:$E$1592,"补货提醒")&gt;0,"补货提醒 ","")</x:f>
        <x:v>断货 正常库存 补货提醒 </x:v>
      </x:c>
      <x:c r="Y88" s="19" t="str">
        <x:f>IF(NOT(ISNUMBER(U88)),"覆盖待核／无可比基准","完整可比")</x:f>
        <x:v>覆盖待核／无可比基准</x:v>
      </x:c>
      <x:c r="Z88" s="19" t="str">
        <x:v>停售、在售</x:v>
      </x:c>
      <x:c r="AA88" s="19" t="n">
        <x:f>IF(SUMIFS('SKU明细'!$AF$9:$AF$1592,'SKU明细'!$D$9:$D$1592,A88,'SKU明细'!$Z$9:$Z$1592,"&lt;&gt;移出")=0,"待核",SUMIFS('SKU明细'!$H$9:$H$1592,'SKU明细'!$D$9:$D$1592,A88,'SKU明细'!$Z$9:$Z$1592,"&lt;&gt;移出"))</x:f>
        <x:v>1442</x:v>
      </x:c>
    </x:row>
    <x:row r="89" ht="54" customHeight="1">
      <x:c r="A89" s="15" t="str">
        <x:v>32582</x:v>
      </x:c>
      <x:c r="B89" s="15" t="str">
        <x:v>徐新怡</x:v>
      </x:c>
      <x:c r="C89" s="15" t="str">
        <x:v>黄色</x:v>
      </x:c>
      <x:c r="D89" s="15" t="str">
        <x:v>MT</x:v>
      </x:c>
      <x:c r="E89" s="15" t="str">
        <x:v>32582-MT</x:v>
      </x:c>
      <x:c r="F89" s="15"/>
      <x:c r="G89" s="16" t="str">
        <x:f>"—"</x:f>
        <x:v>—</x:v>
      </x:c>
      <x:c r="H89" s="16" t="str">
        <x:f>IF(AND(COUNT(INDEX('SKU明细'!$H$9:$H$1592,MATCH("[6574,""32582-MT-37""]",'SKU明细'!$AE$9:$AE$1592,0)))=1,COUNT(INDEX('SKU明细'!$G$9:$G$1592,MATCH("[6574,""32582-MT-37""]",'SKU明细'!$AE$9:$AE$1592,0)))=1,SUM(INDEX('SKU明细'!$G$9:$G$1592,MATCH("[6574,""32582-MT-37""]",'SKU明细'!$AE$9:$AE$1592,0)))&gt;0),SUM(INDEX('SKU明细'!$H$9:$H$1592,MATCH("[6574,""32582-MT-37""]",'SKU明细'!$AE$9:$AE$1592,0)))/SUM(INDEX('SKU明细'!$G$9:$G$1592,MATCH("[6574,""32582-MT-37""]",'SKU明细'!$AE$9:$AE$1592,0))),"待核")</x:f>
        <x:v>待核</x:v>
      </x:c>
      <x:c r="I89" s="16" t="str">
        <x:f>IF(AND(COUNT(INDEX('SKU明细'!$H$9:$H$1592,MATCH("[6574,""32582-MT-37.5""]",'SKU明细'!$AE$9:$AE$1592,0)))=1,COUNT(INDEX('SKU明细'!$G$9:$G$1592,MATCH("[6574,""32582-MT-37.5""]",'SKU明细'!$AE$9:$AE$1592,0)))=1,SUM(INDEX('SKU明细'!$G$9:$G$1592,MATCH("[6574,""32582-MT-37.5""]",'SKU明细'!$AE$9:$AE$1592,0)))&gt;0),SUM(INDEX('SKU明细'!$H$9:$H$1592,MATCH("[6574,""32582-MT-37.5""]",'SKU明细'!$AE$9:$AE$1592,0)))/SUM(INDEX('SKU明细'!$G$9:$G$1592,MATCH("[6574,""32582-MT-37.5""]",'SKU明细'!$AE$9:$AE$1592,0))),"待核")</x:f>
        <x:v>待核</x:v>
      </x:c>
      <x:c r="J89" s="16" t="str">
        <x:f>IF(AND(COUNT(INDEX('SKU明细'!$H$9:$H$1592,MATCH("[6574,""32582-MT-38""]",'SKU明细'!$AE$9:$AE$1592,0)))=1,COUNT(INDEX('SKU明细'!$G$9:$G$1592,MATCH("[6574,""32582-MT-38""]",'SKU明细'!$AE$9:$AE$1592,0)))=1,SUM(INDEX('SKU明细'!$G$9:$G$1592,MATCH("[6574,""32582-MT-38""]",'SKU明细'!$AE$9:$AE$1592,0)))&gt;0),SUM(INDEX('SKU明细'!$H$9:$H$1592,MATCH("[6574,""32582-MT-38""]",'SKU明细'!$AE$9:$AE$1592,0)))/SUM(INDEX('SKU明细'!$G$9:$G$1592,MATCH("[6574,""32582-MT-38""]",'SKU明细'!$AE$9:$AE$1592,0))),"待核")</x:f>
        <x:v>待核</x:v>
      </x:c>
      <x:c r="K89" s="16" t="str">
        <x:f>IF(AND(COUNT(INDEX('SKU明细'!$H$9:$H$1592,MATCH("[6574,""32582-MT-38.5""]",'SKU明细'!$AE$9:$AE$1592,0)))=1,COUNT(INDEX('SKU明细'!$G$9:$G$1592,MATCH("[6574,""32582-MT-38.5""]",'SKU明细'!$AE$9:$AE$1592,0)))=1,SUM(INDEX('SKU明细'!$G$9:$G$1592,MATCH("[6574,""32582-MT-38.5""]",'SKU明细'!$AE$9:$AE$1592,0)))&gt;0),SUM(INDEX('SKU明细'!$H$9:$H$1592,MATCH("[6574,""32582-MT-38.5""]",'SKU明细'!$AE$9:$AE$1592,0)))/SUM(INDEX('SKU明细'!$G$9:$G$1592,MATCH("[6574,""32582-MT-38.5""]",'SKU明细'!$AE$9:$AE$1592,0))),"待核")</x:f>
        <x:v>待核</x:v>
      </x:c>
      <x:c r="L89" s="16" t="str">
        <x:f>IF(AND(COUNT(INDEX('SKU明细'!$H$9:$H$1592,MATCH("[6574,""32582-MT-39""]",'SKU明细'!$AE$9:$AE$1592,0)))=1,COUNT(INDEX('SKU明细'!$G$9:$G$1592,MATCH("[6574,""32582-MT-39""]",'SKU明细'!$AE$9:$AE$1592,0)))=1,SUM(INDEX('SKU明细'!$G$9:$G$1592,MATCH("[6574,""32582-MT-39""]",'SKU明细'!$AE$9:$AE$1592,0)))&gt;0),SUM(INDEX('SKU明细'!$H$9:$H$1592,MATCH("[6574,""32582-MT-39""]",'SKU明细'!$AE$9:$AE$1592,0)))/SUM(INDEX('SKU明细'!$G$9:$G$1592,MATCH("[6574,""32582-MT-39""]",'SKU明细'!$AE$9:$AE$1592,0))),"待核")</x:f>
        <x:v>待核</x:v>
      </x:c>
      <x:c r="M89" s="16" t="n">
        <x:f>IF(AND(COUNT(INDEX('SKU明细'!$H$9:$H$1592,MATCH("[6574,""32582-MT-39.5""]",'SKU明细'!$AE$9:$AE$1592,0)))=1,COUNT(INDEX('SKU明细'!$G$9:$G$1592,MATCH("[6574,""32582-MT-39.5""]",'SKU明细'!$AE$9:$AE$1592,0)))=1,SUM(INDEX('SKU明细'!$G$9:$G$1592,MATCH("[6574,""32582-MT-39.5""]",'SKU明细'!$AE$9:$AE$1592,0)))&gt;0),SUM(INDEX('SKU明细'!$H$9:$H$1592,MATCH("[6574,""32582-MT-39.5""]",'SKU明细'!$AE$9:$AE$1592,0)))/SUM(INDEX('SKU明细'!$G$9:$G$1592,MATCH("[6574,""32582-MT-39.5""]",'SKU明细'!$AE$9:$AE$1592,0))),"待核")</x:f>
        <x:v>21.283783783783786</x:v>
      </x:c>
      <x:c r="N89" s="16" t="n">
        <x:f>IF(AND(COUNT(INDEX('SKU明细'!$H$9:$H$1592,MATCH("[6574,""32582-MT-40""]",'SKU明细'!$AE$9:$AE$1592,0)))=1,COUNT(INDEX('SKU明细'!$G$9:$G$1592,MATCH("[6574,""32582-MT-40""]",'SKU明细'!$AE$9:$AE$1592,0)))=1,SUM(INDEX('SKU明细'!$G$9:$G$1592,MATCH("[6574,""32582-MT-40""]",'SKU明细'!$AE$9:$AE$1592,0)))&gt;0),SUM(INDEX('SKU明细'!$H$9:$H$1592,MATCH("[6574,""32582-MT-40""]",'SKU明细'!$AE$9:$AE$1592,0)))/SUM(INDEX('SKU明细'!$G$9:$G$1592,MATCH("[6574,""32582-MT-40""]",'SKU明细'!$AE$9:$AE$1592,0))),"待核")</x:f>
        <x:v>107.87671232876714</x:v>
      </x:c>
      <x:c r="O89" s="16" t="str">
        <x:f>IF(AND(COUNT(INDEX('SKU明细'!$H$9:$H$1592,MATCH("[6574,""32582-MT-40.5""]",'SKU明细'!$AE$9:$AE$1592,0)))=1,COUNT(INDEX('SKU明细'!$G$9:$G$1592,MATCH("[6574,""32582-MT-40.5""]",'SKU明细'!$AE$9:$AE$1592,0)))=1,SUM(INDEX('SKU明细'!$G$9:$G$1592,MATCH("[6574,""32582-MT-40.5""]",'SKU明细'!$AE$9:$AE$1592,0)))&gt;0),SUM(INDEX('SKU明细'!$H$9:$H$1592,MATCH("[6574,""32582-MT-40.5""]",'SKU明细'!$AE$9:$AE$1592,0)))/SUM(INDEX('SKU明细'!$G$9:$G$1592,MATCH("[6574,""32582-MT-40.5""]",'SKU明细'!$AE$9:$AE$1592,0))),"待核")</x:f>
        <x:v>待核</x:v>
      </x:c>
      <x:c r="P89" s="16" t="n">
        <x:f>IF(AND(COUNT(INDEX('SKU明细'!$H$9:$H$1592,MATCH("[6574,""32582-MT-41""]",'SKU明细'!$AE$9:$AE$1592,0)))=1,COUNT(INDEX('SKU明细'!$G$9:$G$1592,MATCH("[6574,""32582-MT-41""]",'SKU明细'!$AE$9:$AE$1592,0)))=1,SUM(INDEX('SKU明细'!$G$9:$G$1592,MATCH("[6574,""32582-MT-41""]",'SKU明细'!$AE$9:$AE$1592,0)))&gt;0),SUM(INDEX('SKU明细'!$H$9:$H$1592,MATCH("[6574,""32582-MT-41""]",'SKU明细'!$AE$9:$AE$1592,0)))/SUM(INDEX('SKU明细'!$G$9:$G$1592,MATCH("[6574,""32582-MT-41""]",'SKU明细'!$AE$9:$AE$1592,0))),"待核")</x:f>
        <x:v>0</x:v>
      </x:c>
      <x:c r="Q89" s="16" t="str">
        <x:f>IF(AND(COUNT(INDEX('SKU明细'!$H$9:$H$1592,MATCH("[6574,""32582-MT-41.5""]",'SKU明细'!$AE$9:$AE$1592,0)))=1,COUNT(INDEX('SKU明细'!$G$9:$G$1592,MATCH("[6574,""32582-MT-41.5""]",'SKU明细'!$AE$9:$AE$1592,0)))=1,SUM(INDEX('SKU明细'!$G$9:$G$1592,MATCH("[6574,""32582-MT-41.5""]",'SKU明细'!$AE$9:$AE$1592,0)))&gt;0),SUM(INDEX('SKU明细'!$H$9:$H$1592,MATCH("[6574,""32582-MT-41.5""]",'SKU明细'!$AE$9:$AE$1592,0)))/SUM(INDEX('SKU明细'!$G$9:$G$1592,MATCH("[6574,""32582-MT-41.5""]",'SKU明细'!$AE$9:$AE$1592,0))),"待核")</x:f>
        <x:v>待核</x:v>
      </x:c>
      <x:c r="R89" s="16" t="n">
        <x:f>IF(AND(COUNT(INDEX('SKU明细'!$H$9:$H$1592,MATCH("[6574,""32582-MT-42""]",'SKU明细'!$AE$9:$AE$1592,0)))=1,COUNT(INDEX('SKU明细'!$G$9:$G$1592,MATCH("[6574,""32582-MT-42""]",'SKU明细'!$AE$9:$AE$1592,0)))=1,SUM(INDEX('SKU明细'!$G$9:$G$1592,MATCH("[6574,""32582-MT-42""]",'SKU明细'!$AE$9:$AE$1592,0)))&gt;0),SUM(INDEX('SKU明细'!$H$9:$H$1592,MATCH("[6574,""32582-MT-42""]",'SKU明细'!$AE$9:$AE$1592,0)))/SUM(INDEX('SKU明细'!$G$9:$G$1592,MATCH("[6574,""32582-MT-42""]",'SKU明细'!$AE$9:$AE$1592,0))),"待核")</x:f>
        <x:v>0</x:v>
      </x:c>
      <x:c r="S89" s="16" t="n">
        <x:f>IF(AND(COUNT(INDEX('SKU明细'!$H$9:$H$1592,MATCH("[6574,""32582-MT-40""]",'SKU明细'!$AE$9:$AE$1592,0)),INDEX('SKU明细'!$H$9:$H$1592,MATCH("[6574,""32582-MT-37""]",'SKU明细'!$AE$9:$AE$1592,0)),INDEX('SKU明细'!$H$9:$H$1592,MATCH("[6574,""32582-MT-37.5""]",'SKU明细'!$AE$9:$AE$1592,0)),INDEX('SKU明细'!$H$9:$H$1592,MATCH("[6574,""32582-MT-38""]",'SKU明细'!$AE$9:$AE$1592,0)),INDEX('SKU明细'!$H$9:$H$1592,MATCH("[6574,""32582-MT-38.5""]",'SKU明细'!$AE$9:$AE$1592,0)),INDEX('SKU明细'!$H$9:$H$1592,MATCH("[6574,""32582-MT-39""]",'SKU明细'!$AE$9:$AE$1592,0)),INDEX('SKU明细'!$H$9:$H$1592,MATCH("[6574,""32582-MT-40.5""]",'SKU明细'!$AE$9:$AE$1592,0)),INDEX('SKU明细'!$H$9:$H$1592,MATCH("[6574,""32582-MT-41""]",'SKU明细'!$AE$9:$AE$1592,0)),INDEX('SKU明细'!$H$9:$H$1592,MATCH("[6574,""32582-MT-41.5""]",'SKU明细'!$AE$9:$AE$1592,0)),INDEX('SKU明细'!$H$9:$H$1592,MATCH("[6574,""32582-MT-42""]",'SKU明细'!$AE$9:$AE$1592,0)),INDEX('SKU明细'!$H$9:$H$1592,MATCH("[6574,""32582-MT-39.5""]",'SKU明细'!$AE$9:$AE$1592,0)))=11,COUNT(INDEX('SKU明细'!$G$9:$G$1592,MATCH("[6574,""32582-MT-40""]",'SKU明细'!$AE$9:$AE$1592,0)),INDEX('SKU明细'!$G$9:$G$1592,MATCH("[6574,""32582-MT-37""]",'SKU明细'!$AE$9:$AE$1592,0)),INDEX('SKU明细'!$G$9:$G$1592,MATCH("[6574,""32582-MT-37.5""]",'SKU明细'!$AE$9:$AE$1592,0)),INDEX('SKU明细'!$G$9:$G$1592,MATCH("[6574,""32582-MT-38""]",'SKU明细'!$AE$9:$AE$1592,0)),INDEX('SKU明细'!$G$9:$G$1592,MATCH("[6574,""32582-MT-38.5""]",'SKU明细'!$AE$9:$AE$1592,0)),INDEX('SKU明细'!$G$9:$G$1592,MATCH("[6574,""32582-MT-39""]",'SKU明细'!$AE$9:$AE$1592,0)),INDEX('SKU明细'!$G$9:$G$1592,MATCH("[6574,""32582-MT-40.5""]",'SKU明细'!$AE$9:$AE$1592,0)),INDEX('SKU明细'!$G$9:$G$1592,MATCH("[6574,""32582-MT-41""]",'SKU明细'!$AE$9:$AE$1592,0)),INDEX('SKU明细'!$G$9:$G$1592,MATCH("[6574,""32582-MT-41.5""]",'SKU明细'!$AE$9:$AE$1592,0)),INDEX('SKU明细'!$G$9:$G$1592,MATCH("[6574,""32582-MT-42""]",'SKU明细'!$AE$9:$AE$1592,0)),INDEX('SKU明细'!$G$9:$G$1592,MATCH("[6574,""32582-MT-39.5""]",'SKU明细'!$AE$9:$AE$1592,0)))=11,SUM(INDEX('SKU明细'!$G$9:$G$1592,MATCH("[6574,""32582-MT-40""]",'SKU明细'!$AE$9:$AE$1592,0)),INDEX('SKU明细'!$G$9:$G$1592,MATCH("[6574,""32582-MT-37""]",'SKU明细'!$AE$9:$AE$1592,0)),INDEX('SKU明细'!$G$9:$G$1592,MATCH("[6574,""32582-MT-37.5""]",'SKU明细'!$AE$9:$AE$1592,0)),INDEX('SKU明细'!$G$9:$G$1592,MATCH("[6574,""32582-MT-38""]",'SKU明细'!$AE$9:$AE$1592,0)),INDEX('SKU明细'!$G$9:$G$1592,MATCH("[6574,""32582-MT-38.5""]",'SKU明细'!$AE$9:$AE$1592,0)),INDEX('SKU明细'!$G$9:$G$1592,MATCH("[6574,""32582-MT-39""]",'SKU明细'!$AE$9:$AE$1592,0)),INDEX('SKU明细'!$G$9:$G$1592,MATCH("[6574,""32582-MT-40.5""]",'SKU明细'!$AE$9:$AE$1592,0)),INDEX('SKU明细'!$G$9:$G$1592,MATCH("[6574,""32582-MT-41""]",'SKU明细'!$AE$9:$AE$1592,0)),INDEX('SKU明细'!$G$9:$G$1592,MATCH("[6574,""32582-MT-41.5""]",'SKU明细'!$AE$9:$AE$1592,0)),INDEX('SKU明细'!$G$9:$G$1592,MATCH("[6574,""32582-MT-42""]",'SKU明细'!$AE$9:$AE$1592,0)),INDEX('SKU明细'!$G$9:$G$1592,MATCH("[6574,""32582-MT-39.5""]",'SKU明细'!$AE$9:$AE$1592,0)))&gt;0),SUM(INDEX('SKU明细'!$H$9:$H$1592,MATCH("[6574,""32582-MT-40""]",'SKU明细'!$AE$9:$AE$1592,0)),INDEX('SKU明细'!$H$9:$H$1592,MATCH("[6574,""32582-MT-37""]",'SKU明细'!$AE$9:$AE$1592,0)),INDEX('SKU明细'!$H$9:$H$1592,MATCH("[6574,""32582-MT-37.5""]",'SKU明细'!$AE$9:$AE$1592,0)),INDEX('SKU明细'!$H$9:$H$1592,MATCH("[6574,""32582-MT-38""]",'SKU明细'!$AE$9:$AE$1592,0)),INDEX('SKU明细'!$H$9:$H$1592,MATCH("[6574,""32582-MT-38.5""]",'SKU明细'!$AE$9:$AE$1592,0)),INDEX('SKU明细'!$H$9:$H$1592,MATCH("[6574,""32582-MT-39""]",'SKU明细'!$AE$9:$AE$1592,0)),INDEX('SKU明细'!$H$9:$H$1592,MATCH("[6574,""32582-MT-40.5""]",'SKU明细'!$AE$9:$AE$1592,0)),INDEX('SKU明细'!$H$9:$H$1592,MATCH("[6574,""32582-MT-41""]",'SKU明细'!$AE$9:$AE$1592,0)),INDEX('SKU明细'!$H$9:$H$1592,MATCH("[6574,""32582-MT-41.5""]",'SKU明细'!$AE$9:$AE$1592,0)),INDEX('SKU明细'!$H$9:$H$1592,MATCH("[6574,""32582-MT-42""]",'SKU明细'!$AE$9:$AE$1592,0)),INDEX('SKU明细'!$H$9:$H$1592,MATCH("[6574,""32582-MT-39.5""]",'SKU明细'!$AE$9:$AE$1592,0)))/SUM(INDEX('SKU明细'!$G$9:$G$1592,MATCH("[6574,""32582-MT-40""]",'SKU明细'!$AE$9:$AE$1592,0)),INDEX('SKU明细'!$G$9:$G$1592,MATCH("[6574,""32582-MT-37""]",'SKU明细'!$AE$9:$AE$1592,0)),INDEX('SKU明细'!$G$9:$G$1592,MATCH("[6574,""32582-MT-37.5""]",'SKU明细'!$AE$9:$AE$1592,0)),INDEX('SKU明细'!$G$9:$G$1592,MATCH("[6574,""32582-MT-38""]",'SKU明细'!$AE$9:$AE$1592,0)),INDEX('SKU明细'!$G$9:$G$1592,MATCH("[6574,""32582-MT-38.5""]",'SKU明细'!$AE$9:$AE$1592,0)),INDEX('SKU明细'!$G$9:$G$1592,MATCH("[6574,""32582-MT-39""]",'SKU明细'!$AE$9:$AE$1592,0)),INDEX('SKU明细'!$G$9:$G$1592,MATCH("[6574,""32582-MT-40.5""]",'SKU明细'!$AE$9:$AE$1592,0)),INDEX('SKU明细'!$G$9:$G$1592,MATCH("[6574,""32582-MT-41""]",'SKU明细'!$AE$9:$AE$1592,0)),INDEX('SKU明细'!$G$9:$G$1592,MATCH("[6574,""32582-MT-41.5""]",'SKU明细'!$AE$9:$AE$1592,0)),INDEX('SKU明细'!$G$9:$G$1592,MATCH("[6574,""32582-MT-42""]",'SKU明细'!$AE$9:$AE$1592,0)),INDEX('SKU明细'!$G$9:$G$1592,MATCH("[6574,""32582-MT-39.5""]",'SKU明细'!$AE$9:$AE$1592,0))),"待核")</x:f>
        <x:v>61.363636363636374</x:v>
      </x:c>
      <x:c r="T89" s="16" t="str">
        <x:f>IF(AND(COUNT(INDEX('SKU明细'!$I$9:$I$1592,MATCH("[6574,""32582-MT-40""]",'SKU明细'!$AE$9:$AE$1592,0)),INDEX('SKU明细'!$I$9:$I$1592,MATCH("[6574,""32582-MT-37""]",'SKU明细'!$AE$9:$AE$1592,0)),INDEX('SKU明细'!$I$9:$I$1592,MATCH("[6574,""32582-MT-37.5""]",'SKU明细'!$AE$9:$AE$1592,0)),INDEX('SKU明细'!$I$9:$I$1592,MATCH("[6574,""32582-MT-38""]",'SKU明细'!$AE$9:$AE$1592,0)),INDEX('SKU明细'!$I$9:$I$1592,MATCH("[6574,""32582-MT-38.5""]",'SKU明细'!$AE$9:$AE$1592,0)),INDEX('SKU明细'!$I$9:$I$1592,MATCH("[6574,""32582-MT-39""]",'SKU明细'!$AE$9:$AE$1592,0)),INDEX('SKU明细'!$I$9:$I$1592,MATCH("[6574,""32582-MT-40.5""]",'SKU明细'!$AE$9:$AE$1592,0)),INDEX('SKU明细'!$I$9:$I$1592,MATCH("[6574,""32582-MT-41""]",'SKU明细'!$AE$9:$AE$1592,0)),INDEX('SKU明细'!$I$9:$I$1592,MATCH("[6574,""32582-MT-41.5""]",'SKU明细'!$AE$9:$AE$1592,0)),INDEX('SKU明细'!$I$9:$I$1592,MATCH("[6574,""32582-MT-42""]",'SKU明细'!$AE$9:$AE$1592,0)),INDEX('SKU明细'!$I$9:$I$1592,MATCH("[6574,""32582-MT-39.5""]",'SKU明细'!$AE$9:$AE$1592,0)))=11,COUNT(INDEX('SKU明细'!$AD$9:$AD$1592,MATCH("[6574,""32582-MT-40""]",'SKU明细'!$AE$9:$AE$1592,0)),INDEX('SKU明细'!$AD$9:$AD$1592,MATCH("[6574,""32582-MT-37""]",'SKU明细'!$AE$9:$AE$1592,0)),INDEX('SKU明细'!$AD$9:$AD$1592,MATCH("[6574,""32582-MT-37.5""]",'SKU明细'!$AE$9:$AE$1592,0)),INDEX('SKU明细'!$AD$9:$AD$1592,MATCH("[6574,""32582-MT-38""]",'SKU明细'!$AE$9:$AE$1592,0)),INDEX('SKU明细'!$AD$9:$AD$1592,MATCH("[6574,""32582-MT-38.5""]",'SKU明细'!$AE$9:$AE$1592,0)),INDEX('SKU明细'!$AD$9:$AD$1592,MATCH("[6574,""32582-MT-39""]",'SKU明细'!$AE$9:$AE$1592,0)),INDEX('SKU明细'!$AD$9:$AD$1592,MATCH("[6574,""32582-MT-40.5""]",'SKU明细'!$AE$9:$AE$1592,0)),INDEX('SKU明细'!$AD$9:$AD$1592,MATCH("[6574,""32582-MT-41""]",'SKU明细'!$AE$9:$AE$1592,0)),INDEX('SKU明细'!$AD$9:$AD$1592,MATCH("[6574,""32582-MT-41.5""]",'SKU明细'!$AE$9:$AE$1592,0)),INDEX('SKU明细'!$AD$9:$AD$1592,MATCH("[6574,""32582-MT-42""]",'SKU明细'!$AE$9:$AE$1592,0)),INDEX('SKU明细'!$AD$9:$AD$1592,MATCH("[6574,""32582-MT-39.5""]",'SKU明细'!$AE$9:$AE$1592,0)))=11,SUM(INDEX('SKU明细'!$AD$9:$AD$1592,MATCH("[6574,""32582-MT-40""]",'SKU明细'!$AE$9:$AE$1592,0)),INDEX('SKU明细'!$AD$9:$AD$1592,MATCH("[6574,""32582-MT-37""]",'SKU明细'!$AE$9:$AE$1592,0)),INDEX('SKU明细'!$AD$9:$AD$1592,MATCH("[6574,""32582-MT-37.5""]",'SKU明细'!$AE$9:$AE$1592,0)),INDEX('SKU明细'!$AD$9:$AD$1592,MATCH("[6574,""32582-MT-38""]",'SKU明细'!$AE$9:$AE$1592,0)),INDEX('SKU明细'!$AD$9:$AD$1592,MATCH("[6574,""32582-MT-38.5""]",'SKU明细'!$AE$9:$AE$1592,0)),INDEX('SKU明细'!$AD$9:$AD$1592,MATCH("[6574,""32582-MT-39""]",'SKU明细'!$AE$9:$AE$1592,0)),INDEX('SKU明细'!$AD$9:$AD$1592,MATCH("[6574,""32582-MT-40.5""]",'SKU明细'!$AE$9:$AE$1592,0)),INDEX('SKU明细'!$AD$9:$AD$1592,MATCH("[6574,""32582-MT-41""]",'SKU明细'!$AE$9:$AE$1592,0)),INDEX('SKU明细'!$AD$9:$AD$1592,MATCH("[6574,""32582-MT-41.5""]",'SKU明细'!$AE$9:$AE$1592,0)),INDEX('SKU明细'!$AD$9:$AD$1592,MATCH("[6574,""32582-MT-42""]",'SKU明细'!$AE$9:$AE$1592,0)),INDEX('SKU明细'!$AD$9:$AD$1592,MATCH("[6574,""32582-MT-39.5""]",'SKU明细'!$AE$9:$AE$1592,0)))&gt;0),SUM(INDEX('SKU明细'!$I$9:$I$1592,MATCH("[6574,""32582-MT-40""]",'SKU明细'!$AE$9:$AE$1592,0)),INDEX('SKU明细'!$I$9:$I$1592,MATCH("[6574,""32582-MT-37""]",'SKU明细'!$AE$9:$AE$1592,0)),INDEX('SKU明细'!$I$9:$I$1592,MATCH("[6574,""32582-MT-37.5""]",'SKU明细'!$AE$9:$AE$1592,0)),INDEX('SKU明细'!$I$9:$I$1592,MATCH("[6574,""32582-MT-38""]",'SKU明细'!$AE$9:$AE$1592,0)),INDEX('SKU明细'!$I$9:$I$1592,MATCH("[6574,""32582-MT-38.5""]",'SKU明细'!$AE$9:$AE$1592,0)),INDEX('SKU明细'!$I$9:$I$1592,MATCH("[6574,""32582-MT-39""]",'SKU明细'!$AE$9:$AE$1592,0)),INDEX('SKU明细'!$I$9:$I$1592,MATCH("[6574,""32582-MT-40.5""]",'SKU明细'!$AE$9:$AE$1592,0)),INDEX('SKU明细'!$I$9:$I$1592,MATCH("[6574,""32582-MT-41""]",'SKU明细'!$AE$9:$AE$1592,0)),INDEX('SKU明细'!$I$9:$I$1592,MATCH("[6574,""32582-MT-41.5""]",'SKU明细'!$AE$9:$AE$1592,0)),INDEX('SKU明细'!$I$9:$I$1592,MATCH("[6574,""32582-MT-42""]",'SKU明细'!$AE$9:$AE$1592,0)),INDEX('SKU明细'!$I$9:$I$1592,MATCH("[6574,""32582-MT-39.5""]",'SKU明细'!$AE$9:$AE$1592,0)))/SUM(INDEX('SKU明细'!$AD$9:$AD$1592,MATCH("[6574,""32582-MT-40""]",'SKU明细'!$AE$9:$AE$1592,0)),INDEX('SKU明细'!$AD$9:$AD$1592,MATCH("[6574,""32582-MT-37""]",'SKU明细'!$AE$9:$AE$1592,0)),INDEX('SKU明细'!$AD$9:$AD$1592,MATCH("[6574,""32582-MT-37.5""]",'SKU明细'!$AE$9:$AE$1592,0)),INDEX('SKU明细'!$AD$9:$AD$1592,MATCH("[6574,""32582-MT-38""]",'SKU明细'!$AE$9:$AE$1592,0)),INDEX('SKU明细'!$AD$9:$AD$1592,MATCH("[6574,""32582-MT-38.5""]",'SKU明细'!$AE$9:$AE$1592,0)),INDEX('SKU明细'!$AD$9:$AD$1592,MATCH("[6574,""32582-MT-39""]",'SKU明细'!$AE$9:$AE$1592,0)),INDEX('SKU明细'!$AD$9:$AD$1592,MATCH("[6574,""32582-MT-40.5""]",'SKU明细'!$AE$9:$AE$1592,0)),INDEX('SKU明细'!$AD$9:$AD$1592,MATCH("[6574,""32582-MT-41""]",'SKU明细'!$AE$9:$AE$1592,0)),INDEX('SKU明细'!$AD$9:$AD$1592,MATCH("[6574,""32582-MT-41.5""]",'SKU明细'!$AE$9:$AE$1592,0)),INDEX('SKU明细'!$AD$9:$AD$1592,MATCH("[6574,""32582-MT-42""]",'SKU明细'!$AE$9:$AE$1592,0)),INDEX('SKU明细'!$AD$9:$AD$1592,MATCH("[6574,""32582-MT-39.5""]",'SKU明细'!$AE$9:$AE$1592,0))),"待核")</x:f>
        <x:v>待核</x:v>
      </x:c>
      <x:c r="U89" s="16" t="str">
        <x:f>IF(COUNT(S89:T89)=2,S89-T89,"待核")</x:f>
        <x:v>待核</x:v>
      </x:c>
      <x:c r="V89" s="17" t="str">
        <x:f>IF(AND(ISNUMBER(U89),ISNUMBER(T89),T89&lt;&gt;0),U89/T89,"")</x:f>
      </x:c>
      <x:c r="W89" s="18" t="n">
        <x:f>IF(COUNT(INDEX('SKU明细'!$H$9:$H$1592,MATCH("[6574,""32582-MT-40""]",'SKU明细'!$AE$9:$AE$1592,0)),INDEX('SKU明细'!$H$9:$H$1592,MATCH("[6574,""32582-MT-37""]",'SKU明细'!$AE$9:$AE$1592,0)),INDEX('SKU明细'!$H$9:$H$1592,MATCH("[6574,""32582-MT-37.5""]",'SKU明细'!$AE$9:$AE$1592,0)),INDEX('SKU明细'!$H$9:$H$1592,MATCH("[6574,""32582-MT-38""]",'SKU明细'!$AE$9:$AE$1592,0)),INDEX('SKU明细'!$H$9:$H$1592,MATCH("[6574,""32582-MT-38.5""]",'SKU明细'!$AE$9:$AE$1592,0)),INDEX('SKU明细'!$H$9:$H$1592,MATCH("[6574,""32582-MT-39""]",'SKU明细'!$AE$9:$AE$1592,0)),INDEX('SKU明细'!$H$9:$H$1592,MATCH("[6574,""32582-MT-40.5""]",'SKU明细'!$AE$9:$AE$1592,0)),INDEX('SKU明细'!$H$9:$H$1592,MATCH("[6574,""32582-MT-41""]",'SKU明细'!$AE$9:$AE$1592,0)),INDEX('SKU明细'!$H$9:$H$1592,MATCH("[6574,""32582-MT-41.5""]",'SKU明细'!$AE$9:$AE$1592,0)),INDEX('SKU明细'!$H$9:$H$1592,MATCH("[6574,""32582-MT-42""]",'SKU明细'!$AE$9:$AE$1592,0)),INDEX('SKU明细'!$H$9:$H$1592,MATCH("[6574,""32582-MT-39.5""]",'SKU明细'!$AE$9:$AE$1592,0)))=0,"待核",SUM(INDEX('SKU明细'!$H$9:$H$1592,MATCH("[6574,""32582-MT-40""]",'SKU明细'!$AE$9:$AE$1592,0)),INDEX('SKU明细'!$H$9:$H$1592,MATCH("[6574,""32582-MT-37""]",'SKU明细'!$AE$9:$AE$1592,0)),INDEX('SKU明细'!$H$9:$H$1592,MATCH("[6574,""32582-MT-37.5""]",'SKU明细'!$AE$9:$AE$1592,0)),INDEX('SKU明细'!$H$9:$H$1592,MATCH("[6574,""32582-MT-38""]",'SKU明细'!$AE$9:$AE$1592,0)),INDEX('SKU明细'!$H$9:$H$1592,MATCH("[6574,""32582-MT-38.5""]",'SKU明细'!$AE$9:$AE$1592,0)),INDEX('SKU明细'!$H$9:$H$1592,MATCH("[6574,""32582-MT-39""]",'SKU明细'!$AE$9:$AE$1592,0)),INDEX('SKU明细'!$H$9:$H$1592,MATCH("[6574,""32582-MT-40.5""]",'SKU明细'!$AE$9:$AE$1592,0)),INDEX('SKU明细'!$H$9:$H$1592,MATCH("[6574,""32582-MT-41""]",'SKU明细'!$AE$9:$AE$1592,0)),INDEX('SKU明细'!$H$9:$H$1592,MATCH("[6574,""32582-MT-41.5""]",'SKU明细'!$AE$9:$AE$1592,0)),INDEX('SKU明细'!$H$9:$H$1592,MATCH("[6574,""32582-MT-42""]",'SKU明细'!$AE$9:$AE$1592,0)),INDEX('SKU明细'!$H$9:$H$1592,MATCH("[6574,""32582-MT-39.5""]",'SKU明细'!$AE$9:$AE$1592,0))))</x:f>
        <x:v>18</x:v>
      </x:c>
      <x:c r="X89" s="19" t="str">
        <x:f>IF(COUNTIFS('SKU明细'!$AH$9:$AH$1592,"[""32582"",""32582-MT"",""MT"",""黄色""]",'SKU明细'!$E$9:$E$1592,"促销")&gt;0,"促销 ","")&amp;IF(COUNTIFS('SKU明细'!$AH$9:$AH$1592,"[""32582"",""32582-MT"",""MT"",""黄色""]",'SKU明细'!$E$9:$E$1592,"红线促销")&gt;0,"红线促销 ","")&amp;IF(COUNTIFS('SKU明细'!$AH$9:$AH$1592,"[""32582"",""32582-MT"",""MT"",""黄色""]",'SKU明细'!$E$9:$E$1592,"考虑清仓")&gt;0,"考虑清仓 ","")&amp;IF(COUNTIFS('SKU明细'!$AH$9:$AH$1592,"[""32582"",""32582-MT"",""MT"",""黄色""]",'SKU明细'!$E$9:$E$1592,"断货")&gt;0,"断货 ","")&amp;IF(COUNTIFS('SKU明细'!$AH$9:$AH$1592,"[""32582"",""32582-MT"",""MT"",""黄色""]",'SKU明细'!$E$9:$E$1592,"零日销待复核")&gt;0,"零日销待复核 ","")&amp;IF(COUNTIFS('SKU明细'!$AH$9:$AH$1592,"[""32582"",""32582-MT"",""MT"",""黄色""]",'SKU明细'!$E$9:$E$1592,"数据待核")&gt;0,"数据待核 ","")&amp;IF(COUNTIFS('SKU明细'!$AH$9:$AH$1592,"[""32582"",""32582-MT"",""MT"",""黄色""]",'SKU明细'!$E$9:$E$1592,"正常库存")&gt;0,"正常库存 ","")&amp;IF(COUNTIFS('SKU明细'!$AH$9:$AH$1592,"[""32582"",""32582-MT"",""MT"",""黄色""]",'SKU明细'!$E$9:$E$1592,"补货提醒")&gt;0,"补货提醒 ","")</x:f>
        <x:v>促销 断货 补货提醒 </x:v>
      </x:c>
      <x:c r="Y89" s="19" t="str">
        <x:f>IF(NOT(ISNUMBER(U89)),"覆盖待核／无可比基准","完整可比")</x:f>
        <x:v>覆盖待核／无可比基准</x:v>
      </x:c>
      <x:c r="Z89" s="19" t="str">
        <x:v>在售、停售</x:v>
      </x:c>
      <x:c r="AA89" s="19" t="n">
        <x:f>IF(SUMIFS('SKU明细'!$AF$9:$AF$1592,'SKU明细'!$D$9:$D$1592,A89,'SKU明细'!$Z$9:$Z$1592,"&lt;&gt;移出")=0,"待核",SUMIFS('SKU明细'!$H$9:$H$1592,'SKU明细'!$D$9:$D$1592,A89,'SKU明细'!$Z$9:$Z$1592,"&lt;&gt;移出"))</x:f>
        <x:v>1442</x:v>
      </x:c>
    </x:row>
    <x:row r="90" ht="54" customHeight="1">
      <x:c r="A90" s="15" t="str">
        <x:v>32582</x:v>
      </x:c>
      <x:c r="B90" s="15" t="str">
        <x:v>徐新怡</x:v>
      </x:c>
      <x:c r="C90" s="15" t="str">
        <x:v>裸色</x:v>
      </x:c>
      <x:c r="D90" s="15" t="str">
        <x:v>ND</x:v>
      </x:c>
      <x:c r="E90" s="15" t="str">
        <x:v>32582-ND</x:v>
      </x:c>
      <x:c r="F90" s="15"/>
      <x:c r="G90" s="16" t="str">
        <x:f>"—"</x:f>
        <x:v>—</x:v>
      </x:c>
      <x:c r="H90" s="16" t="n">
        <x:f>IF(AND(COUNT(INDEX('SKU明细'!$H$9:$H$1592,MATCH("[6574,""32582-ND-37""]",'SKU明细'!$AE$9:$AE$1592,0)))=1,COUNT(INDEX('SKU明细'!$G$9:$G$1592,MATCH("[6574,""32582-ND-37""]",'SKU明细'!$AE$9:$AE$1592,0)))=1,SUM(INDEX('SKU明细'!$G$9:$G$1592,MATCH("[6574,""32582-ND-37""]",'SKU明细'!$AE$9:$AE$1592,0)))&gt;0),SUM(INDEX('SKU明细'!$H$9:$H$1592,MATCH("[6574,""32582-ND-37""]",'SKU明细'!$AE$9:$AE$1592,0)))/SUM(INDEX('SKU明细'!$G$9:$G$1592,MATCH("[6574,""32582-ND-37""]",'SKU明细'!$AE$9:$AE$1592,0))),"待核")</x:f>
        <x:v>21.516393442622952</x:v>
      </x:c>
      <x:c r="I90" s="16" t="n">
        <x:f>IF(AND(COUNT(INDEX('SKU明细'!$H$9:$H$1592,MATCH("[6574,""32582-ND-37.5""]",'SKU明细'!$AE$9:$AE$1592,0)))=1,COUNT(INDEX('SKU明细'!$G$9:$G$1592,MATCH("[6574,""32582-ND-37.5""]",'SKU明细'!$AE$9:$AE$1592,0)))=1,SUM(INDEX('SKU明细'!$G$9:$G$1592,MATCH("[6574,""32582-ND-37.5""]",'SKU明细'!$AE$9:$AE$1592,0)))&gt;0),SUM(INDEX('SKU明细'!$H$9:$H$1592,MATCH("[6574,""32582-ND-37.5""]",'SKU明细'!$AE$9:$AE$1592,0)))/SUM(INDEX('SKU明细'!$G$9:$G$1592,MATCH("[6574,""32582-ND-37.5""]",'SKU明细'!$AE$9:$AE$1592,0))),"待核")</x:f>
        <x:v>0</x:v>
      </x:c>
      <x:c r="J90" s="16" t="n">
        <x:f>IF(AND(COUNT(INDEX('SKU明细'!$H$9:$H$1592,MATCH("[6574,""32582-ND-38""]",'SKU明细'!$AE$9:$AE$1592,0)))=1,COUNT(INDEX('SKU明细'!$G$9:$G$1592,MATCH("[6574,""32582-ND-38""]",'SKU明细'!$AE$9:$AE$1592,0)))=1,SUM(INDEX('SKU明细'!$G$9:$G$1592,MATCH("[6574,""32582-ND-38""]",'SKU明细'!$AE$9:$AE$1592,0)))&gt;0),SUM(INDEX('SKU明细'!$H$9:$H$1592,MATCH("[6574,""32582-ND-38""]",'SKU明细'!$AE$9:$AE$1592,0)))/SUM(INDEX('SKU明细'!$G$9:$G$1592,MATCH("[6574,""32582-ND-38""]",'SKU明细'!$AE$9:$AE$1592,0))),"待核")</x:f>
        <x:v>46.12005856515373</x:v>
      </x:c>
      <x:c r="K90" s="16" t="n">
        <x:f>IF(AND(COUNT(INDEX('SKU明细'!$H$9:$H$1592,MATCH("[6574,""32582-ND-38.5""]",'SKU明细'!$AE$9:$AE$1592,0)))=1,COUNT(INDEX('SKU明细'!$G$9:$G$1592,MATCH("[6574,""32582-ND-38.5""]",'SKU明细'!$AE$9:$AE$1592,0)))=1,SUM(INDEX('SKU明细'!$G$9:$G$1592,MATCH("[6574,""32582-ND-38.5""]",'SKU明细'!$AE$9:$AE$1592,0)))&gt;0),SUM(INDEX('SKU明细'!$H$9:$H$1592,MATCH("[6574,""32582-ND-38.5""]",'SKU明细'!$AE$9:$AE$1592,0)))/SUM(INDEX('SKU明细'!$G$9:$G$1592,MATCH("[6574,""32582-ND-38.5""]",'SKU明细'!$AE$9:$AE$1592,0))),"待核")</x:f>
        <x:v>128.4965034965035</x:v>
      </x:c>
      <x:c r="L90" s="16" t="n">
        <x:f>IF(AND(COUNT(INDEX('SKU明细'!$H$9:$H$1592,MATCH("[6574,""32582-ND-39""]",'SKU明细'!$AE$9:$AE$1592,0)))=1,COUNT(INDEX('SKU明细'!$G$9:$G$1592,MATCH("[6574,""32582-ND-39""]",'SKU明细'!$AE$9:$AE$1592,0)))=1,SUM(INDEX('SKU明细'!$G$9:$G$1592,MATCH("[6574,""32582-ND-39""]",'SKU明细'!$AE$9:$AE$1592,0)))&gt;0),SUM(INDEX('SKU明细'!$H$9:$H$1592,MATCH("[6574,""32582-ND-39""]",'SKU明细'!$AE$9:$AE$1592,0)))/SUM(INDEX('SKU明细'!$G$9:$G$1592,MATCH("[6574,""32582-ND-39""]",'SKU明细'!$AE$9:$AE$1592,0))),"待核")</x:f>
        <x:v>0</x:v>
      </x:c>
      <x:c r="M90" s="16" t="n">
        <x:f>IF(AND(COUNT(INDEX('SKU明细'!$H$9:$H$1592,MATCH("[6574,""32582-ND-39.5""]",'SKU明细'!$AE$9:$AE$1592,0)))=1,COUNT(INDEX('SKU明细'!$G$9:$G$1592,MATCH("[6574,""32582-ND-39.5""]",'SKU明细'!$AE$9:$AE$1592,0)))=1,SUM(INDEX('SKU明细'!$G$9:$G$1592,MATCH("[6574,""32582-ND-39.5""]",'SKU明细'!$AE$9:$AE$1592,0)))&gt;0),SUM(INDEX('SKU明细'!$H$9:$H$1592,MATCH("[6574,""32582-ND-39.5""]",'SKU明细'!$AE$9:$AE$1592,0)))/SUM(INDEX('SKU明细'!$G$9:$G$1592,MATCH("[6574,""32582-ND-39.5""]",'SKU明细'!$AE$9:$AE$1592,0))),"待核")</x:f>
        <x:v>0</x:v>
      </x:c>
      <x:c r="N90" s="16" t="n">
        <x:f>IF(AND(COUNT(INDEX('SKU明细'!$H$9:$H$1592,MATCH("[6574,""32582-ND-40""]",'SKU明细'!$AE$9:$AE$1592,0)))=1,COUNT(INDEX('SKU明细'!$G$9:$G$1592,MATCH("[6574,""32582-ND-40""]",'SKU明细'!$AE$9:$AE$1592,0)))=1,SUM(INDEX('SKU明细'!$G$9:$G$1592,MATCH("[6574,""32582-ND-40""]",'SKU明细'!$AE$9:$AE$1592,0)))&gt;0),SUM(INDEX('SKU明细'!$H$9:$H$1592,MATCH("[6574,""32582-ND-40""]",'SKU明细'!$AE$9:$AE$1592,0)))/SUM(INDEX('SKU明细'!$G$9:$G$1592,MATCH("[6574,""32582-ND-40""]",'SKU明细'!$AE$9:$AE$1592,0))),"待核")</x:f>
        <x:v>0</x:v>
      </x:c>
      <x:c r="O90" s="16" t="str">
        <x:f>IF(AND(COUNT(INDEX('SKU明细'!$H$9:$H$1592,MATCH("[6574,""32582-ND-40.5""]",'SKU明细'!$AE$9:$AE$1592,0)))=1,COUNT(INDEX('SKU明细'!$G$9:$G$1592,MATCH("[6574,""32582-ND-40.5""]",'SKU明细'!$AE$9:$AE$1592,0)))=1,SUM(INDEX('SKU明细'!$G$9:$G$1592,MATCH("[6574,""32582-ND-40.5""]",'SKU明细'!$AE$9:$AE$1592,0)))&gt;0),SUM(INDEX('SKU明细'!$H$9:$H$1592,MATCH("[6574,""32582-ND-40.5""]",'SKU明细'!$AE$9:$AE$1592,0)))/SUM(INDEX('SKU明细'!$G$9:$G$1592,MATCH("[6574,""32582-ND-40.5""]",'SKU明细'!$AE$9:$AE$1592,0))),"待核")</x:f>
        <x:v>待核</x:v>
      </x:c>
      <x:c r="P90" s="16" t="n">
        <x:f>IF(AND(COUNT(INDEX('SKU明细'!$H$9:$H$1592,MATCH("[6574,""32582-ND-41""]",'SKU明细'!$AE$9:$AE$1592,0)))=1,COUNT(INDEX('SKU明细'!$G$9:$G$1592,MATCH("[6574,""32582-ND-41""]",'SKU明细'!$AE$9:$AE$1592,0)))=1,SUM(INDEX('SKU明细'!$G$9:$G$1592,MATCH("[6574,""32582-ND-41""]",'SKU明细'!$AE$9:$AE$1592,0)))&gt;0),SUM(INDEX('SKU明细'!$H$9:$H$1592,MATCH("[6574,""32582-ND-41""]",'SKU明细'!$AE$9:$AE$1592,0)))/SUM(INDEX('SKU明细'!$G$9:$G$1592,MATCH("[6574,""32582-ND-41""]",'SKU明细'!$AE$9:$AE$1592,0))),"待核")</x:f>
        <x:v>51.1304347826087</x:v>
      </x:c>
      <x:c r="Q90" s="16" t="str">
        <x:f>IF(AND(COUNT(INDEX('SKU明细'!$H$9:$H$1592,MATCH("[6574,""32582-ND-41.5""]",'SKU明细'!$AE$9:$AE$1592,0)))=1,COUNT(INDEX('SKU明细'!$G$9:$G$1592,MATCH("[6574,""32582-ND-41.5""]",'SKU明细'!$AE$9:$AE$1592,0)))=1,SUM(INDEX('SKU明细'!$G$9:$G$1592,MATCH("[6574,""32582-ND-41.5""]",'SKU明细'!$AE$9:$AE$1592,0)))&gt;0),SUM(INDEX('SKU明细'!$H$9:$H$1592,MATCH("[6574,""32582-ND-41.5""]",'SKU明细'!$AE$9:$AE$1592,0)))/SUM(INDEX('SKU明细'!$G$9:$G$1592,MATCH("[6574,""32582-ND-41.5""]",'SKU明细'!$AE$9:$AE$1592,0))),"待核")</x:f>
        <x:v>待核</x:v>
      </x:c>
      <x:c r="R90" s="16" t="n">
        <x:f>IF(AND(COUNT(INDEX('SKU明细'!$H$9:$H$1592,MATCH("[6574,""32582-ND-42""]",'SKU明细'!$AE$9:$AE$1592,0)))=1,COUNT(INDEX('SKU明细'!$G$9:$G$1592,MATCH("[6574,""32582-ND-42""]",'SKU明细'!$AE$9:$AE$1592,0)))=1,SUM(INDEX('SKU明细'!$G$9:$G$1592,MATCH("[6574,""32582-ND-42""]",'SKU明细'!$AE$9:$AE$1592,0)))&gt;0),SUM(INDEX('SKU明细'!$H$9:$H$1592,MATCH("[6574,""32582-ND-42""]",'SKU明细'!$AE$9:$AE$1592,0)))/SUM(INDEX('SKU明细'!$G$9:$G$1592,MATCH("[6574,""32582-ND-42""]",'SKU明细'!$AE$9:$AE$1592,0))),"待核")</x:f>
        <x:v>0</x:v>
      </x:c>
      <x:c r="S90" s="16" t="n">
        <x:f>IF(AND(COUNT(INDEX('SKU明细'!$H$9:$H$1592,MATCH("[6574,""32582-ND-38.5""]",'SKU明细'!$AE$9:$AE$1592,0)),INDEX('SKU明细'!$H$9:$H$1592,MATCH("[6574,""32582-ND-37.5""]",'SKU明细'!$AE$9:$AE$1592,0)),INDEX('SKU明细'!$H$9:$H$1592,MATCH("[6574,""32582-ND-39""]",'SKU明细'!$AE$9:$AE$1592,0)),INDEX('SKU明细'!$H$9:$H$1592,MATCH("[6574,""32582-ND-39.5""]",'SKU明细'!$AE$9:$AE$1592,0)),INDEX('SKU明细'!$H$9:$H$1592,MATCH("[6574,""32582-ND-40""]",'SKU明细'!$AE$9:$AE$1592,0)),INDEX('SKU明细'!$H$9:$H$1592,MATCH("[6574,""32582-ND-40.5""]",'SKU明细'!$AE$9:$AE$1592,0)),INDEX('SKU明细'!$H$9:$H$1592,MATCH("[6574,""32582-ND-41.5""]",'SKU明细'!$AE$9:$AE$1592,0)),INDEX('SKU明细'!$H$9:$H$1592,MATCH("[6574,""32582-ND-42""]",'SKU明细'!$AE$9:$AE$1592,0)),INDEX('SKU明细'!$H$9:$H$1592,MATCH("[6574,""32582-ND-37""]",'SKU明细'!$AE$9:$AE$1592,0)),INDEX('SKU明细'!$H$9:$H$1592,MATCH("[6574,""32582-ND-38""]",'SKU明细'!$AE$9:$AE$1592,0)),INDEX('SKU明细'!$H$9:$H$1592,MATCH("[6574,""32582-ND-41""]",'SKU明细'!$AE$9:$AE$1592,0)))=11,COUNT(INDEX('SKU明细'!$G$9:$G$1592,MATCH("[6574,""32582-ND-38.5""]",'SKU明细'!$AE$9:$AE$1592,0)),INDEX('SKU明细'!$G$9:$G$1592,MATCH("[6574,""32582-ND-37.5""]",'SKU明细'!$AE$9:$AE$1592,0)),INDEX('SKU明细'!$G$9:$G$1592,MATCH("[6574,""32582-ND-39""]",'SKU明细'!$AE$9:$AE$1592,0)),INDEX('SKU明细'!$G$9:$G$1592,MATCH("[6574,""32582-ND-39.5""]",'SKU明细'!$AE$9:$AE$1592,0)),INDEX('SKU明细'!$G$9:$G$1592,MATCH("[6574,""32582-ND-40""]",'SKU明细'!$AE$9:$AE$1592,0)),INDEX('SKU明细'!$G$9:$G$1592,MATCH("[6574,""32582-ND-40.5""]",'SKU明细'!$AE$9:$AE$1592,0)),INDEX('SKU明细'!$G$9:$G$1592,MATCH("[6574,""32582-ND-41.5""]",'SKU明细'!$AE$9:$AE$1592,0)),INDEX('SKU明细'!$G$9:$G$1592,MATCH("[6574,""32582-ND-42""]",'SKU明细'!$AE$9:$AE$1592,0)),INDEX('SKU明细'!$G$9:$G$1592,MATCH("[6574,""32582-ND-37""]",'SKU明细'!$AE$9:$AE$1592,0)),INDEX('SKU明细'!$G$9:$G$1592,MATCH("[6574,""32582-ND-38""]",'SKU明细'!$AE$9:$AE$1592,0)),INDEX('SKU明细'!$G$9:$G$1592,MATCH("[6574,""32582-ND-41""]",'SKU明细'!$AE$9:$AE$1592,0)))=11,SUM(INDEX('SKU明细'!$G$9:$G$1592,MATCH("[6574,""32582-ND-38.5""]",'SKU明细'!$AE$9:$AE$1592,0)),INDEX('SKU明细'!$G$9:$G$1592,MATCH("[6574,""32582-ND-37.5""]",'SKU明细'!$AE$9:$AE$1592,0)),INDEX('SKU明细'!$G$9:$G$1592,MATCH("[6574,""32582-ND-39""]",'SKU明细'!$AE$9:$AE$1592,0)),INDEX('SKU明细'!$G$9:$G$1592,MATCH("[6574,""32582-ND-39.5""]",'SKU明细'!$AE$9:$AE$1592,0)),INDEX('SKU明细'!$G$9:$G$1592,MATCH("[6574,""32582-ND-40""]",'SKU明细'!$AE$9:$AE$1592,0)),INDEX('SKU明细'!$G$9:$G$1592,MATCH("[6574,""32582-ND-40.5""]",'SKU明细'!$AE$9:$AE$1592,0)),INDEX('SKU明细'!$G$9:$G$1592,MATCH("[6574,""32582-ND-41.5""]",'SKU明细'!$AE$9:$AE$1592,0)),INDEX('SKU明细'!$G$9:$G$1592,MATCH("[6574,""32582-ND-42""]",'SKU明细'!$AE$9:$AE$1592,0)),INDEX('SKU明细'!$G$9:$G$1592,MATCH("[6574,""32582-ND-37""]",'SKU明细'!$AE$9:$AE$1592,0)),INDEX('SKU明细'!$G$9:$G$1592,MATCH("[6574,""32582-ND-38""]",'SKU明细'!$AE$9:$AE$1592,0)),INDEX('SKU明细'!$G$9:$G$1592,MATCH("[6574,""32582-ND-41""]",'SKU明细'!$AE$9:$AE$1592,0)))&gt;0),SUM(INDEX('SKU明细'!$H$9:$H$1592,MATCH("[6574,""32582-ND-38.5""]",'SKU明细'!$AE$9:$AE$1592,0)),INDEX('SKU明细'!$H$9:$H$1592,MATCH("[6574,""32582-ND-37.5""]",'SKU明细'!$AE$9:$AE$1592,0)),INDEX('SKU明细'!$H$9:$H$1592,MATCH("[6574,""32582-ND-39""]",'SKU明细'!$AE$9:$AE$1592,0)),INDEX('SKU明细'!$H$9:$H$1592,MATCH("[6574,""32582-ND-39.5""]",'SKU明细'!$AE$9:$AE$1592,0)),INDEX('SKU明细'!$H$9:$H$1592,MATCH("[6574,""32582-ND-40""]",'SKU明细'!$AE$9:$AE$1592,0)),INDEX('SKU明细'!$H$9:$H$1592,MATCH("[6574,""32582-ND-40.5""]",'SKU明细'!$AE$9:$AE$1592,0)),INDEX('SKU明细'!$H$9:$H$1592,MATCH("[6574,""32582-ND-41.5""]",'SKU明细'!$AE$9:$AE$1592,0)),INDEX('SKU明细'!$H$9:$H$1592,MATCH("[6574,""32582-ND-42""]",'SKU明细'!$AE$9:$AE$1592,0)),INDEX('SKU明细'!$H$9:$H$1592,MATCH("[6574,""32582-ND-37""]",'SKU明细'!$AE$9:$AE$1592,0)),INDEX('SKU明细'!$H$9:$H$1592,MATCH("[6574,""32582-ND-38""]",'SKU明细'!$AE$9:$AE$1592,0)),INDEX('SKU明细'!$H$9:$H$1592,MATCH("[6574,""32582-ND-41""]",'SKU明细'!$AE$9:$AE$1592,0)))/SUM(INDEX('SKU明细'!$G$9:$G$1592,MATCH("[6574,""32582-ND-38.5""]",'SKU明细'!$AE$9:$AE$1592,0)),INDEX('SKU明细'!$G$9:$G$1592,MATCH("[6574,""32582-ND-37.5""]",'SKU明细'!$AE$9:$AE$1592,0)),INDEX('SKU明细'!$G$9:$G$1592,MATCH("[6574,""32582-ND-39""]",'SKU明细'!$AE$9:$AE$1592,0)),INDEX('SKU明细'!$G$9:$G$1592,MATCH("[6574,""32582-ND-39.5""]",'SKU明细'!$AE$9:$AE$1592,0)),INDEX('SKU明细'!$G$9:$G$1592,MATCH("[6574,""32582-ND-40""]",'SKU明细'!$AE$9:$AE$1592,0)),INDEX('SKU明细'!$G$9:$G$1592,MATCH("[6574,""32582-ND-40.5""]",'SKU明细'!$AE$9:$AE$1592,0)),INDEX('SKU明细'!$G$9:$G$1592,MATCH("[6574,""32582-ND-41.5""]",'SKU明细'!$AE$9:$AE$1592,0)),INDEX('SKU明细'!$G$9:$G$1592,MATCH("[6574,""32582-ND-42""]",'SKU明细'!$AE$9:$AE$1592,0)),INDEX('SKU明细'!$G$9:$G$1592,MATCH("[6574,""32582-ND-37""]",'SKU明细'!$AE$9:$AE$1592,0)),INDEX('SKU明细'!$G$9:$G$1592,MATCH("[6574,""32582-ND-38""]",'SKU明细'!$AE$9:$AE$1592,0)),INDEX('SKU明细'!$G$9:$G$1592,MATCH("[6574,""32582-ND-41""]",'SKU明细'!$AE$9:$AE$1592,0))),"待核")</x:f>
        <x:v>32.916855974557016</x:v>
      </x:c>
      <x:c r="T90" s="16" t="str">
        <x:f>IF(AND(COUNT(INDEX('SKU明细'!$I$9:$I$1592,MATCH("[6574,""32582-ND-38.5""]",'SKU明细'!$AE$9:$AE$1592,0)),INDEX('SKU明细'!$I$9:$I$1592,MATCH("[6574,""32582-ND-37.5""]",'SKU明细'!$AE$9:$AE$1592,0)),INDEX('SKU明细'!$I$9:$I$1592,MATCH("[6574,""32582-ND-39""]",'SKU明细'!$AE$9:$AE$1592,0)),INDEX('SKU明细'!$I$9:$I$1592,MATCH("[6574,""32582-ND-39.5""]",'SKU明细'!$AE$9:$AE$1592,0)),INDEX('SKU明细'!$I$9:$I$1592,MATCH("[6574,""32582-ND-40""]",'SKU明细'!$AE$9:$AE$1592,0)),INDEX('SKU明细'!$I$9:$I$1592,MATCH("[6574,""32582-ND-40.5""]",'SKU明细'!$AE$9:$AE$1592,0)),INDEX('SKU明细'!$I$9:$I$1592,MATCH("[6574,""32582-ND-41.5""]",'SKU明细'!$AE$9:$AE$1592,0)),INDEX('SKU明细'!$I$9:$I$1592,MATCH("[6574,""32582-ND-42""]",'SKU明细'!$AE$9:$AE$1592,0)),INDEX('SKU明细'!$I$9:$I$1592,MATCH("[6574,""32582-ND-37""]",'SKU明细'!$AE$9:$AE$1592,0)),INDEX('SKU明细'!$I$9:$I$1592,MATCH("[6574,""32582-ND-38""]",'SKU明细'!$AE$9:$AE$1592,0)),INDEX('SKU明细'!$I$9:$I$1592,MATCH("[6574,""32582-ND-41""]",'SKU明细'!$AE$9:$AE$1592,0)))=11,COUNT(INDEX('SKU明细'!$AD$9:$AD$1592,MATCH("[6574,""32582-ND-38.5""]",'SKU明细'!$AE$9:$AE$1592,0)),INDEX('SKU明细'!$AD$9:$AD$1592,MATCH("[6574,""32582-ND-37.5""]",'SKU明细'!$AE$9:$AE$1592,0)),INDEX('SKU明细'!$AD$9:$AD$1592,MATCH("[6574,""32582-ND-39""]",'SKU明细'!$AE$9:$AE$1592,0)),INDEX('SKU明细'!$AD$9:$AD$1592,MATCH("[6574,""32582-ND-39.5""]",'SKU明细'!$AE$9:$AE$1592,0)),INDEX('SKU明细'!$AD$9:$AD$1592,MATCH("[6574,""32582-ND-40""]",'SKU明细'!$AE$9:$AE$1592,0)),INDEX('SKU明细'!$AD$9:$AD$1592,MATCH("[6574,""32582-ND-40.5""]",'SKU明细'!$AE$9:$AE$1592,0)),INDEX('SKU明细'!$AD$9:$AD$1592,MATCH("[6574,""32582-ND-41.5""]",'SKU明细'!$AE$9:$AE$1592,0)),INDEX('SKU明细'!$AD$9:$AD$1592,MATCH("[6574,""32582-ND-42""]",'SKU明细'!$AE$9:$AE$1592,0)),INDEX('SKU明细'!$AD$9:$AD$1592,MATCH("[6574,""32582-ND-37""]",'SKU明细'!$AE$9:$AE$1592,0)),INDEX('SKU明细'!$AD$9:$AD$1592,MATCH("[6574,""32582-ND-38""]",'SKU明细'!$AE$9:$AE$1592,0)),INDEX('SKU明细'!$AD$9:$AD$1592,MATCH("[6574,""32582-ND-41""]",'SKU明细'!$AE$9:$AE$1592,0)))=11,SUM(INDEX('SKU明细'!$AD$9:$AD$1592,MATCH("[6574,""32582-ND-38.5""]",'SKU明细'!$AE$9:$AE$1592,0)),INDEX('SKU明细'!$AD$9:$AD$1592,MATCH("[6574,""32582-ND-37.5""]",'SKU明细'!$AE$9:$AE$1592,0)),INDEX('SKU明细'!$AD$9:$AD$1592,MATCH("[6574,""32582-ND-39""]",'SKU明细'!$AE$9:$AE$1592,0)),INDEX('SKU明细'!$AD$9:$AD$1592,MATCH("[6574,""32582-ND-39.5""]",'SKU明细'!$AE$9:$AE$1592,0)),INDEX('SKU明细'!$AD$9:$AD$1592,MATCH("[6574,""32582-ND-40""]",'SKU明细'!$AE$9:$AE$1592,0)),INDEX('SKU明细'!$AD$9:$AD$1592,MATCH("[6574,""32582-ND-40.5""]",'SKU明细'!$AE$9:$AE$1592,0)),INDEX('SKU明细'!$AD$9:$AD$1592,MATCH("[6574,""32582-ND-41.5""]",'SKU明细'!$AE$9:$AE$1592,0)),INDEX('SKU明细'!$AD$9:$AD$1592,MATCH("[6574,""32582-ND-42""]",'SKU明细'!$AE$9:$AE$1592,0)),INDEX('SKU明细'!$AD$9:$AD$1592,MATCH("[6574,""32582-ND-37""]",'SKU明细'!$AE$9:$AE$1592,0)),INDEX('SKU明细'!$AD$9:$AD$1592,MATCH("[6574,""32582-ND-38""]",'SKU明细'!$AE$9:$AE$1592,0)),INDEX('SKU明细'!$AD$9:$AD$1592,MATCH("[6574,""32582-ND-41""]",'SKU明细'!$AE$9:$AE$1592,0)))&gt;0),SUM(INDEX('SKU明细'!$I$9:$I$1592,MATCH("[6574,""32582-ND-38.5""]",'SKU明细'!$AE$9:$AE$1592,0)),INDEX('SKU明细'!$I$9:$I$1592,MATCH("[6574,""32582-ND-37.5""]",'SKU明细'!$AE$9:$AE$1592,0)),INDEX('SKU明细'!$I$9:$I$1592,MATCH("[6574,""32582-ND-39""]",'SKU明细'!$AE$9:$AE$1592,0)),INDEX('SKU明细'!$I$9:$I$1592,MATCH("[6574,""32582-ND-39.5""]",'SKU明细'!$AE$9:$AE$1592,0)),INDEX('SKU明细'!$I$9:$I$1592,MATCH("[6574,""32582-ND-40""]",'SKU明细'!$AE$9:$AE$1592,0)),INDEX('SKU明细'!$I$9:$I$1592,MATCH("[6574,""32582-ND-40.5""]",'SKU明细'!$AE$9:$AE$1592,0)),INDEX('SKU明细'!$I$9:$I$1592,MATCH("[6574,""32582-ND-41.5""]",'SKU明细'!$AE$9:$AE$1592,0)),INDEX('SKU明细'!$I$9:$I$1592,MATCH("[6574,""32582-ND-42""]",'SKU明细'!$AE$9:$AE$1592,0)),INDEX('SKU明细'!$I$9:$I$1592,MATCH("[6574,""32582-ND-37""]",'SKU明细'!$AE$9:$AE$1592,0)),INDEX('SKU明细'!$I$9:$I$1592,MATCH("[6574,""32582-ND-38""]",'SKU明细'!$AE$9:$AE$1592,0)),INDEX('SKU明细'!$I$9:$I$1592,MATCH("[6574,""32582-ND-41""]",'SKU明细'!$AE$9:$AE$1592,0)))/SUM(INDEX('SKU明细'!$AD$9:$AD$1592,MATCH("[6574,""32582-ND-38.5""]",'SKU明细'!$AE$9:$AE$1592,0)),INDEX('SKU明细'!$AD$9:$AD$1592,MATCH("[6574,""32582-ND-37.5""]",'SKU明细'!$AE$9:$AE$1592,0)),INDEX('SKU明细'!$AD$9:$AD$1592,MATCH("[6574,""32582-ND-39""]",'SKU明细'!$AE$9:$AE$1592,0)),INDEX('SKU明细'!$AD$9:$AD$1592,MATCH("[6574,""32582-ND-39.5""]",'SKU明细'!$AE$9:$AE$1592,0)),INDEX('SKU明细'!$AD$9:$AD$1592,MATCH("[6574,""32582-ND-40""]",'SKU明细'!$AE$9:$AE$1592,0)),INDEX('SKU明细'!$AD$9:$AD$1592,MATCH("[6574,""32582-ND-40.5""]",'SKU明细'!$AE$9:$AE$1592,0)),INDEX('SKU明细'!$AD$9:$AD$1592,MATCH("[6574,""32582-ND-41.5""]",'SKU明细'!$AE$9:$AE$1592,0)),INDEX('SKU明细'!$AD$9:$AD$1592,MATCH("[6574,""32582-ND-42""]",'SKU明细'!$AE$9:$AE$1592,0)),INDEX('SKU明细'!$AD$9:$AD$1592,MATCH("[6574,""32582-ND-37""]",'SKU明细'!$AE$9:$AE$1592,0)),INDEX('SKU明细'!$AD$9:$AD$1592,MATCH("[6574,""32582-ND-38""]",'SKU明细'!$AE$9:$AE$1592,0)),INDEX('SKU明细'!$AD$9:$AD$1592,MATCH("[6574,""32582-ND-41""]",'SKU明细'!$AE$9:$AE$1592,0))),"待核")</x:f>
        <x:v>待核</x:v>
      </x:c>
      <x:c r="U90" s="16" t="str">
        <x:f>IF(COUNT(S90:T90)=2,S90-T90,"待核")</x:f>
        <x:v>待核</x:v>
      </x:c>
      <x:c r="V90" s="17" t="str">
        <x:f>IF(AND(ISNUMBER(U90),ISNUMBER(T90),T90&lt;&gt;0),U90/T90,"")</x:f>
      </x:c>
      <x:c r="W90" s="18" t="n">
        <x:f>IF(COUNT(INDEX('SKU明细'!$H$9:$H$1592,MATCH("[6574,""32582-ND-38.5""]",'SKU明细'!$AE$9:$AE$1592,0)),INDEX('SKU明细'!$H$9:$H$1592,MATCH("[6574,""32582-ND-37.5""]",'SKU明细'!$AE$9:$AE$1592,0)),INDEX('SKU明细'!$H$9:$H$1592,MATCH("[6574,""32582-ND-39""]",'SKU明细'!$AE$9:$AE$1592,0)),INDEX('SKU明细'!$H$9:$H$1592,MATCH("[6574,""32582-ND-39.5""]",'SKU明细'!$AE$9:$AE$1592,0)),INDEX('SKU明细'!$H$9:$H$1592,MATCH("[6574,""32582-ND-40""]",'SKU明细'!$AE$9:$AE$1592,0)),INDEX('SKU明细'!$H$9:$H$1592,MATCH("[6574,""32582-ND-40.5""]",'SKU明细'!$AE$9:$AE$1592,0)),INDEX('SKU明细'!$H$9:$H$1592,MATCH("[6574,""32582-ND-41.5""]",'SKU明细'!$AE$9:$AE$1592,0)),INDEX('SKU明细'!$H$9:$H$1592,MATCH("[6574,""32582-ND-42""]",'SKU明细'!$AE$9:$AE$1592,0)),INDEX('SKU明细'!$H$9:$H$1592,MATCH("[6574,""32582-ND-37""]",'SKU明细'!$AE$9:$AE$1592,0)),INDEX('SKU明细'!$H$9:$H$1592,MATCH("[6574,""32582-ND-38""]",'SKU明细'!$AE$9:$AE$1592,0)),INDEX('SKU明细'!$H$9:$H$1592,MATCH("[6574,""32582-ND-41""]",'SKU明细'!$AE$9:$AE$1592,0)))=0,"待核",SUM(INDEX('SKU明细'!$H$9:$H$1592,MATCH("[6574,""32582-ND-38.5""]",'SKU明细'!$AE$9:$AE$1592,0)),INDEX('SKU明细'!$H$9:$H$1592,MATCH("[6574,""32582-ND-37.5""]",'SKU明细'!$AE$9:$AE$1592,0)),INDEX('SKU明细'!$H$9:$H$1592,MATCH("[6574,""32582-ND-39""]",'SKU明细'!$AE$9:$AE$1592,0)),INDEX('SKU明细'!$H$9:$H$1592,MATCH("[6574,""32582-ND-39.5""]",'SKU明细'!$AE$9:$AE$1592,0)),INDEX('SKU明细'!$H$9:$H$1592,MATCH("[6574,""32582-ND-40""]",'SKU明细'!$AE$9:$AE$1592,0)),INDEX('SKU明细'!$H$9:$H$1592,MATCH("[6574,""32582-ND-40.5""]",'SKU明细'!$AE$9:$AE$1592,0)),INDEX('SKU明细'!$H$9:$H$1592,MATCH("[6574,""32582-ND-41.5""]",'SKU明细'!$AE$9:$AE$1592,0)),INDEX('SKU明细'!$H$9:$H$1592,MATCH("[6574,""32582-ND-42""]",'SKU明细'!$AE$9:$AE$1592,0)),INDEX('SKU明细'!$H$9:$H$1592,MATCH("[6574,""32582-ND-37""]",'SKU明细'!$AE$9:$AE$1592,0)),INDEX('SKU明细'!$H$9:$H$1592,MATCH("[6574,""32582-ND-38""]",'SKU明细'!$AE$9:$AE$1592,0)),INDEX('SKU明细'!$H$9:$H$1592,MATCH("[6574,""32582-ND-41""]",'SKU明细'!$AE$9:$AE$1592,0))))</x:f>
        <x:v>69</x:v>
      </x:c>
      <x:c r="X90" s="19" t="str">
        <x:f>IF(COUNTIFS('SKU明细'!$AH$9:$AH$1592,"[""32582"",""32582-ND"",""ND"",""裸色""]",'SKU明细'!$E$9:$E$1592,"促销")&gt;0,"促销 ","")&amp;IF(COUNTIFS('SKU明细'!$AH$9:$AH$1592,"[""32582"",""32582-ND"",""ND"",""裸色""]",'SKU明细'!$E$9:$E$1592,"红线促销")&gt;0,"红线促销 ","")&amp;IF(COUNTIFS('SKU明细'!$AH$9:$AH$1592,"[""32582"",""32582-ND"",""ND"",""裸色""]",'SKU明细'!$E$9:$E$1592,"考虑清仓")&gt;0,"考虑清仓 ","")&amp;IF(COUNTIFS('SKU明细'!$AH$9:$AH$1592,"[""32582"",""32582-ND"",""ND"",""裸色""]",'SKU明细'!$E$9:$E$1592,"断货")&gt;0,"断货 ","")&amp;IF(COUNTIFS('SKU明细'!$AH$9:$AH$1592,"[""32582"",""32582-ND"",""ND"",""裸色""]",'SKU明细'!$E$9:$E$1592,"零日销待复核")&gt;0,"零日销待复核 ","")&amp;IF(COUNTIFS('SKU明细'!$AH$9:$AH$1592,"[""32582"",""32582-ND"",""ND"",""裸色""]",'SKU明细'!$E$9:$E$1592,"数据待核")&gt;0,"数据待核 ","")&amp;IF(COUNTIFS('SKU明细'!$AH$9:$AH$1592,"[""32582"",""32582-ND"",""ND"",""裸色""]",'SKU明细'!$E$9:$E$1592,"正常库存")&gt;0,"正常库存 ","")&amp;IF(COUNTIFS('SKU明细'!$AH$9:$AH$1592,"[""32582"",""32582-ND"",""ND"",""裸色""]",'SKU明细'!$E$9:$E$1592,"补货提醒")&gt;0,"补货提醒 ","")</x:f>
        <x:v>促销 断货 补货提醒 </x:v>
      </x:c>
      <x:c r="Y90" s="19" t="str">
        <x:f>IF(NOT(ISNUMBER(U90)),"覆盖待核／无可比基准","完整可比")</x:f>
        <x:v>覆盖待核／无可比基准</x:v>
      </x:c>
      <x:c r="Z90" s="19" t="str">
        <x:v>在售、停售</x:v>
      </x:c>
      <x:c r="AA90" s="19" t="n">
        <x:f>IF(SUMIFS('SKU明细'!$AF$9:$AF$1592,'SKU明细'!$D$9:$D$1592,A90,'SKU明细'!$Z$9:$Z$1592,"&lt;&gt;移出")=0,"待核",SUMIFS('SKU明细'!$H$9:$H$1592,'SKU明细'!$D$9:$D$1592,A90,'SKU明细'!$Z$9:$Z$1592,"&lt;&gt;移出"))</x:f>
        <x:v>1442</x:v>
      </x:c>
    </x:row>
    <x:row r="91" ht="54" customHeight="1">
      <x:c r="A91" s="15" t="str">
        <x:v>32582</x:v>
      </x:c>
      <x:c r="B91" s="15" t="str">
        <x:v>徐新怡</x:v>
      </x:c>
      <x:c r="C91" s="15" t="str">
        <x:v>藏青色</x:v>
      </x:c>
      <x:c r="D91" s="15" t="str">
        <x:v>NY</x:v>
      </x:c>
      <x:c r="E91" s="15" t="str">
        <x:v>32582-NY</x:v>
      </x:c>
      <x:c r="F91" s="15"/>
      <x:c r="G91" s="16" t="str">
        <x:f>"—"</x:f>
        <x:v>—</x:v>
      </x:c>
      <x:c r="H91" s="16" t="str">
        <x:f>IF(AND(COUNT(INDEX('SKU明细'!$H$9:$H$1592,MATCH("[6574,""32582-NY-37""]",'SKU明细'!$AE$9:$AE$1592,0)))=1,COUNT(INDEX('SKU明细'!$G$9:$G$1592,MATCH("[6574,""32582-NY-37""]",'SKU明细'!$AE$9:$AE$1592,0)))=1,SUM(INDEX('SKU明细'!$G$9:$G$1592,MATCH("[6574,""32582-NY-37""]",'SKU明细'!$AE$9:$AE$1592,0)))&gt;0),SUM(INDEX('SKU明细'!$H$9:$H$1592,MATCH("[6574,""32582-NY-37""]",'SKU明细'!$AE$9:$AE$1592,0)))/SUM(INDEX('SKU明细'!$G$9:$G$1592,MATCH("[6574,""32582-NY-37""]",'SKU明细'!$AE$9:$AE$1592,0))),"待核")</x:f>
        <x:v>待核</x:v>
      </x:c>
      <x:c r="I91" s="16" t="n">
        <x:f>IF(AND(COUNT(INDEX('SKU明细'!$H$9:$H$1592,MATCH("[6574,""32582-NY-37.5""]",'SKU明细'!$AE$9:$AE$1592,0)))=1,COUNT(INDEX('SKU明细'!$G$9:$G$1592,MATCH("[6574,""32582-NY-37.5""]",'SKU明细'!$AE$9:$AE$1592,0)))=1,SUM(INDEX('SKU明细'!$G$9:$G$1592,MATCH("[6574,""32582-NY-37.5""]",'SKU明细'!$AE$9:$AE$1592,0)))&gt;0),SUM(INDEX('SKU明细'!$H$9:$H$1592,MATCH("[6574,""32582-NY-37.5""]",'SKU明细'!$AE$9:$AE$1592,0)))/SUM(INDEX('SKU明细'!$G$9:$G$1592,MATCH("[6574,""32582-NY-37.5""]",'SKU明细'!$AE$9:$AE$1592,0))),"待核")</x:f>
        <x:v>123.14814814814815</x:v>
      </x:c>
      <x:c r="J91" s="16" t="str">
        <x:f>IF(AND(COUNT(INDEX('SKU明细'!$H$9:$H$1592,MATCH("[6574,""32582-NY-38""]",'SKU明细'!$AE$9:$AE$1592,0)))=1,COUNT(INDEX('SKU明细'!$G$9:$G$1592,MATCH("[6574,""32582-NY-38""]",'SKU明细'!$AE$9:$AE$1592,0)))=1,SUM(INDEX('SKU明细'!$G$9:$G$1592,MATCH("[6574,""32582-NY-38""]",'SKU明细'!$AE$9:$AE$1592,0)))&gt;0),SUM(INDEX('SKU明细'!$H$9:$H$1592,MATCH("[6574,""32582-NY-38""]",'SKU明细'!$AE$9:$AE$1592,0)))/SUM(INDEX('SKU明细'!$G$9:$G$1592,MATCH("[6574,""32582-NY-38""]",'SKU明细'!$AE$9:$AE$1592,0))),"待核")</x:f>
        <x:v>待核</x:v>
      </x:c>
      <x:c r="K91" s="16" t="n">
        <x:f>IF(AND(COUNT(INDEX('SKU明细'!$H$9:$H$1592,MATCH("[6574,""32582-NY-38.5""]",'SKU明细'!$AE$9:$AE$1592,0)))=1,COUNT(INDEX('SKU明细'!$G$9:$G$1592,MATCH("[6574,""32582-NY-38.5""]",'SKU明细'!$AE$9:$AE$1592,0)))=1,SUM(INDEX('SKU明细'!$G$9:$G$1592,MATCH("[6574,""32582-NY-38.5""]",'SKU明细'!$AE$9:$AE$1592,0)))&gt;0),SUM(INDEX('SKU明细'!$H$9:$H$1592,MATCH("[6574,""32582-NY-38.5""]",'SKU明细'!$AE$9:$AE$1592,0)))/SUM(INDEX('SKU明细'!$G$9:$G$1592,MATCH("[6574,""32582-NY-38.5""]",'SKU明细'!$AE$9:$AE$1592,0))),"待核")</x:f>
        <x:v>0</x:v>
      </x:c>
      <x:c r="L91" s="16" t="n">
        <x:f>IF(AND(COUNT(INDEX('SKU明细'!$H$9:$H$1592,MATCH("[6574,""32582-NY-39""]",'SKU明细'!$AE$9:$AE$1592,0)))=1,COUNT(INDEX('SKU明细'!$G$9:$G$1592,MATCH("[6574,""32582-NY-39""]",'SKU明细'!$AE$9:$AE$1592,0)))=1,SUM(INDEX('SKU明细'!$G$9:$G$1592,MATCH("[6574,""32582-NY-39""]",'SKU明细'!$AE$9:$AE$1592,0)))&gt;0),SUM(INDEX('SKU明细'!$H$9:$H$1592,MATCH("[6574,""32582-NY-39""]",'SKU明细'!$AE$9:$AE$1592,0)))/SUM(INDEX('SKU明细'!$G$9:$G$1592,MATCH("[6574,""32582-NY-39""]",'SKU明细'!$AE$9:$AE$1592,0))),"待核")</x:f>
        <x:v>100.44843049327355</x:v>
      </x:c>
      <x:c r="M91" s="16" t="n">
        <x:f>IF(AND(COUNT(INDEX('SKU明细'!$H$9:$H$1592,MATCH("[6574,""32582-NY-39.5""]",'SKU明细'!$AE$9:$AE$1592,0)))=1,COUNT(INDEX('SKU明细'!$G$9:$G$1592,MATCH("[6574,""32582-NY-39.5""]",'SKU明细'!$AE$9:$AE$1592,0)))=1,SUM(INDEX('SKU明细'!$G$9:$G$1592,MATCH("[6574,""32582-NY-39.5""]",'SKU明细'!$AE$9:$AE$1592,0)))&gt;0),SUM(INDEX('SKU明细'!$H$9:$H$1592,MATCH("[6574,""32582-NY-39.5""]",'SKU明细'!$AE$9:$AE$1592,0)))/SUM(INDEX('SKU明细'!$G$9:$G$1592,MATCH("[6574,""32582-NY-39.5""]",'SKU明细'!$AE$9:$AE$1592,0))),"待核")</x:f>
        <x:v>0</x:v>
      </x:c>
      <x:c r="N91" s="16" t="str">
        <x:f>IF(AND(COUNT(INDEX('SKU明细'!$H$9:$H$1592,MATCH("[6574,""32582-NY-40""]",'SKU明细'!$AE$9:$AE$1592,0)))=1,COUNT(INDEX('SKU明细'!$G$9:$G$1592,MATCH("[6574,""32582-NY-40""]",'SKU明细'!$AE$9:$AE$1592,0)))=1,SUM(INDEX('SKU明细'!$G$9:$G$1592,MATCH("[6574,""32582-NY-40""]",'SKU明细'!$AE$9:$AE$1592,0)))&gt;0),SUM(INDEX('SKU明细'!$H$9:$H$1592,MATCH("[6574,""32582-NY-40""]",'SKU明细'!$AE$9:$AE$1592,0)))/SUM(INDEX('SKU明细'!$G$9:$G$1592,MATCH("[6574,""32582-NY-40""]",'SKU明细'!$AE$9:$AE$1592,0))),"待核")</x:f>
        <x:v>待核</x:v>
      </x:c>
      <x:c r="O91" s="16" t="str">
        <x:f>IF(AND(COUNT(INDEX('SKU明细'!$H$9:$H$1592,MATCH("[6574,""32582-NY-40.5""]",'SKU明细'!$AE$9:$AE$1592,0)))=1,COUNT(INDEX('SKU明细'!$G$9:$G$1592,MATCH("[6574,""32582-NY-40.5""]",'SKU明细'!$AE$9:$AE$1592,0)))=1,SUM(INDEX('SKU明细'!$G$9:$G$1592,MATCH("[6574,""32582-NY-40.5""]",'SKU明细'!$AE$9:$AE$1592,0)))&gt;0),SUM(INDEX('SKU明细'!$H$9:$H$1592,MATCH("[6574,""32582-NY-40.5""]",'SKU明细'!$AE$9:$AE$1592,0)))/SUM(INDEX('SKU明细'!$G$9:$G$1592,MATCH("[6574,""32582-NY-40.5""]",'SKU明细'!$AE$9:$AE$1592,0))),"待核")</x:f>
        <x:v>待核</x:v>
      </x:c>
      <x:c r="P91" s="16" t="str">
        <x:f>IF(AND(COUNT(INDEX('SKU明细'!$H$9:$H$1592,MATCH("[6574,""32582-NY-41""]",'SKU明细'!$AE$9:$AE$1592,0)))=1,COUNT(INDEX('SKU明细'!$G$9:$G$1592,MATCH("[6574,""32582-NY-41""]",'SKU明细'!$AE$9:$AE$1592,0)))=1,SUM(INDEX('SKU明细'!$G$9:$G$1592,MATCH("[6574,""32582-NY-41""]",'SKU明细'!$AE$9:$AE$1592,0)))&gt;0),SUM(INDEX('SKU明细'!$H$9:$H$1592,MATCH("[6574,""32582-NY-41""]",'SKU明细'!$AE$9:$AE$1592,0)))/SUM(INDEX('SKU明细'!$G$9:$G$1592,MATCH("[6574,""32582-NY-41""]",'SKU明细'!$AE$9:$AE$1592,0))),"待核")</x:f>
        <x:v>待核</x:v>
      </x:c>
      <x:c r="Q91" s="16" t="n">
        <x:f>IF(AND(COUNT(INDEX('SKU明细'!$H$9:$H$1592,MATCH("[6574,""32582-NY-41.5""]",'SKU明细'!$AE$9:$AE$1592,0)))=1,COUNT(INDEX('SKU明细'!$G$9:$G$1592,MATCH("[6574,""32582-NY-41.5""]",'SKU明细'!$AE$9:$AE$1592,0)))=1,SUM(INDEX('SKU明细'!$G$9:$G$1592,MATCH("[6574,""32582-NY-41.5""]",'SKU明细'!$AE$9:$AE$1592,0)))&gt;0),SUM(INDEX('SKU明细'!$H$9:$H$1592,MATCH("[6574,""32582-NY-41.5""]",'SKU明细'!$AE$9:$AE$1592,0)))/SUM(INDEX('SKU明细'!$G$9:$G$1592,MATCH("[6574,""32582-NY-41.5""]",'SKU明细'!$AE$9:$AE$1592,0))),"待核")</x:f>
        <x:v>0</x:v>
      </x:c>
      <x:c r="R91" s="16" t="str">
        <x:f>IF(AND(COUNT(INDEX('SKU明细'!$H$9:$H$1592,MATCH("[6574,""32582-NY-42""]",'SKU明细'!$AE$9:$AE$1592,0)))=1,COUNT(INDEX('SKU明细'!$G$9:$G$1592,MATCH("[6574,""32582-NY-42""]",'SKU明细'!$AE$9:$AE$1592,0)))=1,SUM(INDEX('SKU明细'!$G$9:$G$1592,MATCH("[6574,""32582-NY-42""]",'SKU明细'!$AE$9:$AE$1592,0)))&gt;0),SUM(INDEX('SKU明细'!$H$9:$H$1592,MATCH("[6574,""32582-NY-42""]",'SKU明细'!$AE$9:$AE$1592,0)))/SUM(INDEX('SKU明细'!$G$9:$G$1592,MATCH("[6574,""32582-NY-42""]",'SKU明细'!$AE$9:$AE$1592,0))),"待核")</x:f>
        <x:v>待核</x:v>
      </x:c>
      <x:c r="S91" s="16" t="n">
        <x:f>IF(AND(COUNT(INDEX('SKU明细'!$H$9:$H$1592,MATCH("[6574,""32582-NY-37.5""]",'SKU明细'!$AE$9:$AE$1592,0)),INDEX('SKU明细'!$H$9:$H$1592,MATCH("[6574,""32582-NY-39""]",'SKU明细'!$AE$9:$AE$1592,0)),INDEX('SKU明细'!$H$9:$H$1592,MATCH("[6574,""32582-NY-37""]",'SKU明细'!$AE$9:$AE$1592,0)),INDEX('SKU明细'!$H$9:$H$1592,MATCH("[6574,""32582-NY-38.5""]",'SKU明细'!$AE$9:$AE$1592,0)),INDEX('SKU明细'!$H$9:$H$1592,MATCH("[6574,""32582-NY-39.5""]",'SKU明细'!$AE$9:$AE$1592,0)),INDEX('SKU明细'!$H$9:$H$1592,MATCH("[6574,""32582-NY-40""]",'SKU明细'!$AE$9:$AE$1592,0)),INDEX('SKU明细'!$H$9:$H$1592,MATCH("[6574,""32582-NY-40.5""]",'SKU明细'!$AE$9:$AE$1592,0)),INDEX('SKU明细'!$H$9:$H$1592,MATCH("[6574,""32582-NY-41""]",'SKU明细'!$AE$9:$AE$1592,0)),INDEX('SKU明细'!$H$9:$H$1592,MATCH("[6574,""32582-NY-41.5""]",'SKU明细'!$AE$9:$AE$1592,0)),INDEX('SKU明细'!$H$9:$H$1592,MATCH("[6574,""32582-NY-42""]",'SKU明细'!$AE$9:$AE$1592,0)),INDEX('SKU明细'!$H$9:$H$1592,MATCH("[6574,""32582-NY-38""]",'SKU明细'!$AE$9:$AE$1592,0)))=11,COUNT(INDEX('SKU明细'!$G$9:$G$1592,MATCH("[6574,""32582-NY-37.5""]",'SKU明细'!$AE$9:$AE$1592,0)),INDEX('SKU明细'!$G$9:$G$1592,MATCH("[6574,""32582-NY-39""]",'SKU明细'!$AE$9:$AE$1592,0)),INDEX('SKU明细'!$G$9:$G$1592,MATCH("[6574,""32582-NY-37""]",'SKU明细'!$AE$9:$AE$1592,0)),INDEX('SKU明细'!$G$9:$G$1592,MATCH("[6574,""32582-NY-38.5""]",'SKU明细'!$AE$9:$AE$1592,0)),INDEX('SKU明细'!$G$9:$G$1592,MATCH("[6574,""32582-NY-39.5""]",'SKU明细'!$AE$9:$AE$1592,0)),INDEX('SKU明细'!$G$9:$G$1592,MATCH("[6574,""32582-NY-40""]",'SKU明细'!$AE$9:$AE$1592,0)),INDEX('SKU明细'!$G$9:$G$1592,MATCH("[6574,""32582-NY-40.5""]",'SKU明细'!$AE$9:$AE$1592,0)),INDEX('SKU明细'!$G$9:$G$1592,MATCH("[6574,""32582-NY-41""]",'SKU明细'!$AE$9:$AE$1592,0)),INDEX('SKU明细'!$G$9:$G$1592,MATCH("[6574,""32582-NY-41.5""]",'SKU明细'!$AE$9:$AE$1592,0)),INDEX('SKU明细'!$G$9:$G$1592,MATCH("[6574,""32582-NY-42""]",'SKU明细'!$AE$9:$AE$1592,0)),INDEX('SKU明细'!$G$9:$G$1592,MATCH("[6574,""32582-NY-38""]",'SKU明细'!$AE$9:$AE$1592,0)))=11,SUM(INDEX('SKU明细'!$G$9:$G$1592,MATCH("[6574,""32582-NY-37.5""]",'SKU明细'!$AE$9:$AE$1592,0)),INDEX('SKU明细'!$G$9:$G$1592,MATCH("[6574,""32582-NY-39""]",'SKU明细'!$AE$9:$AE$1592,0)),INDEX('SKU明细'!$G$9:$G$1592,MATCH("[6574,""32582-NY-37""]",'SKU明细'!$AE$9:$AE$1592,0)),INDEX('SKU明细'!$G$9:$G$1592,MATCH("[6574,""32582-NY-38.5""]",'SKU明细'!$AE$9:$AE$1592,0)),INDEX('SKU明细'!$G$9:$G$1592,MATCH("[6574,""32582-NY-39.5""]",'SKU明细'!$AE$9:$AE$1592,0)),INDEX('SKU明细'!$G$9:$G$1592,MATCH("[6574,""32582-NY-40""]",'SKU明细'!$AE$9:$AE$1592,0)),INDEX('SKU明细'!$G$9:$G$1592,MATCH("[6574,""32582-NY-40.5""]",'SKU明细'!$AE$9:$AE$1592,0)),INDEX('SKU明细'!$G$9:$G$1592,MATCH("[6574,""32582-NY-41""]",'SKU明细'!$AE$9:$AE$1592,0)),INDEX('SKU明细'!$G$9:$G$1592,MATCH("[6574,""32582-NY-41.5""]",'SKU明细'!$AE$9:$AE$1592,0)),INDEX('SKU明细'!$G$9:$G$1592,MATCH("[6574,""32582-NY-42""]",'SKU明细'!$AE$9:$AE$1592,0)),INDEX('SKU明细'!$G$9:$G$1592,MATCH("[6574,""32582-NY-38""]",'SKU明细'!$AE$9:$AE$1592,0)))&gt;0),SUM(INDEX('SKU明细'!$H$9:$H$1592,MATCH("[6574,""32582-NY-37.5""]",'SKU明细'!$AE$9:$AE$1592,0)),INDEX('SKU明细'!$H$9:$H$1592,MATCH("[6574,""32582-NY-39""]",'SKU明细'!$AE$9:$AE$1592,0)),INDEX('SKU明细'!$H$9:$H$1592,MATCH("[6574,""32582-NY-37""]",'SKU明细'!$AE$9:$AE$1592,0)),INDEX('SKU明细'!$H$9:$H$1592,MATCH("[6574,""32582-NY-38.5""]",'SKU明细'!$AE$9:$AE$1592,0)),INDEX('SKU明细'!$H$9:$H$1592,MATCH("[6574,""32582-NY-39.5""]",'SKU明细'!$AE$9:$AE$1592,0)),INDEX('SKU明细'!$H$9:$H$1592,MATCH("[6574,""32582-NY-40""]",'SKU明细'!$AE$9:$AE$1592,0)),INDEX('SKU明细'!$H$9:$H$1592,MATCH("[6574,""32582-NY-40.5""]",'SKU明细'!$AE$9:$AE$1592,0)),INDEX('SKU明细'!$H$9:$H$1592,MATCH("[6574,""32582-NY-41""]",'SKU明细'!$AE$9:$AE$1592,0)),INDEX('SKU明细'!$H$9:$H$1592,MATCH("[6574,""32582-NY-41.5""]",'SKU明细'!$AE$9:$AE$1592,0)),INDEX('SKU明细'!$H$9:$H$1592,MATCH("[6574,""32582-NY-42""]",'SKU明细'!$AE$9:$AE$1592,0)),INDEX('SKU明细'!$H$9:$H$1592,MATCH("[6574,""32582-NY-38""]",'SKU明细'!$AE$9:$AE$1592,0)))/SUM(INDEX('SKU明细'!$G$9:$G$1592,MATCH("[6574,""32582-NY-37.5""]",'SKU明细'!$AE$9:$AE$1592,0)),INDEX('SKU明细'!$G$9:$G$1592,MATCH("[6574,""32582-NY-39""]",'SKU明细'!$AE$9:$AE$1592,0)),INDEX('SKU明细'!$G$9:$G$1592,MATCH("[6574,""32582-NY-37""]",'SKU明细'!$AE$9:$AE$1592,0)),INDEX('SKU明细'!$G$9:$G$1592,MATCH("[6574,""32582-NY-38.5""]",'SKU明细'!$AE$9:$AE$1592,0)),INDEX('SKU明细'!$G$9:$G$1592,MATCH("[6574,""32582-NY-39.5""]",'SKU明细'!$AE$9:$AE$1592,0)),INDEX('SKU明细'!$G$9:$G$1592,MATCH("[6574,""32582-NY-40""]",'SKU明细'!$AE$9:$AE$1592,0)),INDEX('SKU明细'!$G$9:$G$1592,MATCH("[6574,""32582-NY-40.5""]",'SKU明细'!$AE$9:$AE$1592,0)),INDEX('SKU明细'!$G$9:$G$1592,MATCH("[6574,""32582-NY-41""]",'SKU明细'!$AE$9:$AE$1592,0)),INDEX('SKU明细'!$G$9:$G$1592,MATCH("[6574,""32582-NY-41.5""]",'SKU明细'!$AE$9:$AE$1592,0)),INDEX('SKU明细'!$G$9:$G$1592,MATCH("[6574,""32582-NY-42""]",'SKU明细'!$AE$9:$AE$1592,0)),INDEX('SKU明细'!$G$9:$G$1592,MATCH("[6574,""32582-NY-38""]",'SKU明细'!$AE$9:$AE$1592,0))),"待核")</x:f>
        <x:v>84.10513141426785</x:v>
      </x:c>
      <x:c r="T91" s="16" t="str">
        <x:f>IF(AND(COUNT(INDEX('SKU明细'!$I$9:$I$1592,MATCH("[6574,""32582-NY-37.5""]",'SKU明细'!$AE$9:$AE$1592,0)),INDEX('SKU明细'!$I$9:$I$1592,MATCH("[6574,""32582-NY-39""]",'SKU明细'!$AE$9:$AE$1592,0)),INDEX('SKU明细'!$I$9:$I$1592,MATCH("[6574,""32582-NY-37""]",'SKU明细'!$AE$9:$AE$1592,0)),INDEX('SKU明细'!$I$9:$I$1592,MATCH("[6574,""32582-NY-38.5""]",'SKU明细'!$AE$9:$AE$1592,0)),INDEX('SKU明细'!$I$9:$I$1592,MATCH("[6574,""32582-NY-39.5""]",'SKU明细'!$AE$9:$AE$1592,0)),INDEX('SKU明细'!$I$9:$I$1592,MATCH("[6574,""32582-NY-40""]",'SKU明细'!$AE$9:$AE$1592,0)),INDEX('SKU明细'!$I$9:$I$1592,MATCH("[6574,""32582-NY-40.5""]",'SKU明细'!$AE$9:$AE$1592,0)),INDEX('SKU明细'!$I$9:$I$1592,MATCH("[6574,""32582-NY-41""]",'SKU明细'!$AE$9:$AE$1592,0)),INDEX('SKU明细'!$I$9:$I$1592,MATCH("[6574,""32582-NY-41.5""]",'SKU明细'!$AE$9:$AE$1592,0)),INDEX('SKU明细'!$I$9:$I$1592,MATCH("[6574,""32582-NY-42""]",'SKU明细'!$AE$9:$AE$1592,0)),INDEX('SKU明细'!$I$9:$I$1592,MATCH("[6574,""32582-NY-38""]",'SKU明细'!$AE$9:$AE$1592,0)))=11,COUNT(INDEX('SKU明细'!$AD$9:$AD$1592,MATCH("[6574,""32582-NY-37.5""]",'SKU明细'!$AE$9:$AE$1592,0)),INDEX('SKU明细'!$AD$9:$AD$1592,MATCH("[6574,""32582-NY-39""]",'SKU明细'!$AE$9:$AE$1592,0)),INDEX('SKU明细'!$AD$9:$AD$1592,MATCH("[6574,""32582-NY-37""]",'SKU明细'!$AE$9:$AE$1592,0)),INDEX('SKU明细'!$AD$9:$AD$1592,MATCH("[6574,""32582-NY-38.5""]",'SKU明细'!$AE$9:$AE$1592,0)),INDEX('SKU明细'!$AD$9:$AD$1592,MATCH("[6574,""32582-NY-39.5""]",'SKU明细'!$AE$9:$AE$1592,0)),INDEX('SKU明细'!$AD$9:$AD$1592,MATCH("[6574,""32582-NY-40""]",'SKU明细'!$AE$9:$AE$1592,0)),INDEX('SKU明细'!$AD$9:$AD$1592,MATCH("[6574,""32582-NY-40.5""]",'SKU明细'!$AE$9:$AE$1592,0)),INDEX('SKU明细'!$AD$9:$AD$1592,MATCH("[6574,""32582-NY-41""]",'SKU明细'!$AE$9:$AE$1592,0)),INDEX('SKU明细'!$AD$9:$AD$1592,MATCH("[6574,""32582-NY-41.5""]",'SKU明细'!$AE$9:$AE$1592,0)),INDEX('SKU明细'!$AD$9:$AD$1592,MATCH("[6574,""32582-NY-42""]",'SKU明细'!$AE$9:$AE$1592,0)),INDEX('SKU明细'!$AD$9:$AD$1592,MATCH("[6574,""32582-NY-38""]",'SKU明细'!$AE$9:$AE$1592,0)))=11,SUM(INDEX('SKU明细'!$AD$9:$AD$1592,MATCH("[6574,""32582-NY-37.5""]",'SKU明细'!$AE$9:$AE$1592,0)),INDEX('SKU明细'!$AD$9:$AD$1592,MATCH("[6574,""32582-NY-39""]",'SKU明细'!$AE$9:$AE$1592,0)),INDEX('SKU明细'!$AD$9:$AD$1592,MATCH("[6574,""32582-NY-37""]",'SKU明细'!$AE$9:$AE$1592,0)),INDEX('SKU明细'!$AD$9:$AD$1592,MATCH("[6574,""32582-NY-38.5""]",'SKU明细'!$AE$9:$AE$1592,0)),INDEX('SKU明细'!$AD$9:$AD$1592,MATCH("[6574,""32582-NY-39.5""]",'SKU明细'!$AE$9:$AE$1592,0)),INDEX('SKU明细'!$AD$9:$AD$1592,MATCH("[6574,""32582-NY-40""]",'SKU明细'!$AE$9:$AE$1592,0)),INDEX('SKU明细'!$AD$9:$AD$1592,MATCH("[6574,""32582-NY-40.5""]",'SKU明细'!$AE$9:$AE$1592,0)),INDEX('SKU明细'!$AD$9:$AD$1592,MATCH("[6574,""32582-NY-41""]",'SKU明细'!$AE$9:$AE$1592,0)),INDEX('SKU明细'!$AD$9:$AD$1592,MATCH("[6574,""32582-NY-41.5""]",'SKU明细'!$AE$9:$AE$1592,0)),INDEX('SKU明细'!$AD$9:$AD$1592,MATCH("[6574,""32582-NY-42""]",'SKU明细'!$AE$9:$AE$1592,0)),INDEX('SKU明细'!$AD$9:$AD$1592,MATCH("[6574,""32582-NY-38""]",'SKU明细'!$AE$9:$AE$1592,0)))&gt;0),SUM(INDEX('SKU明细'!$I$9:$I$1592,MATCH("[6574,""32582-NY-37.5""]",'SKU明细'!$AE$9:$AE$1592,0)),INDEX('SKU明细'!$I$9:$I$1592,MATCH("[6574,""32582-NY-39""]",'SKU明细'!$AE$9:$AE$1592,0)),INDEX('SKU明细'!$I$9:$I$1592,MATCH("[6574,""32582-NY-37""]",'SKU明细'!$AE$9:$AE$1592,0)),INDEX('SKU明细'!$I$9:$I$1592,MATCH("[6574,""32582-NY-38.5""]",'SKU明细'!$AE$9:$AE$1592,0)),INDEX('SKU明细'!$I$9:$I$1592,MATCH("[6574,""32582-NY-39.5""]",'SKU明细'!$AE$9:$AE$1592,0)),INDEX('SKU明细'!$I$9:$I$1592,MATCH("[6574,""32582-NY-40""]",'SKU明细'!$AE$9:$AE$1592,0)),INDEX('SKU明细'!$I$9:$I$1592,MATCH("[6574,""32582-NY-40.5""]",'SKU明细'!$AE$9:$AE$1592,0)),INDEX('SKU明细'!$I$9:$I$1592,MATCH("[6574,""32582-NY-41""]",'SKU明细'!$AE$9:$AE$1592,0)),INDEX('SKU明细'!$I$9:$I$1592,MATCH("[6574,""32582-NY-41.5""]",'SKU明细'!$AE$9:$AE$1592,0)),INDEX('SKU明细'!$I$9:$I$1592,MATCH("[6574,""32582-NY-42""]",'SKU明细'!$AE$9:$AE$1592,0)),INDEX('SKU明细'!$I$9:$I$1592,MATCH("[6574,""32582-NY-38""]",'SKU明细'!$AE$9:$AE$1592,0)))/SUM(INDEX('SKU明细'!$AD$9:$AD$1592,MATCH("[6574,""32582-NY-37.5""]",'SKU明细'!$AE$9:$AE$1592,0)),INDEX('SKU明细'!$AD$9:$AD$1592,MATCH("[6574,""32582-NY-39""]",'SKU明细'!$AE$9:$AE$1592,0)),INDEX('SKU明细'!$AD$9:$AD$1592,MATCH("[6574,""32582-NY-37""]",'SKU明细'!$AE$9:$AE$1592,0)),INDEX('SKU明细'!$AD$9:$AD$1592,MATCH("[6574,""32582-NY-38.5""]",'SKU明细'!$AE$9:$AE$1592,0)),INDEX('SKU明细'!$AD$9:$AD$1592,MATCH("[6574,""32582-NY-39.5""]",'SKU明细'!$AE$9:$AE$1592,0)),INDEX('SKU明细'!$AD$9:$AD$1592,MATCH("[6574,""32582-NY-40""]",'SKU明细'!$AE$9:$AE$1592,0)),INDEX('SKU明细'!$AD$9:$AD$1592,MATCH("[6574,""32582-NY-40.5""]",'SKU明细'!$AE$9:$AE$1592,0)),INDEX('SKU明细'!$AD$9:$AD$1592,MATCH("[6574,""32582-NY-41""]",'SKU明细'!$AE$9:$AE$1592,0)),INDEX('SKU明细'!$AD$9:$AD$1592,MATCH("[6574,""32582-NY-41.5""]",'SKU明细'!$AE$9:$AE$1592,0)),INDEX('SKU明细'!$AD$9:$AD$1592,MATCH("[6574,""32582-NY-42""]",'SKU明细'!$AE$9:$AE$1592,0)),INDEX('SKU明细'!$AD$9:$AD$1592,MATCH("[6574,""32582-NY-38""]",'SKU明细'!$AE$9:$AE$1592,0))),"待核")</x:f>
        <x:v>待核</x:v>
      </x:c>
      <x:c r="U91" s="16" t="str">
        <x:f>IF(COUNT(S91:T91)=2,S91-T91,"待核")</x:f>
        <x:v>待核</x:v>
      </x:c>
      <x:c r="V91" s="17" t="str">
        <x:f>IF(AND(ISNUMBER(U91),ISNUMBER(T91),T91&lt;&gt;0),U91/T91,"")</x:f>
      </x:c>
      <x:c r="W91" s="18" t="n">
        <x:f>IF(COUNT(INDEX('SKU明细'!$H$9:$H$1592,MATCH("[6574,""32582-NY-37.5""]",'SKU明细'!$AE$9:$AE$1592,0)),INDEX('SKU明细'!$H$9:$H$1592,MATCH("[6574,""32582-NY-39""]",'SKU明细'!$AE$9:$AE$1592,0)),INDEX('SKU明细'!$H$9:$H$1592,MATCH("[6574,""32582-NY-37""]",'SKU明细'!$AE$9:$AE$1592,0)),INDEX('SKU明细'!$H$9:$H$1592,MATCH("[6574,""32582-NY-38.5""]",'SKU明细'!$AE$9:$AE$1592,0)),INDEX('SKU明细'!$H$9:$H$1592,MATCH("[6574,""32582-NY-39.5""]",'SKU明细'!$AE$9:$AE$1592,0)),INDEX('SKU明细'!$H$9:$H$1592,MATCH("[6574,""32582-NY-40""]",'SKU明细'!$AE$9:$AE$1592,0)),INDEX('SKU明细'!$H$9:$H$1592,MATCH("[6574,""32582-NY-40.5""]",'SKU明细'!$AE$9:$AE$1592,0)),INDEX('SKU明细'!$H$9:$H$1592,MATCH("[6574,""32582-NY-41""]",'SKU明细'!$AE$9:$AE$1592,0)),INDEX('SKU明细'!$H$9:$H$1592,MATCH("[6574,""32582-NY-41.5""]",'SKU明细'!$AE$9:$AE$1592,0)),INDEX('SKU明细'!$H$9:$H$1592,MATCH("[6574,""32582-NY-42""]",'SKU明细'!$AE$9:$AE$1592,0)),INDEX('SKU明细'!$H$9:$H$1592,MATCH("[6574,""32582-NY-38""]",'SKU明细'!$AE$9:$AE$1592,0)))=0,"待核",SUM(INDEX('SKU明细'!$H$9:$H$1592,MATCH("[6574,""32582-NY-37.5""]",'SKU明细'!$AE$9:$AE$1592,0)),INDEX('SKU明细'!$H$9:$H$1592,MATCH("[6574,""32582-NY-39""]",'SKU明细'!$AE$9:$AE$1592,0)),INDEX('SKU明细'!$H$9:$H$1592,MATCH("[6574,""32582-NY-37""]",'SKU明细'!$AE$9:$AE$1592,0)),INDEX('SKU明细'!$H$9:$H$1592,MATCH("[6574,""32582-NY-38.5""]",'SKU明细'!$AE$9:$AE$1592,0)),INDEX('SKU明细'!$H$9:$H$1592,MATCH("[6574,""32582-NY-39.5""]",'SKU明细'!$AE$9:$AE$1592,0)),INDEX('SKU明细'!$H$9:$H$1592,MATCH("[6574,""32582-NY-40""]",'SKU明细'!$AE$9:$AE$1592,0)),INDEX('SKU明细'!$H$9:$H$1592,MATCH("[6574,""32582-NY-40.5""]",'SKU明细'!$AE$9:$AE$1592,0)),INDEX('SKU明细'!$H$9:$H$1592,MATCH("[6574,""32582-NY-41""]",'SKU明细'!$AE$9:$AE$1592,0)),INDEX('SKU明细'!$H$9:$H$1592,MATCH("[6574,""32582-NY-41.5""]",'SKU明细'!$AE$9:$AE$1592,0)),INDEX('SKU明细'!$H$9:$H$1592,MATCH("[6574,""32582-NY-42""]",'SKU明细'!$AE$9:$AE$1592,0)),INDEX('SKU明细'!$H$9:$H$1592,MATCH("[6574,""32582-NY-38""]",'SKU明细'!$AE$9:$AE$1592,0))))</x:f>
        <x:v>96</x:v>
      </x:c>
      <x:c r="X91" s="19" t="str">
        <x:f>IF(COUNTIFS('SKU明细'!$AH$9:$AH$1592,"[""32582"",""32582-NY"",""NY"",""藏青色""]",'SKU明细'!$E$9:$E$1592,"促销")&gt;0,"促销 ","")&amp;IF(COUNTIFS('SKU明细'!$AH$9:$AH$1592,"[""32582"",""32582-NY"",""NY"",""藏青色""]",'SKU明细'!$E$9:$E$1592,"红线促销")&gt;0,"红线促销 ","")&amp;IF(COUNTIFS('SKU明细'!$AH$9:$AH$1592,"[""32582"",""32582-NY"",""NY"",""藏青色""]",'SKU明细'!$E$9:$E$1592,"考虑清仓")&gt;0,"考虑清仓 ","")&amp;IF(COUNTIFS('SKU明细'!$AH$9:$AH$1592,"[""32582"",""32582-NY"",""NY"",""藏青色""]",'SKU明细'!$E$9:$E$1592,"断货")&gt;0,"断货 ","")&amp;IF(COUNTIFS('SKU明细'!$AH$9:$AH$1592,"[""32582"",""32582-NY"",""NY"",""藏青色""]",'SKU明细'!$E$9:$E$1592,"零日销待复核")&gt;0,"零日销待复核 ","")&amp;IF(COUNTIFS('SKU明细'!$AH$9:$AH$1592,"[""32582"",""32582-NY"",""NY"",""藏青色""]",'SKU明细'!$E$9:$E$1592,"数据待核")&gt;0,"数据待核 ","")&amp;IF(COUNTIFS('SKU明细'!$AH$9:$AH$1592,"[""32582"",""32582-NY"",""NY"",""藏青色""]",'SKU明细'!$E$9:$E$1592,"正常库存")&gt;0,"正常库存 ","")&amp;IF(COUNTIFS('SKU明细'!$AH$9:$AH$1592,"[""32582"",""32582-NY"",""NY"",""藏青色""]",'SKU明细'!$E$9:$E$1592,"补货提醒")&gt;0,"补货提醒 ","")</x:f>
        <x:v>促销 断货 零日销待复核 </x:v>
      </x:c>
      <x:c r="Y91" s="19" t="str">
        <x:f>IF(NOT(ISNUMBER(U91)),"覆盖待核／无可比基准","完整可比")</x:f>
        <x:v>覆盖待核／无可比基准</x:v>
      </x:c>
      <x:c r="Z91" s="19" t="str">
        <x:v>在售、停售</x:v>
      </x:c>
      <x:c r="AA91" s="19" t="n">
        <x:f>IF(SUMIFS('SKU明细'!$AF$9:$AF$1592,'SKU明细'!$D$9:$D$1592,A91,'SKU明细'!$Z$9:$Z$1592,"&lt;&gt;移出")=0,"待核",SUMIFS('SKU明细'!$H$9:$H$1592,'SKU明细'!$D$9:$D$1592,A91,'SKU明细'!$Z$9:$Z$1592,"&lt;&gt;移出"))</x:f>
        <x:v>1442</x:v>
      </x:c>
    </x:row>
    <x:row r="92" ht="54" customHeight="1">
      <x:c r="A92" s="15" t="str">
        <x:v>32582</x:v>
      </x:c>
      <x:c r="B92" s="15" t="str">
        <x:v>徐新怡</x:v>
      </x:c>
      <x:c r="C92" s="15" t="str">
        <x:v>粉色</x:v>
      </x:c>
      <x:c r="D92" s="15" t="str">
        <x:v>PK</x:v>
      </x:c>
      <x:c r="E92" s="15" t="str">
        <x:v>32582-PK</x:v>
      </x:c>
      <x:c r="F92" s="15"/>
      <x:c r="G92" s="16" t="str">
        <x:f>"—"</x:f>
        <x:v>—</x:v>
      </x:c>
      <x:c r="H92" s="16" t="str">
        <x:f>IF(AND(COUNT(INDEX('SKU明细'!$H$9:$H$1592,MATCH("[6574,""32582-PK-37""]",'SKU明细'!$AE$9:$AE$1592,0)))=1,COUNT(INDEX('SKU明细'!$G$9:$G$1592,MATCH("[6574,""32582-PK-37""]",'SKU明细'!$AE$9:$AE$1592,0)))=1,SUM(INDEX('SKU明细'!$G$9:$G$1592,MATCH("[6574,""32582-PK-37""]",'SKU明细'!$AE$9:$AE$1592,0)))&gt;0),SUM(INDEX('SKU明细'!$H$9:$H$1592,MATCH("[6574,""32582-PK-37""]",'SKU明细'!$AE$9:$AE$1592,0)))/SUM(INDEX('SKU明细'!$G$9:$G$1592,MATCH("[6574,""32582-PK-37""]",'SKU明细'!$AE$9:$AE$1592,0))),"待核")</x:f>
        <x:v>待核</x:v>
      </x:c>
      <x:c r="I92" s="16" t="str">
        <x:f>IF(AND(COUNT(INDEX('SKU明细'!$H$9:$H$1592,MATCH("[6574,""32582-PK-37.5""]",'SKU明细'!$AE$9:$AE$1592,0)))=1,COUNT(INDEX('SKU明细'!$G$9:$G$1592,MATCH("[6574,""32582-PK-37.5""]",'SKU明细'!$AE$9:$AE$1592,0)))=1,SUM(INDEX('SKU明细'!$G$9:$G$1592,MATCH("[6574,""32582-PK-37.5""]",'SKU明细'!$AE$9:$AE$1592,0)))&gt;0),SUM(INDEX('SKU明细'!$H$9:$H$1592,MATCH("[6574,""32582-PK-37.5""]",'SKU明细'!$AE$9:$AE$1592,0)))/SUM(INDEX('SKU明细'!$G$9:$G$1592,MATCH("[6574,""32582-PK-37.5""]",'SKU明细'!$AE$9:$AE$1592,0))),"待核")</x:f>
        <x:v>待核</x:v>
      </x:c>
      <x:c r="J92" s="16" t="n">
        <x:f>IF(AND(COUNT(INDEX('SKU明细'!$H$9:$H$1592,MATCH("[6574,""32582-PK-38""]",'SKU明细'!$AE$9:$AE$1592,0)))=1,COUNT(INDEX('SKU明细'!$G$9:$G$1592,MATCH("[6574,""32582-PK-38""]",'SKU明细'!$AE$9:$AE$1592,0)))=1,SUM(INDEX('SKU明细'!$G$9:$G$1592,MATCH("[6574,""32582-PK-38""]",'SKU明细'!$AE$9:$AE$1592,0)))&gt;0),SUM(INDEX('SKU明细'!$H$9:$H$1592,MATCH("[6574,""32582-PK-38""]",'SKU明细'!$AE$9:$AE$1592,0)))/SUM(INDEX('SKU明细'!$G$9:$G$1592,MATCH("[6574,""32582-PK-38""]",'SKU明细'!$AE$9:$AE$1592,0))),"待核")</x:f>
        <x:v>0</x:v>
      </x:c>
      <x:c r="K92" s="16" t="str">
        <x:f>IF(AND(COUNT(INDEX('SKU明细'!$H$9:$H$1592,MATCH("[6574,""32582-PK-38.5""]",'SKU明细'!$AE$9:$AE$1592,0)))=1,COUNT(INDEX('SKU明细'!$G$9:$G$1592,MATCH("[6574,""32582-PK-38.5""]",'SKU明细'!$AE$9:$AE$1592,0)))=1,SUM(INDEX('SKU明细'!$G$9:$G$1592,MATCH("[6574,""32582-PK-38.5""]",'SKU明细'!$AE$9:$AE$1592,0)))&gt;0),SUM(INDEX('SKU明细'!$H$9:$H$1592,MATCH("[6574,""32582-PK-38.5""]",'SKU明细'!$AE$9:$AE$1592,0)))/SUM(INDEX('SKU明细'!$G$9:$G$1592,MATCH("[6574,""32582-PK-38.5""]",'SKU明细'!$AE$9:$AE$1592,0))),"待核")</x:f>
        <x:v>待核</x:v>
      </x:c>
      <x:c r="L92" s="16" t="str">
        <x:f>IF(AND(COUNT(INDEX('SKU明细'!$H$9:$H$1592,MATCH("[6574,""32582-PK-39""]",'SKU明细'!$AE$9:$AE$1592,0)))=1,COUNT(INDEX('SKU明细'!$G$9:$G$1592,MATCH("[6574,""32582-PK-39""]",'SKU明细'!$AE$9:$AE$1592,0)))=1,SUM(INDEX('SKU明细'!$G$9:$G$1592,MATCH("[6574,""32582-PK-39""]",'SKU明细'!$AE$9:$AE$1592,0)))&gt;0),SUM(INDEX('SKU明细'!$H$9:$H$1592,MATCH("[6574,""32582-PK-39""]",'SKU明细'!$AE$9:$AE$1592,0)))/SUM(INDEX('SKU明细'!$G$9:$G$1592,MATCH("[6574,""32582-PK-39""]",'SKU明细'!$AE$9:$AE$1592,0))),"待核")</x:f>
        <x:v>待核</x:v>
      </x:c>
      <x:c r="M92" s="16" t="n">
        <x:f>IF(AND(COUNT(INDEX('SKU明细'!$H$9:$H$1592,MATCH("[6574,""32582-PK-39.5""]",'SKU明细'!$AE$9:$AE$1592,0)))=1,COUNT(INDEX('SKU明细'!$G$9:$G$1592,MATCH("[6574,""32582-PK-39.5""]",'SKU明细'!$AE$9:$AE$1592,0)))=1,SUM(INDEX('SKU明细'!$G$9:$G$1592,MATCH("[6574,""32582-PK-39.5""]",'SKU明细'!$AE$9:$AE$1592,0)))&gt;0),SUM(INDEX('SKU明细'!$H$9:$H$1592,MATCH("[6574,""32582-PK-39.5""]",'SKU明细'!$AE$9:$AE$1592,0)))/SUM(INDEX('SKU明细'!$G$9:$G$1592,MATCH("[6574,""32582-PK-39.5""]",'SKU明细'!$AE$9:$AE$1592,0))),"待核")</x:f>
        <x:v>24.13793103448276</x:v>
      </x:c>
      <x:c r="N92" s="16" t="n">
        <x:f>IF(AND(COUNT(INDEX('SKU明细'!$H$9:$H$1592,MATCH("[6574,""32582-PK-40""]",'SKU明细'!$AE$9:$AE$1592,0)))=1,COUNT(INDEX('SKU明细'!$G$9:$G$1592,MATCH("[6574,""32582-PK-40""]",'SKU明细'!$AE$9:$AE$1592,0)))=1,SUM(INDEX('SKU明细'!$G$9:$G$1592,MATCH("[6574,""32582-PK-40""]",'SKU明细'!$AE$9:$AE$1592,0)))&gt;0),SUM(INDEX('SKU明细'!$H$9:$H$1592,MATCH("[6574,""32582-PK-40""]",'SKU明细'!$AE$9:$AE$1592,0)))/SUM(INDEX('SKU明细'!$G$9:$G$1592,MATCH("[6574,""32582-PK-40""]",'SKU明细'!$AE$9:$AE$1592,0))),"待核")</x:f>
        <x:v>3150</x:v>
      </x:c>
      <x:c r="O92" s="16" t="n">
        <x:f>IF(AND(COUNT(INDEX('SKU明细'!$H$9:$H$1592,MATCH("[6574,""32582-PK-40.5""]",'SKU明细'!$AE$9:$AE$1592,0)))=1,COUNT(INDEX('SKU明细'!$G$9:$G$1592,MATCH("[6574,""32582-PK-40.5""]",'SKU明细'!$AE$9:$AE$1592,0)))=1,SUM(INDEX('SKU明细'!$G$9:$G$1592,MATCH("[6574,""32582-PK-40.5""]",'SKU明细'!$AE$9:$AE$1592,0)))&gt;0),SUM(INDEX('SKU明细'!$H$9:$H$1592,MATCH("[6574,""32582-PK-40.5""]",'SKU明细'!$AE$9:$AE$1592,0)))/SUM(INDEX('SKU明细'!$G$9:$G$1592,MATCH("[6574,""32582-PK-40.5""]",'SKU明细'!$AE$9:$AE$1592,0))),"待核")</x:f>
        <x:v>1799.9999999999998</x:v>
      </x:c>
      <x:c r="P92" s="16" t="str">
        <x:f>IF(AND(COUNT(INDEX('SKU明细'!$H$9:$H$1592,MATCH("[6574,""32582-PK-41""]",'SKU明细'!$AE$9:$AE$1592,0)))=1,COUNT(INDEX('SKU明细'!$G$9:$G$1592,MATCH("[6574,""32582-PK-41""]",'SKU明细'!$AE$9:$AE$1592,0)))=1,SUM(INDEX('SKU明细'!$G$9:$G$1592,MATCH("[6574,""32582-PK-41""]",'SKU明细'!$AE$9:$AE$1592,0)))&gt;0),SUM(INDEX('SKU明细'!$H$9:$H$1592,MATCH("[6574,""32582-PK-41""]",'SKU明细'!$AE$9:$AE$1592,0)))/SUM(INDEX('SKU明细'!$G$9:$G$1592,MATCH("[6574,""32582-PK-41""]",'SKU明细'!$AE$9:$AE$1592,0))),"待核")</x:f>
        <x:v>待核</x:v>
      </x:c>
      <x:c r="Q92" s="16" t="str">
        <x:f>IF(AND(COUNT(INDEX('SKU明细'!$H$9:$H$1592,MATCH("[6574,""32582-PK-41.5""]",'SKU明细'!$AE$9:$AE$1592,0)))=1,COUNT(INDEX('SKU明细'!$G$9:$G$1592,MATCH("[6574,""32582-PK-41.5""]",'SKU明细'!$AE$9:$AE$1592,0)))=1,SUM(INDEX('SKU明细'!$G$9:$G$1592,MATCH("[6574,""32582-PK-41.5""]",'SKU明细'!$AE$9:$AE$1592,0)))&gt;0),SUM(INDEX('SKU明细'!$H$9:$H$1592,MATCH("[6574,""32582-PK-41.5""]",'SKU明细'!$AE$9:$AE$1592,0)))/SUM(INDEX('SKU明细'!$G$9:$G$1592,MATCH("[6574,""32582-PK-41.5""]",'SKU明细'!$AE$9:$AE$1592,0))),"待核")</x:f>
        <x:v>待核</x:v>
      </x:c>
      <x:c r="R92" s="16" t="str">
        <x:f>IF(AND(COUNT(INDEX('SKU明细'!$H$9:$H$1592,MATCH("[6574,""32582-PK-42""]",'SKU明细'!$AE$9:$AE$1592,0)))=1,COUNT(INDEX('SKU明细'!$G$9:$G$1592,MATCH("[6574,""32582-PK-42""]",'SKU明细'!$AE$9:$AE$1592,0)))=1,SUM(INDEX('SKU明细'!$G$9:$G$1592,MATCH("[6574,""32582-PK-42""]",'SKU明细'!$AE$9:$AE$1592,0)))&gt;0),SUM(INDEX('SKU明细'!$H$9:$H$1592,MATCH("[6574,""32582-PK-42""]",'SKU明细'!$AE$9:$AE$1592,0)))/SUM(INDEX('SKU明细'!$G$9:$G$1592,MATCH("[6574,""32582-PK-42""]",'SKU明细'!$AE$9:$AE$1592,0))),"待核")</x:f>
        <x:v>待核</x:v>
      </x:c>
      <x:c r="S92" s="16" t="n">
        <x:f>IF(AND(COUNT(INDEX('SKU明细'!$H$9:$H$1592,MATCH("[6574,""32582-PK-40""]",'SKU明细'!$AE$9:$AE$1592,0)),INDEX('SKU明细'!$H$9:$H$1592,MATCH("[6574,""32582-PK-40.5""]",'SKU明细'!$AE$9:$AE$1592,0)),INDEX('SKU明细'!$H$9:$H$1592,MATCH("[6574,""32582-PK-37""]",'SKU明细'!$AE$9:$AE$1592,0)),INDEX('SKU明细'!$H$9:$H$1592,MATCH("[6574,""32582-PK-37.5""]",'SKU明细'!$AE$9:$AE$1592,0)),INDEX('SKU明细'!$H$9:$H$1592,MATCH("[6574,""32582-PK-38""]",'SKU明细'!$AE$9:$AE$1592,0)),INDEX('SKU明细'!$H$9:$H$1592,MATCH("[6574,""32582-PK-38.5""]",'SKU明细'!$AE$9:$AE$1592,0)),INDEX('SKU明细'!$H$9:$H$1592,MATCH("[6574,""32582-PK-39""]",'SKU明细'!$AE$9:$AE$1592,0)),INDEX('SKU明细'!$H$9:$H$1592,MATCH("[6574,""32582-PK-41""]",'SKU明细'!$AE$9:$AE$1592,0)),INDEX('SKU明细'!$H$9:$H$1592,MATCH("[6574,""32582-PK-41.5""]",'SKU明细'!$AE$9:$AE$1592,0)),INDEX('SKU明细'!$H$9:$H$1592,MATCH("[6574,""32582-PK-42""]",'SKU明细'!$AE$9:$AE$1592,0)),INDEX('SKU明细'!$H$9:$H$1592,MATCH("[6574,""32582-PK-39.5""]",'SKU明细'!$AE$9:$AE$1592,0)))=11,COUNT(INDEX('SKU明细'!$G$9:$G$1592,MATCH("[6574,""32582-PK-40""]",'SKU明细'!$AE$9:$AE$1592,0)),INDEX('SKU明细'!$G$9:$G$1592,MATCH("[6574,""32582-PK-40.5""]",'SKU明细'!$AE$9:$AE$1592,0)),INDEX('SKU明细'!$G$9:$G$1592,MATCH("[6574,""32582-PK-37""]",'SKU明细'!$AE$9:$AE$1592,0)),INDEX('SKU明细'!$G$9:$G$1592,MATCH("[6574,""32582-PK-37.5""]",'SKU明细'!$AE$9:$AE$1592,0)),INDEX('SKU明细'!$G$9:$G$1592,MATCH("[6574,""32582-PK-38""]",'SKU明细'!$AE$9:$AE$1592,0)),INDEX('SKU明细'!$G$9:$G$1592,MATCH("[6574,""32582-PK-38.5""]",'SKU明细'!$AE$9:$AE$1592,0)),INDEX('SKU明细'!$G$9:$G$1592,MATCH("[6574,""32582-PK-39""]",'SKU明细'!$AE$9:$AE$1592,0)),INDEX('SKU明细'!$G$9:$G$1592,MATCH("[6574,""32582-PK-41""]",'SKU明细'!$AE$9:$AE$1592,0)),INDEX('SKU明细'!$G$9:$G$1592,MATCH("[6574,""32582-PK-41.5""]",'SKU明细'!$AE$9:$AE$1592,0)),INDEX('SKU明细'!$G$9:$G$1592,MATCH("[6574,""32582-PK-42""]",'SKU明细'!$AE$9:$AE$1592,0)),INDEX('SKU明细'!$G$9:$G$1592,MATCH("[6574,""32582-PK-39.5""]",'SKU明细'!$AE$9:$AE$1592,0)))=11,SUM(INDEX('SKU明细'!$G$9:$G$1592,MATCH("[6574,""32582-PK-40""]",'SKU明细'!$AE$9:$AE$1592,0)),INDEX('SKU明细'!$G$9:$G$1592,MATCH("[6574,""32582-PK-40.5""]",'SKU明细'!$AE$9:$AE$1592,0)),INDEX('SKU明细'!$G$9:$G$1592,MATCH("[6574,""32582-PK-37""]",'SKU明细'!$AE$9:$AE$1592,0)),INDEX('SKU明细'!$G$9:$G$1592,MATCH("[6574,""32582-PK-37.5""]",'SKU明细'!$AE$9:$AE$1592,0)),INDEX('SKU明细'!$G$9:$G$1592,MATCH("[6574,""32582-PK-38""]",'SKU明细'!$AE$9:$AE$1592,0)),INDEX('SKU明细'!$G$9:$G$1592,MATCH("[6574,""32582-PK-38.5""]",'SKU明细'!$AE$9:$AE$1592,0)),INDEX('SKU明细'!$G$9:$G$1592,MATCH("[6574,""32582-PK-39""]",'SKU明细'!$AE$9:$AE$1592,0)),INDEX('SKU明细'!$G$9:$G$1592,MATCH("[6574,""32582-PK-41""]",'SKU明细'!$AE$9:$AE$1592,0)),INDEX('SKU明细'!$G$9:$G$1592,MATCH("[6574,""32582-PK-41.5""]",'SKU明细'!$AE$9:$AE$1592,0)),INDEX('SKU明细'!$G$9:$G$1592,MATCH("[6574,""32582-PK-42""]",'SKU明细'!$AE$9:$AE$1592,0)),INDEX('SKU明细'!$G$9:$G$1592,MATCH("[6574,""32582-PK-39.5""]",'SKU明细'!$AE$9:$AE$1592,0)))&gt;0),SUM(INDEX('SKU明细'!$H$9:$H$1592,MATCH("[6574,""32582-PK-40""]",'SKU明细'!$AE$9:$AE$1592,0)),INDEX('SKU明细'!$H$9:$H$1592,MATCH("[6574,""32582-PK-40.5""]",'SKU明细'!$AE$9:$AE$1592,0)),INDEX('SKU明细'!$H$9:$H$1592,MATCH("[6574,""32582-PK-37""]",'SKU明细'!$AE$9:$AE$1592,0)),INDEX('SKU明细'!$H$9:$H$1592,MATCH("[6574,""32582-PK-37.5""]",'SKU明细'!$AE$9:$AE$1592,0)),INDEX('SKU明细'!$H$9:$H$1592,MATCH("[6574,""32582-PK-38""]",'SKU明细'!$AE$9:$AE$1592,0)),INDEX('SKU明细'!$H$9:$H$1592,MATCH("[6574,""32582-PK-38.5""]",'SKU明细'!$AE$9:$AE$1592,0)),INDEX('SKU明细'!$H$9:$H$1592,MATCH("[6574,""32582-PK-39""]",'SKU明细'!$AE$9:$AE$1592,0)),INDEX('SKU明细'!$H$9:$H$1592,MATCH("[6574,""32582-PK-41""]",'SKU明细'!$AE$9:$AE$1592,0)),INDEX('SKU明细'!$H$9:$H$1592,MATCH("[6574,""32582-PK-41.5""]",'SKU明细'!$AE$9:$AE$1592,0)),INDEX('SKU明细'!$H$9:$H$1592,MATCH("[6574,""32582-PK-42""]",'SKU明细'!$AE$9:$AE$1592,0)),INDEX('SKU明细'!$H$9:$H$1592,MATCH("[6574,""32582-PK-39.5""]",'SKU明细'!$AE$9:$AE$1592,0)))/SUM(INDEX('SKU明细'!$G$9:$G$1592,MATCH("[6574,""32582-PK-40""]",'SKU明细'!$AE$9:$AE$1592,0)),INDEX('SKU明细'!$G$9:$G$1592,MATCH("[6574,""32582-PK-40.5""]",'SKU明细'!$AE$9:$AE$1592,0)),INDEX('SKU明细'!$G$9:$G$1592,MATCH("[6574,""32582-PK-37""]",'SKU明细'!$AE$9:$AE$1592,0)),INDEX('SKU明细'!$G$9:$G$1592,MATCH("[6574,""32582-PK-37.5""]",'SKU明细'!$AE$9:$AE$1592,0)),INDEX('SKU明细'!$G$9:$G$1592,MATCH("[6574,""32582-PK-38""]",'SKU明细'!$AE$9:$AE$1592,0)),INDEX('SKU明细'!$G$9:$G$1592,MATCH("[6574,""32582-PK-38.5""]",'SKU明细'!$AE$9:$AE$1592,0)),INDEX('SKU明细'!$G$9:$G$1592,MATCH("[6574,""32582-PK-39""]",'SKU明细'!$AE$9:$AE$1592,0)),INDEX('SKU明细'!$G$9:$G$1592,MATCH("[6574,""32582-PK-41""]",'SKU明细'!$AE$9:$AE$1592,0)),INDEX('SKU明细'!$G$9:$G$1592,MATCH("[6574,""32582-PK-41.5""]",'SKU明细'!$AE$9:$AE$1592,0)),INDEX('SKU明细'!$G$9:$G$1592,MATCH("[6574,""32582-PK-42""]",'SKU明细'!$AE$9:$AE$1592,0)),INDEX('SKU明细'!$G$9:$G$1592,MATCH("[6574,""32582-PK-39.5""]",'SKU明细'!$AE$9:$AE$1592,0))),"待核")</x:f>
        <x:v>379.7872340425532</x:v>
      </x:c>
      <x:c r="T92" s="16" t="str">
        <x:f>IF(AND(COUNT(INDEX('SKU明细'!$I$9:$I$1592,MATCH("[6574,""32582-PK-40""]",'SKU明细'!$AE$9:$AE$1592,0)),INDEX('SKU明细'!$I$9:$I$1592,MATCH("[6574,""32582-PK-40.5""]",'SKU明细'!$AE$9:$AE$1592,0)),INDEX('SKU明细'!$I$9:$I$1592,MATCH("[6574,""32582-PK-37""]",'SKU明细'!$AE$9:$AE$1592,0)),INDEX('SKU明细'!$I$9:$I$1592,MATCH("[6574,""32582-PK-37.5""]",'SKU明细'!$AE$9:$AE$1592,0)),INDEX('SKU明细'!$I$9:$I$1592,MATCH("[6574,""32582-PK-38""]",'SKU明细'!$AE$9:$AE$1592,0)),INDEX('SKU明细'!$I$9:$I$1592,MATCH("[6574,""32582-PK-38.5""]",'SKU明细'!$AE$9:$AE$1592,0)),INDEX('SKU明细'!$I$9:$I$1592,MATCH("[6574,""32582-PK-39""]",'SKU明细'!$AE$9:$AE$1592,0)),INDEX('SKU明细'!$I$9:$I$1592,MATCH("[6574,""32582-PK-41""]",'SKU明细'!$AE$9:$AE$1592,0)),INDEX('SKU明细'!$I$9:$I$1592,MATCH("[6574,""32582-PK-41.5""]",'SKU明细'!$AE$9:$AE$1592,0)),INDEX('SKU明细'!$I$9:$I$1592,MATCH("[6574,""32582-PK-42""]",'SKU明细'!$AE$9:$AE$1592,0)),INDEX('SKU明细'!$I$9:$I$1592,MATCH("[6574,""32582-PK-39.5""]",'SKU明细'!$AE$9:$AE$1592,0)))=11,COUNT(INDEX('SKU明细'!$AD$9:$AD$1592,MATCH("[6574,""32582-PK-40""]",'SKU明细'!$AE$9:$AE$1592,0)),INDEX('SKU明细'!$AD$9:$AD$1592,MATCH("[6574,""32582-PK-40.5""]",'SKU明细'!$AE$9:$AE$1592,0)),INDEX('SKU明细'!$AD$9:$AD$1592,MATCH("[6574,""32582-PK-37""]",'SKU明细'!$AE$9:$AE$1592,0)),INDEX('SKU明细'!$AD$9:$AD$1592,MATCH("[6574,""32582-PK-37.5""]",'SKU明细'!$AE$9:$AE$1592,0)),INDEX('SKU明细'!$AD$9:$AD$1592,MATCH("[6574,""32582-PK-38""]",'SKU明细'!$AE$9:$AE$1592,0)),INDEX('SKU明细'!$AD$9:$AD$1592,MATCH("[6574,""32582-PK-38.5""]",'SKU明细'!$AE$9:$AE$1592,0)),INDEX('SKU明细'!$AD$9:$AD$1592,MATCH("[6574,""32582-PK-39""]",'SKU明细'!$AE$9:$AE$1592,0)),INDEX('SKU明细'!$AD$9:$AD$1592,MATCH("[6574,""32582-PK-41""]",'SKU明细'!$AE$9:$AE$1592,0)),INDEX('SKU明细'!$AD$9:$AD$1592,MATCH("[6574,""32582-PK-41.5""]",'SKU明细'!$AE$9:$AE$1592,0)),INDEX('SKU明细'!$AD$9:$AD$1592,MATCH("[6574,""32582-PK-42""]",'SKU明细'!$AE$9:$AE$1592,0)),INDEX('SKU明细'!$AD$9:$AD$1592,MATCH("[6574,""32582-PK-39.5""]",'SKU明细'!$AE$9:$AE$1592,0)))=11,SUM(INDEX('SKU明细'!$AD$9:$AD$1592,MATCH("[6574,""32582-PK-40""]",'SKU明细'!$AE$9:$AE$1592,0)),INDEX('SKU明细'!$AD$9:$AD$1592,MATCH("[6574,""32582-PK-40.5""]",'SKU明细'!$AE$9:$AE$1592,0)),INDEX('SKU明细'!$AD$9:$AD$1592,MATCH("[6574,""32582-PK-37""]",'SKU明细'!$AE$9:$AE$1592,0)),INDEX('SKU明细'!$AD$9:$AD$1592,MATCH("[6574,""32582-PK-37.5""]",'SKU明细'!$AE$9:$AE$1592,0)),INDEX('SKU明细'!$AD$9:$AD$1592,MATCH("[6574,""32582-PK-38""]",'SKU明细'!$AE$9:$AE$1592,0)),INDEX('SKU明细'!$AD$9:$AD$1592,MATCH("[6574,""32582-PK-38.5""]",'SKU明细'!$AE$9:$AE$1592,0)),INDEX('SKU明细'!$AD$9:$AD$1592,MATCH("[6574,""32582-PK-39""]",'SKU明细'!$AE$9:$AE$1592,0)),INDEX('SKU明细'!$AD$9:$AD$1592,MATCH("[6574,""32582-PK-41""]",'SKU明细'!$AE$9:$AE$1592,0)),INDEX('SKU明细'!$AD$9:$AD$1592,MATCH("[6574,""32582-PK-41.5""]",'SKU明细'!$AE$9:$AE$1592,0)),INDEX('SKU明细'!$AD$9:$AD$1592,MATCH("[6574,""32582-PK-42""]",'SKU明细'!$AE$9:$AE$1592,0)),INDEX('SKU明细'!$AD$9:$AD$1592,MATCH("[6574,""32582-PK-39.5""]",'SKU明细'!$AE$9:$AE$1592,0)))&gt;0),SUM(INDEX('SKU明细'!$I$9:$I$1592,MATCH("[6574,""32582-PK-40""]",'SKU明细'!$AE$9:$AE$1592,0)),INDEX('SKU明细'!$I$9:$I$1592,MATCH("[6574,""32582-PK-40.5""]",'SKU明细'!$AE$9:$AE$1592,0)),INDEX('SKU明细'!$I$9:$I$1592,MATCH("[6574,""32582-PK-37""]",'SKU明细'!$AE$9:$AE$1592,0)),INDEX('SKU明细'!$I$9:$I$1592,MATCH("[6574,""32582-PK-37.5""]",'SKU明细'!$AE$9:$AE$1592,0)),INDEX('SKU明细'!$I$9:$I$1592,MATCH("[6574,""32582-PK-38""]",'SKU明细'!$AE$9:$AE$1592,0)),INDEX('SKU明细'!$I$9:$I$1592,MATCH("[6574,""32582-PK-38.5""]",'SKU明细'!$AE$9:$AE$1592,0)),INDEX('SKU明细'!$I$9:$I$1592,MATCH("[6574,""32582-PK-39""]",'SKU明细'!$AE$9:$AE$1592,0)),INDEX('SKU明细'!$I$9:$I$1592,MATCH("[6574,""32582-PK-41""]",'SKU明细'!$AE$9:$AE$1592,0)),INDEX('SKU明细'!$I$9:$I$1592,MATCH("[6574,""32582-PK-41.5""]",'SKU明细'!$AE$9:$AE$1592,0)),INDEX('SKU明细'!$I$9:$I$1592,MATCH("[6574,""32582-PK-42""]",'SKU明细'!$AE$9:$AE$1592,0)),INDEX('SKU明细'!$I$9:$I$1592,MATCH("[6574,""32582-PK-39.5""]",'SKU明细'!$AE$9:$AE$1592,0)))/SUM(INDEX('SKU明细'!$AD$9:$AD$1592,MATCH("[6574,""32582-PK-40""]",'SKU明细'!$AE$9:$AE$1592,0)),INDEX('SKU明细'!$AD$9:$AD$1592,MATCH("[6574,""32582-PK-40.5""]",'SKU明细'!$AE$9:$AE$1592,0)),INDEX('SKU明细'!$AD$9:$AD$1592,MATCH("[6574,""32582-PK-37""]",'SKU明细'!$AE$9:$AE$1592,0)),INDEX('SKU明细'!$AD$9:$AD$1592,MATCH("[6574,""32582-PK-37.5""]",'SKU明细'!$AE$9:$AE$1592,0)),INDEX('SKU明细'!$AD$9:$AD$1592,MATCH("[6574,""32582-PK-38""]",'SKU明细'!$AE$9:$AE$1592,0)),INDEX('SKU明细'!$AD$9:$AD$1592,MATCH("[6574,""32582-PK-38.5""]",'SKU明细'!$AE$9:$AE$1592,0)),INDEX('SKU明细'!$AD$9:$AD$1592,MATCH("[6574,""32582-PK-39""]",'SKU明细'!$AE$9:$AE$1592,0)),INDEX('SKU明细'!$AD$9:$AD$1592,MATCH("[6574,""32582-PK-41""]",'SKU明细'!$AE$9:$AE$1592,0)),INDEX('SKU明细'!$AD$9:$AD$1592,MATCH("[6574,""32582-PK-41.5""]",'SKU明细'!$AE$9:$AE$1592,0)),INDEX('SKU明细'!$AD$9:$AD$1592,MATCH("[6574,""32582-PK-42""]",'SKU明细'!$AE$9:$AE$1592,0)),INDEX('SKU明细'!$AD$9:$AD$1592,MATCH("[6574,""32582-PK-39.5""]",'SKU明细'!$AE$9:$AE$1592,0))),"待核")</x:f>
        <x:v>待核</x:v>
      </x:c>
      <x:c r="U92" s="16" t="str">
        <x:f>IF(COUNT(S92:T92)=2,S92-T92,"待核")</x:f>
        <x:v>待核</x:v>
      </x:c>
      <x:c r="V92" s="17" t="str">
        <x:f>IF(AND(ISNUMBER(U92),ISNUMBER(T92),T92&lt;&gt;0),U92/T92,"")</x:f>
      </x:c>
      <x:c r="W92" s="18" t="n">
        <x:f>IF(COUNT(INDEX('SKU明细'!$H$9:$H$1592,MATCH("[6574,""32582-PK-40""]",'SKU明细'!$AE$9:$AE$1592,0)),INDEX('SKU明细'!$H$9:$H$1592,MATCH("[6574,""32582-PK-40.5""]",'SKU明细'!$AE$9:$AE$1592,0)),INDEX('SKU明细'!$H$9:$H$1592,MATCH("[6574,""32582-PK-37""]",'SKU明细'!$AE$9:$AE$1592,0)),INDEX('SKU明细'!$H$9:$H$1592,MATCH("[6574,""32582-PK-37.5""]",'SKU明细'!$AE$9:$AE$1592,0)),INDEX('SKU明细'!$H$9:$H$1592,MATCH("[6574,""32582-PK-38""]",'SKU明细'!$AE$9:$AE$1592,0)),INDEX('SKU明细'!$H$9:$H$1592,MATCH("[6574,""32582-PK-38.5""]",'SKU明细'!$AE$9:$AE$1592,0)),INDEX('SKU明细'!$H$9:$H$1592,MATCH("[6574,""32582-PK-39""]",'SKU明细'!$AE$9:$AE$1592,0)),INDEX('SKU明细'!$H$9:$H$1592,MATCH("[6574,""32582-PK-41""]",'SKU明细'!$AE$9:$AE$1592,0)),INDEX('SKU明细'!$H$9:$H$1592,MATCH("[6574,""32582-PK-41.5""]",'SKU明细'!$AE$9:$AE$1592,0)),INDEX('SKU明细'!$H$9:$H$1592,MATCH("[6574,""32582-PK-42""]",'SKU明细'!$AE$9:$AE$1592,0)),INDEX('SKU明细'!$H$9:$H$1592,MATCH("[6574,""32582-PK-39.5""]",'SKU明细'!$AE$9:$AE$1592,0)))=0,"待核",SUM(INDEX('SKU明细'!$H$9:$H$1592,MATCH("[6574,""32582-PK-40""]",'SKU明细'!$AE$9:$AE$1592,0)),INDEX('SKU明细'!$H$9:$H$1592,MATCH("[6574,""32582-PK-40.5""]",'SKU明细'!$AE$9:$AE$1592,0)),INDEX('SKU明细'!$H$9:$H$1592,MATCH("[6574,""32582-PK-37""]",'SKU明细'!$AE$9:$AE$1592,0)),INDEX('SKU明细'!$H$9:$H$1592,MATCH("[6574,""32582-PK-37.5""]",'SKU明细'!$AE$9:$AE$1592,0)),INDEX('SKU明细'!$H$9:$H$1592,MATCH("[6574,""32582-PK-38""]",'SKU明细'!$AE$9:$AE$1592,0)),INDEX('SKU明细'!$H$9:$H$1592,MATCH("[6574,""32582-PK-38.5""]",'SKU明细'!$AE$9:$AE$1592,0)),INDEX('SKU明细'!$H$9:$H$1592,MATCH("[6574,""32582-PK-39""]",'SKU明细'!$AE$9:$AE$1592,0)),INDEX('SKU明细'!$H$9:$H$1592,MATCH("[6574,""32582-PK-41""]",'SKU明细'!$AE$9:$AE$1592,0)),INDEX('SKU明细'!$H$9:$H$1592,MATCH("[6574,""32582-PK-41.5""]",'SKU明细'!$AE$9:$AE$1592,0)),INDEX('SKU明细'!$H$9:$H$1592,MATCH("[6574,""32582-PK-42""]",'SKU明细'!$AE$9:$AE$1592,0)),INDEX('SKU明细'!$H$9:$H$1592,MATCH("[6574,""32582-PK-39.5""]",'SKU明细'!$AE$9:$AE$1592,0))))</x:f>
        <x:v>34</x:v>
      </x:c>
      <x:c r="X92" s="19" t="str">
        <x:f>IF(COUNTIFS('SKU明细'!$AH$9:$AH$1592,"[""32582"",""32582-PK"",""PK"",""粉色""]",'SKU明细'!$E$9:$E$1592,"促销")&gt;0,"促销 ","")&amp;IF(COUNTIFS('SKU明细'!$AH$9:$AH$1592,"[""32582"",""32582-PK"",""PK"",""粉色""]",'SKU明细'!$E$9:$E$1592,"红线促销")&gt;0,"红线促销 ","")&amp;IF(COUNTIFS('SKU明细'!$AH$9:$AH$1592,"[""32582"",""32582-PK"",""PK"",""粉色""]",'SKU明细'!$E$9:$E$1592,"考虑清仓")&gt;0,"考虑清仓 ","")&amp;IF(COUNTIFS('SKU明细'!$AH$9:$AH$1592,"[""32582"",""32582-PK"",""PK"",""粉色""]",'SKU明细'!$E$9:$E$1592,"断货")&gt;0,"断货 ","")&amp;IF(COUNTIFS('SKU明细'!$AH$9:$AH$1592,"[""32582"",""32582-PK"",""PK"",""粉色""]",'SKU明细'!$E$9:$E$1592,"零日销待复核")&gt;0,"零日销待复核 ","")&amp;IF(COUNTIFS('SKU明细'!$AH$9:$AH$1592,"[""32582"",""32582-PK"",""PK"",""粉色""]",'SKU明细'!$E$9:$E$1592,"数据待核")&gt;0,"数据待核 ","")&amp;IF(COUNTIFS('SKU明细'!$AH$9:$AH$1592,"[""32582"",""32582-PK"",""PK"",""粉色""]",'SKU明细'!$E$9:$E$1592,"正常库存")&gt;0,"正常库存 ","")&amp;IF(COUNTIFS('SKU明细'!$AH$9:$AH$1592,"[""32582"",""32582-PK"",""PK"",""粉色""]",'SKU明细'!$E$9:$E$1592,"补货提醒")&gt;0,"补货提醒 ","")</x:f>
        <x:v>考虑清仓 断货 补货提醒 </x:v>
      </x:c>
      <x:c r="Y92" s="19" t="str">
        <x:f>IF(NOT(ISNUMBER(U92)),"覆盖待核／无可比基准","完整可比")</x:f>
        <x:v>覆盖待核／无可比基准</x:v>
      </x:c>
      <x:c r="Z92" s="19" t="str">
        <x:v>在售、停售</x:v>
      </x:c>
      <x:c r="AA92" s="19" t="n">
        <x:f>IF(SUMIFS('SKU明细'!$AF$9:$AF$1592,'SKU明细'!$D$9:$D$1592,A92,'SKU明细'!$Z$9:$Z$1592,"&lt;&gt;移出")=0,"待核",SUMIFS('SKU明细'!$H$9:$H$1592,'SKU明细'!$D$9:$D$1592,A92,'SKU明细'!$Z$9:$Z$1592,"&lt;&gt;移出"))</x:f>
        <x:v>1442</x:v>
      </x:c>
    </x:row>
    <x:row r="93" ht="54" customHeight="1">
      <x:c r="A93" s="15" t="str">
        <x:v>32582</x:v>
      </x:c>
      <x:c r="B93" s="15" t="str">
        <x:v>徐新怡</x:v>
      </x:c>
      <x:c r="C93" s="15" t="str">
        <x:v>红色</x:v>
      </x:c>
      <x:c r="D93" s="15" t="str">
        <x:v>RD</x:v>
      </x:c>
      <x:c r="E93" s="15" t="str">
        <x:v>32582-RD</x:v>
      </x:c>
      <x:c r="F93" s="15"/>
      <x:c r="G93" s="16" t="str">
        <x:f>"—"</x:f>
        <x:v>—</x:v>
      </x:c>
      <x:c r="H93" s="16" t="str">
        <x:f>IF(AND(COUNT(INDEX('SKU明细'!$H$9:$H$1592,MATCH("[6574,""32582-RD-37""]",'SKU明细'!$AE$9:$AE$1592,0)))=1,COUNT(INDEX('SKU明细'!$G$9:$G$1592,MATCH("[6574,""32582-RD-37""]",'SKU明细'!$AE$9:$AE$1592,0)))=1,SUM(INDEX('SKU明细'!$G$9:$G$1592,MATCH("[6574,""32582-RD-37""]",'SKU明细'!$AE$9:$AE$1592,0)))&gt;0),SUM(INDEX('SKU明细'!$H$9:$H$1592,MATCH("[6574,""32582-RD-37""]",'SKU明细'!$AE$9:$AE$1592,0)))/SUM(INDEX('SKU明细'!$G$9:$G$1592,MATCH("[6574,""32582-RD-37""]",'SKU明细'!$AE$9:$AE$1592,0))),"待核")</x:f>
        <x:v>待核</x:v>
      </x:c>
      <x:c r="I93" s="16" t="n">
        <x:f>IF(AND(COUNT(INDEX('SKU明细'!$H$9:$H$1592,MATCH("[6574,""32582-RD-37.5""]",'SKU明细'!$AE$9:$AE$1592,0)))=1,COUNT(INDEX('SKU明细'!$G$9:$G$1592,MATCH("[6574,""32582-RD-37.5""]",'SKU明细'!$AE$9:$AE$1592,0)))=1,SUM(INDEX('SKU明细'!$G$9:$G$1592,MATCH("[6574,""32582-RD-37.5""]",'SKU明细'!$AE$9:$AE$1592,0)))&gt;0),SUM(INDEX('SKU明细'!$H$9:$H$1592,MATCH("[6574,""32582-RD-37.5""]",'SKU明细'!$AE$9:$AE$1592,0)))/SUM(INDEX('SKU明细'!$G$9:$G$1592,MATCH("[6574,""32582-RD-37.5""]",'SKU明细'!$AE$9:$AE$1592,0))),"待核")</x:f>
        <x:v>434.4827586206897</x:v>
      </x:c>
      <x:c r="J93" s="16" t="str">
        <x:f>IF(AND(COUNT(INDEX('SKU明细'!$H$9:$H$1592,MATCH("[6574,""32582-RD-38""]",'SKU明细'!$AE$9:$AE$1592,0)))=1,COUNT(INDEX('SKU明细'!$G$9:$G$1592,MATCH("[6574,""32582-RD-38""]",'SKU明细'!$AE$9:$AE$1592,0)))=1,SUM(INDEX('SKU明细'!$G$9:$G$1592,MATCH("[6574,""32582-RD-38""]",'SKU明细'!$AE$9:$AE$1592,0)))&gt;0),SUM(INDEX('SKU明细'!$H$9:$H$1592,MATCH("[6574,""32582-RD-38""]",'SKU明细'!$AE$9:$AE$1592,0)))/SUM(INDEX('SKU明细'!$G$9:$G$1592,MATCH("[6574,""32582-RD-38""]",'SKU明细'!$AE$9:$AE$1592,0))),"待核")</x:f>
        <x:v>待核</x:v>
      </x:c>
      <x:c r="K93" s="16" t="str">
        <x:f>IF(AND(COUNT(INDEX('SKU明细'!$H$9:$H$1592,MATCH("[6574,""32582-RD-38.5""]",'SKU明细'!$AE$9:$AE$1592,0)))=1,COUNT(INDEX('SKU明细'!$G$9:$G$1592,MATCH("[6574,""32582-RD-38.5""]",'SKU明细'!$AE$9:$AE$1592,0)))=1,SUM(INDEX('SKU明细'!$G$9:$G$1592,MATCH("[6574,""32582-RD-38.5""]",'SKU明细'!$AE$9:$AE$1592,0)))&gt;0),SUM(INDEX('SKU明细'!$H$9:$H$1592,MATCH("[6574,""32582-RD-38.5""]",'SKU明细'!$AE$9:$AE$1592,0)))/SUM(INDEX('SKU明细'!$G$9:$G$1592,MATCH("[6574,""32582-RD-38.5""]",'SKU明细'!$AE$9:$AE$1592,0))),"待核")</x:f>
        <x:v>待核</x:v>
      </x:c>
      <x:c r="L93" s="16" t="n">
        <x:f>IF(AND(COUNT(INDEX('SKU明细'!$H$9:$H$1592,MATCH("[6574,""32582-RD-39""]",'SKU明细'!$AE$9:$AE$1592,0)))=1,COUNT(INDEX('SKU明细'!$G$9:$G$1592,MATCH("[6574,""32582-RD-39""]",'SKU明细'!$AE$9:$AE$1592,0)))=1,SUM(INDEX('SKU明细'!$G$9:$G$1592,MATCH("[6574,""32582-RD-39""]",'SKU明细'!$AE$9:$AE$1592,0)))&gt;0),SUM(INDEX('SKU明细'!$H$9:$H$1592,MATCH("[6574,""32582-RD-39""]",'SKU明细'!$AE$9:$AE$1592,0)))/SUM(INDEX('SKU明细'!$G$9:$G$1592,MATCH("[6574,""32582-RD-39""]",'SKU明细'!$AE$9:$AE$1592,0))),"待核")</x:f>
        <x:v>100.47846889952154</x:v>
      </x:c>
      <x:c r="M93" s="16" t="str">
        <x:f>IF(AND(COUNT(INDEX('SKU明细'!$H$9:$H$1592,MATCH("[6574,""32582-RD-39.5""]",'SKU明细'!$AE$9:$AE$1592,0)))=1,COUNT(INDEX('SKU明细'!$G$9:$G$1592,MATCH("[6574,""32582-RD-39.5""]",'SKU明细'!$AE$9:$AE$1592,0)))=1,SUM(INDEX('SKU明细'!$G$9:$G$1592,MATCH("[6574,""32582-RD-39.5""]",'SKU明细'!$AE$9:$AE$1592,0)))&gt;0),SUM(INDEX('SKU明细'!$H$9:$H$1592,MATCH("[6574,""32582-RD-39.5""]",'SKU明细'!$AE$9:$AE$1592,0)))/SUM(INDEX('SKU明细'!$G$9:$G$1592,MATCH("[6574,""32582-RD-39.5""]",'SKU明细'!$AE$9:$AE$1592,0))),"待核")</x:f>
        <x:v>待核</x:v>
      </x:c>
      <x:c r="N93" s="16" t="str">
        <x:f>IF(AND(COUNT(INDEX('SKU明细'!$H$9:$H$1592,MATCH("[6574,""32582-RD-40""]",'SKU明细'!$AE$9:$AE$1592,0)))=1,COUNT(INDEX('SKU明细'!$G$9:$G$1592,MATCH("[6574,""32582-RD-40""]",'SKU明细'!$AE$9:$AE$1592,0)))=1,SUM(INDEX('SKU明细'!$G$9:$G$1592,MATCH("[6574,""32582-RD-40""]",'SKU明细'!$AE$9:$AE$1592,0)))&gt;0),SUM(INDEX('SKU明细'!$H$9:$H$1592,MATCH("[6574,""32582-RD-40""]",'SKU明细'!$AE$9:$AE$1592,0)))/SUM(INDEX('SKU明细'!$G$9:$G$1592,MATCH("[6574,""32582-RD-40""]",'SKU明细'!$AE$9:$AE$1592,0))),"待核")</x:f>
        <x:v>待核</x:v>
      </x:c>
      <x:c r="O93" s="16" t="str">
        <x:f>IF(AND(COUNT(INDEX('SKU明细'!$H$9:$H$1592,MATCH("[6574,""32582-RD-40.5""]",'SKU明细'!$AE$9:$AE$1592,0)))=1,COUNT(INDEX('SKU明细'!$G$9:$G$1592,MATCH("[6574,""32582-RD-40.5""]",'SKU明细'!$AE$9:$AE$1592,0)))=1,SUM(INDEX('SKU明细'!$G$9:$G$1592,MATCH("[6574,""32582-RD-40.5""]",'SKU明细'!$AE$9:$AE$1592,0)))&gt;0),SUM(INDEX('SKU明细'!$H$9:$H$1592,MATCH("[6574,""32582-RD-40.5""]",'SKU明细'!$AE$9:$AE$1592,0)))/SUM(INDEX('SKU明细'!$G$9:$G$1592,MATCH("[6574,""32582-RD-40.5""]",'SKU明细'!$AE$9:$AE$1592,0))),"待核")</x:f>
        <x:v>待核</x:v>
      </x:c>
      <x:c r="P93" s="16" t="str">
        <x:f>IF(AND(COUNT(INDEX('SKU明细'!$H$9:$H$1592,MATCH("[6574,""32582-RD-41""]",'SKU明细'!$AE$9:$AE$1592,0)))=1,COUNT(INDEX('SKU明细'!$G$9:$G$1592,MATCH("[6574,""32582-RD-41""]",'SKU明细'!$AE$9:$AE$1592,0)))=1,SUM(INDEX('SKU明细'!$G$9:$G$1592,MATCH("[6574,""32582-RD-41""]",'SKU明细'!$AE$9:$AE$1592,0)))&gt;0),SUM(INDEX('SKU明细'!$H$9:$H$1592,MATCH("[6574,""32582-RD-41""]",'SKU明细'!$AE$9:$AE$1592,0)))/SUM(INDEX('SKU明细'!$G$9:$G$1592,MATCH("[6574,""32582-RD-41""]",'SKU明细'!$AE$9:$AE$1592,0))),"待核")</x:f>
        <x:v>待核</x:v>
      </x:c>
      <x:c r="Q93" s="16" t="str">
        <x:f>IF(AND(COUNT(INDEX('SKU明细'!$H$9:$H$1592,MATCH("[6574,""32582-RD-41.5""]",'SKU明细'!$AE$9:$AE$1592,0)))=1,COUNT(INDEX('SKU明细'!$G$9:$G$1592,MATCH("[6574,""32582-RD-41.5""]",'SKU明细'!$AE$9:$AE$1592,0)))=1,SUM(INDEX('SKU明细'!$G$9:$G$1592,MATCH("[6574,""32582-RD-41.5""]",'SKU明细'!$AE$9:$AE$1592,0)))&gt;0),SUM(INDEX('SKU明细'!$H$9:$H$1592,MATCH("[6574,""32582-RD-41.5""]",'SKU明细'!$AE$9:$AE$1592,0)))/SUM(INDEX('SKU明细'!$G$9:$G$1592,MATCH("[6574,""32582-RD-41.5""]",'SKU明细'!$AE$9:$AE$1592,0))),"待核")</x:f>
        <x:v>待核</x:v>
      </x:c>
      <x:c r="R93" s="16" t="n">
        <x:f>IF(AND(COUNT(INDEX('SKU明细'!$H$9:$H$1592,MATCH("[6574,""32582-RD-42""]",'SKU明细'!$AE$9:$AE$1592,0)))=1,COUNT(INDEX('SKU明细'!$G$9:$G$1592,MATCH("[6574,""32582-RD-42""]",'SKU明细'!$AE$9:$AE$1592,0)))=1,SUM(INDEX('SKU明细'!$G$9:$G$1592,MATCH("[6574,""32582-RD-42""]",'SKU明细'!$AE$9:$AE$1592,0)))&gt;0),SUM(INDEX('SKU明细'!$H$9:$H$1592,MATCH("[6574,""32582-RD-42""]",'SKU明细'!$AE$9:$AE$1592,0)))/SUM(INDEX('SKU明细'!$G$9:$G$1592,MATCH("[6574,""32582-RD-42""]",'SKU明细'!$AE$9:$AE$1592,0))),"待核")</x:f>
        <x:v>0</x:v>
      </x:c>
      <x:c r="S93" s="16" t="n">
        <x:f>IF(AND(COUNT(INDEX('SKU明细'!$H$9:$H$1592,MATCH("[6574,""32582-RD-37.5""]",'SKU明细'!$AE$9:$AE$1592,0)),INDEX('SKU明细'!$H$9:$H$1592,MATCH("[6574,""32582-RD-39""]",'SKU明细'!$AE$9:$AE$1592,0)),INDEX('SKU明细'!$H$9:$H$1592,MATCH("[6574,""32582-RD-37""]",'SKU明细'!$AE$9:$AE$1592,0)),INDEX('SKU明细'!$H$9:$H$1592,MATCH("[6574,""32582-RD-38""]",'SKU明细'!$AE$9:$AE$1592,0)),INDEX('SKU明细'!$H$9:$H$1592,MATCH("[6574,""32582-RD-38.5""]",'SKU明细'!$AE$9:$AE$1592,0)),INDEX('SKU明细'!$H$9:$H$1592,MATCH("[6574,""32582-RD-39.5""]",'SKU明细'!$AE$9:$AE$1592,0)),INDEX('SKU明细'!$H$9:$H$1592,MATCH("[6574,""32582-RD-40""]",'SKU明细'!$AE$9:$AE$1592,0)),INDEX('SKU明细'!$H$9:$H$1592,MATCH("[6574,""32582-RD-40.5""]",'SKU明细'!$AE$9:$AE$1592,0)),INDEX('SKU明细'!$H$9:$H$1592,MATCH("[6574,""32582-RD-41""]",'SKU明细'!$AE$9:$AE$1592,0)),INDEX('SKU明细'!$H$9:$H$1592,MATCH("[6574,""32582-RD-41.5""]",'SKU明细'!$AE$9:$AE$1592,0)),INDEX('SKU明细'!$H$9:$H$1592,MATCH("[6574,""32582-RD-42""]",'SKU明细'!$AE$9:$AE$1592,0)))=11,COUNT(INDEX('SKU明细'!$G$9:$G$1592,MATCH("[6574,""32582-RD-37.5""]",'SKU明细'!$AE$9:$AE$1592,0)),INDEX('SKU明细'!$G$9:$G$1592,MATCH("[6574,""32582-RD-39""]",'SKU明细'!$AE$9:$AE$1592,0)),INDEX('SKU明细'!$G$9:$G$1592,MATCH("[6574,""32582-RD-37""]",'SKU明细'!$AE$9:$AE$1592,0)),INDEX('SKU明细'!$G$9:$G$1592,MATCH("[6574,""32582-RD-38""]",'SKU明细'!$AE$9:$AE$1592,0)),INDEX('SKU明细'!$G$9:$G$1592,MATCH("[6574,""32582-RD-38.5""]",'SKU明细'!$AE$9:$AE$1592,0)),INDEX('SKU明细'!$G$9:$G$1592,MATCH("[6574,""32582-RD-39.5""]",'SKU明细'!$AE$9:$AE$1592,0)),INDEX('SKU明细'!$G$9:$G$1592,MATCH("[6574,""32582-RD-40""]",'SKU明细'!$AE$9:$AE$1592,0)),INDEX('SKU明细'!$G$9:$G$1592,MATCH("[6574,""32582-RD-40.5""]",'SKU明细'!$AE$9:$AE$1592,0)),INDEX('SKU明细'!$G$9:$G$1592,MATCH("[6574,""32582-RD-41""]",'SKU明细'!$AE$9:$AE$1592,0)),INDEX('SKU明细'!$G$9:$G$1592,MATCH("[6574,""32582-RD-41.5""]",'SKU明细'!$AE$9:$AE$1592,0)),INDEX('SKU明细'!$G$9:$G$1592,MATCH("[6574,""32582-RD-42""]",'SKU明细'!$AE$9:$AE$1592,0)))=11,SUM(INDEX('SKU明细'!$G$9:$G$1592,MATCH("[6574,""32582-RD-37.5""]",'SKU明细'!$AE$9:$AE$1592,0)),INDEX('SKU明细'!$G$9:$G$1592,MATCH("[6574,""32582-RD-39""]",'SKU明细'!$AE$9:$AE$1592,0)),INDEX('SKU明细'!$G$9:$G$1592,MATCH("[6574,""32582-RD-37""]",'SKU明细'!$AE$9:$AE$1592,0)),INDEX('SKU明细'!$G$9:$G$1592,MATCH("[6574,""32582-RD-38""]",'SKU明细'!$AE$9:$AE$1592,0)),INDEX('SKU明细'!$G$9:$G$1592,MATCH("[6574,""32582-RD-38.5""]",'SKU明细'!$AE$9:$AE$1592,0)),INDEX('SKU明细'!$G$9:$G$1592,MATCH("[6574,""32582-RD-39.5""]",'SKU明细'!$AE$9:$AE$1592,0)),INDEX('SKU明细'!$G$9:$G$1592,MATCH("[6574,""32582-RD-40""]",'SKU明细'!$AE$9:$AE$1592,0)),INDEX('SKU明细'!$G$9:$G$1592,MATCH("[6574,""32582-RD-40.5""]",'SKU明细'!$AE$9:$AE$1592,0)),INDEX('SKU明细'!$G$9:$G$1592,MATCH("[6574,""32582-RD-41""]",'SKU明细'!$AE$9:$AE$1592,0)),INDEX('SKU明细'!$G$9:$G$1592,MATCH("[6574,""32582-RD-41.5""]",'SKU明细'!$AE$9:$AE$1592,0)),INDEX('SKU明细'!$G$9:$G$1592,MATCH("[6574,""32582-RD-42""]",'SKU明细'!$AE$9:$AE$1592,0)))&gt;0),SUM(INDEX('SKU明细'!$H$9:$H$1592,MATCH("[6574,""32582-RD-37.5""]",'SKU明细'!$AE$9:$AE$1592,0)),INDEX('SKU明细'!$H$9:$H$1592,MATCH("[6574,""32582-RD-39""]",'SKU明细'!$AE$9:$AE$1592,0)),INDEX('SKU明细'!$H$9:$H$1592,MATCH("[6574,""32582-RD-37""]",'SKU明细'!$AE$9:$AE$1592,0)),INDEX('SKU明细'!$H$9:$H$1592,MATCH("[6574,""32582-RD-38""]",'SKU明细'!$AE$9:$AE$1592,0)),INDEX('SKU明细'!$H$9:$H$1592,MATCH("[6574,""32582-RD-38.5""]",'SKU明细'!$AE$9:$AE$1592,0)),INDEX('SKU明细'!$H$9:$H$1592,MATCH("[6574,""32582-RD-39.5""]",'SKU明细'!$AE$9:$AE$1592,0)),INDEX('SKU明细'!$H$9:$H$1592,MATCH("[6574,""32582-RD-40""]",'SKU明细'!$AE$9:$AE$1592,0)),INDEX('SKU明细'!$H$9:$H$1592,MATCH("[6574,""32582-RD-40.5""]",'SKU明细'!$AE$9:$AE$1592,0)),INDEX('SKU明细'!$H$9:$H$1592,MATCH("[6574,""32582-RD-41""]",'SKU明细'!$AE$9:$AE$1592,0)),INDEX('SKU明细'!$H$9:$H$1592,MATCH("[6574,""32582-RD-41.5""]",'SKU明细'!$AE$9:$AE$1592,0)),INDEX('SKU明细'!$H$9:$H$1592,MATCH("[6574,""32582-RD-42""]",'SKU明细'!$AE$9:$AE$1592,0)))/SUM(INDEX('SKU明细'!$G$9:$G$1592,MATCH("[6574,""32582-RD-37.5""]",'SKU明细'!$AE$9:$AE$1592,0)),INDEX('SKU明细'!$G$9:$G$1592,MATCH("[6574,""32582-RD-39""]",'SKU明细'!$AE$9:$AE$1592,0)),INDEX('SKU明细'!$G$9:$G$1592,MATCH("[6574,""32582-RD-37""]",'SKU明细'!$AE$9:$AE$1592,0)),INDEX('SKU明细'!$G$9:$G$1592,MATCH("[6574,""32582-RD-38""]",'SKU明细'!$AE$9:$AE$1592,0)),INDEX('SKU明细'!$G$9:$G$1592,MATCH("[6574,""32582-RD-38.5""]",'SKU明细'!$AE$9:$AE$1592,0)),INDEX('SKU明细'!$G$9:$G$1592,MATCH("[6574,""32582-RD-39.5""]",'SKU明细'!$AE$9:$AE$1592,0)),INDEX('SKU明细'!$G$9:$G$1592,MATCH("[6574,""32582-RD-40""]",'SKU明细'!$AE$9:$AE$1592,0)),INDEX('SKU明细'!$G$9:$G$1592,MATCH("[6574,""32582-RD-40.5""]",'SKU明细'!$AE$9:$AE$1592,0)),INDEX('SKU明细'!$G$9:$G$1592,MATCH("[6574,""32582-RD-41""]",'SKU明细'!$AE$9:$AE$1592,0)),INDEX('SKU明细'!$G$9:$G$1592,MATCH("[6574,""32582-RD-41.5""]",'SKU明细'!$AE$9:$AE$1592,0)),INDEX('SKU明细'!$G$9:$G$1592,MATCH("[6574,""32582-RD-42""]",'SKU明细'!$AE$9:$AE$1592,0))),"待核")</x:f>
        <x:v>99.32432432432434</x:v>
      </x:c>
      <x:c r="T93" s="16" t="str">
        <x:f>IF(AND(COUNT(INDEX('SKU明细'!$I$9:$I$1592,MATCH("[6574,""32582-RD-37.5""]",'SKU明细'!$AE$9:$AE$1592,0)),INDEX('SKU明细'!$I$9:$I$1592,MATCH("[6574,""32582-RD-39""]",'SKU明细'!$AE$9:$AE$1592,0)),INDEX('SKU明细'!$I$9:$I$1592,MATCH("[6574,""32582-RD-37""]",'SKU明细'!$AE$9:$AE$1592,0)),INDEX('SKU明细'!$I$9:$I$1592,MATCH("[6574,""32582-RD-38""]",'SKU明细'!$AE$9:$AE$1592,0)),INDEX('SKU明细'!$I$9:$I$1592,MATCH("[6574,""32582-RD-38.5""]",'SKU明细'!$AE$9:$AE$1592,0)),INDEX('SKU明细'!$I$9:$I$1592,MATCH("[6574,""32582-RD-39.5""]",'SKU明细'!$AE$9:$AE$1592,0)),INDEX('SKU明细'!$I$9:$I$1592,MATCH("[6574,""32582-RD-40""]",'SKU明细'!$AE$9:$AE$1592,0)),INDEX('SKU明细'!$I$9:$I$1592,MATCH("[6574,""32582-RD-40.5""]",'SKU明细'!$AE$9:$AE$1592,0)),INDEX('SKU明细'!$I$9:$I$1592,MATCH("[6574,""32582-RD-41""]",'SKU明细'!$AE$9:$AE$1592,0)),INDEX('SKU明细'!$I$9:$I$1592,MATCH("[6574,""32582-RD-41.5""]",'SKU明细'!$AE$9:$AE$1592,0)),INDEX('SKU明细'!$I$9:$I$1592,MATCH("[6574,""32582-RD-42""]",'SKU明细'!$AE$9:$AE$1592,0)))=11,COUNT(INDEX('SKU明细'!$AD$9:$AD$1592,MATCH("[6574,""32582-RD-37.5""]",'SKU明细'!$AE$9:$AE$1592,0)),INDEX('SKU明细'!$AD$9:$AD$1592,MATCH("[6574,""32582-RD-39""]",'SKU明细'!$AE$9:$AE$1592,0)),INDEX('SKU明细'!$AD$9:$AD$1592,MATCH("[6574,""32582-RD-37""]",'SKU明细'!$AE$9:$AE$1592,0)),INDEX('SKU明细'!$AD$9:$AD$1592,MATCH("[6574,""32582-RD-38""]",'SKU明细'!$AE$9:$AE$1592,0)),INDEX('SKU明细'!$AD$9:$AD$1592,MATCH("[6574,""32582-RD-38.5""]",'SKU明细'!$AE$9:$AE$1592,0)),INDEX('SKU明细'!$AD$9:$AD$1592,MATCH("[6574,""32582-RD-39.5""]",'SKU明细'!$AE$9:$AE$1592,0)),INDEX('SKU明细'!$AD$9:$AD$1592,MATCH("[6574,""32582-RD-40""]",'SKU明细'!$AE$9:$AE$1592,0)),INDEX('SKU明细'!$AD$9:$AD$1592,MATCH("[6574,""32582-RD-40.5""]",'SKU明细'!$AE$9:$AE$1592,0)),INDEX('SKU明细'!$AD$9:$AD$1592,MATCH("[6574,""32582-RD-41""]",'SKU明细'!$AE$9:$AE$1592,0)),INDEX('SKU明细'!$AD$9:$AD$1592,MATCH("[6574,""32582-RD-41.5""]",'SKU明细'!$AE$9:$AE$1592,0)),INDEX('SKU明细'!$AD$9:$AD$1592,MATCH("[6574,""32582-RD-42""]",'SKU明细'!$AE$9:$AE$1592,0)))=11,SUM(INDEX('SKU明细'!$AD$9:$AD$1592,MATCH("[6574,""32582-RD-37.5""]",'SKU明细'!$AE$9:$AE$1592,0)),INDEX('SKU明细'!$AD$9:$AD$1592,MATCH("[6574,""32582-RD-39""]",'SKU明细'!$AE$9:$AE$1592,0)),INDEX('SKU明细'!$AD$9:$AD$1592,MATCH("[6574,""32582-RD-37""]",'SKU明细'!$AE$9:$AE$1592,0)),INDEX('SKU明细'!$AD$9:$AD$1592,MATCH("[6574,""32582-RD-38""]",'SKU明细'!$AE$9:$AE$1592,0)),INDEX('SKU明细'!$AD$9:$AD$1592,MATCH("[6574,""32582-RD-38.5""]",'SKU明细'!$AE$9:$AE$1592,0)),INDEX('SKU明细'!$AD$9:$AD$1592,MATCH("[6574,""32582-RD-39.5""]",'SKU明细'!$AE$9:$AE$1592,0)),INDEX('SKU明细'!$AD$9:$AD$1592,MATCH("[6574,""32582-RD-40""]",'SKU明细'!$AE$9:$AE$1592,0)),INDEX('SKU明细'!$AD$9:$AD$1592,MATCH("[6574,""32582-RD-40.5""]",'SKU明细'!$AE$9:$AE$1592,0)),INDEX('SKU明细'!$AD$9:$AD$1592,MATCH("[6574,""32582-RD-41""]",'SKU明细'!$AE$9:$AE$1592,0)),INDEX('SKU明细'!$AD$9:$AD$1592,MATCH("[6574,""32582-RD-41.5""]",'SKU明细'!$AE$9:$AE$1592,0)),INDEX('SKU明细'!$AD$9:$AD$1592,MATCH("[6574,""32582-RD-42""]",'SKU明细'!$AE$9:$AE$1592,0)))&gt;0),SUM(INDEX('SKU明细'!$I$9:$I$1592,MATCH("[6574,""32582-RD-37.5""]",'SKU明细'!$AE$9:$AE$1592,0)),INDEX('SKU明细'!$I$9:$I$1592,MATCH("[6574,""32582-RD-39""]",'SKU明细'!$AE$9:$AE$1592,0)),INDEX('SKU明细'!$I$9:$I$1592,MATCH("[6574,""32582-RD-37""]",'SKU明细'!$AE$9:$AE$1592,0)),INDEX('SKU明细'!$I$9:$I$1592,MATCH("[6574,""32582-RD-38""]",'SKU明细'!$AE$9:$AE$1592,0)),INDEX('SKU明细'!$I$9:$I$1592,MATCH("[6574,""32582-RD-38.5""]",'SKU明细'!$AE$9:$AE$1592,0)),INDEX('SKU明细'!$I$9:$I$1592,MATCH("[6574,""32582-RD-39.5""]",'SKU明细'!$AE$9:$AE$1592,0)),INDEX('SKU明细'!$I$9:$I$1592,MATCH("[6574,""32582-RD-40""]",'SKU明细'!$AE$9:$AE$1592,0)),INDEX('SKU明细'!$I$9:$I$1592,MATCH("[6574,""32582-RD-40.5""]",'SKU明细'!$AE$9:$AE$1592,0)),INDEX('SKU明细'!$I$9:$I$1592,MATCH("[6574,""32582-RD-41""]",'SKU明细'!$AE$9:$AE$1592,0)),INDEX('SKU明细'!$I$9:$I$1592,MATCH("[6574,""32582-RD-41.5""]",'SKU明细'!$AE$9:$AE$1592,0)),INDEX('SKU明细'!$I$9:$I$1592,MATCH("[6574,""32582-RD-42""]",'SKU明细'!$AE$9:$AE$1592,0)))/SUM(INDEX('SKU明细'!$AD$9:$AD$1592,MATCH("[6574,""32582-RD-37.5""]",'SKU明细'!$AE$9:$AE$1592,0)),INDEX('SKU明细'!$AD$9:$AD$1592,MATCH("[6574,""32582-RD-39""]",'SKU明细'!$AE$9:$AE$1592,0)),INDEX('SKU明细'!$AD$9:$AD$1592,MATCH("[6574,""32582-RD-37""]",'SKU明细'!$AE$9:$AE$1592,0)),INDEX('SKU明细'!$AD$9:$AD$1592,MATCH("[6574,""32582-RD-38""]",'SKU明细'!$AE$9:$AE$1592,0)),INDEX('SKU明细'!$AD$9:$AD$1592,MATCH("[6574,""32582-RD-38.5""]",'SKU明细'!$AE$9:$AE$1592,0)),INDEX('SKU明细'!$AD$9:$AD$1592,MATCH("[6574,""32582-RD-39.5""]",'SKU明细'!$AE$9:$AE$1592,0)),INDEX('SKU明细'!$AD$9:$AD$1592,MATCH("[6574,""32582-RD-40""]",'SKU明细'!$AE$9:$AE$1592,0)),INDEX('SKU明细'!$AD$9:$AD$1592,MATCH("[6574,""32582-RD-40.5""]",'SKU明细'!$AE$9:$AE$1592,0)),INDEX('SKU明细'!$AD$9:$AD$1592,MATCH("[6574,""32582-RD-41""]",'SKU明细'!$AE$9:$AE$1592,0)),INDEX('SKU明细'!$AD$9:$AD$1592,MATCH("[6574,""32582-RD-41.5""]",'SKU明细'!$AE$9:$AE$1592,0)),INDEX('SKU明细'!$AD$9:$AD$1592,MATCH("[6574,""32582-RD-42""]",'SKU明细'!$AE$9:$AE$1592,0))),"待核")</x:f>
        <x:v>待核</x:v>
      </x:c>
      <x:c r="U93" s="16" t="str">
        <x:f>IF(COUNT(S93:T93)=2,S93-T93,"待核")</x:f>
        <x:v>待核</x:v>
      </x:c>
      <x:c r="V93" s="17" t="str">
        <x:f>IF(AND(ISNUMBER(U93),ISNUMBER(T93),T93&lt;&gt;0),U93/T93,"")</x:f>
      </x:c>
      <x:c r="W93" s="18" t="n">
        <x:f>IF(COUNT(INDEX('SKU明细'!$H$9:$H$1592,MATCH("[6574,""32582-RD-37.5""]",'SKU明细'!$AE$9:$AE$1592,0)),INDEX('SKU明细'!$H$9:$H$1592,MATCH("[6574,""32582-RD-39""]",'SKU明细'!$AE$9:$AE$1592,0)),INDEX('SKU明细'!$H$9:$H$1592,MATCH("[6574,""32582-RD-37""]",'SKU明细'!$AE$9:$AE$1592,0)),INDEX('SKU明细'!$H$9:$H$1592,MATCH("[6574,""32582-RD-38""]",'SKU明细'!$AE$9:$AE$1592,0)),INDEX('SKU明细'!$H$9:$H$1592,MATCH("[6574,""32582-RD-38.5""]",'SKU明细'!$AE$9:$AE$1592,0)),INDEX('SKU明细'!$H$9:$H$1592,MATCH("[6574,""32582-RD-39.5""]",'SKU明细'!$AE$9:$AE$1592,0)),INDEX('SKU明细'!$H$9:$H$1592,MATCH("[6574,""32582-RD-40""]",'SKU明细'!$AE$9:$AE$1592,0)),INDEX('SKU明细'!$H$9:$H$1592,MATCH("[6574,""32582-RD-40.5""]",'SKU明细'!$AE$9:$AE$1592,0)),INDEX('SKU明细'!$H$9:$H$1592,MATCH("[6574,""32582-RD-41""]",'SKU明细'!$AE$9:$AE$1592,0)),INDEX('SKU明细'!$H$9:$H$1592,MATCH("[6574,""32582-RD-41.5""]",'SKU明细'!$AE$9:$AE$1592,0)),INDEX('SKU明细'!$H$9:$H$1592,MATCH("[6574,""32582-RD-42""]",'SKU明细'!$AE$9:$AE$1592,0)))=0,"待核",SUM(INDEX('SKU明细'!$H$9:$H$1592,MATCH("[6574,""32582-RD-37.5""]",'SKU明细'!$AE$9:$AE$1592,0)),INDEX('SKU明细'!$H$9:$H$1592,MATCH("[6574,""32582-RD-39""]",'SKU明细'!$AE$9:$AE$1592,0)),INDEX('SKU明细'!$H$9:$H$1592,MATCH("[6574,""32582-RD-37""]",'SKU明细'!$AE$9:$AE$1592,0)),INDEX('SKU明细'!$H$9:$H$1592,MATCH("[6574,""32582-RD-38""]",'SKU明细'!$AE$9:$AE$1592,0)),INDEX('SKU明细'!$H$9:$H$1592,MATCH("[6574,""32582-RD-38.5""]",'SKU明细'!$AE$9:$AE$1592,0)),INDEX('SKU明细'!$H$9:$H$1592,MATCH("[6574,""32582-RD-39.5""]",'SKU明细'!$AE$9:$AE$1592,0)),INDEX('SKU明细'!$H$9:$H$1592,MATCH("[6574,""32582-RD-40""]",'SKU明细'!$AE$9:$AE$1592,0)),INDEX('SKU明细'!$H$9:$H$1592,MATCH("[6574,""32582-RD-40.5""]",'SKU明细'!$AE$9:$AE$1592,0)),INDEX('SKU明细'!$H$9:$H$1592,MATCH("[6574,""32582-RD-41""]",'SKU明细'!$AE$9:$AE$1592,0)),INDEX('SKU明细'!$H$9:$H$1592,MATCH("[6574,""32582-RD-41.5""]",'SKU明细'!$AE$9:$AE$1592,0)),INDEX('SKU明细'!$H$9:$H$1592,MATCH("[6574,""32582-RD-42""]",'SKU明细'!$AE$9:$AE$1592,0))))</x:f>
        <x:v>28</x:v>
      </x:c>
      <x:c r="X93" s="19" t="str">
        <x:f>IF(COUNTIFS('SKU明细'!$AH$9:$AH$1592,"[""32582"",""32582-RD"",""RD"",""红色""]",'SKU明细'!$E$9:$E$1592,"促销")&gt;0,"促销 ","")&amp;IF(COUNTIFS('SKU明细'!$AH$9:$AH$1592,"[""32582"",""32582-RD"",""RD"",""红色""]",'SKU明细'!$E$9:$E$1592,"红线促销")&gt;0,"红线促销 ","")&amp;IF(COUNTIFS('SKU明细'!$AH$9:$AH$1592,"[""32582"",""32582-RD"",""RD"",""红色""]",'SKU明细'!$E$9:$E$1592,"考虑清仓")&gt;0,"考虑清仓 ","")&amp;IF(COUNTIFS('SKU明细'!$AH$9:$AH$1592,"[""32582"",""32582-RD"",""RD"",""红色""]",'SKU明细'!$E$9:$E$1592,"断货")&gt;0,"断货 ","")&amp;IF(COUNTIFS('SKU明细'!$AH$9:$AH$1592,"[""32582"",""32582-RD"",""RD"",""红色""]",'SKU明细'!$E$9:$E$1592,"零日销待复核")&gt;0,"零日销待复核 ","")&amp;IF(COUNTIFS('SKU明细'!$AH$9:$AH$1592,"[""32582"",""32582-RD"",""RD"",""红色""]",'SKU明细'!$E$9:$E$1592,"数据待核")&gt;0,"数据待核 ","")&amp;IF(COUNTIFS('SKU明细'!$AH$9:$AH$1592,"[""32582"",""32582-RD"",""RD"",""红色""]",'SKU明细'!$E$9:$E$1592,"正常库存")&gt;0,"正常库存 ","")&amp;IF(COUNTIFS('SKU明细'!$AH$9:$AH$1592,"[""32582"",""32582-RD"",""RD"",""红色""]",'SKU明细'!$E$9:$E$1592,"补货提醒")&gt;0,"补货提醒 ","")</x:f>
        <x:v>促销 考虑清仓 断货 </x:v>
      </x:c>
      <x:c r="Y93" s="19" t="str">
        <x:f>IF(NOT(ISNUMBER(U93)),"覆盖待核／无可比基准","完整可比")</x:f>
        <x:v>覆盖待核／无可比基准</x:v>
      </x:c>
      <x:c r="Z93" s="19" t="str">
        <x:v>在售、停售</x:v>
      </x:c>
      <x:c r="AA93" s="19" t="n">
        <x:f>IF(SUMIFS('SKU明细'!$AF$9:$AF$1592,'SKU明细'!$D$9:$D$1592,A93,'SKU明细'!$Z$9:$Z$1592,"&lt;&gt;移出")=0,"待核",SUMIFS('SKU明细'!$H$9:$H$1592,'SKU明细'!$D$9:$D$1592,A93,'SKU明细'!$Z$9:$Z$1592,"&lt;&gt;移出"))</x:f>
        <x:v>1442</x:v>
      </x:c>
    </x:row>
    <x:row r="94" ht="54" customHeight="1">
      <x:c r="A94" s="15" t="str">
        <x:v>32582</x:v>
      </x:c>
      <x:c r="B94" s="15" t="str">
        <x:v>徐新怡</x:v>
      </x:c>
      <x:c r="C94" s="15" t="str">
        <x:v>驼色</x:v>
      </x:c>
      <x:c r="D94" s="15" t="str">
        <x:v>TN</x:v>
      </x:c>
      <x:c r="E94" s="15" t="str">
        <x:v>32582-TN</x:v>
      </x:c>
      <x:c r="F94" s="15"/>
      <x:c r="G94" s="16" t="str">
        <x:f>"—"</x:f>
        <x:v>—</x:v>
      </x:c>
      <x:c r="H94" s="16" t="n">
        <x:f>IF(AND(COUNT(INDEX('SKU明细'!$H$9:$H$1592,MATCH("[6574,""32582-TN-37""]",'SKU明细'!$AE$9:$AE$1592,0)))=1,COUNT(INDEX('SKU明细'!$G$9:$G$1592,MATCH("[6574,""32582-TN-37""]",'SKU明细'!$AE$9:$AE$1592,0)))=1,SUM(INDEX('SKU明细'!$G$9:$G$1592,MATCH("[6574,""32582-TN-37""]",'SKU明细'!$AE$9:$AE$1592,0)))&gt;0),SUM(INDEX('SKU明细'!$H$9:$H$1592,MATCH("[6574,""32582-TN-37""]",'SKU明细'!$AE$9:$AE$1592,0)))/SUM(INDEX('SKU明细'!$G$9:$G$1592,MATCH("[6574,""32582-TN-37""]",'SKU明细'!$AE$9:$AE$1592,0))),"待核")</x:f>
        <x:v>92.03187250996017</x:v>
      </x:c>
      <x:c r="I94" s="16" t="n">
        <x:f>IF(AND(COUNT(INDEX('SKU明细'!$H$9:$H$1592,MATCH("[6574,""32582-TN-37.5""]",'SKU明细'!$AE$9:$AE$1592,0)))=1,COUNT(INDEX('SKU明细'!$G$9:$G$1592,MATCH("[6574,""32582-TN-37.5""]",'SKU明细'!$AE$9:$AE$1592,0)))=1,SUM(INDEX('SKU明细'!$G$9:$G$1592,MATCH("[6574,""32582-TN-37.5""]",'SKU明细'!$AE$9:$AE$1592,0)))&gt;0),SUM(INDEX('SKU明细'!$H$9:$H$1592,MATCH("[6574,""32582-TN-37.5""]",'SKU明细'!$AE$9:$AE$1592,0)))/SUM(INDEX('SKU明细'!$G$9:$G$1592,MATCH("[6574,""32582-TN-37.5""]",'SKU明细'!$AE$9:$AE$1592,0))),"待核")</x:f>
        <x:v>36.52173913043479</x:v>
      </x:c>
      <x:c r="J94" s="16" t="n">
        <x:f>IF(AND(COUNT(INDEX('SKU明细'!$H$9:$H$1592,MATCH("[6574,""32582-TN-38""]",'SKU明细'!$AE$9:$AE$1592,0)))=1,COUNT(INDEX('SKU明细'!$G$9:$G$1592,MATCH("[6574,""32582-TN-38""]",'SKU明细'!$AE$9:$AE$1592,0)))=1,SUM(INDEX('SKU明细'!$G$9:$G$1592,MATCH("[6574,""32582-TN-38""]",'SKU明细'!$AE$9:$AE$1592,0)))&gt;0),SUM(INDEX('SKU明细'!$H$9:$H$1592,MATCH("[6574,""32582-TN-38""]",'SKU明细'!$AE$9:$AE$1592,0)))/SUM(INDEX('SKU明细'!$G$9:$G$1592,MATCH("[6574,""32582-TN-38""]",'SKU明细'!$AE$9:$AE$1592,0))),"待核")</x:f>
        <x:v>156.0810810810811</x:v>
      </x:c>
      <x:c r="K94" s="16" t="n">
        <x:f>IF(AND(COUNT(INDEX('SKU明细'!$H$9:$H$1592,MATCH("[6574,""32582-TN-38.5""]",'SKU明细'!$AE$9:$AE$1592,0)))=1,COUNT(INDEX('SKU明细'!$G$9:$G$1592,MATCH("[6574,""32582-TN-38.5""]",'SKU明细'!$AE$9:$AE$1592,0)))=1,SUM(INDEX('SKU明细'!$G$9:$G$1592,MATCH("[6574,""32582-TN-38.5""]",'SKU明细'!$AE$9:$AE$1592,0)))&gt;0),SUM(INDEX('SKU明细'!$H$9:$H$1592,MATCH("[6574,""32582-TN-38.5""]",'SKU明细'!$AE$9:$AE$1592,0)))/SUM(INDEX('SKU明细'!$G$9:$G$1592,MATCH("[6574,""32582-TN-38.5""]",'SKU明细'!$AE$9:$AE$1592,0))),"待核")</x:f>
        <x:v>346.95652173913044</x:v>
      </x:c>
      <x:c r="L94" s="16" t="n">
        <x:f>IF(AND(COUNT(INDEX('SKU明细'!$H$9:$H$1592,MATCH("[6574,""32582-TN-39""]",'SKU明细'!$AE$9:$AE$1592,0)))=1,COUNT(INDEX('SKU明细'!$G$9:$G$1592,MATCH("[6574,""32582-TN-39""]",'SKU明细'!$AE$9:$AE$1592,0)))=1,SUM(INDEX('SKU明细'!$G$9:$G$1592,MATCH("[6574,""32582-TN-39""]",'SKU明细'!$AE$9:$AE$1592,0)))&gt;0),SUM(INDEX('SKU明细'!$H$9:$H$1592,MATCH("[6574,""32582-TN-39""]",'SKU明细'!$AE$9:$AE$1592,0)))/SUM(INDEX('SKU明细'!$G$9:$G$1592,MATCH("[6574,""32582-TN-39""]",'SKU明细'!$AE$9:$AE$1592,0))),"待核")</x:f>
        <x:v>30.466321243523318</x:v>
      </x:c>
      <x:c r="M94" s="16" t="n">
        <x:f>IF(AND(COUNT(INDEX('SKU明细'!$H$9:$H$1592,MATCH("[6574,""32582-TN-39.5""]",'SKU明细'!$AE$9:$AE$1592,0)))=1,COUNT(INDEX('SKU明细'!$G$9:$G$1592,MATCH("[6574,""32582-TN-39.5""]",'SKU明细'!$AE$9:$AE$1592,0)))=1,SUM(INDEX('SKU明细'!$G$9:$G$1592,MATCH("[6574,""32582-TN-39.5""]",'SKU明细'!$AE$9:$AE$1592,0)))&gt;0),SUM(INDEX('SKU明细'!$H$9:$H$1592,MATCH("[6574,""32582-TN-39.5""]",'SKU明细'!$AE$9:$AE$1592,0)))/SUM(INDEX('SKU明细'!$G$9:$G$1592,MATCH("[6574,""32582-TN-39.5""]",'SKU明细'!$AE$9:$AE$1592,0))),"待核")</x:f>
        <x:v>47.96954314720813</x:v>
      </x:c>
      <x:c r="N94" s="16" t="n">
        <x:f>IF(AND(COUNT(INDEX('SKU明细'!$H$9:$H$1592,MATCH("[6574,""32582-TN-40""]",'SKU明细'!$AE$9:$AE$1592,0)))=1,COUNT(INDEX('SKU明细'!$G$9:$G$1592,MATCH("[6574,""32582-TN-40""]",'SKU明细'!$AE$9:$AE$1592,0)))=1,SUM(INDEX('SKU明细'!$G$9:$G$1592,MATCH("[6574,""32582-TN-40""]",'SKU明细'!$AE$9:$AE$1592,0)))&gt;0),SUM(INDEX('SKU明细'!$H$9:$H$1592,MATCH("[6574,""32582-TN-40""]",'SKU明细'!$AE$9:$AE$1592,0)))/SUM(INDEX('SKU明细'!$G$9:$G$1592,MATCH("[6574,""32582-TN-40""]",'SKU明细'!$AE$9:$AE$1592,0))),"待核")</x:f>
        <x:v>71.01449275362319</x:v>
      </x:c>
      <x:c r="O94" s="16" t="n">
        <x:f>IF(AND(COUNT(INDEX('SKU明细'!$H$9:$H$1592,MATCH("[6574,""32582-TN-40.5""]",'SKU明细'!$AE$9:$AE$1592,0)))=1,COUNT(INDEX('SKU明细'!$G$9:$G$1592,MATCH("[6574,""32582-TN-40.5""]",'SKU明细'!$AE$9:$AE$1592,0)))=1,SUM(INDEX('SKU明细'!$G$9:$G$1592,MATCH("[6574,""32582-TN-40.5""]",'SKU明细'!$AE$9:$AE$1592,0)))&gt;0),SUM(INDEX('SKU明细'!$H$9:$H$1592,MATCH("[6574,""32582-TN-40.5""]",'SKU明细'!$AE$9:$AE$1592,0)))/SUM(INDEX('SKU明细'!$G$9:$G$1592,MATCH("[6574,""32582-TN-40.5""]",'SKU明细'!$AE$9:$AE$1592,0))),"待核")</x:f>
        <x:v>690</x:v>
      </x:c>
      <x:c r="P94" s="16" t="n">
        <x:f>IF(AND(COUNT(INDEX('SKU明细'!$H$9:$H$1592,MATCH("[6574,""32582-TN-41""]",'SKU明细'!$AE$9:$AE$1592,0)))=1,COUNT(INDEX('SKU明细'!$G$9:$G$1592,MATCH("[6574,""32582-TN-41""]",'SKU明细'!$AE$9:$AE$1592,0)))=1,SUM(INDEX('SKU明细'!$G$9:$G$1592,MATCH("[6574,""32582-TN-41""]",'SKU明细'!$AE$9:$AE$1592,0)))&gt;0),SUM(INDEX('SKU明细'!$H$9:$H$1592,MATCH("[6574,""32582-TN-41""]",'SKU明细'!$AE$9:$AE$1592,0)))/SUM(INDEX('SKU明细'!$G$9:$G$1592,MATCH("[6574,""32582-TN-41""]",'SKU明细'!$AE$9:$AE$1592,0))),"待核")</x:f>
        <x:v>320.83333333333337</x:v>
      </x:c>
      <x:c r="Q94" s="16" t="str">
        <x:f>IF(AND(COUNT(INDEX('SKU明细'!$H$9:$H$1592,MATCH("[6574,""32582-TN-41.5""]",'SKU明细'!$AE$9:$AE$1592,0)))=1,COUNT(INDEX('SKU明细'!$G$9:$G$1592,MATCH("[6574,""32582-TN-41.5""]",'SKU明细'!$AE$9:$AE$1592,0)))=1,SUM(INDEX('SKU明细'!$G$9:$G$1592,MATCH("[6574,""32582-TN-41.5""]",'SKU明细'!$AE$9:$AE$1592,0)))&gt;0),SUM(INDEX('SKU明细'!$H$9:$H$1592,MATCH("[6574,""32582-TN-41.5""]",'SKU明细'!$AE$9:$AE$1592,0)))/SUM(INDEX('SKU明细'!$G$9:$G$1592,MATCH("[6574,""32582-TN-41.5""]",'SKU明细'!$AE$9:$AE$1592,0))),"待核")</x:f>
        <x:v>待核</x:v>
      </x:c>
      <x:c r="R94" s="16" t="n">
        <x:f>IF(AND(COUNT(INDEX('SKU明细'!$H$9:$H$1592,MATCH("[6574,""32582-TN-42""]",'SKU明细'!$AE$9:$AE$1592,0)))=1,COUNT(INDEX('SKU明细'!$G$9:$G$1592,MATCH("[6574,""32582-TN-42""]",'SKU明细'!$AE$9:$AE$1592,0)))=1,SUM(INDEX('SKU明细'!$G$9:$G$1592,MATCH("[6574,""32582-TN-42""]",'SKU明细'!$AE$9:$AE$1592,0)))&gt;0),SUM(INDEX('SKU明细'!$H$9:$H$1592,MATCH("[6574,""32582-TN-42""]",'SKU明细'!$AE$9:$AE$1592,0)))/SUM(INDEX('SKU明细'!$G$9:$G$1592,MATCH("[6574,""32582-TN-42""]",'SKU明细'!$AE$9:$AE$1592,0))),"待核")</x:f>
        <x:v>287.67123287671234</x:v>
      </x:c>
      <x:c r="S94" s="16" t="n">
        <x:f>IF(AND(COUNT(INDEX('SKU明细'!$H$9:$H$1592,MATCH("[6574,""32582-TN-40.5""]",'SKU明细'!$AE$9:$AE$1592,0)),INDEX('SKU明细'!$H$9:$H$1592,MATCH("[6574,""32582-TN-38.5""]",'SKU明细'!$AE$9:$AE$1592,0)),INDEX('SKU明细'!$H$9:$H$1592,MATCH("[6574,""32582-TN-41""]",'SKU明细'!$AE$9:$AE$1592,0)),INDEX('SKU明细'!$H$9:$H$1592,MATCH("[6574,""32582-TN-42""]",'SKU明细'!$AE$9:$AE$1592,0)),INDEX('SKU明细'!$H$9:$H$1592,MATCH("[6574,""32582-TN-37""]",'SKU明细'!$AE$9:$AE$1592,0)),INDEX('SKU明细'!$H$9:$H$1592,MATCH("[6574,""32582-TN-38""]",'SKU明细'!$AE$9:$AE$1592,0)),INDEX('SKU明细'!$H$9:$H$1592,MATCH("[6574,""32582-TN-41.5""]",'SKU明细'!$AE$9:$AE$1592,0)),INDEX('SKU明细'!$H$9:$H$1592,MATCH("[6574,""32582-TN-40""]",'SKU明细'!$AE$9:$AE$1592,0)),INDEX('SKU明细'!$H$9:$H$1592,MATCH("[6574,""32582-TN-37.5""]",'SKU明细'!$AE$9:$AE$1592,0)),INDEX('SKU明细'!$H$9:$H$1592,MATCH("[6574,""32582-TN-39""]",'SKU明细'!$AE$9:$AE$1592,0)),INDEX('SKU明细'!$H$9:$H$1592,MATCH("[6574,""32582-TN-39.5""]",'SKU明细'!$AE$9:$AE$1592,0)))=11,COUNT(INDEX('SKU明细'!$G$9:$G$1592,MATCH("[6574,""32582-TN-40.5""]",'SKU明细'!$AE$9:$AE$1592,0)),INDEX('SKU明细'!$G$9:$G$1592,MATCH("[6574,""32582-TN-38.5""]",'SKU明细'!$AE$9:$AE$1592,0)),INDEX('SKU明细'!$G$9:$G$1592,MATCH("[6574,""32582-TN-41""]",'SKU明细'!$AE$9:$AE$1592,0)),INDEX('SKU明细'!$G$9:$G$1592,MATCH("[6574,""32582-TN-42""]",'SKU明细'!$AE$9:$AE$1592,0)),INDEX('SKU明细'!$G$9:$G$1592,MATCH("[6574,""32582-TN-37""]",'SKU明细'!$AE$9:$AE$1592,0)),INDEX('SKU明细'!$G$9:$G$1592,MATCH("[6574,""32582-TN-38""]",'SKU明细'!$AE$9:$AE$1592,0)),INDEX('SKU明细'!$G$9:$G$1592,MATCH("[6574,""32582-TN-41.5""]",'SKU明细'!$AE$9:$AE$1592,0)),INDEX('SKU明细'!$G$9:$G$1592,MATCH("[6574,""32582-TN-40""]",'SKU明细'!$AE$9:$AE$1592,0)),INDEX('SKU明细'!$G$9:$G$1592,MATCH("[6574,""32582-TN-37.5""]",'SKU明细'!$AE$9:$AE$1592,0)),INDEX('SKU明细'!$G$9:$G$1592,MATCH("[6574,""32582-TN-39""]",'SKU明细'!$AE$9:$AE$1592,0)),INDEX('SKU明细'!$G$9:$G$1592,MATCH("[6574,""32582-TN-39.5""]",'SKU明细'!$AE$9:$AE$1592,0)))=11,SUM(INDEX('SKU明细'!$G$9:$G$1592,MATCH("[6574,""32582-TN-40.5""]",'SKU明细'!$AE$9:$AE$1592,0)),INDEX('SKU明细'!$G$9:$G$1592,MATCH("[6574,""32582-TN-38.5""]",'SKU明细'!$AE$9:$AE$1592,0)),INDEX('SKU明细'!$G$9:$G$1592,MATCH("[6574,""32582-TN-41""]",'SKU明细'!$AE$9:$AE$1592,0)),INDEX('SKU明细'!$G$9:$G$1592,MATCH("[6574,""32582-TN-42""]",'SKU明细'!$AE$9:$AE$1592,0)),INDEX('SKU明细'!$G$9:$G$1592,MATCH("[6574,""32582-TN-37""]",'SKU明细'!$AE$9:$AE$1592,0)),INDEX('SKU明细'!$G$9:$G$1592,MATCH("[6574,""32582-TN-38""]",'SKU明细'!$AE$9:$AE$1592,0)),INDEX('SKU明细'!$G$9:$G$1592,MATCH("[6574,""32582-TN-41.5""]",'SKU明细'!$AE$9:$AE$1592,0)),INDEX('SKU明细'!$G$9:$G$1592,MATCH("[6574,""32582-TN-40""]",'SKU明细'!$AE$9:$AE$1592,0)),INDEX('SKU明细'!$G$9:$G$1592,MATCH("[6574,""32582-TN-37.5""]",'SKU明细'!$AE$9:$AE$1592,0)),INDEX('SKU明细'!$G$9:$G$1592,MATCH("[6574,""32582-TN-39""]",'SKU明细'!$AE$9:$AE$1592,0)),INDEX('SKU明细'!$G$9:$G$1592,MATCH("[6574,""32582-TN-39.5""]",'SKU明细'!$AE$9:$AE$1592,0)))&gt;0),SUM(INDEX('SKU明细'!$H$9:$H$1592,MATCH("[6574,""32582-TN-40.5""]",'SKU明细'!$AE$9:$AE$1592,0)),INDEX('SKU明细'!$H$9:$H$1592,MATCH("[6574,""32582-TN-38.5""]",'SKU明细'!$AE$9:$AE$1592,0)),INDEX('SKU明细'!$H$9:$H$1592,MATCH("[6574,""32582-TN-41""]",'SKU明细'!$AE$9:$AE$1592,0)),INDEX('SKU明细'!$H$9:$H$1592,MATCH("[6574,""32582-TN-42""]",'SKU明细'!$AE$9:$AE$1592,0)),INDEX('SKU明细'!$H$9:$H$1592,MATCH("[6574,""32582-TN-37""]",'SKU明细'!$AE$9:$AE$1592,0)),INDEX('SKU明细'!$H$9:$H$1592,MATCH("[6574,""32582-TN-38""]",'SKU明细'!$AE$9:$AE$1592,0)),INDEX('SKU明细'!$H$9:$H$1592,MATCH("[6574,""32582-TN-41.5""]",'SKU明细'!$AE$9:$AE$1592,0)),INDEX('SKU明细'!$H$9:$H$1592,MATCH("[6574,""32582-TN-40""]",'SKU明细'!$AE$9:$AE$1592,0)),INDEX('SKU明细'!$H$9:$H$1592,MATCH("[6574,""32582-TN-37.5""]",'SKU明细'!$AE$9:$AE$1592,0)),INDEX('SKU明细'!$H$9:$H$1592,MATCH("[6574,""32582-TN-39""]",'SKU明细'!$AE$9:$AE$1592,0)),INDEX('SKU明细'!$H$9:$H$1592,MATCH("[6574,""32582-TN-39.5""]",'SKU明细'!$AE$9:$AE$1592,0)))/SUM(INDEX('SKU明细'!$G$9:$G$1592,MATCH("[6574,""32582-TN-40.5""]",'SKU明细'!$AE$9:$AE$1592,0)),INDEX('SKU明细'!$G$9:$G$1592,MATCH("[6574,""32582-TN-38.5""]",'SKU明细'!$AE$9:$AE$1592,0)),INDEX('SKU明细'!$G$9:$G$1592,MATCH("[6574,""32582-TN-41""]",'SKU明细'!$AE$9:$AE$1592,0)),INDEX('SKU明细'!$G$9:$G$1592,MATCH("[6574,""32582-TN-42""]",'SKU明细'!$AE$9:$AE$1592,0)),INDEX('SKU明细'!$G$9:$G$1592,MATCH("[6574,""32582-TN-37""]",'SKU明细'!$AE$9:$AE$1592,0)),INDEX('SKU明细'!$G$9:$G$1592,MATCH("[6574,""32582-TN-38""]",'SKU明细'!$AE$9:$AE$1592,0)),INDEX('SKU明细'!$G$9:$G$1592,MATCH("[6574,""32582-TN-41.5""]",'SKU明细'!$AE$9:$AE$1592,0)),INDEX('SKU明细'!$G$9:$G$1592,MATCH("[6574,""32582-TN-40""]",'SKU明细'!$AE$9:$AE$1592,0)),INDEX('SKU明细'!$G$9:$G$1592,MATCH("[6574,""32582-TN-37.5""]",'SKU明细'!$AE$9:$AE$1592,0)),INDEX('SKU明细'!$G$9:$G$1592,MATCH("[6574,""32582-TN-39""]",'SKU明细'!$AE$9:$AE$1592,0)),INDEX('SKU明细'!$G$9:$G$1592,MATCH("[6574,""32582-TN-39.5""]",'SKU明细'!$AE$9:$AE$1592,0))),"待核")</x:f>
        <x:v>105.19360786724032</x:v>
      </x:c>
      <x:c r="T94" s="16" t="str">
        <x:f>IF(AND(COUNT(INDEX('SKU明细'!$I$9:$I$1592,MATCH("[6574,""32582-TN-40.5""]",'SKU明细'!$AE$9:$AE$1592,0)),INDEX('SKU明细'!$I$9:$I$1592,MATCH("[6574,""32582-TN-38.5""]",'SKU明细'!$AE$9:$AE$1592,0)),INDEX('SKU明细'!$I$9:$I$1592,MATCH("[6574,""32582-TN-41""]",'SKU明细'!$AE$9:$AE$1592,0)),INDEX('SKU明细'!$I$9:$I$1592,MATCH("[6574,""32582-TN-42""]",'SKU明细'!$AE$9:$AE$1592,0)),INDEX('SKU明细'!$I$9:$I$1592,MATCH("[6574,""32582-TN-37""]",'SKU明细'!$AE$9:$AE$1592,0)),INDEX('SKU明细'!$I$9:$I$1592,MATCH("[6574,""32582-TN-38""]",'SKU明细'!$AE$9:$AE$1592,0)),INDEX('SKU明细'!$I$9:$I$1592,MATCH("[6574,""32582-TN-41.5""]",'SKU明细'!$AE$9:$AE$1592,0)),INDEX('SKU明细'!$I$9:$I$1592,MATCH("[6574,""32582-TN-40""]",'SKU明细'!$AE$9:$AE$1592,0)),INDEX('SKU明细'!$I$9:$I$1592,MATCH("[6574,""32582-TN-37.5""]",'SKU明细'!$AE$9:$AE$1592,0)),INDEX('SKU明细'!$I$9:$I$1592,MATCH("[6574,""32582-TN-39""]",'SKU明细'!$AE$9:$AE$1592,0)),INDEX('SKU明细'!$I$9:$I$1592,MATCH("[6574,""32582-TN-39.5""]",'SKU明细'!$AE$9:$AE$1592,0)))=11,COUNT(INDEX('SKU明细'!$AD$9:$AD$1592,MATCH("[6574,""32582-TN-40.5""]",'SKU明细'!$AE$9:$AE$1592,0)),INDEX('SKU明细'!$AD$9:$AD$1592,MATCH("[6574,""32582-TN-38.5""]",'SKU明细'!$AE$9:$AE$1592,0)),INDEX('SKU明细'!$AD$9:$AD$1592,MATCH("[6574,""32582-TN-41""]",'SKU明细'!$AE$9:$AE$1592,0)),INDEX('SKU明细'!$AD$9:$AD$1592,MATCH("[6574,""32582-TN-42""]",'SKU明细'!$AE$9:$AE$1592,0)),INDEX('SKU明细'!$AD$9:$AD$1592,MATCH("[6574,""32582-TN-37""]",'SKU明细'!$AE$9:$AE$1592,0)),INDEX('SKU明细'!$AD$9:$AD$1592,MATCH("[6574,""32582-TN-38""]",'SKU明细'!$AE$9:$AE$1592,0)),INDEX('SKU明细'!$AD$9:$AD$1592,MATCH("[6574,""32582-TN-41.5""]",'SKU明细'!$AE$9:$AE$1592,0)),INDEX('SKU明细'!$AD$9:$AD$1592,MATCH("[6574,""32582-TN-40""]",'SKU明细'!$AE$9:$AE$1592,0)),INDEX('SKU明细'!$AD$9:$AD$1592,MATCH("[6574,""32582-TN-37.5""]",'SKU明细'!$AE$9:$AE$1592,0)),INDEX('SKU明细'!$AD$9:$AD$1592,MATCH("[6574,""32582-TN-39""]",'SKU明细'!$AE$9:$AE$1592,0)),INDEX('SKU明细'!$AD$9:$AD$1592,MATCH("[6574,""32582-TN-39.5""]",'SKU明细'!$AE$9:$AE$1592,0)))=11,SUM(INDEX('SKU明细'!$AD$9:$AD$1592,MATCH("[6574,""32582-TN-40.5""]",'SKU明细'!$AE$9:$AE$1592,0)),INDEX('SKU明细'!$AD$9:$AD$1592,MATCH("[6574,""32582-TN-38.5""]",'SKU明细'!$AE$9:$AE$1592,0)),INDEX('SKU明细'!$AD$9:$AD$1592,MATCH("[6574,""32582-TN-41""]",'SKU明细'!$AE$9:$AE$1592,0)),INDEX('SKU明细'!$AD$9:$AD$1592,MATCH("[6574,""32582-TN-42""]",'SKU明细'!$AE$9:$AE$1592,0)),INDEX('SKU明细'!$AD$9:$AD$1592,MATCH("[6574,""32582-TN-37""]",'SKU明细'!$AE$9:$AE$1592,0)),INDEX('SKU明细'!$AD$9:$AD$1592,MATCH("[6574,""32582-TN-38""]",'SKU明细'!$AE$9:$AE$1592,0)),INDEX('SKU明细'!$AD$9:$AD$1592,MATCH("[6574,""32582-TN-41.5""]",'SKU明细'!$AE$9:$AE$1592,0)),INDEX('SKU明细'!$AD$9:$AD$1592,MATCH("[6574,""32582-TN-40""]",'SKU明细'!$AE$9:$AE$1592,0)),INDEX('SKU明细'!$AD$9:$AD$1592,MATCH("[6574,""32582-TN-37.5""]",'SKU明细'!$AE$9:$AE$1592,0)),INDEX('SKU明细'!$AD$9:$AD$1592,MATCH("[6574,""32582-TN-39""]",'SKU明细'!$AE$9:$AE$1592,0)),INDEX('SKU明细'!$AD$9:$AD$1592,MATCH("[6574,""32582-TN-39.5""]",'SKU明细'!$AE$9:$AE$1592,0)))&gt;0),SUM(INDEX('SKU明细'!$I$9:$I$1592,MATCH("[6574,""32582-TN-40.5""]",'SKU明细'!$AE$9:$AE$1592,0)),INDEX('SKU明细'!$I$9:$I$1592,MATCH("[6574,""32582-TN-38.5""]",'SKU明细'!$AE$9:$AE$1592,0)),INDEX('SKU明细'!$I$9:$I$1592,MATCH("[6574,""32582-TN-41""]",'SKU明细'!$AE$9:$AE$1592,0)),INDEX('SKU明细'!$I$9:$I$1592,MATCH("[6574,""32582-TN-42""]",'SKU明细'!$AE$9:$AE$1592,0)),INDEX('SKU明细'!$I$9:$I$1592,MATCH("[6574,""32582-TN-37""]",'SKU明细'!$AE$9:$AE$1592,0)),INDEX('SKU明细'!$I$9:$I$1592,MATCH("[6574,""32582-TN-38""]",'SKU明细'!$AE$9:$AE$1592,0)),INDEX('SKU明细'!$I$9:$I$1592,MATCH("[6574,""32582-TN-41.5""]",'SKU明细'!$AE$9:$AE$1592,0)),INDEX('SKU明细'!$I$9:$I$1592,MATCH("[6574,""32582-TN-40""]",'SKU明细'!$AE$9:$AE$1592,0)),INDEX('SKU明细'!$I$9:$I$1592,MATCH("[6574,""32582-TN-37.5""]",'SKU明细'!$AE$9:$AE$1592,0)),INDEX('SKU明细'!$I$9:$I$1592,MATCH("[6574,""32582-TN-39""]",'SKU明细'!$AE$9:$AE$1592,0)),INDEX('SKU明细'!$I$9:$I$1592,MATCH("[6574,""32582-TN-39.5""]",'SKU明细'!$AE$9:$AE$1592,0)))/SUM(INDEX('SKU明细'!$AD$9:$AD$1592,MATCH("[6574,""32582-TN-40.5""]",'SKU明细'!$AE$9:$AE$1592,0)),INDEX('SKU明细'!$AD$9:$AD$1592,MATCH("[6574,""32582-TN-38.5""]",'SKU明细'!$AE$9:$AE$1592,0)),INDEX('SKU明细'!$AD$9:$AD$1592,MATCH("[6574,""32582-TN-41""]",'SKU明细'!$AE$9:$AE$1592,0)),INDEX('SKU明细'!$AD$9:$AD$1592,MATCH("[6574,""32582-TN-42""]",'SKU明细'!$AE$9:$AE$1592,0)),INDEX('SKU明细'!$AD$9:$AD$1592,MATCH("[6574,""32582-TN-37""]",'SKU明细'!$AE$9:$AE$1592,0)),INDEX('SKU明细'!$AD$9:$AD$1592,MATCH("[6574,""32582-TN-38""]",'SKU明细'!$AE$9:$AE$1592,0)),INDEX('SKU明细'!$AD$9:$AD$1592,MATCH("[6574,""32582-TN-41.5""]",'SKU明细'!$AE$9:$AE$1592,0)),INDEX('SKU明细'!$AD$9:$AD$1592,MATCH("[6574,""32582-TN-40""]",'SKU明细'!$AE$9:$AE$1592,0)),INDEX('SKU明细'!$AD$9:$AD$1592,MATCH("[6574,""32582-TN-37.5""]",'SKU明细'!$AE$9:$AE$1592,0)),INDEX('SKU明细'!$AD$9:$AD$1592,MATCH("[6574,""32582-TN-39""]",'SKU明细'!$AE$9:$AE$1592,0)),INDEX('SKU明细'!$AD$9:$AD$1592,MATCH("[6574,""32582-TN-39.5""]",'SKU明细'!$AE$9:$AE$1592,0))),"待核")</x:f>
        <x:v>待核</x:v>
      </x:c>
      <x:c r="U94" s="16" t="str">
        <x:f>IF(COUNT(S94:T94)=2,S94-T94,"待核")</x:f>
        <x:v>待核</x:v>
      </x:c>
      <x:c r="V94" s="17" t="str">
        <x:f>IF(AND(ISNUMBER(U94),ISNUMBER(T94),T94&lt;&gt;0),U94/T94,"")</x:f>
      </x:c>
      <x:c r="W94" s="18" t="n">
        <x:f>IF(COUNT(INDEX('SKU明细'!$H$9:$H$1592,MATCH("[6574,""32582-TN-40.5""]",'SKU明细'!$AE$9:$AE$1592,0)),INDEX('SKU明细'!$H$9:$H$1592,MATCH("[6574,""32582-TN-38.5""]",'SKU明细'!$AE$9:$AE$1592,0)),INDEX('SKU明细'!$H$9:$H$1592,MATCH("[6574,""32582-TN-41""]",'SKU明细'!$AE$9:$AE$1592,0)),INDEX('SKU明细'!$H$9:$H$1592,MATCH("[6574,""32582-TN-42""]",'SKU明细'!$AE$9:$AE$1592,0)),INDEX('SKU明细'!$H$9:$H$1592,MATCH("[6574,""32582-TN-37""]",'SKU明细'!$AE$9:$AE$1592,0)),INDEX('SKU明细'!$H$9:$H$1592,MATCH("[6574,""32582-TN-38""]",'SKU明细'!$AE$9:$AE$1592,0)),INDEX('SKU明细'!$H$9:$H$1592,MATCH("[6574,""32582-TN-41.5""]",'SKU明细'!$AE$9:$AE$1592,0)),INDEX('SKU明细'!$H$9:$H$1592,MATCH("[6574,""32582-TN-40""]",'SKU明细'!$AE$9:$AE$1592,0)),INDEX('SKU明细'!$H$9:$H$1592,MATCH("[6574,""32582-TN-37.5""]",'SKU明细'!$AE$9:$AE$1592,0)),INDEX('SKU明细'!$H$9:$H$1592,MATCH("[6574,""32582-TN-39""]",'SKU明细'!$AE$9:$AE$1592,0)),INDEX('SKU明细'!$H$9:$H$1592,MATCH("[6574,""32582-TN-39.5""]",'SKU明细'!$AE$9:$AE$1592,0)))=0,"待核",SUM(INDEX('SKU明细'!$H$9:$H$1592,MATCH("[6574,""32582-TN-40.5""]",'SKU明细'!$AE$9:$AE$1592,0)),INDEX('SKU明细'!$H$9:$H$1592,MATCH("[6574,""32582-TN-38.5""]",'SKU明细'!$AE$9:$AE$1592,0)),INDEX('SKU明细'!$H$9:$H$1592,MATCH("[6574,""32582-TN-41""]",'SKU明细'!$AE$9:$AE$1592,0)),INDEX('SKU明细'!$H$9:$H$1592,MATCH("[6574,""32582-TN-42""]",'SKU明细'!$AE$9:$AE$1592,0)),INDEX('SKU明细'!$H$9:$H$1592,MATCH("[6574,""32582-TN-37""]",'SKU明细'!$AE$9:$AE$1592,0)),INDEX('SKU明细'!$H$9:$H$1592,MATCH("[6574,""32582-TN-38""]",'SKU明细'!$AE$9:$AE$1592,0)),INDEX('SKU明细'!$H$9:$H$1592,MATCH("[6574,""32582-TN-41.5""]",'SKU明细'!$AE$9:$AE$1592,0)),INDEX('SKU明细'!$H$9:$H$1592,MATCH("[6574,""32582-TN-40""]",'SKU明细'!$AE$9:$AE$1592,0)),INDEX('SKU明细'!$H$9:$H$1592,MATCH("[6574,""32582-TN-37.5""]",'SKU明细'!$AE$9:$AE$1592,0)),INDEX('SKU明细'!$H$9:$H$1592,MATCH("[6574,""32582-TN-39""]",'SKU明细'!$AE$9:$AE$1592,0)),INDEX('SKU明细'!$H$9:$H$1592,MATCH("[6574,""32582-TN-39.5""]",'SKU明细'!$AE$9:$AE$1592,0))))</x:f>
        <x:v>163</x:v>
      </x:c>
      <x:c r="X94" s="19" t="str">
        <x:f>IF(COUNTIFS('SKU明细'!$AH$9:$AH$1592,"[""32582"",""32582-TN"",""TN"",""驼色""]",'SKU明细'!$E$9:$E$1592,"促销")&gt;0,"促销 ","")&amp;IF(COUNTIFS('SKU明细'!$AH$9:$AH$1592,"[""32582"",""32582-TN"",""TN"",""驼色""]",'SKU明细'!$E$9:$E$1592,"红线促销")&gt;0,"红线促销 ","")&amp;IF(COUNTIFS('SKU明细'!$AH$9:$AH$1592,"[""32582"",""32582-TN"",""TN"",""驼色""]",'SKU明细'!$E$9:$E$1592,"考虑清仓")&gt;0,"考虑清仓 ","")&amp;IF(COUNTIFS('SKU明细'!$AH$9:$AH$1592,"[""32582"",""32582-TN"",""TN"",""驼色""]",'SKU明细'!$E$9:$E$1592,"断货")&gt;0,"断货 ","")&amp;IF(COUNTIFS('SKU明细'!$AH$9:$AH$1592,"[""32582"",""32582-TN"",""TN"",""驼色""]",'SKU明细'!$E$9:$E$1592,"零日销待复核")&gt;0,"零日销待复核 ","")&amp;IF(COUNTIFS('SKU明细'!$AH$9:$AH$1592,"[""32582"",""32582-TN"",""TN"",""驼色""]",'SKU明细'!$E$9:$E$1592,"数据待核")&gt;0,"数据待核 ","")&amp;IF(COUNTIFS('SKU明细'!$AH$9:$AH$1592,"[""32582"",""32582-TN"",""TN"",""驼色""]",'SKU明细'!$E$9:$E$1592,"正常库存")&gt;0,"正常库存 ","")&amp;IF(COUNTIFS('SKU明细'!$AH$9:$AH$1592,"[""32582"",""32582-TN"",""TN"",""驼色""]",'SKU明细'!$E$9:$E$1592,"补货提醒")&gt;0,"补货提醒 ","")</x:f>
        <x:v>促销 红线促销 考虑清仓 断货 正常库存 补货提醒 </x:v>
      </x:c>
      <x:c r="Y94" s="19" t="str">
        <x:f>IF(NOT(ISNUMBER(U94)),"覆盖待核／无可比基准","完整可比")</x:f>
        <x:v>覆盖待核／无可比基准</x:v>
      </x:c>
      <x:c r="Z94" s="19" t="str">
        <x:v>在售、停售</x:v>
      </x:c>
      <x:c r="AA94" s="19" t="n">
        <x:f>IF(SUMIFS('SKU明细'!$AF$9:$AF$1592,'SKU明细'!$D$9:$D$1592,A94,'SKU明细'!$Z$9:$Z$1592,"&lt;&gt;移出")=0,"待核",SUMIFS('SKU明细'!$H$9:$H$1592,'SKU明细'!$D$9:$D$1592,A94,'SKU明细'!$Z$9:$Z$1592,"&lt;&gt;移出"))</x:f>
        <x:v>1442</x:v>
      </x:c>
    </x:row>
    <x:row r="95" ht="54" customHeight="1">
      <x:c r="A95" s="15" t="str">
        <x:v>32582</x:v>
      </x:c>
      <x:c r="B95" s="15" t="str">
        <x:v>徐新怡</x:v>
      </x:c>
      <x:c r="C95" s="15" t="str">
        <x:v>白色</x:v>
      </x:c>
      <x:c r="D95" s="15" t="str">
        <x:v>WT0P</x:v>
      </x:c>
      <x:c r="E95" s="15" t="str">
        <x:v>32582-WT0P</x:v>
      </x:c>
      <x:c r="F95" s="15"/>
      <x:c r="G95" s="16" t="str">
        <x:f>"—"</x:f>
        <x:v>—</x:v>
      </x:c>
      <x:c r="H95" s="16" t="str">
        <x:f>IF(AND(COUNT(INDEX('SKU明细'!$H$9:$H$1592,MATCH("[6574,""32582-WT0P-37""]",'SKU明细'!$AE$9:$AE$1592,0)))=1,COUNT(INDEX('SKU明细'!$G$9:$G$1592,MATCH("[6574,""32582-WT0P-37""]",'SKU明细'!$AE$9:$AE$1592,0)))=1,SUM(INDEX('SKU明细'!$G$9:$G$1592,MATCH("[6574,""32582-WT0P-37""]",'SKU明细'!$AE$9:$AE$1592,0)))&gt;0),SUM(INDEX('SKU明细'!$H$9:$H$1592,MATCH("[6574,""32582-WT0P-37""]",'SKU明细'!$AE$9:$AE$1592,0)))/SUM(INDEX('SKU明细'!$G$9:$G$1592,MATCH("[6574,""32582-WT0P-37""]",'SKU明细'!$AE$9:$AE$1592,0))),"待核")</x:f>
        <x:v>待核</x:v>
      </x:c>
      <x:c r="I95" s="16" t="str">
        <x:f>IF(AND(COUNT(INDEX('SKU明细'!$H$9:$H$1592,MATCH("[6574,""32582-WT0P-37.5""]",'SKU明细'!$AE$9:$AE$1592,0)))=1,COUNT(INDEX('SKU明细'!$G$9:$G$1592,MATCH("[6574,""32582-WT0P-37.5""]",'SKU明细'!$AE$9:$AE$1592,0)))=1,SUM(INDEX('SKU明细'!$G$9:$G$1592,MATCH("[6574,""32582-WT0P-37.5""]",'SKU明细'!$AE$9:$AE$1592,0)))&gt;0),SUM(INDEX('SKU明细'!$H$9:$H$1592,MATCH("[6574,""32582-WT0P-37.5""]",'SKU明细'!$AE$9:$AE$1592,0)))/SUM(INDEX('SKU明细'!$G$9:$G$1592,MATCH("[6574,""32582-WT0P-37.5""]",'SKU明细'!$AE$9:$AE$1592,0))),"待核")</x:f>
        <x:v>待核</x:v>
      </x:c>
      <x:c r="J95" s="16" t="str">
        <x:f>IF(AND(COUNT(INDEX('SKU明细'!$H$9:$H$1592,MATCH("[6574,""32582-WT0P-38""]",'SKU明细'!$AE$9:$AE$1592,0)))=1,COUNT(INDEX('SKU明细'!$G$9:$G$1592,MATCH("[6574,""32582-WT0P-38""]",'SKU明细'!$AE$9:$AE$1592,0)))=1,SUM(INDEX('SKU明细'!$G$9:$G$1592,MATCH("[6574,""32582-WT0P-38""]",'SKU明细'!$AE$9:$AE$1592,0)))&gt;0),SUM(INDEX('SKU明细'!$H$9:$H$1592,MATCH("[6574,""32582-WT0P-38""]",'SKU明细'!$AE$9:$AE$1592,0)))/SUM(INDEX('SKU明细'!$G$9:$G$1592,MATCH("[6574,""32582-WT0P-38""]",'SKU明细'!$AE$9:$AE$1592,0))),"待核")</x:f>
        <x:v>待核</x:v>
      </x:c>
      <x:c r="K95" s="16" t="n">
        <x:f>IF(AND(COUNT(INDEX('SKU明细'!$H$9:$H$1592,MATCH("[6574,""32582-WT0P-38.5""]",'SKU明细'!$AE$9:$AE$1592,0)))=1,COUNT(INDEX('SKU明细'!$G$9:$G$1592,MATCH("[6574,""32582-WT0P-38.5""]",'SKU明细'!$AE$9:$AE$1592,0)))=1,SUM(INDEX('SKU明细'!$G$9:$G$1592,MATCH("[6574,""32582-WT0P-38.5""]",'SKU明细'!$AE$9:$AE$1592,0)))&gt;0),SUM(INDEX('SKU明细'!$H$9:$H$1592,MATCH("[6574,""32582-WT0P-38.5""]",'SKU明细'!$AE$9:$AE$1592,0)))/SUM(INDEX('SKU明细'!$G$9:$G$1592,MATCH("[6574,""32582-WT0P-38.5""]",'SKU明细'!$AE$9:$AE$1592,0))),"待核")</x:f>
        <x:v>41.584158415841586</x:v>
      </x:c>
      <x:c r="L95" s="16" t="n">
        <x:f>IF(AND(COUNT(INDEX('SKU明细'!$H$9:$H$1592,MATCH("[6574,""32582-WT0P-39""]",'SKU明细'!$AE$9:$AE$1592,0)))=1,COUNT(INDEX('SKU明细'!$G$9:$G$1592,MATCH("[6574,""32582-WT0P-39""]",'SKU明细'!$AE$9:$AE$1592,0)))=1,SUM(INDEX('SKU明细'!$G$9:$G$1592,MATCH("[6574,""32582-WT0P-39""]",'SKU明细'!$AE$9:$AE$1592,0)))&gt;0),SUM(INDEX('SKU明细'!$H$9:$H$1592,MATCH("[6574,""32582-WT0P-39""]",'SKU明细'!$AE$9:$AE$1592,0)))/SUM(INDEX('SKU明细'!$G$9:$G$1592,MATCH("[6574,""32582-WT0P-39""]",'SKU明细'!$AE$9:$AE$1592,0))),"待核")</x:f>
        <x:v>5250</x:v>
      </x:c>
      <x:c r="M95" s="16" t="n">
        <x:f>IF(AND(COUNT(INDEX('SKU明细'!$H$9:$H$1592,MATCH("[6574,""32582-WT0P-39.5""]",'SKU明细'!$AE$9:$AE$1592,0)))=1,COUNT(INDEX('SKU明细'!$G$9:$G$1592,MATCH("[6574,""32582-WT0P-39.5""]",'SKU明细'!$AE$9:$AE$1592,0)))=1,SUM(INDEX('SKU明细'!$G$9:$G$1592,MATCH("[6574,""32582-WT0P-39.5""]",'SKU明细'!$AE$9:$AE$1592,0)))&gt;0),SUM(INDEX('SKU明细'!$H$9:$H$1592,MATCH("[6574,""32582-WT0P-39.5""]",'SKU明细'!$AE$9:$AE$1592,0)))/SUM(INDEX('SKU明细'!$G$9:$G$1592,MATCH("[6574,""32582-WT0P-39.5""]",'SKU明细'!$AE$9:$AE$1592,0))),"待核")</x:f>
        <x:v>341.62679425837325</x:v>
      </x:c>
      <x:c r="N95" s="16" t="n">
        <x:f>IF(AND(COUNT(INDEX('SKU明细'!$H$9:$H$1592,MATCH("[6574,""32582-WT0P-40""]",'SKU明细'!$AE$9:$AE$1592,0)))=1,COUNT(INDEX('SKU明细'!$G$9:$G$1592,MATCH("[6574,""32582-WT0P-40""]",'SKU明细'!$AE$9:$AE$1592,0)))=1,SUM(INDEX('SKU明细'!$G$9:$G$1592,MATCH("[6574,""32582-WT0P-40""]",'SKU明细'!$AE$9:$AE$1592,0)))&gt;0),SUM(INDEX('SKU明细'!$H$9:$H$1592,MATCH("[6574,""32582-WT0P-40""]",'SKU明细'!$AE$9:$AE$1592,0)))/SUM(INDEX('SKU明细'!$G$9:$G$1592,MATCH("[6574,""32582-WT0P-40""]",'SKU明细'!$AE$9:$AE$1592,0))),"待核")</x:f>
        <x:v>4650</x:v>
      </x:c>
      <x:c r="O95" s="16" t="n">
        <x:f>IF(AND(COUNT(INDEX('SKU明细'!$H$9:$H$1592,MATCH("[6574,""32582-WT0P-40.5""]",'SKU明细'!$AE$9:$AE$1592,0)))=1,COUNT(INDEX('SKU明细'!$G$9:$G$1592,MATCH("[6574,""32582-WT0P-40.5""]",'SKU明细'!$AE$9:$AE$1592,0)))=1,SUM(INDEX('SKU明细'!$G$9:$G$1592,MATCH("[6574,""32582-WT0P-40.5""]",'SKU明细'!$AE$9:$AE$1592,0)))&gt;0),SUM(INDEX('SKU明细'!$H$9:$H$1592,MATCH("[6574,""32582-WT0P-40.5""]",'SKU明细'!$AE$9:$AE$1592,0)))/SUM(INDEX('SKU明细'!$G$9:$G$1592,MATCH("[6574,""32582-WT0P-40.5""]",'SKU明细'!$AE$9:$AE$1592,0))),"待核")</x:f>
        <x:v>1799.9999999999998</x:v>
      </x:c>
      <x:c r="P95" s="16" t="n">
        <x:f>IF(AND(COUNT(INDEX('SKU明细'!$H$9:$H$1592,MATCH("[6574,""32582-WT0P-41""]",'SKU明细'!$AE$9:$AE$1592,0)))=1,COUNT(INDEX('SKU明细'!$G$9:$G$1592,MATCH("[6574,""32582-WT0P-41""]",'SKU明细'!$AE$9:$AE$1592,0)))=1,SUM(INDEX('SKU明细'!$G$9:$G$1592,MATCH("[6574,""32582-WT0P-41""]",'SKU明细'!$AE$9:$AE$1592,0)))&gt;0),SUM(INDEX('SKU明细'!$H$9:$H$1592,MATCH("[6574,""32582-WT0P-41""]",'SKU明细'!$AE$9:$AE$1592,0)))/SUM(INDEX('SKU明细'!$G$9:$G$1592,MATCH("[6574,""32582-WT0P-41""]",'SKU明细'!$AE$9:$AE$1592,0))),"待核")</x:f>
        <x:v>899.9999999999999</x:v>
      </x:c>
      <x:c r="Q95" s="16" t="str">
        <x:f>"—"</x:f>
        <x:v>—</x:v>
      </x:c>
      <x:c r="R95" s="16" t="n">
        <x:f>IF(AND(COUNT(INDEX('SKU明细'!$H$9:$H$1592,MATCH("[6574,""32582-WT0P-42""]",'SKU明细'!$AE$9:$AE$1592,0)))=1,COUNT(INDEX('SKU明细'!$G$9:$G$1592,MATCH("[6574,""32582-WT0P-42""]",'SKU明细'!$AE$9:$AE$1592,0)))=1,SUM(INDEX('SKU明细'!$G$9:$G$1592,MATCH("[6574,""32582-WT0P-42""]",'SKU明细'!$AE$9:$AE$1592,0)))&gt;0),SUM(INDEX('SKU明细'!$H$9:$H$1592,MATCH("[6574,""32582-WT0P-42""]",'SKU明细'!$AE$9:$AE$1592,0)))/SUM(INDEX('SKU明细'!$G$9:$G$1592,MATCH("[6574,""32582-WT0P-42""]",'SKU明细'!$AE$9:$AE$1592,0))),"待核")</x:f>
        <x:v>44.30379746835443</x:v>
      </x:c>
      <x:c r="S95" s="16" t="n">
        <x:f>IF(AND(COUNT(INDEX('SKU明细'!$H$9:$H$1592,MATCH("[6574,""32582-WT0P-39""]",'SKU明细'!$AE$9:$AE$1592,0)),INDEX('SKU明细'!$H$9:$H$1592,MATCH("[6574,""32582-WT0P-40""]",'SKU明细'!$AE$9:$AE$1592,0)),INDEX('SKU明细'!$H$9:$H$1592,MATCH("[6574,""32582-WT0P-40.5""]",'SKU明细'!$AE$9:$AE$1592,0)),INDEX('SKU明细'!$H$9:$H$1592,MATCH("[6574,""32582-WT0P-41""]",'SKU明细'!$AE$9:$AE$1592,0)),INDEX('SKU明细'!$H$9:$H$1592,MATCH("[6574,""32582-WT0P-39.5""]",'SKU明细'!$AE$9:$AE$1592,0)),INDEX('SKU明细'!$H$9:$H$1592,MATCH("[6574,""32582-WT0P-37""]",'SKU明细'!$AE$9:$AE$1592,0)),INDEX('SKU明细'!$H$9:$H$1592,MATCH("[6574,""32582-WT0P-37.5""]",'SKU明细'!$AE$9:$AE$1592,0)),INDEX('SKU明细'!$H$9:$H$1592,MATCH("[6574,""32582-WT0P-38""]",'SKU明细'!$AE$9:$AE$1592,0)),INDEX('SKU明细'!$H$9:$H$1592,MATCH("[6574,""32582-WT0P-38.5""]",'SKU明细'!$AE$9:$AE$1592,0)),INDEX('SKU明细'!$H$9:$H$1592,MATCH("[6574,""32582-WT0P-42""]",'SKU明细'!$AE$9:$AE$1592,0)))=10,COUNT(INDEX('SKU明细'!$G$9:$G$1592,MATCH("[6574,""32582-WT0P-39""]",'SKU明细'!$AE$9:$AE$1592,0)),INDEX('SKU明细'!$G$9:$G$1592,MATCH("[6574,""32582-WT0P-40""]",'SKU明细'!$AE$9:$AE$1592,0)),INDEX('SKU明细'!$G$9:$G$1592,MATCH("[6574,""32582-WT0P-40.5""]",'SKU明细'!$AE$9:$AE$1592,0)),INDEX('SKU明细'!$G$9:$G$1592,MATCH("[6574,""32582-WT0P-41""]",'SKU明细'!$AE$9:$AE$1592,0)),INDEX('SKU明细'!$G$9:$G$1592,MATCH("[6574,""32582-WT0P-39.5""]",'SKU明细'!$AE$9:$AE$1592,0)),INDEX('SKU明细'!$G$9:$G$1592,MATCH("[6574,""32582-WT0P-37""]",'SKU明细'!$AE$9:$AE$1592,0)),INDEX('SKU明细'!$G$9:$G$1592,MATCH("[6574,""32582-WT0P-37.5""]",'SKU明细'!$AE$9:$AE$1592,0)),INDEX('SKU明细'!$G$9:$G$1592,MATCH("[6574,""32582-WT0P-38""]",'SKU明细'!$AE$9:$AE$1592,0)),INDEX('SKU明细'!$G$9:$G$1592,MATCH("[6574,""32582-WT0P-38.5""]",'SKU明细'!$AE$9:$AE$1592,0)),INDEX('SKU明细'!$G$9:$G$1592,MATCH("[6574,""32582-WT0P-42""]",'SKU明细'!$AE$9:$AE$1592,0)))=10,SUM(INDEX('SKU明细'!$G$9:$G$1592,MATCH("[6574,""32582-WT0P-39""]",'SKU明细'!$AE$9:$AE$1592,0)),INDEX('SKU明细'!$G$9:$G$1592,MATCH("[6574,""32582-WT0P-40""]",'SKU明细'!$AE$9:$AE$1592,0)),INDEX('SKU明细'!$G$9:$G$1592,MATCH("[6574,""32582-WT0P-40.5""]",'SKU明细'!$AE$9:$AE$1592,0)),INDEX('SKU明细'!$G$9:$G$1592,MATCH("[6574,""32582-WT0P-41""]",'SKU明细'!$AE$9:$AE$1592,0)),INDEX('SKU明细'!$G$9:$G$1592,MATCH("[6574,""32582-WT0P-39.5""]",'SKU明细'!$AE$9:$AE$1592,0)),INDEX('SKU明细'!$G$9:$G$1592,MATCH("[6574,""32582-WT0P-37""]",'SKU明细'!$AE$9:$AE$1592,0)),INDEX('SKU明细'!$G$9:$G$1592,MATCH("[6574,""32582-WT0P-37.5""]",'SKU明细'!$AE$9:$AE$1592,0)),INDEX('SKU明细'!$G$9:$G$1592,MATCH("[6574,""32582-WT0P-38""]",'SKU明细'!$AE$9:$AE$1592,0)),INDEX('SKU明细'!$G$9:$G$1592,MATCH("[6574,""32582-WT0P-38.5""]",'SKU明细'!$AE$9:$AE$1592,0)),INDEX('SKU明细'!$G$9:$G$1592,MATCH("[6574,""32582-WT0P-42""]",'SKU明细'!$AE$9:$AE$1592,0)))&gt;0),SUM(INDEX('SKU明细'!$H$9:$H$1592,MATCH("[6574,""32582-WT0P-39""]",'SKU明细'!$AE$9:$AE$1592,0)),INDEX('SKU明细'!$H$9:$H$1592,MATCH("[6574,""32582-WT0P-40""]",'SKU明细'!$AE$9:$AE$1592,0)),INDEX('SKU明细'!$H$9:$H$1592,MATCH("[6574,""32582-WT0P-40.5""]",'SKU明细'!$AE$9:$AE$1592,0)),INDEX('SKU明细'!$H$9:$H$1592,MATCH("[6574,""32582-WT0P-41""]",'SKU明细'!$AE$9:$AE$1592,0)),INDEX('SKU明细'!$H$9:$H$1592,MATCH("[6574,""32582-WT0P-39.5""]",'SKU明细'!$AE$9:$AE$1592,0)),INDEX('SKU明细'!$H$9:$H$1592,MATCH("[6574,""32582-WT0P-37""]",'SKU明细'!$AE$9:$AE$1592,0)),INDEX('SKU明细'!$H$9:$H$1592,MATCH("[6574,""32582-WT0P-37.5""]",'SKU明细'!$AE$9:$AE$1592,0)),INDEX('SKU明细'!$H$9:$H$1592,MATCH("[6574,""32582-WT0P-38""]",'SKU明细'!$AE$9:$AE$1592,0)),INDEX('SKU明细'!$H$9:$H$1592,MATCH("[6574,""32582-WT0P-38.5""]",'SKU明细'!$AE$9:$AE$1592,0)),INDEX('SKU明细'!$H$9:$H$1592,MATCH("[6574,""32582-WT0P-42""]",'SKU明细'!$AE$9:$AE$1592,0)))/SUM(INDEX('SKU明细'!$G$9:$G$1592,MATCH("[6574,""32582-WT0P-39""]",'SKU明细'!$AE$9:$AE$1592,0)),INDEX('SKU明细'!$G$9:$G$1592,MATCH("[6574,""32582-WT0P-40""]",'SKU明细'!$AE$9:$AE$1592,0)),INDEX('SKU明细'!$G$9:$G$1592,MATCH("[6574,""32582-WT0P-40.5""]",'SKU明细'!$AE$9:$AE$1592,0)),INDEX('SKU明细'!$G$9:$G$1592,MATCH("[6574,""32582-WT0P-41""]",'SKU明细'!$AE$9:$AE$1592,0)),INDEX('SKU明细'!$G$9:$G$1592,MATCH("[6574,""32582-WT0P-39.5""]",'SKU明细'!$AE$9:$AE$1592,0)),INDEX('SKU明细'!$G$9:$G$1592,MATCH("[6574,""32582-WT0P-37""]",'SKU明细'!$AE$9:$AE$1592,0)),INDEX('SKU明细'!$G$9:$G$1592,MATCH("[6574,""32582-WT0P-37.5""]",'SKU明细'!$AE$9:$AE$1592,0)),INDEX('SKU明细'!$G$9:$G$1592,MATCH("[6574,""32582-WT0P-38""]",'SKU明细'!$AE$9:$AE$1592,0)),INDEX('SKU明细'!$G$9:$G$1592,MATCH("[6574,""32582-WT0P-38.5""]",'SKU明细'!$AE$9:$AE$1592,0)),INDEX('SKU明细'!$G$9:$G$1592,MATCH("[6574,""32582-WT0P-42""]",'SKU明细'!$AE$9:$AE$1592,0))),"待核")</x:f>
        <x:v>388.73653281096966</x:v>
      </x:c>
      <x:c r="T95" s="16" t="n">
        <x:f>IF(AND(COUNT(INDEX('SKU明细'!$I$9:$I$1592,MATCH("[6574,""32582-WT0P-39""]",'SKU明细'!$AE$9:$AE$1592,0)),INDEX('SKU明细'!$I$9:$I$1592,MATCH("[6574,""32582-WT0P-40""]",'SKU明细'!$AE$9:$AE$1592,0)),INDEX('SKU明细'!$I$9:$I$1592,MATCH("[6574,""32582-WT0P-40.5""]",'SKU明细'!$AE$9:$AE$1592,0)),INDEX('SKU明细'!$I$9:$I$1592,MATCH("[6574,""32582-WT0P-41""]",'SKU明细'!$AE$9:$AE$1592,0)),INDEX('SKU明细'!$I$9:$I$1592,MATCH("[6574,""32582-WT0P-39.5""]",'SKU明细'!$AE$9:$AE$1592,0)),INDEX('SKU明细'!$I$9:$I$1592,MATCH("[6574,""32582-WT0P-37""]",'SKU明细'!$AE$9:$AE$1592,0)),INDEX('SKU明细'!$I$9:$I$1592,MATCH("[6574,""32582-WT0P-37.5""]",'SKU明细'!$AE$9:$AE$1592,0)),INDEX('SKU明细'!$I$9:$I$1592,MATCH("[6574,""32582-WT0P-38""]",'SKU明细'!$AE$9:$AE$1592,0)),INDEX('SKU明细'!$I$9:$I$1592,MATCH("[6574,""32582-WT0P-38.5""]",'SKU明细'!$AE$9:$AE$1592,0)),INDEX('SKU明细'!$I$9:$I$1592,MATCH("[6574,""32582-WT0P-42""]",'SKU明细'!$AE$9:$AE$1592,0)))=10,COUNT(INDEX('SKU明细'!$AD$9:$AD$1592,MATCH("[6574,""32582-WT0P-39""]",'SKU明细'!$AE$9:$AE$1592,0)),INDEX('SKU明细'!$AD$9:$AD$1592,MATCH("[6574,""32582-WT0P-40""]",'SKU明细'!$AE$9:$AE$1592,0)),INDEX('SKU明细'!$AD$9:$AD$1592,MATCH("[6574,""32582-WT0P-40.5""]",'SKU明细'!$AE$9:$AE$1592,0)),INDEX('SKU明细'!$AD$9:$AD$1592,MATCH("[6574,""32582-WT0P-41""]",'SKU明细'!$AE$9:$AE$1592,0)),INDEX('SKU明细'!$AD$9:$AD$1592,MATCH("[6574,""32582-WT0P-39.5""]",'SKU明细'!$AE$9:$AE$1592,0)),INDEX('SKU明细'!$AD$9:$AD$1592,MATCH("[6574,""32582-WT0P-37""]",'SKU明细'!$AE$9:$AE$1592,0)),INDEX('SKU明细'!$AD$9:$AD$1592,MATCH("[6574,""32582-WT0P-37.5""]",'SKU明细'!$AE$9:$AE$1592,0)),INDEX('SKU明细'!$AD$9:$AD$1592,MATCH("[6574,""32582-WT0P-38""]",'SKU明细'!$AE$9:$AE$1592,0)),INDEX('SKU明细'!$AD$9:$AD$1592,MATCH("[6574,""32582-WT0P-38.5""]",'SKU明细'!$AE$9:$AE$1592,0)),INDEX('SKU明细'!$AD$9:$AD$1592,MATCH("[6574,""32582-WT0P-42""]",'SKU明细'!$AE$9:$AE$1592,0)))=10,SUM(INDEX('SKU明细'!$AD$9:$AD$1592,MATCH("[6574,""32582-WT0P-39""]",'SKU明细'!$AE$9:$AE$1592,0)),INDEX('SKU明细'!$AD$9:$AD$1592,MATCH("[6574,""32582-WT0P-40""]",'SKU明细'!$AE$9:$AE$1592,0)),INDEX('SKU明细'!$AD$9:$AD$1592,MATCH("[6574,""32582-WT0P-40.5""]",'SKU明细'!$AE$9:$AE$1592,0)),INDEX('SKU明细'!$AD$9:$AD$1592,MATCH("[6574,""32582-WT0P-41""]",'SKU明细'!$AE$9:$AE$1592,0)),INDEX('SKU明细'!$AD$9:$AD$1592,MATCH("[6574,""32582-WT0P-39.5""]",'SKU明细'!$AE$9:$AE$1592,0)),INDEX('SKU明细'!$AD$9:$AD$1592,MATCH("[6574,""32582-WT0P-37""]",'SKU明细'!$AE$9:$AE$1592,0)),INDEX('SKU明细'!$AD$9:$AD$1592,MATCH("[6574,""32582-WT0P-37.5""]",'SKU明细'!$AE$9:$AE$1592,0)),INDEX('SKU明细'!$AD$9:$AD$1592,MATCH("[6574,""32582-WT0P-38""]",'SKU明细'!$AE$9:$AE$1592,0)),INDEX('SKU明细'!$AD$9:$AD$1592,MATCH("[6574,""32582-WT0P-38.5""]",'SKU明细'!$AE$9:$AE$1592,0)),INDEX('SKU明细'!$AD$9:$AD$1592,MATCH("[6574,""32582-WT0P-42""]",'SKU明细'!$AE$9:$AE$1592,0)))&gt;0),SUM(INDEX('SKU明细'!$I$9:$I$1592,MATCH("[6574,""32582-WT0P-39""]",'SKU明细'!$AE$9:$AE$1592,0)),INDEX('SKU明细'!$I$9:$I$1592,MATCH("[6574,""32582-WT0P-40""]",'SKU明细'!$AE$9:$AE$1592,0)),INDEX('SKU明细'!$I$9:$I$1592,MATCH("[6574,""32582-WT0P-40.5""]",'SKU明细'!$AE$9:$AE$1592,0)),INDEX('SKU明细'!$I$9:$I$1592,MATCH("[6574,""32582-WT0P-41""]",'SKU明细'!$AE$9:$AE$1592,0)),INDEX('SKU明细'!$I$9:$I$1592,MATCH("[6574,""32582-WT0P-39.5""]",'SKU明细'!$AE$9:$AE$1592,0)),INDEX('SKU明细'!$I$9:$I$1592,MATCH("[6574,""32582-WT0P-37""]",'SKU明细'!$AE$9:$AE$1592,0)),INDEX('SKU明细'!$I$9:$I$1592,MATCH("[6574,""32582-WT0P-37.5""]",'SKU明细'!$AE$9:$AE$1592,0)),INDEX('SKU明细'!$I$9:$I$1592,MATCH("[6574,""32582-WT0P-38""]",'SKU明细'!$AE$9:$AE$1592,0)),INDEX('SKU明细'!$I$9:$I$1592,MATCH("[6574,""32582-WT0P-38.5""]",'SKU明细'!$AE$9:$AE$1592,0)),INDEX('SKU明细'!$I$9:$I$1592,MATCH("[6574,""32582-WT0P-42""]",'SKU明细'!$AE$9:$AE$1592,0)))/SUM(INDEX('SKU明细'!$AD$9:$AD$1592,MATCH("[6574,""32582-WT0P-39""]",'SKU明细'!$AE$9:$AE$1592,0)),INDEX('SKU明细'!$AD$9:$AD$1592,MATCH("[6574,""32582-WT0P-40""]",'SKU明细'!$AE$9:$AE$1592,0)),INDEX('SKU明细'!$AD$9:$AD$1592,MATCH("[6574,""32582-WT0P-40.5""]",'SKU明细'!$AE$9:$AE$1592,0)),INDEX('SKU明细'!$AD$9:$AD$1592,MATCH("[6574,""32582-WT0P-41""]",'SKU明细'!$AE$9:$AE$1592,0)),INDEX('SKU明细'!$AD$9:$AD$1592,MATCH("[6574,""32582-WT0P-39.5""]",'SKU明细'!$AE$9:$AE$1592,0)),INDEX('SKU明细'!$AD$9:$AD$1592,MATCH("[6574,""32582-WT0P-37""]",'SKU明细'!$AE$9:$AE$1592,0)),INDEX('SKU明细'!$AD$9:$AD$1592,MATCH("[6574,""32582-WT0P-37.5""]",'SKU明细'!$AE$9:$AE$1592,0)),INDEX('SKU明细'!$AD$9:$AD$1592,MATCH("[6574,""32582-WT0P-38""]",'SKU明细'!$AE$9:$AE$1592,0)),INDEX('SKU明细'!$AD$9:$AD$1592,MATCH("[6574,""32582-WT0P-38.5""]",'SKU明细'!$AE$9:$AE$1592,0)),INDEX('SKU明细'!$AD$9:$AD$1592,MATCH("[6574,""32582-WT0P-42""]",'SKU明细'!$AE$9:$AE$1592,0))),"待核")</x:f>
        <x:v>309.62566844919786</x:v>
      </x:c>
      <x:c r="U95" s="16" t="n">
        <x:f>IF(COUNT(S95:T95)=2,S95-T95,"待核")</x:f>
        <x:v>79.1108643617718</x:v>
      </x:c>
      <x:c r="V95" s="17" t="n">
        <x:f>IF(AND(ISNUMBER(U95),ISNUMBER(T95),T95&lt;&gt;0),U95/T95,"")</x:f>
        <x:v>0.2555048641735981</x:v>
      </x:c>
      <x:c r="W95" s="18" t="n">
        <x:f>IF(COUNT(INDEX('SKU明细'!$H$9:$H$1592,MATCH("[6574,""32582-WT0P-39""]",'SKU明细'!$AE$9:$AE$1592,0)),INDEX('SKU明细'!$H$9:$H$1592,MATCH("[6574,""32582-WT0P-40""]",'SKU明细'!$AE$9:$AE$1592,0)),INDEX('SKU明细'!$H$9:$H$1592,MATCH("[6574,""32582-WT0P-40.5""]",'SKU明细'!$AE$9:$AE$1592,0)),INDEX('SKU明细'!$H$9:$H$1592,MATCH("[6574,""32582-WT0P-41""]",'SKU明细'!$AE$9:$AE$1592,0)),INDEX('SKU明细'!$H$9:$H$1592,MATCH("[6574,""32582-WT0P-39.5""]",'SKU明细'!$AE$9:$AE$1592,0)),INDEX('SKU明细'!$H$9:$H$1592,MATCH("[6574,""32582-WT0P-37""]",'SKU明细'!$AE$9:$AE$1592,0)),INDEX('SKU明细'!$H$9:$H$1592,MATCH("[6574,""32582-WT0P-37.5""]",'SKU明细'!$AE$9:$AE$1592,0)),INDEX('SKU明细'!$H$9:$H$1592,MATCH("[6574,""32582-WT0P-38""]",'SKU明细'!$AE$9:$AE$1592,0)),INDEX('SKU明细'!$H$9:$H$1592,MATCH("[6574,""32582-WT0P-38.5""]",'SKU明细'!$AE$9:$AE$1592,0)),INDEX('SKU明细'!$H$9:$H$1592,MATCH("[6574,""32582-WT0P-42""]",'SKU明细'!$AE$9:$AE$1592,0)))=0,"待核",SUM(INDEX('SKU明细'!$H$9:$H$1592,MATCH("[6574,""32582-WT0P-39""]",'SKU明细'!$AE$9:$AE$1592,0)),INDEX('SKU明细'!$H$9:$H$1592,MATCH("[6574,""32582-WT0P-40""]",'SKU明细'!$AE$9:$AE$1592,0)),INDEX('SKU明细'!$H$9:$H$1592,MATCH("[6574,""32582-WT0P-40.5""]",'SKU明细'!$AE$9:$AE$1592,0)),INDEX('SKU明细'!$H$9:$H$1592,MATCH("[6574,""32582-WT0P-41""]",'SKU明细'!$AE$9:$AE$1592,0)),INDEX('SKU明细'!$H$9:$H$1592,MATCH("[6574,""32582-WT0P-39.5""]",'SKU明细'!$AE$9:$AE$1592,0)),INDEX('SKU明细'!$H$9:$H$1592,MATCH("[6574,""32582-WT0P-37""]",'SKU明细'!$AE$9:$AE$1592,0)),INDEX('SKU明细'!$H$9:$H$1592,MATCH("[6574,""32582-WT0P-37.5""]",'SKU明细'!$AE$9:$AE$1592,0)),INDEX('SKU明细'!$H$9:$H$1592,MATCH("[6574,""32582-WT0P-38""]",'SKU明细'!$AE$9:$AE$1592,0)),INDEX('SKU明细'!$H$9:$H$1592,MATCH("[6574,""32582-WT0P-38.5""]",'SKU明细'!$AE$9:$AE$1592,0)),INDEX('SKU明细'!$H$9:$H$1592,MATCH("[6574,""32582-WT0P-42""]",'SKU明细'!$AE$9:$AE$1592,0))))</x:f>
        <x:v>189</x:v>
      </x:c>
      <x:c r="X95" s="19" t="str">
        <x:f>IF(COUNTIFS('SKU明细'!$AH$9:$AH$1592,"[""32582"",""32582-WT0P"",""WT0P"",""白色""]",'SKU明细'!$E$9:$E$1592,"促销")&gt;0,"促销 ","")&amp;IF(COUNTIFS('SKU明细'!$AH$9:$AH$1592,"[""32582"",""32582-WT0P"",""WT0P"",""白色""]",'SKU明细'!$E$9:$E$1592,"红线促销")&gt;0,"红线促销 ","")&amp;IF(COUNTIFS('SKU明细'!$AH$9:$AH$1592,"[""32582"",""32582-WT0P"",""WT0P"",""白色""]",'SKU明细'!$E$9:$E$1592,"考虑清仓")&gt;0,"考虑清仓 ","")&amp;IF(COUNTIFS('SKU明细'!$AH$9:$AH$1592,"[""32582"",""32582-WT0P"",""WT0P"",""白色""]",'SKU明细'!$E$9:$E$1592,"断货")&gt;0,"断货 ","")&amp;IF(COUNTIFS('SKU明细'!$AH$9:$AH$1592,"[""32582"",""32582-WT0P"",""WT0P"",""白色""]",'SKU明细'!$E$9:$E$1592,"零日销待复核")&gt;0,"零日销待复核 ","")&amp;IF(COUNTIFS('SKU明细'!$AH$9:$AH$1592,"[""32582"",""32582-WT0P"",""WT0P"",""白色""]",'SKU明细'!$E$9:$E$1592,"数据待核")&gt;0,"数据待核 ","")&amp;IF(COUNTIFS('SKU明细'!$AH$9:$AH$1592,"[""32582"",""32582-WT0P"",""WT0P"",""白色""]",'SKU明细'!$E$9:$E$1592,"正常库存")&gt;0,"正常库存 ","")&amp;IF(COUNTIFS('SKU明细'!$AH$9:$AH$1592,"[""32582"",""32582-WT0P"",""WT0P"",""白色""]",'SKU明细'!$E$9:$E$1592,"补货提醒")&gt;0,"补货提醒 ","")</x:f>
        <x:v>红线促销 考虑清仓 零日销待复核 补货提醒 </x:v>
      </x:c>
      <x:c r="Y95" s="19" t="str">
        <x:f>IF(NOT(ISNUMBER(U95)),"覆盖待核／无可比基准","完整可比")</x:f>
        <x:v>完整可比</x:v>
      </x:c>
      <x:c r="Z95" s="19" t="str">
        <x:v>在售</x:v>
      </x:c>
      <x:c r="AA95" s="19" t="n">
        <x:f>IF(SUMIFS('SKU明细'!$AF$9:$AF$1592,'SKU明细'!$D$9:$D$1592,A95,'SKU明细'!$Z$9:$Z$1592,"&lt;&gt;移出")=0,"待核",SUMIFS('SKU明细'!$H$9:$H$1592,'SKU明细'!$D$9:$D$1592,A95,'SKU明细'!$Z$9:$Z$1592,"&lt;&gt;移出"))</x:f>
        <x:v>1442</x:v>
      </x:c>
    </x:row>
    <x:row r="96" ht="54" customHeight="1">
      <x:c r="A96" s="20" t="str">
        <x:v>S02</x:v>
      </x:c>
      <x:c r="B96" s="20" t="str">
        <x:v>陈晨</x:v>
      </x:c>
      <x:c r="C96" s="20" t="str">
        <x:v>裸色</x:v>
      </x:c>
      <x:c r="D96" s="20" t="str">
        <x:v>BG</x:v>
      </x:c>
      <x:c r="E96" s="20" t="str">
        <x:v>S02-BG</x:v>
      </x:c>
      <x:c r="F96" s="20"/>
      <x:c r="G96" s="21" t="str">
        <x:f>"—"</x:f>
        <x:v>—</x:v>
      </x:c>
      <x:c r="H96" s="21" t="n">
        <x:f>IF(AND(COUNT(INDEX('SKU明细'!$H$9:$H$1592,MATCH("[6574,""S02-BG-37""]",'SKU明细'!$AE$9:$AE$1592,0)))=1,COUNT(INDEX('SKU明细'!$G$9:$G$1592,MATCH("[6574,""S02-BG-37""]",'SKU明细'!$AE$9:$AE$1592,0)))=1,SUM(INDEX('SKU明细'!$G$9:$G$1592,MATCH("[6574,""S02-BG-37""]",'SKU明细'!$AE$9:$AE$1592,0)))&gt;0),SUM(INDEX('SKU明细'!$H$9:$H$1592,MATCH("[6574,""S02-BG-37""]",'SKU明细'!$AE$9:$AE$1592,0)))/SUM(INDEX('SKU明细'!$G$9:$G$1592,MATCH("[6574,""S02-BG-37""]",'SKU明细'!$AE$9:$AE$1592,0))),"待核")</x:f>
        <x:v>0</x:v>
      </x:c>
      <x:c r="I96" s="21" t="str">
        <x:f>"—"</x:f>
        <x:v>—</x:v>
      </x:c>
      <x:c r="J96" s="21" t="n">
        <x:f>IF(AND(COUNT(INDEX('SKU明细'!$H$9:$H$1592,MATCH("[6574,""S02-BG-38""]",'SKU明细'!$AE$9:$AE$1592,0)))=1,COUNT(INDEX('SKU明细'!$G$9:$G$1592,MATCH("[6574,""S02-BG-38""]",'SKU明细'!$AE$9:$AE$1592,0)))=1,SUM(INDEX('SKU明细'!$G$9:$G$1592,MATCH("[6574,""S02-BG-38""]",'SKU明细'!$AE$9:$AE$1592,0)))&gt;0),SUM(INDEX('SKU明细'!$H$9:$H$1592,MATCH("[6574,""S02-BG-38""]",'SKU明细'!$AE$9:$AE$1592,0)))/SUM(INDEX('SKU明细'!$G$9:$G$1592,MATCH("[6574,""S02-BG-38""]",'SKU明细'!$AE$9:$AE$1592,0))),"待核")</x:f>
        <x:v>0</x:v>
      </x:c>
      <x:c r="K96" s="21" t="str">
        <x:f>"—"</x:f>
        <x:v>—</x:v>
      </x:c>
      <x:c r="L96" s="21" t="n">
        <x:f>IF(AND(COUNT(INDEX('SKU明细'!$H$9:$H$1592,MATCH("[6574,""S02-BG-39""]",'SKU明细'!$AE$9:$AE$1592,0)))=1,COUNT(INDEX('SKU明细'!$G$9:$G$1592,MATCH("[6574,""S02-BG-39""]",'SKU明细'!$AE$9:$AE$1592,0)))=1,SUM(INDEX('SKU明细'!$G$9:$G$1592,MATCH("[6574,""S02-BG-39""]",'SKU明细'!$AE$9:$AE$1592,0)))&gt;0),SUM(INDEX('SKU明细'!$H$9:$H$1592,MATCH("[6574,""S02-BG-39""]",'SKU明细'!$AE$9:$AE$1592,0)))/SUM(INDEX('SKU明细'!$G$9:$G$1592,MATCH("[6574,""S02-BG-39""]",'SKU明细'!$AE$9:$AE$1592,0))),"待核")</x:f>
        <x:v>15.98111935266352</x:v>
      </x:c>
      <x:c r="M96" s="21" t="str">
        <x:f>"—"</x:f>
        <x:v>—</x:v>
      </x:c>
      <x:c r="N96" s="21" t="n">
        <x:f>IF(AND(COUNT(INDEX('SKU明细'!$H$9:$H$1592,MATCH("[6574,""S02-BG-40""]",'SKU明细'!$AE$9:$AE$1592,0)))=1,COUNT(INDEX('SKU明细'!$G$9:$G$1592,MATCH("[6574,""S02-BG-40""]",'SKU明细'!$AE$9:$AE$1592,0)))=1,SUM(INDEX('SKU明细'!$G$9:$G$1592,MATCH("[6574,""S02-BG-40""]",'SKU明细'!$AE$9:$AE$1592,0)))&gt;0),SUM(INDEX('SKU明细'!$H$9:$H$1592,MATCH("[6574,""S02-BG-40""]",'SKU明细'!$AE$9:$AE$1592,0)))/SUM(INDEX('SKU明细'!$G$9:$G$1592,MATCH("[6574,""S02-BG-40""]",'SKU明细'!$AE$9:$AE$1592,0))),"待核")</x:f>
        <x:v>37.43971942130644</x:v>
      </x:c>
      <x:c r="O96" s="21" t="str">
        <x:f>"—"</x:f>
        <x:v>—</x:v>
      </x:c>
      <x:c r="P96" s="21" t="n">
        <x:f>IF(AND(COUNT(INDEX('SKU明细'!$H$9:$H$1592,MATCH("[6574,""S02-BG-41""]",'SKU明细'!$AE$9:$AE$1592,0)))=1,COUNT(INDEX('SKU明细'!$G$9:$G$1592,MATCH("[6574,""S02-BG-41""]",'SKU明细'!$AE$9:$AE$1592,0)))=1,SUM(INDEX('SKU明细'!$G$9:$G$1592,MATCH("[6574,""S02-BG-41""]",'SKU明细'!$AE$9:$AE$1592,0)))&gt;0),SUM(INDEX('SKU明细'!$H$9:$H$1592,MATCH("[6574,""S02-BG-41""]",'SKU明细'!$AE$9:$AE$1592,0)))/SUM(INDEX('SKU明细'!$G$9:$G$1592,MATCH("[6574,""S02-BG-41""]",'SKU明细'!$AE$9:$AE$1592,0))),"待核")</x:f>
        <x:v>0.7984790874524715</x:v>
      </x:c>
      <x:c r="Q96" s="21" t="str">
        <x:f>"—"</x:f>
        <x:v>—</x:v>
      </x:c>
      <x:c r="R96" s="21" t="n">
        <x:f>IF(AND(COUNT(INDEX('SKU明细'!$H$9:$H$1592,MATCH("[6574,""S02-BG-42""]",'SKU明细'!$AE$9:$AE$1592,0)))=1,COUNT(INDEX('SKU明细'!$G$9:$G$1592,MATCH("[6574,""S02-BG-42""]",'SKU明细'!$AE$9:$AE$1592,0)))=1,SUM(INDEX('SKU明细'!$G$9:$G$1592,MATCH("[6574,""S02-BG-42""]",'SKU明细'!$AE$9:$AE$1592,0)))&gt;0),SUM(INDEX('SKU明细'!$H$9:$H$1592,MATCH("[6574,""S02-BG-42""]",'SKU明细'!$AE$9:$AE$1592,0)))/SUM(INDEX('SKU明细'!$G$9:$G$1592,MATCH("[6574,""S02-BG-42""]",'SKU明细'!$AE$9:$AE$1592,0))),"待核")</x:f>
        <x:v>112.39964317573595</x:v>
      </x:c>
      <x:c r="S96" s="21" t="n">
        <x:f>IF(AND(COUNT(INDEX('SKU明细'!$H$9:$H$1592,MATCH("[6574,""S02-BG-42""]",'SKU明细'!$AE$9:$AE$1592,0)),INDEX('SKU明细'!$H$9:$H$1592,MATCH("[6574,""S02-BG-37""]",'SKU明细'!$AE$9:$AE$1592,0)),INDEX('SKU明细'!$H$9:$H$1592,MATCH("[6574,""S02-BG-38""]",'SKU明细'!$AE$9:$AE$1592,0)),INDEX('SKU明细'!$H$9:$H$1592,MATCH("[6574,""S02-BG-39""]",'SKU明细'!$AE$9:$AE$1592,0)),INDEX('SKU明细'!$H$9:$H$1592,MATCH("[6574,""S02-BG-40""]",'SKU明细'!$AE$9:$AE$1592,0)),INDEX('SKU明细'!$H$9:$H$1592,MATCH("[6574,""S02-BG-41""]",'SKU明细'!$AE$9:$AE$1592,0)))=6,COUNT(INDEX('SKU明细'!$G$9:$G$1592,MATCH("[6574,""S02-BG-42""]",'SKU明细'!$AE$9:$AE$1592,0)),INDEX('SKU明细'!$G$9:$G$1592,MATCH("[6574,""S02-BG-37""]",'SKU明细'!$AE$9:$AE$1592,0)),INDEX('SKU明细'!$G$9:$G$1592,MATCH("[6574,""S02-BG-38""]",'SKU明细'!$AE$9:$AE$1592,0)),INDEX('SKU明细'!$G$9:$G$1592,MATCH("[6574,""S02-BG-39""]",'SKU明细'!$AE$9:$AE$1592,0)),INDEX('SKU明细'!$G$9:$G$1592,MATCH("[6574,""S02-BG-40""]",'SKU明细'!$AE$9:$AE$1592,0)),INDEX('SKU明细'!$G$9:$G$1592,MATCH("[6574,""S02-BG-41""]",'SKU明细'!$AE$9:$AE$1592,0)))=6,SUM(INDEX('SKU明细'!$G$9:$G$1592,MATCH("[6574,""S02-BG-42""]",'SKU明细'!$AE$9:$AE$1592,0)),INDEX('SKU明细'!$G$9:$G$1592,MATCH("[6574,""S02-BG-37""]",'SKU明细'!$AE$9:$AE$1592,0)),INDEX('SKU明细'!$G$9:$G$1592,MATCH("[6574,""S02-BG-38""]",'SKU明细'!$AE$9:$AE$1592,0)),INDEX('SKU明细'!$G$9:$G$1592,MATCH("[6574,""S02-BG-39""]",'SKU明细'!$AE$9:$AE$1592,0)),INDEX('SKU明细'!$G$9:$G$1592,MATCH("[6574,""S02-BG-40""]",'SKU明细'!$AE$9:$AE$1592,0)),INDEX('SKU明细'!$G$9:$G$1592,MATCH("[6574,""S02-BG-41""]",'SKU明细'!$AE$9:$AE$1592,0)))&gt;0),SUM(INDEX('SKU明细'!$H$9:$H$1592,MATCH("[6574,""S02-BG-42""]",'SKU明细'!$AE$9:$AE$1592,0)),INDEX('SKU明细'!$H$9:$H$1592,MATCH("[6574,""S02-BG-37""]",'SKU明细'!$AE$9:$AE$1592,0)),INDEX('SKU明细'!$H$9:$H$1592,MATCH("[6574,""S02-BG-38""]",'SKU明细'!$AE$9:$AE$1592,0)),INDEX('SKU明细'!$H$9:$H$1592,MATCH("[6574,""S02-BG-39""]",'SKU明细'!$AE$9:$AE$1592,0)),INDEX('SKU明细'!$H$9:$H$1592,MATCH("[6574,""S02-BG-40""]",'SKU明细'!$AE$9:$AE$1592,0)),INDEX('SKU明细'!$H$9:$H$1592,MATCH("[6574,""S02-BG-41""]",'SKU明细'!$AE$9:$AE$1592,0)))/SUM(INDEX('SKU明细'!$G$9:$G$1592,MATCH("[6574,""S02-BG-42""]",'SKU明细'!$AE$9:$AE$1592,0)),INDEX('SKU明细'!$G$9:$G$1592,MATCH("[6574,""S02-BG-37""]",'SKU明细'!$AE$9:$AE$1592,0)),INDEX('SKU明细'!$G$9:$G$1592,MATCH("[6574,""S02-BG-38""]",'SKU明细'!$AE$9:$AE$1592,0)),INDEX('SKU明细'!$G$9:$G$1592,MATCH("[6574,""S02-BG-39""]",'SKU明细'!$AE$9:$AE$1592,0)),INDEX('SKU明细'!$G$9:$G$1592,MATCH("[6574,""S02-BG-40""]",'SKU明细'!$AE$9:$AE$1592,0)),INDEX('SKU明细'!$G$9:$G$1592,MATCH("[6574,""S02-BG-41""]",'SKU明细'!$AE$9:$AE$1592,0))),"待核")</x:f>
        <x:v>23.067248029515344</x:v>
      </x:c>
      <x:c r="T96" s="21" t="n">
        <x:f>IF(AND(COUNT(INDEX('SKU明细'!$I$9:$I$1592,MATCH("[6574,""S02-BG-42""]",'SKU明细'!$AE$9:$AE$1592,0)),INDEX('SKU明细'!$I$9:$I$1592,MATCH("[6574,""S02-BG-37""]",'SKU明细'!$AE$9:$AE$1592,0)),INDEX('SKU明细'!$I$9:$I$1592,MATCH("[6574,""S02-BG-38""]",'SKU明细'!$AE$9:$AE$1592,0)),INDEX('SKU明细'!$I$9:$I$1592,MATCH("[6574,""S02-BG-39""]",'SKU明细'!$AE$9:$AE$1592,0)),INDEX('SKU明细'!$I$9:$I$1592,MATCH("[6574,""S02-BG-40""]",'SKU明细'!$AE$9:$AE$1592,0)),INDEX('SKU明细'!$I$9:$I$1592,MATCH("[6574,""S02-BG-41""]",'SKU明细'!$AE$9:$AE$1592,0)))=6,COUNT(INDEX('SKU明细'!$AD$9:$AD$1592,MATCH("[6574,""S02-BG-42""]",'SKU明细'!$AE$9:$AE$1592,0)),INDEX('SKU明细'!$AD$9:$AD$1592,MATCH("[6574,""S02-BG-37""]",'SKU明细'!$AE$9:$AE$1592,0)),INDEX('SKU明细'!$AD$9:$AD$1592,MATCH("[6574,""S02-BG-38""]",'SKU明细'!$AE$9:$AE$1592,0)),INDEX('SKU明细'!$AD$9:$AD$1592,MATCH("[6574,""S02-BG-39""]",'SKU明细'!$AE$9:$AE$1592,0)),INDEX('SKU明细'!$AD$9:$AD$1592,MATCH("[6574,""S02-BG-40""]",'SKU明细'!$AE$9:$AE$1592,0)),INDEX('SKU明细'!$AD$9:$AD$1592,MATCH("[6574,""S02-BG-41""]",'SKU明细'!$AE$9:$AE$1592,0)))=6,SUM(INDEX('SKU明细'!$AD$9:$AD$1592,MATCH("[6574,""S02-BG-42""]",'SKU明细'!$AE$9:$AE$1592,0)),INDEX('SKU明细'!$AD$9:$AD$1592,MATCH("[6574,""S02-BG-37""]",'SKU明细'!$AE$9:$AE$1592,0)),INDEX('SKU明细'!$AD$9:$AD$1592,MATCH("[6574,""S02-BG-38""]",'SKU明细'!$AE$9:$AE$1592,0)),INDEX('SKU明细'!$AD$9:$AD$1592,MATCH("[6574,""S02-BG-39""]",'SKU明细'!$AE$9:$AE$1592,0)),INDEX('SKU明细'!$AD$9:$AD$1592,MATCH("[6574,""S02-BG-40""]",'SKU明细'!$AE$9:$AE$1592,0)),INDEX('SKU明细'!$AD$9:$AD$1592,MATCH("[6574,""S02-BG-41""]",'SKU明细'!$AE$9:$AE$1592,0)))&gt;0),SUM(INDEX('SKU明细'!$I$9:$I$1592,MATCH("[6574,""S02-BG-42""]",'SKU明细'!$AE$9:$AE$1592,0)),INDEX('SKU明细'!$I$9:$I$1592,MATCH("[6574,""S02-BG-37""]",'SKU明细'!$AE$9:$AE$1592,0)),INDEX('SKU明细'!$I$9:$I$1592,MATCH("[6574,""S02-BG-38""]",'SKU明细'!$AE$9:$AE$1592,0)),INDEX('SKU明细'!$I$9:$I$1592,MATCH("[6574,""S02-BG-39""]",'SKU明细'!$AE$9:$AE$1592,0)),INDEX('SKU明细'!$I$9:$I$1592,MATCH("[6574,""S02-BG-40""]",'SKU明细'!$AE$9:$AE$1592,0)),INDEX('SKU明细'!$I$9:$I$1592,MATCH("[6574,""S02-BG-41""]",'SKU明细'!$AE$9:$AE$1592,0)))/SUM(INDEX('SKU明细'!$AD$9:$AD$1592,MATCH("[6574,""S02-BG-42""]",'SKU明细'!$AE$9:$AE$1592,0)),INDEX('SKU明细'!$AD$9:$AD$1592,MATCH("[6574,""S02-BG-37""]",'SKU明细'!$AE$9:$AE$1592,0)),INDEX('SKU明细'!$AD$9:$AD$1592,MATCH("[6574,""S02-BG-38""]",'SKU明细'!$AE$9:$AE$1592,0)),INDEX('SKU明细'!$AD$9:$AD$1592,MATCH("[6574,""S02-BG-39""]",'SKU明细'!$AE$9:$AE$1592,0)),INDEX('SKU明细'!$AD$9:$AD$1592,MATCH("[6574,""S02-BG-40""]",'SKU明细'!$AE$9:$AE$1592,0)),INDEX('SKU明细'!$AD$9:$AD$1592,MATCH("[6574,""S02-BG-41""]",'SKU明细'!$AE$9:$AE$1592,0))),"待核")</x:f>
        <x:v>23.561825726141084</x:v>
      </x:c>
      <x:c r="U96" s="21" t="n">
        <x:f>IF(COUNT(S96:T96)=2,S96-T96,"待核")</x:f>
        <x:v>-0.4945776966257398</x:v>
      </x:c>
      <x:c r="V96" s="22" t="n">
        <x:f>IF(AND(ISNUMBER(U96),ISNUMBER(T96),T96&lt;&gt;0),U96/T96,"")</x:f>
        <x:v>-0.020990635546422103</x:v>
      </x:c>
      <x:c r="W96" s="23" t="n">
        <x:f>IF(COUNT(INDEX('SKU明细'!$H$9:$H$1592,MATCH("[6574,""S02-BG-42""]",'SKU明细'!$AE$9:$AE$1592,0)),INDEX('SKU明细'!$H$9:$H$1592,MATCH("[6574,""S02-BG-37""]",'SKU明细'!$AE$9:$AE$1592,0)),INDEX('SKU明细'!$H$9:$H$1592,MATCH("[6574,""S02-BG-38""]",'SKU明细'!$AE$9:$AE$1592,0)),INDEX('SKU明细'!$H$9:$H$1592,MATCH("[6574,""S02-BG-39""]",'SKU明细'!$AE$9:$AE$1592,0)),INDEX('SKU明细'!$H$9:$H$1592,MATCH("[6574,""S02-BG-40""]",'SKU明细'!$AE$9:$AE$1592,0)),INDEX('SKU明细'!$H$9:$H$1592,MATCH("[6574,""S02-BG-41""]",'SKU明细'!$AE$9:$AE$1592,0)))=0,"待核",SUM(INDEX('SKU明细'!$H$9:$H$1592,MATCH("[6574,""S02-BG-42""]",'SKU明细'!$AE$9:$AE$1592,0)),INDEX('SKU明细'!$H$9:$H$1592,MATCH("[6574,""S02-BG-37""]",'SKU明细'!$AE$9:$AE$1592,0)),INDEX('SKU明细'!$H$9:$H$1592,MATCH("[6574,""S02-BG-38""]",'SKU明细'!$AE$9:$AE$1592,0)),INDEX('SKU明细'!$H$9:$H$1592,MATCH("[6574,""S02-BG-39""]",'SKU明细'!$AE$9:$AE$1592,0)),INDEX('SKU明细'!$H$9:$H$1592,MATCH("[6574,""S02-BG-40""]",'SKU明细'!$AE$9:$AE$1592,0)),INDEX('SKU明细'!$H$9:$H$1592,MATCH("[6574,""S02-BG-41""]",'SKU明细'!$AE$9:$AE$1592,0))))</x:f>
        <x:v>262</x:v>
      </x:c>
      <x:c r="X96" s="24" t="str">
        <x:f>IF(COUNTIFS('SKU明细'!$AH$9:$AH$1592,"[""S02"",""S02-BG"",""BG"",""裸色""]",'SKU明细'!$E$9:$E$1592,"促销")&gt;0,"促销 ","")&amp;IF(COUNTIFS('SKU明细'!$AH$9:$AH$1592,"[""S02"",""S02-BG"",""BG"",""裸色""]",'SKU明细'!$E$9:$E$1592,"红线促销")&gt;0,"红线促销 ","")&amp;IF(COUNTIFS('SKU明细'!$AH$9:$AH$1592,"[""S02"",""S02-BG"",""BG"",""裸色""]",'SKU明细'!$E$9:$E$1592,"考虑清仓")&gt;0,"考虑清仓 ","")&amp;IF(COUNTIFS('SKU明细'!$AH$9:$AH$1592,"[""S02"",""S02-BG"",""BG"",""裸色""]",'SKU明细'!$E$9:$E$1592,"断货")&gt;0,"断货 ","")&amp;IF(COUNTIFS('SKU明细'!$AH$9:$AH$1592,"[""S02"",""S02-BG"",""BG"",""裸色""]",'SKU明细'!$E$9:$E$1592,"零日销待复核")&gt;0,"零日销待复核 ","")&amp;IF(COUNTIFS('SKU明细'!$AH$9:$AH$1592,"[""S02"",""S02-BG"",""BG"",""裸色""]",'SKU明细'!$E$9:$E$1592,"数据待核")&gt;0,"数据待核 ","")&amp;IF(COUNTIFS('SKU明细'!$AH$9:$AH$1592,"[""S02"",""S02-BG"",""BG"",""裸色""]",'SKU明细'!$E$9:$E$1592,"正常库存")&gt;0,"正常库存 ","")&amp;IF(COUNTIFS('SKU明细'!$AH$9:$AH$1592,"[""S02"",""S02-BG"",""BG"",""裸色""]",'SKU明细'!$E$9:$E$1592,"补货提醒")&gt;0,"补货提醒 ","")</x:f>
        <x:v>促销 断货 补货提醒 </x:v>
      </x:c>
      <x:c r="Y96" s="24" t="str">
        <x:f>IF(NOT(ISNUMBER(U96)),"覆盖待核／无可比基准","完整可比")</x:f>
        <x:v>完整可比</x:v>
      </x:c>
      <x:c r="Z96" s="24" t="str">
        <x:v>在售</x:v>
      </x:c>
      <x:c r="AA96" s="24" t="n">
        <x:f>IF(SUMIFS('SKU明细'!$AF$9:$AF$1592,'SKU明细'!$D$9:$D$1592,A96,'SKU明细'!$Z$9:$Z$1592,"&lt;&gt;移出")=0,"待核",SUMIFS('SKU明细'!$H$9:$H$1592,'SKU明细'!$D$9:$D$1592,A96,'SKU明细'!$Z$9:$Z$1592,"&lt;&gt;移出"))</x:f>
        <x:v>1166</x:v>
      </x:c>
    </x:row>
    <x:row r="97" ht="54" customHeight="1">
      <x:c r="A97" s="20" t="str">
        <x:v>S02</x:v>
      </x:c>
      <x:c r="B97" s="20" t="str">
        <x:v>陈晨</x:v>
      </x:c>
      <x:c r="C97" s="20" t="str">
        <x:v>裸色</x:v>
      </x:c>
      <x:c r="D97" s="20" t="str">
        <x:v>BG1</x:v>
      </x:c>
      <x:c r="E97" s="20" t="str">
        <x:v>S02-BG1</x:v>
      </x:c>
      <x:c r="F97" s="20"/>
      <x:c r="G97" s="21" t="str">
        <x:f>"—"</x:f>
        <x:v>—</x:v>
      </x:c>
      <x:c r="H97" s="21" t="str">
        <x:f>"—"</x:f>
        <x:v>—</x:v>
      </x:c>
      <x:c r="I97" s="21" t="str">
        <x:f>"—"</x:f>
        <x:v>—</x:v>
      </x:c>
      <x:c r="J97" s="21" t="str">
        <x:f>"—"</x:f>
        <x:v>—</x:v>
      </x:c>
      <x:c r="K97" s="21" t="n">
        <x:f>IF(AND(COUNT(INDEX('SKU明细'!$H$9:$H$1592,MATCH("[6574,""S02-BG1-38""]",'SKU明细'!$AE$9:$AE$1592,0)))=1,COUNT(INDEX('SKU明细'!$G$9:$G$1592,MATCH("[6574,""S02-BG1-38""]",'SKU明细'!$AE$9:$AE$1592,0)))=1,SUM(INDEX('SKU明细'!$G$9:$G$1592,MATCH("[6574,""S02-BG1-38""]",'SKU明细'!$AE$9:$AE$1592,0)))&gt;0),SUM(INDEX('SKU明细'!$H$9:$H$1592,MATCH("[6574,""S02-BG1-38""]",'SKU明细'!$AE$9:$AE$1592,0)))/SUM(INDEX('SKU明细'!$G$9:$G$1592,MATCH("[6574,""S02-BG1-38""]",'SKU明细'!$AE$9:$AE$1592,0))),"待核")</x:f>
        <x:v>0</x:v>
      </x:c>
      <x:c r="L97" s="21" t="str">
        <x:f>"—"</x:f>
        <x:v>—</x:v>
      </x:c>
      <x:c r="M97" s="21" t="str">
        <x:f>"—"</x:f>
        <x:v>—</x:v>
      </x:c>
      <x:c r="N97" s="21" t="str">
        <x:f>"—"</x:f>
        <x:v>—</x:v>
      </x:c>
      <x:c r="O97" s="21" t="str">
        <x:f>"—"</x:f>
        <x:v>—</x:v>
      </x:c>
      <x:c r="P97" s="21" t="str">
        <x:f>"—"</x:f>
        <x:v>—</x:v>
      </x:c>
      <x:c r="Q97" s="21" t="str">
        <x:f>"—"</x:f>
        <x:v>—</x:v>
      </x:c>
      <x:c r="R97" s="21" t="str">
        <x:f>"—"</x:f>
        <x:v>—</x:v>
      </x:c>
      <x:c r="S97" s="21" t="n">
        <x:f>IF(AND(COUNT(INDEX('SKU明细'!$H$9:$H$1592,MATCH("[6574,""S02-BG1-38""]",'SKU明细'!$AE$9:$AE$1592,0)))=1,COUNT(INDEX('SKU明细'!$G$9:$G$1592,MATCH("[6574,""S02-BG1-38""]",'SKU明细'!$AE$9:$AE$1592,0)))=1,SUM(INDEX('SKU明细'!$G$9:$G$1592,MATCH("[6574,""S02-BG1-38""]",'SKU明细'!$AE$9:$AE$1592,0)))&gt;0),SUM(INDEX('SKU明细'!$H$9:$H$1592,MATCH("[6574,""S02-BG1-38""]",'SKU明细'!$AE$9:$AE$1592,0)))/SUM(INDEX('SKU明细'!$G$9:$G$1592,MATCH("[6574,""S02-BG1-38""]",'SKU明细'!$AE$9:$AE$1592,0))),"待核")</x:f>
        <x:v>0</x:v>
      </x:c>
      <x:c r="T97" s="21" t="n">
        <x:f>IF(AND(COUNT(INDEX('SKU明细'!$I$9:$I$1592,MATCH("[6574,""S02-BG1-38""]",'SKU明细'!$AE$9:$AE$1592,0)))=1,COUNT(INDEX('SKU明细'!$AD$9:$AD$1592,MATCH("[6574,""S02-BG1-38""]",'SKU明细'!$AE$9:$AE$1592,0)))=1,SUM(INDEX('SKU明细'!$AD$9:$AD$1592,MATCH("[6574,""S02-BG1-38""]",'SKU明细'!$AE$9:$AE$1592,0)))&gt;0),SUM(INDEX('SKU明细'!$I$9:$I$1592,MATCH("[6574,""S02-BG1-38""]",'SKU明细'!$AE$9:$AE$1592,0)))/SUM(INDEX('SKU明细'!$AD$9:$AD$1592,MATCH("[6574,""S02-BG1-38""]",'SKU明细'!$AE$9:$AE$1592,0))),"待核")</x:f>
        <x:v>6.3444108761329305</x:v>
      </x:c>
      <x:c r="U97" s="21" t="n">
        <x:f>IF(COUNT(S97:T97)=2,S97-T97,"待核")</x:f>
        <x:v>-6.3444108761329305</x:v>
      </x:c>
      <x:c r="V97" s="22" t="n">
        <x:f>IF(AND(ISNUMBER(U97),ISNUMBER(T97),T97&lt;&gt;0),U97/T97,"")</x:f>
        <x:v>-1</x:v>
      </x:c>
      <x:c r="W97" s="23" t="n">
        <x:f>IF(COUNT(INDEX('SKU明细'!$H$9:$H$1592,MATCH("[6574,""S02-BG1-38""]",'SKU明细'!$AE$9:$AE$1592,0)))=0,"待核",SUM(INDEX('SKU明细'!$H$9:$H$1592,MATCH("[6574,""S02-BG1-38""]",'SKU明细'!$AE$9:$AE$1592,0))))</x:f>
        <x:v>0</x:v>
      </x:c>
      <x:c r="X97" s="24" t="str">
        <x:f>IF(COUNTIFS('SKU明细'!$AH$9:$AH$1592,"[""S02"",""S02-BG1"",""BG1"",""裸色""]",'SKU明细'!$E$9:$E$1592,"促销")&gt;0,"促销 ","")&amp;IF(COUNTIFS('SKU明细'!$AH$9:$AH$1592,"[""S02"",""S02-BG1"",""BG1"",""裸色""]",'SKU明细'!$E$9:$E$1592,"红线促销")&gt;0,"红线促销 ","")&amp;IF(COUNTIFS('SKU明细'!$AH$9:$AH$1592,"[""S02"",""S02-BG1"",""BG1"",""裸色""]",'SKU明细'!$E$9:$E$1592,"考虑清仓")&gt;0,"考虑清仓 ","")&amp;IF(COUNTIFS('SKU明细'!$AH$9:$AH$1592,"[""S02"",""S02-BG1"",""BG1"",""裸色""]",'SKU明细'!$E$9:$E$1592,"断货")&gt;0,"断货 ","")&amp;IF(COUNTIFS('SKU明细'!$AH$9:$AH$1592,"[""S02"",""S02-BG1"",""BG1"",""裸色""]",'SKU明细'!$E$9:$E$1592,"零日销待复核")&gt;0,"零日销待复核 ","")&amp;IF(COUNTIFS('SKU明细'!$AH$9:$AH$1592,"[""S02"",""S02-BG1"",""BG1"",""裸色""]",'SKU明细'!$E$9:$E$1592,"数据待核")&gt;0,"数据待核 ","")&amp;IF(COUNTIFS('SKU明细'!$AH$9:$AH$1592,"[""S02"",""S02-BG1"",""BG1"",""裸色""]",'SKU明细'!$E$9:$E$1592,"正常库存")&gt;0,"正常库存 ","")&amp;IF(COUNTIFS('SKU明细'!$AH$9:$AH$1592,"[""S02"",""S02-BG1"",""BG1"",""裸色""]",'SKU明细'!$E$9:$E$1592,"补货提醒")&gt;0,"补货提醒 ","")</x:f>
        <x:v>断货 </x:v>
      </x:c>
      <x:c r="Y97" s="24" t="str">
        <x:f>IF(NOT(ISNUMBER(U97)),"覆盖待核／无可比基准","完整可比")</x:f>
        <x:v>完整可比</x:v>
      </x:c>
      <x:c r="Z97" s="24" t="str">
        <x:v>在售</x:v>
      </x:c>
      <x:c r="AA97" s="24" t="n">
        <x:f>IF(SUMIFS('SKU明细'!$AF$9:$AF$1592,'SKU明细'!$D$9:$D$1592,A97,'SKU明细'!$Z$9:$Z$1592,"&lt;&gt;移出")=0,"待核",SUMIFS('SKU明细'!$H$9:$H$1592,'SKU明细'!$D$9:$D$1592,A97,'SKU明细'!$Z$9:$Z$1592,"&lt;&gt;移出"))</x:f>
        <x:v>1166</x:v>
      </x:c>
    </x:row>
    <x:row r="98" ht="54" customHeight="1">
      <x:c r="A98" s="20" t="str">
        <x:v>S02</x:v>
      </x:c>
      <x:c r="B98" s="20" t="str">
        <x:v>陈晨</x:v>
      </x:c>
      <x:c r="C98" s="20" t="str">
        <x:v>黑色</x:v>
      </x:c>
      <x:c r="D98" s="20" t="str">
        <x:v>BK</x:v>
      </x:c>
      <x:c r="E98" s="20" t="str">
        <x:v>S02-BK</x:v>
      </x:c>
      <x:c r="F98" s="20"/>
      <x:c r="G98" s="21" t="str">
        <x:f>"—"</x:f>
        <x:v>—</x:v>
      </x:c>
      <x:c r="H98" s="21" t="n">
        <x:f>IF(AND(COUNT(INDEX('SKU明细'!$H$9:$H$1592,MATCH("[6574,""S02-BK-37""]",'SKU明细'!$AE$9:$AE$1592,0)))=1,COUNT(INDEX('SKU明细'!$G$9:$G$1592,MATCH("[6574,""S02-BK-37""]",'SKU明细'!$AE$9:$AE$1592,0)))=1,SUM(INDEX('SKU明细'!$G$9:$G$1592,MATCH("[6574,""S02-BK-37""]",'SKU明细'!$AE$9:$AE$1592,0)))&gt;0),SUM(INDEX('SKU明细'!$H$9:$H$1592,MATCH("[6574,""S02-BK-37""]",'SKU明细'!$AE$9:$AE$1592,0)))/SUM(INDEX('SKU明细'!$G$9:$G$1592,MATCH("[6574,""S02-BK-37""]",'SKU明细'!$AE$9:$AE$1592,0))),"待核")</x:f>
        <x:v>97.9665071770335</x:v>
      </x:c>
      <x:c r="I98" s="21" t="str">
        <x:f>"—"</x:f>
        <x:v>—</x:v>
      </x:c>
      <x:c r="J98" s="21" t="n">
        <x:f>IF(AND(COUNT(INDEX('SKU明细'!$H$9:$H$1592,MATCH("[6574,""S02-BK-38""]",'SKU明细'!$AE$9:$AE$1592,0)))=1,COUNT(INDEX('SKU明细'!$G$9:$G$1592,MATCH("[6574,""S02-BK-38""]",'SKU明细'!$AE$9:$AE$1592,0)))=1,SUM(INDEX('SKU明细'!$G$9:$G$1592,MATCH("[6574,""S02-BK-38""]",'SKU明细'!$AE$9:$AE$1592,0)))&gt;0),SUM(INDEX('SKU明细'!$H$9:$H$1592,MATCH("[6574,""S02-BK-38""]",'SKU明细'!$AE$9:$AE$1592,0)))/SUM(INDEX('SKU明细'!$G$9:$G$1592,MATCH("[6574,""S02-BK-38""]",'SKU明细'!$AE$9:$AE$1592,0))),"待核")</x:f>
        <x:v>20.957430219865895</x:v>
      </x:c>
      <x:c r="K98" s="21" t="str">
        <x:f>"—"</x:f>
        <x:v>—</x:v>
      </x:c>
      <x:c r="L98" s="21" t="n">
        <x:f>IF(AND(COUNT(INDEX('SKU明细'!$H$9:$H$1592,MATCH("[6574,""S02-BK-39""]",'SKU明细'!$AE$9:$AE$1592,0)))=1,COUNT(INDEX('SKU明细'!$G$9:$G$1592,MATCH("[6574,""S02-BK-39""]",'SKU明细'!$AE$9:$AE$1592,0)))=1,SUM(INDEX('SKU明细'!$G$9:$G$1592,MATCH("[6574,""S02-BK-39""]",'SKU明细'!$AE$9:$AE$1592,0)))&gt;0),SUM(INDEX('SKU明细'!$H$9:$H$1592,MATCH("[6574,""S02-BK-39""]",'SKU明细'!$AE$9:$AE$1592,0)))/SUM(INDEX('SKU明细'!$G$9:$G$1592,MATCH("[6574,""S02-BK-39""]",'SKU明细'!$AE$9:$AE$1592,0))),"待核")</x:f>
        <x:v>7.721534501777179</x:v>
      </x:c>
      <x:c r="M98" s="21" t="str">
        <x:f>"—"</x:f>
        <x:v>—</x:v>
      </x:c>
      <x:c r="N98" s="21" t="n">
        <x:f>IF(AND(COUNT(INDEX('SKU明细'!$H$9:$H$1592,MATCH("[6574,""S02-BK-40""]",'SKU明细'!$AE$9:$AE$1592,0)))=1,COUNT(INDEX('SKU明细'!$G$9:$G$1592,MATCH("[6574,""S02-BK-40""]",'SKU明细'!$AE$9:$AE$1592,0)))=1,SUM(INDEX('SKU明细'!$G$9:$G$1592,MATCH("[6574,""S02-BK-40""]",'SKU明细'!$AE$9:$AE$1592,0)))&gt;0),SUM(INDEX('SKU明细'!$H$9:$H$1592,MATCH("[6574,""S02-BK-40""]",'SKU明细'!$AE$9:$AE$1592,0)))/SUM(INDEX('SKU明细'!$G$9:$G$1592,MATCH("[6574,""S02-BK-40""]",'SKU明细'!$AE$9:$AE$1592,0))),"待核")</x:f>
        <x:v>4.794520547945206</x:v>
      </x:c>
      <x:c r="O98" s="21" t="str">
        <x:f>"—"</x:f>
        <x:v>—</x:v>
      </x:c>
      <x:c r="P98" s="21" t="n">
        <x:f>IF(AND(COUNT(INDEX('SKU明细'!$H$9:$H$1592,MATCH("[6574,""S02-BK-41""]",'SKU明细'!$AE$9:$AE$1592,0)))=1,COUNT(INDEX('SKU明细'!$G$9:$G$1592,MATCH("[6574,""S02-BK-41""]",'SKU明细'!$AE$9:$AE$1592,0)))=1,SUM(INDEX('SKU明细'!$G$9:$G$1592,MATCH("[6574,""S02-BK-41""]",'SKU明细'!$AE$9:$AE$1592,0)))&gt;0),SUM(INDEX('SKU明细'!$H$9:$H$1592,MATCH("[6574,""S02-BK-41""]",'SKU明细'!$AE$9:$AE$1592,0)))/SUM(INDEX('SKU明细'!$G$9:$G$1592,MATCH("[6574,""S02-BK-41""]",'SKU明细'!$AE$9:$AE$1592,0))),"待核")</x:f>
        <x:v>2.9751062537947783</x:v>
      </x:c>
      <x:c r="Q98" s="21" t="str">
        <x:f>"—"</x:f>
        <x:v>—</x:v>
      </x:c>
      <x:c r="R98" s="21" t="n">
        <x:f>IF(AND(COUNT(INDEX('SKU明细'!$H$9:$H$1592,MATCH("[6574,""S02-BK-42""]",'SKU明细'!$AE$9:$AE$1592,0)))=1,COUNT(INDEX('SKU明细'!$G$9:$G$1592,MATCH("[6574,""S02-BK-42""]",'SKU明细'!$AE$9:$AE$1592,0)))=1,SUM(INDEX('SKU明细'!$G$9:$G$1592,MATCH("[6574,""S02-BK-42""]",'SKU明细'!$AE$9:$AE$1592,0)))&gt;0),SUM(INDEX('SKU明细'!$H$9:$H$1592,MATCH("[6574,""S02-BK-42""]",'SKU明细'!$AE$9:$AE$1592,0)))/SUM(INDEX('SKU明细'!$G$9:$G$1592,MATCH("[6574,""S02-BK-42""]",'SKU明细'!$AE$9:$AE$1592,0))),"待核")</x:f>
        <x:v>0</x:v>
      </x:c>
      <x:c r="S98" s="21" t="n">
        <x:f>IF(AND(COUNT(INDEX('SKU明细'!$H$9:$H$1592,MATCH("[6574,""S02-BK-37""]",'SKU明细'!$AE$9:$AE$1592,0)),INDEX('SKU明细'!$H$9:$H$1592,MATCH("[6574,""S02-BK-42""]",'SKU明细'!$AE$9:$AE$1592,0)),INDEX('SKU明细'!$H$9:$H$1592,MATCH("[6574,""S02-BK-38""]",'SKU明细'!$AE$9:$AE$1592,0)),INDEX('SKU明细'!$H$9:$H$1592,MATCH("[6574,""S02-BK-39""]",'SKU明细'!$AE$9:$AE$1592,0)),INDEX('SKU明细'!$H$9:$H$1592,MATCH("[6574,""S02-BK-40""]",'SKU明细'!$AE$9:$AE$1592,0)),INDEX('SKU明细'!$H$9:$H$1592,MATCH("[6574,""S02-BK-41""]",'SKU明细'!$AE$9:$AE$1592,0)))=6,COUNT(INDEX('SKU明细'!$G$9:$G$1592,MATCH("[6574,""S02-BK-37""]",'SKU明细'!$AE$9:$AE$1592,0)),INDEX('SKU明细'!$G$9:$G$1592,MATCH("[6574,""S02-BK-42""]",'SKU明细'!$AE$9:$AE$1592,0)),INDEX('SKU明细'!$G$9:$G$1592,MATCH("[6574,""S02-BK-38""]",'SKU明细'!$AE$9:$AE$1592,0)),INDEX('SKU明细'!$G$9:$G$1592,MATCH("[6574,""S02-BK-39""]",'SKU明细'!$AE$9:$AE$1592,0)),INDEX('SKU明细'!$G$9:$G$1592,MATCH("[6574,""S02-BK-40""]",'SKU明细'!$AE$9:$AE$1592,0)),INDEX('SKU明细'!$G$9:$G$1592,MATCH("[6574,""S02-BK-41""]",'SKU明细'!$AE$9:$AE$1592,0)))=6,SUM(INDEX('SKU明细'!$G$9:$G$1592,MATCH("[6574,""S02-BK-37""]",'SKU明细'!$AE$9:$AE$1592,0)),INDEX('SKU明细'!$G$9:$G$1592,MATCH("[6574,""S02-BK-42""]",'SKU明细'!$AE$9:$AE$1592,0)),INDEX('SKU明细'!$G$9:$G$1592,MATCH("[6574,""S02-BK-38""]",'SKU明细'!$AE$9:$AE$1592,0)),INDEX('SKU明细'!$G$9:$G$1592,MATCH("[6574,""S02-BK-39""]",'SKU明细'!$AE$9:$AE$1592,0)),INDEX('SKU明细'!$G$9:$G$1592,MATCH("[6574,""S02-BK-40""]",'SKU明细'!$AE$9:$AE$1592,0)),INDEX('SKU明细'!$G$9:$G$1592,MATCH("[6574,""S02-BK-41""]",'SKU明细'!$AE$9:$AE$1592,0)))&gt;0),SUM(INDEX('SKU明细'!$H$9:$H$1592,MATCH("[6574,""S02-BK-37""]",'SKU明细'!$AE$9:$AE$1592,0)),INDEX('SKU明细'!$H$9:$H$1592,MATCH("[6574,""S02-BK-42""]",'SKU明细'!$AE$9:$AE$1592,0)),INDEX('SKU明细'!$H$9:$H$1592,MATCH("[6574,""S02-BK-38""]",'SKU明细'!$AE$9:$AE$1592,0)),INDEX('SKU明细'!$H$9:$H$1592,MATCH("[6574,""S02-BK-39""]",'SKU明细'!$AE$9:$AE$1592,0)),INDEX('SKU明细'!$H$9:$H$1592,MATCH("[6574,""S02-BK-40""]",'SKU明细'!$AE$9:$AE$1592,0)),INDEX('SKU明细'!$H$9:$H$1592,MATCH("[6574,""S02-BK-41""]",'SKU明细'!$AE$9:$AE$1592,0)))/SUM(INDEX('SKU明细'!$G$9:$G$1592,MATCH("[6574,""S02-BK-37""]",'SKU明细'!$AE$9:$AE$1592,0)),INDEX('SKU明细'!$G$9:$G$1592,MATCH("[6574,""S02-BK-42""]",'SKU明细'!$AE$9:$AE$1592,0)),INDEX('SKU明细'!$G$9:$G$1592,MATCH("[6574,""S02-BK-38""]",'SKU明细'!$AE$9:$AE$1592,0)),INDEX('SKU明细'!$G$9:$G$1592,MATCH("[6574,""S02-BK-39""]",'SKU明细'!$AE$9:$AE$1592,0)),INDEX('SKU明细'!$G$9:$G$1592,MATCH("[6574,""S02-BK-40""]",'SKU明细'!$AE$9:$AE$1592,0)),INDEX('SKU明细'!$G$9:$G$1592,MATCH("[6574,""S02-BK-41""]",'SKU明细'!$AE$9:$AE$1592,0))),"待核")</x:f>
        <x:v>10.792594308823219</x:v>
      </x:c>
      <x:c r="T98" s="21" t="n">
        <x:f>IF(AND(COUNT(INDEX('SKU明细'!$I$9:$I$1592,MATCH("[6574,""S02-BK-37""]",'SKU明细'!$AE$9:$AE$1592,0)),INDEX('SKU明细'!$I$9:$I$1592,MATCH("[6574,""S02-BK-42""]",'SKU明细'!$AE$9:$AE$1592,0)),INDEX('SKU明细'!$I$9:$I$1592,MATCH("[6574,""S02-BK-38""]",'SKU明细'!$AE$9:$AE$1592,0)),INDEX('SKU明细'!$I$9:$I$1592,MATCH("[6574,""S02-BK-39""]",'SKU明细'!$AE$9:$AE$1592,0)),INDEX('SKU明细'!$I$9:$I$1592,MATCH("[6574,""S02-BK-40""]",'SKU明细'!$AE$9:$AE$1592,0)),INDEX('SKU明细'!$I$9:$I$1592,MATCH("[6574,""S02-BK-41""]",'SKU明细'!$AE$9:$AE$1592,0)))=6,COUNT(INDEX('SKU明细'!$AD$9:$AD$1592,MATCH("[6574,""S02-BK-37""]",'SKU明细'!$AE$9:$AE$1592,0)),INDEX('SKU明细'!$AD$9:$AD$1592,MATCH("[6574,""S02-BK-42""]",'SKU明细'!$AE$9:$AE$1592,0)),INDEX('SKU明细'!$AD$9:$AD$1592,MATCH("[6574,""S02-BK-38""]",'SKU明细'!$AE$9:$AE$1592,0)),INDEX('SKU明细'!$AD$9:$AD$1592,MATCH("[6574,""S02-BK-39""]",'SKU明细'!$AE$9:$AE$1592,0)),INDEX('SKU明细'!$AD$9:$AD$1592,MATCH("[6574,""S02-BK-40""]",'SKU明细'!$AE$9:$AE$1592,0)),INDEX('SKU明细'!$AD$9:$AD$1592,MATCH("[6574,""S02-BK-41""]",'SKU明细'!$AE$9:$AE$1592,0)))=6,SUM(INDEX('SKU明细'!$AD$9:$AD$1592,MATCH("[6574,""S02-BK-37""]",'SKU明细'!$AE$9:$AE$1592,0)),INDEX('SKU明细'!$AD$9:$AD$1592,MATCH("[6574,""S02-BK-42""]",'SKU明细'!$AE$9:$AE$1592,0)),INDEX('SKU明细'!$AD$9:$AD$1592,MATCH("[6574,""S02-BK-38""]",'SKU明细'!$AE$9:$AE$1592,0)),INDEX('SKU明细'!$AD$9:$AD$1592,MATCH("[6574,""S02-BK-39""]",'SKU明细'!$AE$9:$AE$1592,0)),INDEX('SKU明细'!$AD$9:$AD$1592,MATCH("[6574,""S02-BK-40""]",'SKU明细'!$AE$9:$AE$1592,0)),INDEX('SKU明细'!$AD$9:$AD$1592,MATCH("[6574,""S02-BK-41""]",'SKU明细'!$AE$9:$AE$1592,0)))&gt;0),SUM(INDEX('SKU明细'!$I$9:$I$1592,MATCH("[6574,""S02-BK-37""]",'SKU明细'!$AE$9:$AE$1592,0)),INDEX('SKU明细'!$I$9:$I$1592,MATCH("[6574,""S02-BK-42""]",'SKU明细'!$AE$9:$AE$1592,0)),INDEX('SKU明细'!$I$9:$I$1592,MATCH("[6574,""S02-BK-38""]",'SKU明细'!$AE$9:$AE$1592,0)),INDEX('SKU明细'!$I$9:$I$1592,MATCH("[6574,""S02-BK-39""]",'SKU明细'!$AE$9:$AE$1592,0)),INDEX('SKU明细'!$I$9:$I$1592,MATCH("[6574,""S02-BK-40""]",'SKU明细'!$AE$9:$AE$1592,0)),INDEX('SKU明细'!$I$9:$I$1592,MATCH("[6574,""S02-BK-41""]",'SKU明细'!$AE$9:$AE$1592,0)))/SUM(INDEX('SKU明细'!$AD$9:$AD$1592,MATCH("[6574,""S02-BK-37""]",'SKU明细'!$AE$9:$AE$1592,0)),INDEX('SKU明细'!$AD$9:$AD$1592,MATCH("[6574,""S02-BK-42""]",'SKU明细'!$AE$9:$AE$1592,0)),INDEX('SKU明细'!$AD$9:$AD$1592,MATCH("[6574,""S02-BK-38""]",'SKU明细'!$AE$9:$AE$1592,0)),INDEX('SKU明细'!$AD$9:$AD$1592,MATCH("[6574,""S02-BK-39""]",'SKU明细'!$AE$9:$AE$1592,0)),INDEX('SKU明细'!$AD$9:$AD$1592,MATCH("[6574,""S02-BK-40""]",'SKU明细'!$AE$9:$AE$1592,0)),INDEX('SKU明细'!$AD$9:$AD$1592,MATCH("[6574,""S02-BK-41""]",'SKU明细'!$AE$9:$AE$1592,0))),"待核")</x:f>
        <x:v>13.818599111007815</x:v>
      </x:c>
      <x:c r="U98" s="21" t="n">
        <x:f>IF(COUNT(S98:T98)=2,S98-T98,"待核")</x:f>
        <x:v>-3.0260048021845964</x:v>
      </x:c>
      <x:c r="V98" s="22" t="n">
        <x:f>IF(AND(ISNUMBER(U98),ISNUMBER(T98),T98&lt;&gt;0),U98/T98,"")</x:f>
        <x:v>-0.21898057667611898</x:v>
      </x:c>
      <x:c r="W98" s="23" t="n">
        <x:f>IF(COUNT(INDEX('SKU明细'!$H$9:$H$1592,MATCH("[6574,""S02-BK-37""]",'SKU明细'!$AE$9:$AE$1592,0)),INDEX('SKU明细'!$H$9:$H$1592,MATCH("[6574,""S02-BK-42""]",'SKU明细'!$AE$9:$AE$1592,0)),INDEX('SKU明细'!$H$9:$H$1592,MATCH("[6574,""S02-BK-38""]",'SKU明细'!$AE$9:$AE$1592,0)),INDEX('SKU明细'!$H$9:$H$1592,MATCH("[6574,""S02-BK-39""]",'SKU明细'!$AE$9:$AE$1592,0)),INDEX('SKU明细'!$H$9:$H$1592,MATCH("[6574,""S02-BK-40""]",'SKU明细'!$AE$9:$AE$1592,0)),INDEX('SKU明细'!$H$9:$H$1592,MATCH("[6574,""S02-BK-41""]",'SKU明细'!$AE$9:$AE$1592,0)))=0,"待核",SUM(INDEX('SKU明细'!$H$9:$H$1592,MATCH("[6574,""S02-BK-37""]",'SKU明细'!$AE$9:$AE$1592,0)),INDEX('SKU明细'!$H$9:$H$1592,MATCH("[6574,""S02-BK-42""]",'SKU明细'!$AE$9:$AE$1592,0)),INDEX('SKU明细'!$H$9:$H$1592,MATCH("[6574,""S02-BK-38""]",'SKU明细'!$AE$9:$AE$1592,0)),INDEX('SKU明细'!$H$9:$H$1592,MATCH("[6574,""S02-BK-39""]",'SKU明细'!$AE$9:$AE$1592,0)),INDEX('SKU明细'!$H$9:$H$1592,MATCH("[6574,""S02-BK-40""]",'SKU明细'!$AE$9:$AE$1592,0)),INDEX('SKU明细'!$H$9:$H$1592,MATCH("[6574,""S02-BK-41""]",'SKU明细'!$AE$9:$AE$1592,0))))</x:f>
        <x:v>244</x:v>
      </x:c>
      <x:c r="X98" s="24" t="str">
        <x:f>IF(COUNTIFS('SKU明细'!$AH$9:$AH$1592,"[""S02"",""S02-BK"",""BK"",""黑色""]",'SKU明细'!$E$9:$E$1592,"促销")&gt;0,"促销 ","")&amp;IF(COUNTIFS('SKU明细'!$AH$9:$AH$1592,"[""S02"",""S02-BK"",""BK"",""黑色""]",'SKU明细'!$E$9:$E$1592,"红线促销")&gt;0,"红线促销 ","")&amp;IF(COUNTIFS('SKU明细'!$AH$9:$AH$1592,"[""S02"",""S02-BK"",""BK"",""黑色""]",'SKU明细'!$E$9:$E$1592,"考虑清仓")&gt;0,"考虑清仓 ","")&amp;IF(COUNTIFS('SKU明细'!$AH$9:$AH$1592,"[""S02"",""S02-BK"",""BK"",""黑色""]",'SKU明细'!$E$9:$E$1592,"断货")&gt;0,"断货 ","")&amp;IF(COUNTIFS('SKU明细'!$AH$9:$AH$1592,"[""S02"",""S02-BK"",""BK"",""黑色""]",'SKU明细'!$E$9:$E$1592,"零日销待复核")&gt;0,"零日销待复核 ","")&amp;IF(COUNTIFS('SKU明细'!$AH$9:$AH$1592,"[""S02"",""S02-BK"",""BK"",""黑色""]",'SKU明细'!$E$9:$E$1592,"数据待核")&gt;0,"数据待核 ","")&amp;IF(COUNTIFS('SKU明细'!$AH$9:$AH$1592,"[""S02"",""S02-BK"",""BK"",""黑色""]",'SKU明细'!$E$9:$E$1592,"正常库存")&gt;0,"正常库存 ","")&amp;IF(COUNTIFS('SKU明细'!$AH$9:$AH$1592,"[""S02"",""S02-BK"",""BK"",""黑色""]",'SKU明细'!$E$9:$E$1592,"补货提醒")&gt;0,"补货提醒 ","")</x:f>
        <x:v>促销 断货 补货提醒 </x:v>
      </x:c>
      <x:c r="Y98" s="24" t="str">
        <x:f>IF(NOT(ISNUMBER(U98)),"覆盖待核／无可比基准","完整可比")</x:f>
        <x:v>完整可比</x:v>
      </x:c>
      <x:c r="Z98" s="24" t="str">
        <x:v>在售</x:v>
      </x:c>
      <x:c r="AA98" s="24" t="n">
        <x:f>IF(SUMIFS('SKU明细'!$AF$9:$AF$1592,'SKU明细'!$D$9:$D$1592,A98,'SKU明细'!$Z$9:$Z$1592,"&lt;&gt;移出")=0,"待核",SUMIFS('SKU明细'!$H$9:$H$1592,'SKU明细'!$D$9:$D$1592,A98,'SKU明细'!$Z$9:$Z$1592,"&lt;&gt;移出"))</x:f>
        <x:v>1166</x:v>
      </x:c>
    </x:row>
    <x:row r="99" ht="54" customHeight="1">
      <x:c r="A99" s="20" t="str">
        <x:v>S02</x:v>
      </x:c>
      <x:c r="B99" s="20" t="str">
        <x:v>陈晨</x:v>
      </x:c>
      <x:c r="C99" s="20" t="str">
        <x:v>黑色PU</x:v>
      </x:c>
      <x:c r="D99" s="20" t="str">
        <x:v>BKP</x:v>
      </x:c>
      <x:c r="E99" s="20" t="str">
        <x:v>S02-BKP</x:v>
      </x:c>
      <x:c r="F99" s="20"/>
      <x:c r="G99" s="21" t="str">
        <x:f>"—"</x:f>
        <x:v>—</x:v>
      </x:c>
      <x:c r="H99" s="21" t="n">
        <x:f>IF(AND(COUNT(INDEX('SKU明细'!$H$9:$H$1592,MATCH("[6574,""S02-BKP-37""]",'SKU明细'!$AE$9:$AE$1592,0)))=1,COUNT(INDEX('SKU明细'!$G$9:$G$1592,MATCH("[6574,""S02-BKP-37""]",'SKU明细'!$AE$9:$AE$1592,0)))=1,SUM(INDEX('SKU明细'!$G$9:$G$1592,MATCH("[6574,""S02-BKP-37""]",'SKU明细'!$AE$9:$AE$1592,0)))&gt;0),SUM(INDEX('SKU明细'!$H$9:$H$1592,MATCH("[6574,""S02-BKP-37""]",'SKU明细'!$AE$9:$AE$1592,0)))/SUM(INDEX('SKU明细'!$G$9:$G$1592,MATCH("[6574,""S02-BKP-37""]",'SKU明细'!$AE$9:$AE$1592,0))),"待核")</x:f>
        <x:v>82.94797687861272</x:v>
      </x:c>
      <x:c r="I99" s="21" t="str">
        <x:f>"—"</x:f>
        <x:v>—</x:v>
      </x:c>
      <x:c r="J99" s="21" t="n">
        <x:f>IF(AND(COUNT(INDEX('SKU明细'!$H$9:$H$1592,MATCH("[6574,""S02-BKP-38""]",'SKU明细'!$AE$9:$AE$1592,0)))=1,COUNT(INDEX('SKU明细'!$G$9:$G$1592,MATCH("[6574,""S02-BKP-38""]",'SKU明细'!$AE$9:$AE$1592,0)))=1,SUM(INDEX('SKU明细'!$G$9:$G$1592,MATCH("[6574,""S02-BKP-38""]",'SKU明细'!$AE$9:$AE$1592,0)))&gt;0),SUM(INDEX('SKU明细'!$H$9:$H$1592,MATCH("[6574,""S02-BKP-38""]",'SKU明细'!$AE$9:$AE$1592,0)))/SUM(INDEX('SKU明细'!$G$9:$G$1592,MATCH("[6574,""S02-BKP-38""]",'SKU明细'!$AE$9:$AE$1592,0))),"待核")</x:f>
        <x:v>31.460674157303373</x:v>
      </x:c>
      <x:c r="K99" s="21" t="str">
        <x:f>"—"</x:f>
        <x:v>—</x:v>
      </x:c>
      <x:c r="L99" s="21" t="n">
        <x:f>IF(AND(COUNT(INDEX('SKU明细'!$H$9:$H$1592,MATCH("[6574,""S02-BKP-39""]",'SKU明细'!$AE$9:$AE$1592,0)))=1,COUNT(INDEX('SKU明细'!$G$9:$G$1592,MATCH("[6574,""S02-BKP-39""]",'SKU明细'!$AE$9:$AE$1592,0)))=1,SUM(INDEX('SKU明细'!$G$9:$G$1592,MATCH("[6574,""S02-BKP-39""]",'SKU明细'!$AE$9:$AE$1592,0)))&gt;0),SUM(INDEX('SKU明细'!$H$9:$H$1592,MATCH("[6574,""S02-BKP-39""]",'SKU明细'!$AE$9:$AE$1592,0)))/SUM(INDEX('SKU明细'!$G$9:$G$1592,MATCH("[6574,""S02-BKP-39""]",'SKU明细'!$AE$9:$AE$1592,0))),"待核")</x:f>
        <x:v>21.709166092350102</x:v>
      </x:c>
      <x:c r="M99" s="21" t="str">
        <x:f>"—"</x:f>
        <x:v>—</x:v>
      </x:c>
      <x:c r="N99" s="21" t="n">
        <x:f>IF(AND(COUNT(INDEX('SKU明细'!$H$9:$H$1592,MATCH("[6574,""S02-BKP-40""]",'SKU明细'!$AE$9:$AE$1592,0)))=1,COUNT(INDEX('SKU明细'!$G$9:$G$1592,MATCH("[6574,""S02-BKP-40""]",'SKU明细'!$AE$9:$AE$1592,0)))=1,SUM(INDEX('SKU明细'!$G$9:$G$1592,MATCH("[6574,""S02-BKP-40""]",'SKU明细'!$AE$9:$AE$1592,0)))&gt;0),SUM(INDEX('SKU明细'!$H$9:$H$1592,MATCH("[6574,""S02-BKP-40""]",'SKU明细'!$AE$9:$AE$1592,0)))/SUM(INDEX('SKU明细'!$G$9:$G$1592,MATCH("[6574,""S02-BKP-40""]",'SKU明细'!$AE$9:$AE$1592,0))),"待核")</x:f>
        <x:v>15.171898355754857</x:v>
      </x:c>
      <x:c r="O99" s="21" t="str">
        <x:f>"—"</x:f>
        <x:v>—</x:v>
      </x:c>
      <x:c r="P99" s="21" t="n">
        <x:f>IF(AND(COUNT(INDEX('SKU明细'!$H$9:$H$1592,MATCH("[6574,""S02-BKP-41""]",'SKU明细'!$AE$9:$AE$1592,0)))=1,COUNT(INDEX('SKU明细'!$G$9:$G$1592,MATCH("[6574,""S02-BKP-41""]",'SKU明细'!$AE$9:$AE$1592,0)))=1,SUM(INDEX('SKU明细'!$G$9:$G$1592,MATCH("[6574,""S02-BKP-41""]",'SKU明细'!$AE$9:$AE$1592,0)))&gt;0),SUM(INDEX('SKU明细'!$H$9:$H$1592,MATCH("[6574,""S02-BKP-41""]",'SKU明细'!$AE$9:$AE$1592,0)))/SUM(INDEX('SKU明细'!$G$9:$G$1592,MATCH("[6574,""S02-BKP-41""]",'SKU明细'!$AE$9:$AE$1592,0))),"待核")</x:f>
        <x:v>6900</x:v>
      </x:c>
      <x:c r="Q99" s="21" t="str">
        <x:f>"—"</x:f>
        <x:v>—</x:v>
      </x:c>
      <x:c r="R99" s="21" t="n">
        <x:f>IF(AND(COUNT(INDEX('SKU明细'!$H$9:$H$1592,MATCH("[6574,""S02-BKP-42""]",'SKU明细'!$AE$9:$AE$1592,0)))=1,COUNT(INDEX('SKU明细'!$G$9:$G$1592,MATCH("[6574,""S02-BKP-42""]",'SKU明细'!$AE$9:$AE$1592,0)))=1,SUM(INDEX('SKU明细'!$G$9:$G$1592,MATCH("[6574,""S02-BKP-42""]",'SKU明细'!$AE$9:$AE$1592,0)))&gt;0),SUM(INDEX('SKU明细'!$H$9:$H$1592,MATCH("[6574,""S02-BKP-42""]",'SKU明细'!$AE$9:$AE$1592,0)))/SUM(INDEX('SKU明细'!$G$9:$G$1592,MATCH("[6574,""S02-BKP-42""]",'SKU明细'!$AE$9:$AE$1592,0))),"待核")</x:f>
        <x:v>27.701674277016743</x:v>
      </x:c>
      <x:c r="S99" s="21" t="n">
        <x:f>IF(AND(COUNT(INDEX('SKU明细'!$H$9:$H$1592,MATCH("[6574,""S02-BKP-41""]",'SKU明细'!$AE$9:$AE$1592,0)),INDEX('SKU明细'!$H$9:$H$1592,MATCH("[6574,""S02-BKP-37""]",'SKU明细'!$AE$9:$AE$1592,0)),INDEX('SKU明细'!$H$9:$H$1592,MATCH("[6574,""S02-BKP-38""]",'SKU明细'!$AE$9:$AE$1592,0)),INDEX('SKU明细'!$H$9:$H$1592,MATCH("[6574,""S02-BKP-39""]",'SKU明细'!$AE$9:$AE$1592,0)),INDEX('SKU明细'!$H$9:$H$1592,MATCH("[6574,""S02-BKP-40""]",'SKU明细'!$AE$9:$AE$1592,0)),INDEX('SKU明细'!$H$9:$H$1592,MATCH("[6574,""S02-BKP-42""]",'SKU明细'!$AE$9:$AE$1592,0)))=6,COUNT(INDEX('SKU明细'!$G$9:$G$1592,MATCH("[6574,""S02-BKP-41""]",'SKU明细'!$AE$9:$AE$1592,0)),INDEX('SKU明细'!$G$9:$G$1592,MATCH("[6574,""S02-BKP-37""]",'SKU明细'!$AE$9:$AE$1592,0)),INDEX('SKU明细'!$G$9:$G$1592,MATCH("[6574,""S02-BKP-38""]",'SKU明细'!$AE$9:$AE$1592,0)),INDEX('SKU明细'!$G$9:$G$1592,MATCH("[6574,""S02-BKP-39""]",'SKU明细'!$AE$9:$AE$1592,0)),INDEX('SKU明细'!$G$9:$G$1592,MATCH("[6574,""S02-BKP-40""]",'SKU明细'!$AE$9:$AE$1592,0)),INDEX('SKU明细'!$G$9:$G$1592,MATCH("[6574,""S02-BKP-42""]",'SKU明细'!$AE$9:$AE$1592,0)))=6,SUM(INDEX('SKU明细'!$G$9:$G$1592,MATCH("[6574,""S02-BKP-41""]",'SKU明细'!$AE$9:$AE$1592,0)),INDEX('SKU明细'!$G$9:$G$1592,MATCH("[6574,""S02-BKP-37""]",'SKU明细'!$AE$9:$AE$1592,0)),INDEX('SKU明细'!$G$9:$G$1592,MATCH("[6574,""S02-BKP-38""]",'SKU明细'!$AE$9:$AE$1592,0)),INDEX('SKU明细'!$G$9:$G$1592,MATCH("[6574,""S02-BKP-39""]",'SKU明细'!$AE$9:$AE$1592,0)),INDEX('SKU明细'!$G$9:$G$1592,MATCH("[6574,""S02-BKP-40""]",'SKU明细'!$AE$9:$AE$1592,0)),INDEX('SKU明细'!$G$9:$G$1592,MATCH("[6574,""S02-BKP-42""]",'SKU明细'!$AE$9:$AE$1592,0)))&gt;0),SUM(INDEX('SKU明细'!$H$9:$H$1592,MATCH("[6574,""S02-BKP-41""]",'SKU明细'!$AE$9:$AE$1592,0)),INDEX('SKU明细'!$H$9:$H$1592,MATCH("[6574,""S02-BKP-37""]",'SKU明细'!$AE$9:$AE$1592,0)),INDEX('SKU明细'!$H$9:$H$1592,MATCH("[6574,""S02-BKP-38""]",'SKU明细'!$AE$9:$AE$1592,0)),INDEX('SKU明细'!$H$9:$H$1592,MATCH("[6574,""S02-BKP-39""]",'SKU明细'!$AE$9:$AE$1592,0)),INDEX('SKU明细'!$H$9:$H$1592,MATCH("[6574,""S02-BKP-40""]",'SKU明细'!$AE$9:$AE$1592,0)),INDEX('SKU明细'!$H$9:$H$1592,MATCH("[6574,""S02-BKP-42""]",'SKU明细'!$AE$9:$AE$1592,0)))/SUM(INDEX('SKU明细'!$G$9:$G$1592,MATCH("[6574,""S02-BKP-41""]",'SKU明细'!$AE$9:$AE$1592,0)),INDEX('SKU明细'!$G$9:$G$1592,MATCH("[6574,""S02-BKP-37""]",'SKU明细'!$AE$9:$AE$1592,0)),INDEX('SKU明细'!$G$9:$G$1592,MATCH("[6574,""S02-BKP-38""]",'SKU明细'!$AE$9:$AE$1592,0)),INDEX('SKU明细'!$G$9:$G$1592,MATCH("[6574,""S02-BKP-39""]",'SKU明细'!$AE$9:$AE$1592,0)),INDEX('SKU明细'!$G$9:$G$1592,MATCH("[6574,""S02-BKP-40""]",'SKU明细'!$AE$9:$AE$1592,0)),INDEX('SKU明细'!$G$9:$G$1592,MATCH("[6574,""S02-BKP-42""]",'SKU明细'!$AE$9:$AE$1592,0))),"待核")</x:f>
        <x:v>34.10560344827586</x:v>
      </x:c>
      <x:c r="T99" s="21" t="n">
        <x:f>IF(AND(COUNT(INDEX('SKU明细'!$I$9:$I$1592,MATCH("[6574,""S02-BKP-41""]",'SKU明细'!$AE$9:$AE$1592,0)),INDEX('SKU明细'!$I$9:$I$1592,MATCH("[6574,""S02-BKP-37""]",'SKU明细'!$AE$9:$AE$1592,0)),INDEX('SKU明细'!$I$9:$I$1592,MATCH("[6574,""S02-BKP-38""]",'SKU明细'!$AE$9:$AE$1592,0)),INDEX('SKU明细'!$I$9:$I$1592,MATCH("[6574,""S02-BKP-39""]",'SKU明细'!$AE$9:$AE$1592,0)),INDEX('SKU明细'!$I$9:$I$1592,MATCH("[6574,""S02-BKP-40""]",'SKU明细'!$AE$9:$AE$1592,0)),INDEX('SKU明细'!$I$9:$I$1592,MATCH("[6574,""S02-BKP-42""]",'SKU明细'!$AE$9:$AE$1592,0)))=6,COUNT(INDEX('SKU明细'!$AD$9:$AD$1592,MATCH("[6574,""S02-BKP-41""]",'SKU明细'!$AE$9:$AE$1592,0)),INDEX('SKU明细'!$AD$9:$AD$1592,MATCH("[6574,""S02-BKP-37""]",'SKU明细'!$AE$9:$AE$1592,0)),INDEX('SKU明细'!$AD$9:$AD$1592,MATCH("[6574,""S02-BKP-38""]",'SKU明细'!$AE$9:$AE$1592,0)),INDEX('SKU明细'!$AD$9:$AD$1592,MATCH("[6574,""S02-BKP-39""]",'SKU明细'!$AE$9:$AE$1592,0)),INDEX('SKU明细'!$AD$9:$AD$1592,MATCH("[6574,""S02-BKP-40""]",'SKU明细'!$AE$9:$AE$1592,0)),INDEX('SKU明细'!$AD$9:$AD$1592,MATCH("[6574,""S02-BKP-42""]",'SKU明细'!$AE$9:$AE$1592,0)))=6,SUM(INDEX('SKU明细'!$AD$9:$AD$1592,MATCH("[6574,""S02-BKP-41""]",'SKU明细'!$AE$9:$AE$1592,0)),INDEX('SKU明细'!$AD$9:$AD$1592,MATCH("[6574,""S02-BKP-37""]",'SKU明细'!$AE$9:$AE$1592,0)),INDEX('SKU明细'!$AD$9:$AD$1592,MATCH("[6574,""S02-BKP-38""]",'SKU明细'!$AE$9:$AE$1592,0)),INDEX('SKU明细'!$AD$9:$AD$1592,MATCH("[6574,""S02-BKP-39""]",'SKU明细'!$AE$9:$AE$1592,0)),INDEX('SKU明细'!$AD$9:$AD$1592,MATCH("[6574,""S02-BKP-40""]",'SKU明细'!$AE$9:$AE$1592,0)),INDEX('SKU明细'!$AD$9:$AD$1592,MATCH("[6574,""S02-BKP-42""]",'SKU明细'!$AE$9:$AE$1592,0)))&gt;0),SUM(INDEX('SKU明细'!$I$9:$I$1592,MATCH("[6574,""S02-BKP-41""]",'SKU明细'!$AE$9:$AE$1592,0)),INDEX('SKU明细'!$I$9:$I$1592,MATCH("[6574,""S02-BKP-37""]",'SKU明细'!$AE$9:$AE$1592,0)),INDEX('SKU明细'!$I$9:$I$1592,MATCH("[6574,""S02-BKP-38""]",'SKU明细'!$AE$9:$AE$1592,0)),INDEX('SKU明细'!$I$9:$I$1592,MATCH("[6574,""S02-BKP-39""]",'SKU明细'!$AE$9:$AE$1592,0)),INDEX('SKU明细'!$I$9:$I$1592,MATCH("[6574,""S02-BKP-40""]",'SKU明细'!$AE$9:$AE$1592,0)),INDEX('SKU明细'!$I$9:$I$1592,MATCH("[6574,""S02-BKP-42""]",'SKU明细'!$AE$9:$AE$1592,0)))/SUM(INDEX('SKU明细'!$AD$9:$AD$1592,MATCH("[6574,""S02-BKP-41""]",'SKU明细'!$AE$9:$AE$1592,0)),INDEX('SKU明细'!$AD$9:$AD$1592,MATCH("[6574,""S02-BKP-37""]",'SKU明细'!$AE$9:$AE$1592,0)),INDEX('SKU明细'!$AD$9:$AD$1592,MATCH("[6574,""S02-BKP-38""]",'SKU明细'!$AE$9:$AE$1592,0)),INDEX('SKU明细'!$AD$9:$AD$1592,MATCH("[6574,""S02-BKP-39""]",'SKU明细'!$AE$9:$AE$1592,0)),INDEX('SKU明细'!$AD$9:$AD$1592,MATCH("[6574,""S02-BKP-40""]",'SKU明细'!$AE$9:$AE$1592,0)),INDEX('SKU明细'!$AD$9:$AD$1592,MATCH("[6574,""S02-BKP-42""]",'SKU明细'!$AE$9:$AE$1592,0))),"待核")</x:f>
        <x:v>31.504341149370976</x:v>
      </x:c>
      <x:c r="U99" s="21" t="n">
        <x:f>IF(COUNT(S99:T99)=2,S99-T99,"待核")</x:f>
        <x:v>2.6012622989048815</x:v>
      </x:c>
      <x:c r="V99" s="22" t="n">
        <x:f>IF(AND(ISNUMBER(U99),ISNUMBER(T99),T99&lt;&gt;0),U99/T99,"")</x:f>
        <x:v>0.0825683764206197</x:v>
      </x:c>
      <x:c r="W99" s="23" t="n">
        <x:f>IF(COUNT(INDEX('SKU明细'!$H$9:$H$1592,MATCH("[6574,""S02-BKP-41""]",'SKU明细'!$AE$9:$AE$1592,0)),INDEX('SKU明细'!$H$9:$H$1592,MATCH("[6574,""S02-BKP-37""]",'SKU明细'!$AE$9:$AE$1592,0)),INDEX('SKU明细'!$H$9:$H$1592,MATCH("[6574,""S02-BKP-38""]",'SKU明细'!$AE$9:$AE$1592,0)),INDEX('SKU明细'!$H$9:$H$1592,MATCH("[6574,""S02-BKP-39""]",'SKU明细'!$AE$9:$AE$1592,0)),INDEX('SKU明细'!$H$9:$H$1592,MATCH("[6574,""S02-BKP-40""]",'SKU明细'!$AE$9:$AE$1592,0)),INDEX('SKU明细'!$H$9:$H$1592,MATCH("[6574,""S02-BKP-42""]",'SKU明细'!$AE$9:$AE$1592,0)))=0,"待核",SUM(INDEX('SKU明细'!$H$9:$H$1592,MATCH("[6574,""S02-BKP-41""]",'SKU明细'!$AE$9:$AE$1592,0)),INDEX('SKU明细'!$H$9:$H$1592,MATCH("[6574,""S02-BKP-37""]",'SKU明细'!$AE$9:$AE$1592,0)),INDEX('SKU明细'!$H$9:$H$1592,MATCH("[6574,""S02-BKP-38""]",'SKU明细'!$AE$9:$AE$1592,0)),INDEX('SKU明细'!$H$9:$H$1592,MATCH("[6574,""S02-BKP-39""]",'SKU明细'!$AE$9:$AE$1592,0)),INDEX('SKU明细'!$H$9:$H$1592,MATCH("[6574,""S02-BKP-40""]",'SKU明细'!$AE$9:$AE$1592,0)),INDEX('SKU明细'!$H$9:$H$1592,MATCH("[6574,""S02-BKP-42""]",'SKU明细'!$AE$9:$AE$1592,0))))</x:f>
        <x:v>211</x:v>
      </x:c>
      <x:c r="X99" s="24" t="str">
        <x:f>IF(COUNTIFS('SKU明细'!$AH$9:$AH$1592,"[""S02"",""S02-BKP"",""BKP"",""黑色PU""]",'SKU明细'!$E$9:$E$1592,"促销")&gt;0,"促销 ","")&amp;IF(COUNTIFS('SKU明细'!$AH$9:$AH$1592,"[""S02"",""S02-BKP"",""BKP"",""黑色PU""]",'SKU明细'!$E$9:$E$1592,"红线促销")&gt;0,"红线促销 ","")&amp;IF(COUNTIFS('SKU明细'!$AH$9:$AH$1592,"[""S02"",""S02-BKP"",""BKP"",""黑色PU""]",'SKU明细'!$E$9:$E$1592,"考虑清仓")&gt;0,"考虑清仓 ","")&amp;IF(COUNTIFS('SKU明细'!$AH$9:$AH$1592,"[""S02"",""S02-BKP"",""BKP"",""黑色PU""]",'SKU明细'!$E$9:$E$1592,"断货")&gt;0,"断货 ","")&amp;IF(COUNTIFS('SKU明细'!$AH$9:$AH$1592,"[""S02"",""S02-BKP"",""BKP"",""黑色PU""]",'SKU明细'!$E$9:$E$1592,"零日销待复核")&gt;0,"零日销待复核 ","")&amp;IF(COUNTIFS('SKU明细'!$AH$9:$AH$1592,"[""S02"",""S02-BKP"",""BKP"",""黑色PU""]",'SKU明细'!$E$9:$E$1592,"数据待核")&gt;0,"数据待核 ","")&amp;IF(COUNTIFS('SKU明细'!$AH$9:$AH$1592,"[""S02"",""S02-BKP"",""BKP"",""黑色PU""]",'SKU明细'!$E$9:$E$1592,"正常库存")&gt;0,"正常库存 ","")&amp;IF(COUNTIFS('SKU明细'!$AH$9:$AH$1592,"[""S02"",""S02-BKP"",""BKP"",""黑色PU""]",'SKU明细'!$E$9:$E$1592,"补货提醒")&gt;0,"补货提醒 ","")</x:f>
        <x:v>考虑清仓 正常库存 补货提醒 </x:v>
      </x:c>
      <x:c r="Y99" s="24" t="str">
        <x:f>IF(NOT(ISNUMBER(U99)),"覆盖待核／无可比基准","完整可比")</x:f>
        <x:v>完整可比</x:v>
      </x:c>
      <x:c r="Z99" s="24" t="str">
        <x:v>在售</x:v>
      </x:c>
      <x:c r="AA99" s="24" t="n">
        <x:f>IF(SUMIFS('SKU明细'!$AF$9:$AF$1592,'SKU明细'!$D$9:$D$1592,A99,'SKU明细'!$Z$9:$Z$1592,"&lt;&gt;移出")=0,"待核",SUMIFS('SKU明细'!$H$9:$H$1592,'SKU明细'!$D$9:$D$1592,A99,'SKU明细'!$Z$9:$Z$1592,"&lt;&gt;移出"))</x:f>
        <x:v>1166</x:v>
      </x:c>
    </x:row>
    <x:row r="100" ht="54" customHeight="1">
      <x:c r="A100" s="20" t="str">
        <x:v>S02</x:v>
      </x:c>
      <x:c r="B100" s="20" t="str">
        <x:v>陈晨</x:v>
      </x:c>
      <x:c r="C100" s="20" t="str">
        <x:v>豹纹</x:v>
      </x:c>
      <x:c r="D100" s="20" t="str">
        <x:v>LP</x:v>
      </x:c>
      <x:c r="E100" s="20" t="str">
        <x:v>S02-LP</x:v>
      </x:c>
      <x:c r="F100" s="20"/>
      <x:c r="G100" s="21" t="str">
        <x:f>"—"</x:f>
        <x:v>—</x:v>
      </x:c>
      <x:c r="H100" s="21" t="n">
        <x:f>IF(AND(COUNT(INDEX('SKU明细'!$H$9:$H$1592,MATCH("[6574,""S02-LP-37""]",'SKU明细'!$AE$9:$AE$1592,0)))=1,COUNT(INDEX('SKU明细'!$G$9:$G$1592,MATCH("[6574,""S02-LP-37""]",'SKU明细'!$AE$9:$AE$1592,0)))=1,SUM(INDEX('SKU明细'!$G$9:$G$1592,MATCH("[6574,""S02-LP-37""]",'SKU明细'!$AE$9:$AE$1592,0)))&gt;0),SUM(INDEX('SKU明细'!$H$9:$H$1592,MATCH("[6574,""S02-LP-37""]",'SKU明细'!$AE$9:$AE$1592,0)))/SUM(INDEX('SKU明细'!$G$9:$G$1592,MATCH("[6574,""S02-LP-37""]",'SKU明细'!$AE$9:$AE$1592,0))),"待核")</x:f>
        <x:v>39.81042654028436</x:v>
      </x:c>
      <x:c r="I100" s="21" t="str">
        <x:f>"—"</x:f>
        <x:v>—</x:v>
      </x:c>
      <x:c r="J100" s="21" t="n">
        <x:f>IF(AND(COUNT(INDEX('SKU明细'!$H$9:$H$1592,MATCH("[6574,""S02-LP-38""]",'SKU明细'!$AE$9:$AE$1592,0)))=1,COUNT(INDEX('SKU明细'!$G$9:$G$1592,MATCH("[6574,""S02-LP-38""]",'SKU明细'!$AE$9:$AE$1592,0)))=1,SUM(INDEX('SKU明细'!$G$9:$G$1592,MATCH("[6574,""S02-LP-38""]",'SKU明细'!$AE$9:$AE$1592,0)))&gt;0),SUM(INDEX('SKU明细'!$H$9:$H$1592,MATCH("[6574,""S02-LP-38""]",'SKU明细'!$AE$9:$AE$1592,0)))/SUM(INDEX('SKU明细'!$G$9:$G$1592,MATCH("[6574,""S02-LP-38""]",'SKU明细'!$AE$9:$AE$1592,0))),"待核")</x:f>
        <x:v>17.154150197628457</x:v>
      </x:c>
      <x:c r="K100" s="21" t="str">
        <x:f>"—"</x:f>
        <x:v>—</x:v>
      </x:c>
      <x:c r="L100" s="21" t="n">
        <x:f>IF(AND(COUNT(INDEX('SKU明细'!$H$9:$H$1592,MATCH("[6574,""S02-LP-39""]",'SKU明细'!$AE$9:$AE$1592,0)))=1,COUNT(INDEX('SKU明细'!$G$9:$G$1592,MATCH("[6574,""S02-LP-39""]",'SKU明细'!$AE$9:$AE$1592,0)))=1,SUM(INDEX('SKU明细'!$G$9:$G$1592,MATCH("[6574,""S02-LP-39""]",'SKU明细'!$AE$9:$AE$1592,0)))&gt;0),SUM(INDEX('SKU明细'!$H$9:$H$1592,MATCH("[6574,""S02-LP-39""]",'SKU明细'!$AE$9:$AE$1592,0)))/SUM(INDEX('SKU明细'!$G$9:$G$1592,MATCH("[6574,""S02-LP-39""]",'SKU明细'!$AE$9:$AE$1592,0))),"待核")</x:f>
        <x:v>14.49025357943764</x:v>
      </x:c>
      <x:c r="M100" s="21" t="str">
        <x:f>"—"</x:f>
        <x:v>—</x:v>
      </x:c>
      <x:c r="N100" s="21" t="n">
        <x:f>IF(AND(COUNT(INDEX('SKU明细'!$H$9:$H$1592,MATCH("[6574,""S02-LP-40""]",'SKU明细'!$AE$9:$AE$1592,0)))=1,COUNT(INDEX('SKU明细'!$G$9:$G$1592,MATCH("[6574,""S02-LP-40""]",'SKU明细'!$AE$9:$AE$1592,0)))=1,SUM(INDEX('SKU明细'!$G$9:$G$1592,MATCH("[6574,""S02-LP-40""]",'SKU明细'!$AE$9:$AE$1592,0)))&gt;0),SUM(INDEX('SKU明细'!$H$9:$H$1592,MATCH("[6574,""S02-LP-40""]",'SKU明细'!$AE$9:$AE$1592,0)))/SUM(INDEX('SKU明细'!$G$9:$G$1592,MATCH("[6574,""S02-LP-40""]",'SKU明细'!$AE$9:$AE$1592,0))),"待核")</x:f>
        <x:v>8.178694158075603</x:v>
      </x:c>
      <x:c r="O100" s="21" t="str">
        <x:f>"—"</x:f>
        <x:v>—</x:v>
      </x:c>
      <x:c r="P100" s="21" t="n">
        <x:f>IF(AND(COUNT(INDEX('SKU明细'!$H$9:$H$1592,MATCH("[6574,""S02-LP-41""]",'SKU明细'!$AE$9:$AE$1592,0)))=1,COUNT(INDEX('SKU明细'!$G$9:$G$1592,MATCH("[6574,""S02-LP-41""]",'SKU明细'!$AE$9:$AE$1592,0)))=1,SUM(INDEX('SKU明细'!$G$9:$G$1592,MATCH("[6574,""S02-LP-41""]",'SKU明细'!$AE$9:$AE$1592,0)))&gt;0),SUM(INDEX('SKU明细'!$H$9:$H$1592,MATCH("[6574,""S02-LP-41""]",'SKU明细'!$AE$9:$AE$1592,0)))/SUM(INDEX('SKU明细'!$G$9:$G$1592,MATCH("[6574,""S02-LP-41""]",'SKU明细'!$AE$9:$AE$1592,0))),"待核")</x:f>
        <x:v>11.51412905946858</x:v>
      </x:c>
      <x:c r="Q100" s="21" t="str">
        <x:f>"—"</x:f>
        <x:v>—</x:v>
      </x:c>
      <x:c r="R100" s="21" t="n">
        <x:f>IF(AND(COUNT(INDEX('SKU明细'!$H$9:$H$1592,MATCH("[6574,""S02-LP-42""]",'SKU明细'!$AE$9:$AE$1592,0)))=1,COUNT(INDEX('SKU明细'!$G$9:$G$1592,MATCH("[6574,""S02-LP-42""]",'SKU明细'!$AE$9:$AE$1592,0)))=1,SUM(INDEX('SKU明细'!$G$9:$G$1592,MATCH("[6574,""S02-LP-42""]",'SKU明细'!$AE$9:$AE$1592,0)))&gt;0),SUM(INDEX('SKU明细'!$H$9:$H$1592,MATCH("[6574,""S02-LP-42""]",'SKU明细'!$AE$9:$AE$1592,0)))/SUM(INDEX('SKU明细'!$G$9:$G$1592,MATCH("[6574,""S02-LP-42""]",'SKU明细'!$AE$9:$AE$1592,0))),"待核")</x:f>
        <x:v>0</x:v>
      </x:c>
      <x:c r="S100" s="21" t="n">
        <x:f>IF(AND(COUNT(INDEX('SKU明细'!$H$9:$H$1592,MATCH("[6574,""S02-LP-42""]",'SKU明细'!$AE$9:$AE$1592,0)),INDEX('SKU明细'!$H$9:$H$1592,MATCH("[6574,""S02-LP-37""]",'SKU明细'!$AE$9:$AE$1592,0)),INDEX('SKU明细'!$H$9:$H$1592,MATCH("[6574,""S02-LP-38""]",'SKU明细'!$AE$9:$AE$1592,0)),INDEX('SKU明细'!$H$9:$H$1592,MATCH("[6574,""S02-LP-39""]",'SKU明细'!$AE$9:$AE$1592,0)),INDEX('SKU明细'!$H$9:$H$1592,MATCH("[6574,""S02-LP-40""]",'SKU明细'!$AE$9:$AE$1592,0)),INDEX('SKU明细'!$H$9:$H$1592,MATCH("[6574,""S02-LP-41""]",'SKU明细'!$AE$9:$AE$1592,0)))=6,COUNT(INDEX('SKU明细'!$G$9:$G$1592,MATCH("[6574,""S02-LP-42""]",'SKU明细'!$AE$9:$AE$1592,0)),INDEX('SKU明细'!$G$9:$G$1592,MATCH("[6574,""S02-LP-37""]",'SKU明细'!$AE$9:$AE$1592,0)),INDEX('SKU明细'!$G$9:$G$1592,MATCH("[6574,""S02-LP-38""]",'SKU明细'!$AE$9:$AE$1592,0)),INDEX('SKU明细'!$G$9:$G$1592,MATCH("[6574,""S02-LP-39""]",'SKU明细'!$AE$9:$AE$1592,0)),INDEX('SKU明细'!$G$9:$G$1592,MATCH("[6574,""S02-LP-40""]",'SKU明细'!$AE$9:$AE$1592,0)),INDEX('SKU明细'!$G$9:$G$1592,MATCH("[6574,""S02-LP-41""]",'SKU明细'!$AE$9:$AE$1592,0)))=6,SUM(INDEX('SKU明细'!$G$9:$G$1592,MATCH("[6574,""S02-LP-42""]",'SKU明细'!$AE$9:$AE$1592,0)),INDEX('SKU明细'!$G$9:$G$1592,MATCH("[6574,""S02-LP-37""]",'SKU明细'!$AE$9:$AE$1592,0)),INDEX('SKU明细'!$G$9:$G$1592,MATCH("[6574,""S02-LP-38""]",'SKU明细'!$AE$9:$AE$1592,0)),INDEX('SKU明细'!$G$9:$G$1592,MATCH("[6574,""S02-LP-39""]",'SKU明细'!$AE$9:$AE$1592,0)),INDEX('SKU明细'!$G$9:$G$1592,MATCH("[6574,""S02-LP-40""]",'SKU明细'!$AE$9:$AE$1592,0)),INDEX('SKU明细'!$G$9:$G$1592,MATCH("[6574,""S02-LP-41""]",'SKU明细'!$AE$9:$AE$1592,0)))&gt;0),SUM(INDEX('SKU明细'!$H$9:$H$1592,MATCH("[6574,""S02-LP-42""]",'SKU明细'!$AE$9:$AE$1592,0)),INDEX('SKU明细'!$H$9:$H$1592,MATCH("[6574,""S02-LP-37""]",'SKU明细'!$AE$9:$AE$1592,0)),INDEX('SKU明细'!$H$9:$H$1592,MATCH("[6574,""S02-LP-38""]",'SKU明细'!$AE$9:$AE$1592,0)),INDEX('SKU明细'!$H$9:$H$1592,MATCH("[6574,""S02-LP-39""]",'SKU明细'!$AE$9:$AE$1592,0)),INDEX('SKU明细'!$H$9:$H$1592,MATCH("[6574,""S02-LP-40""]",'SKU明细'!$AE$9:$AE$1592,0)),INDEX('SKU明细'!$H$9:$H$1592,MATCH("[6574,""S02-LP-41""]",'SKU明细'!$AE$9:$AE$1592,0)))/SUM(INDEX('SKU明细'!$G$9:$G$1592,MATCH("[6574,""S02-LP-42""]",'SKU明细'!$AE$9:$AE$1592,0)),INDEX('SKU明细'!$G$9:$G$1592,MATCH("[6574,""S02-LP-37""]",'SKU明细'!$AE$9:$AE$1592,0)),INDEX('SKU明细'!$G$9:$G$1592,MATCH("[6574,""S02-LP-38""]",'SKU明细'!$AE$9:$AE$1592,0)),INDEX('SKU明细'!$G$9:$G$1592,MATCH("[6574,""S02-LP-39""]",'SKU明细'!$AE$9:$AE$1592,0)),INDEX('SKU明细'!$G$9:$G$1592,MATCH("[6574,""S02-LP-40""]",'SKU明细'!$AE$9:$AE$1592,0)),INDEX('SKU明细'!$G$9:$G$1592,MATCH("[6574,""S02-LP-41""]",'SKU明细'!$AE$9:$AE$1592,0))),"待核")</x:f>
        <x:v>13.260340632603405</x:v>
      </x:c>
      <x:c r="T100" s="21" t="n">
        <x:f>IF(AND(COUNT(INDEX('SKU明细'!$I$9:$I$1592,MATCH("[6574,""S02-LP-42""]",'SKU明细'!$AE$9:$AE$1592,0)),INDEX('SKU明细'!$I$9:$I$1592,MATCH("[6574,""S02-LP-37""]",'SKU明细'!$AE$9:$AE$1592,0)),INDEX('SKU明细'!$I$9:$I$1592,MATCH("[6574,""S02-LP-38""]",'SKU明细'!$AE$9:$AE$1592,0)),INDEX('SKU明细'!$I$9:$I$1592,MATCH("[6574,""S02-LP-39""]",'SKU明细'!$AE$9:$AE$1592,0)),INDEX('SKU明细'!$I$9:$I$1592,MATCH("[6574,""S02-LP-40""]",'SKU明细'!$AE$9:$AE$1592,0)),INDEX('SKU明细'!$I$9:$I$1592,MATCH("[6574,""S02-LP-41""]",'SKU明细'!$AE$9:$AE$1592,0)))=6,COUNT(INDEX('SKU明细'!$AD$9:$AD$1592,MATCH("[6574,""S02-LP-42""]",'SKU明细'!$AE$9:$AE$1592,0)),INDEX('SKU明细'!$AD$9:$AD$1592,MATCH("[6574,""S02-LP-37""]",'SKU明细'!$AE$9:$AE$1592,0)),INDEX('SKU明细'!$AD$9:$AD$1592,MATCH("[6574,""S02-LP-38""]",'SKU明细'!$AE$9:$AE$1592,0)),INDEX('SKU明细'!$AD$9:$AD$1592,MATCH("[6574,""S02-LP-39""]",'SKU明细'!$AE$9:$AE$1592,0)),INDEX('SKU明细'!$AD$9:$AD$1592,MATCH("[6574,""S02-LP-40""]",'SKU明细'!$AE$9:$AE$1592,0)),INDEX('SKU明细'!$AD$9:$AD$1592,MATCH("[6574,""S02-LP-41""]",'SKU明细'!$AE$9:$AE$1592,0)))=6,SUM(INDEX('SKU明细'!$AD$9:$AD$1592,MATCH("[6574,""S02-LP-42""]",'SKU明细'!$AE$9:$AE$1592,0)),INDEX('SKU明细'!$AD$9:$AD$1592,MATCH("[6574,""S02-LP-37""]",'SKU明细'!$AE$9:$AE$1592,0)),INDEX('SKU明细'!$AD$9:$AD$1592,MATCH("[6574,""S02-LP-38""]",'SKU明细'!$AE$9:$AE$1592,0)),INDEX('SKU明细'!$AD$9:$AD$1592,MATCH("[6574,""S02-LP-39""]",'SKU明细'!$AE$9:$AE$1592,0)),INDEX('SKU明细'!$AD$9:$AD$1592,MATCH("[6574,""S02-LP-40""]",'SKU明细'!$AE$9:$AE$1592,0)),INDEX('SKU明细'!$AD$9:$AD$1592,MATCH("[6574,""S02-LP-41""]",'SKU明细'!$AE$9:$AE$1592,0)))&gt;0),SUM(INDEX('SKU明细'!$I$9:$I$1592,MATCH("[6574,""S02-LP-42""]",'SKU明细'!$AE$9:$AE$1592,0)),INDEX('SKU明细'!$I$9:$I$1592,MATCH("[6574,""S02-LP-37""]",'SKU明细'!$AE$9:$AE$1592,0)),INDEX('SKU明细'!$I$9:$I$1592,MATCH("[6574,""S02-LP-38""]",'SKU明细'!$AE$9:$AE$1592,0)),INDEX('SKU明细'!$I$9:$I$1592,MATCH("[6574,""S02-LP-39""]",'SKU明细'!$AE$9:$AE$1592,0)),INDEX('SKU明细'!$I$9:$I$1592,MATCH("[6574,""S02-LP-40""]",'SKU明细'!$AE$9:$AE$1592,0)),INDEX('SKU明细'!$I$9:$I$1592,MATCH("[6574,""S02-LP-41""]",'SKU明细'!$AE$9:$AE$1592,0)))/SUM(INDEX('SKU明细'!$AD$9:$AD$1592,MATCH("[6574,""S02-LP-42""]",'SKU明细'!$AE$9:$AE$1592,0)),INDEX('SKU明细'!$AD$9:$AD$1592,MATCH("[6574,""S02-LP-37""]",'SKU明细'!$AE$9:$AE$1592,0)),INDEX('SKU明细'!$AD$9:$AD$1592,MATCH("[6574,""S02-LP-38""]",'SKU明细'!$AE$9:$AE$1592,0)),INDEX('SKU明细'!$AD$9:$AD$1592,MATCH("[6574,""S02-LP-39""]",'SKU明细'!$AE$9:$AE$1592,0)),INDEX('SKU明细'!$AD$9:$AD$1592,MATCH("[6574,""S02-LP-40""]",'SKU明细'!$AE$9:$AE$1592,0)),INDEX('SKU明细'!$AD$9:$AD$1592,MATCH("[6574,""S02-LP-41""]",'SKU明细'!$AE$9:$AE$1592,0))),"待核")</x:f>
        <x:v>16.159432820335468</x:v>
      </x:c>
      <x:c r="U100" s="21" t="n">
        <x:f>IF(COUNT(S100:T100)=2,S100-T100,"待核")</x:f>
        <x:v>-2.8990921877320623</x:v>
      </x:c>
      <x:c r="V100" s="22" t="n">
        <x:f>IF(AND(ISNUMBER(U100),ISNUMBER(T100),T100&lt;&gt;0),U100/T100,"")</x:f>
        <x:v>-0.17940556577479416</x:v>
      </x:c>
      <x:c r="W100" s="23" t="n">
        <x:f>IF(COUNT(INDEX('SKU明细'!$H$9:$H$1592,MATCH("[6574,""S02-LP-42""]",'SKU明细'!$AE$9:$AE$1592,0)),INDEX('SKU明细'!$H$9:$H$1592,MATCH("[6574,""S02-LP-37""]",'SKU明细'!$AE$9:$AE$1592,0)),INDEX('SKU明细'!$H$9:$H$1592,MATCH("[6574,""S02-LP-38""]",'SKU明细'!$AE$9:$AE$1592,0)),INDEX('SKU明细'!$H$9:$H$1592,MATCH("[6574,""S02-LP-39""]",'SKU明细'!$AE$9:$AE$1592,0)),INDEX('SKU明细'!$H$9:$H$1592,MATCH("[6574,""S02-LP-40""]",'SKU明细'!$AE$9:$AE$1592,0)),INDEX('SKU明细'!$H$9:$H$1592,MATCH("[6574,""S02-LP-41""]",'SKU明细'!$AE$9:$AE$1592,0)))=0,"待核",SUM(INDEX('SKU明细'!$H$9:$H$1592,MATCH("[6574,""S02-LP-42""]",'SKU明细'!$AE$9:$AE$1592,0)),INDEX('SKU明细'!$H$9:$H$1592,MATCH("[6574,""S02-LP-37""]",'SKU明细'!$AE$9:$AE$1592,0)),INDEX('SKU明细'!$H$9:$H$1592,MATCH("[6574,""S02-LP-38""]",'SKU明细'!$AE$9:$AE$1592,0)),INDEX('SKU明细'!$H$9:$H$1592,MATCH("[6574,""S02-LP-39""]",'SKU明细'!$AE$9:$AE$1592,0)),INDEX('SKU明细'!$H$9:$H$1592,MATCH("[6574,""S02-LP-40""]",'SKU明细'!$AE$9:$AE$1592,0)),INDEX('SKU明细'!$H$9:$H$1592,MATCH("[6574,""S02-LP-41""]",'SKU明细'!$AE$9:$AE$1592,0))))</x:f>
        <x:v>109</x:v>
      </x:c>
      <x:c r="X100" s="24" t="str">
        <x:f>IF(COUNTIFS('SKU明细'!$AH$9:$AH$1592,"[""S02"",""S02-LP"",""LP"",""豹纹""]",'SKU明细'!$E$9:$E$1592,"促销")&gt;0,"促销 ","")&amp;IF(COUNTIFS('SKU明细'!$AH$9:$AH$1592,"[""S02"",""S02-LP"",""LP"",""豹纹""]",'SKU明细'!$E$9:$E$1592,"红线促销")&gt;0,"红线促销 ","")&amp;IF(COUNTIFS('SKU明细'!$AH$9:$AH$1592,"[""S02"",""S02-LP"",""LP"",""豹纹""]",'SKU明细'!$E$9:$E$1592,"考虑清仓")&gt;0,"考虑清仓 ","")&amp;IF(COUNTIFS('SKU明细'!$AH$9:$AH$1592,"[""S02"",""S02-LP"",""LP"",""豹纹""]",'SKU明细'!$E$9:$E$1592,"断货")&gt;0,"断货 ","")&amp;IF(COUNTIFS('SKU明细'!$AH$9:$AH$1592,"[""S02"",""S02-LP"",""LP"",""豹纹""]",'SKU明细'!$E$9:$E$1592,"零日销待复核")&gt;0,"零日销待复核 ","")&amp;IF(COUNTIFS('SKU明细'!$AH$9:$AH$1592,"[""S02"",""S02-LP"",""LP"",""豹纹""]",'SKU明细'!$E$9:$E$1592,"数据待核")&gt;0,"数据待核 ","")&amp;IF(COUNTIFS('SKU明细'!$AH$9:$AH$1592,"[""S02"",""S02-LP"",""LP"",""豹纹""]",'SKU明细'!$E$9:$E$1592,"正常库存")&gt;0,"正常库存 ","")&amp;IF(COUNTIFS('SKU明细'!$AH$9:$AH$1592,"[""S02"",""S02-LP"",""LP"",""豹纹""]",'SKU明细'!$E$9:$E$1592,"补货提醒")&gt;0,"补货提醒 ","")</x:f>
        <x:v>断货 补货提醒 </x:v>
      </x:c>
      <x:c r="Y100" s="24" t="str">
        <x:f>IF(NOT(ISNUMBER(U100)),"覆盖待核／无可比基准","完整可比")</x:f>
        <x:v>完整可比</x:v>
      </x:c>
      <x:c r="Z100" s="24" t="str">
        <x:v>在售</x:v>
      </x:c>
      <x:c r="AA100" s="24" t="n">
        <x:f>IF(SUMIFS('SKU明细'!$AF$9:$AF$1592,'SKU明细'!$D$9:$D$1592,A100,'SKU明细'!$Z$9:$Z$1592,"&lt;&gt;移出")=0,"待核",SUMIFS('SKU明细'!$H$9:$H$1592,'SKU明细'!$D$9:$D$1592,A100,'SKU明细'!$Z$9:$Z$1592,"&lt;&gt;移出"))</x:f>
        <x:v>1166</x:v>
      </x:c>
    </x:row>
    <x:row r="101" ht="54" customHeight="1">
      <x:c r="A101" s="20" t="str">
        <x:v>S02</x:v>
      </x:c>
      <x:c r="B101" s="20" t="str">
        <x:v>陈晨</x:v>
      </x:c>
      <x:c r="C101" s="20" t="str">
        <x:v>藏青色</x:v>
      </x:c>
      <x:c r="D101" s="20" t="str">
        <x:v>NY</x:v>
      </x:c>
      <x:c r="E101" s="20" t="str">
        <x:v>S02-NY</x:v>
      </x:c>
      <x:c r="F101" s="20"/>
      <x:c r="G101" s="21" t="str">
        <x:f>"—"</x:f>
        <x:v>—</x:v>
      </x:c>
      <x:c r="H101" s="21" t="str">
        <x:f>"—"</x:f>
        <x:v>—</x:v>
      </x:c>
      <x:c r="I101" s="21" t="str">
        <x:f>"—"</x:f>
        <x:v>—</x:v>
      </x:c>
      <x:c r="J101" s="21" t="str">
        <x:f>"—"</x:f>
        <x:v>—</x:v>
      </x:c>
      <x:c r="K101" s="21" t="str">
        <x:f>"—"</x:f>
        <x:v>—</x:v>
      </x:c>
      <x:c r="L101" s="21" t="str">
        <x:f>"—"</x:f>
        <x:v>—</x:v>
      </x:c>
      <x:c r="M101" s="21" t="str">
        <x:f>"—"</x:f>
        <x:v>—</x:v>
      </x:c>
      <x:c r="N101" s="21" t="n">
        <x:f>IF(AND(COUNT(INDEX('SKU明细'!$H$9:$H$1592,MATCH("[6574,""S02-NY-40""]",'SKU明细'!$AE$9:$AE$1592,0)))=1,COUNT(INDEX('SKU明细'!$G$9:$G$1592,MATCH("[6574,""S02-NY-40""]",'SKU明细'!$AE$9:$AE$1592,0)))=1,SUM(INDEX('SKU明细'!$G$9:$G$1592,MATCH("[6574,""S02-NY-40""]",'SKU明细'!$AE$9:$AE$1592,0)))&gt;0),SUM(INDEX('SKU明细'!$H$9:$H$1592,MATCH("[6574,""S02-NY-40""]",'SKU明细'!$AE$9:$AE$1592,0)))/SUM(INDEX('SKU明细'!$G$9:$G$1592,MATCH("[6574,""S02-NY-40""]",'SKU明细'!$AE$9:$AE$1592,0))),"待核")</x:f>
        <x:v>0</x:v>
      </x:c>
      <x:c r="O101" s="21" t="str">
        <x:f>"—"</x:f>
        <x:v>—</x:v>
      </x:c>
      <x:c r="P101" s="21" t="str">
        <x:f>"—"</x:f>
        <x:v>—</x:v>
      </x:c>
      <x:c r="Q101" s="21" t="str">
        <x:f>"—"</x:f>
        <x:v>—</x:v>
      </x:c>
      <x:c r="R101" s="21" t="str">
        <x:f>"—"</x:f>
        <x:v>—</x:v>
      </x:c>
      <x:c r="S101" s="21" t="n">
        <x:f>IF(AND(COUNT(INDEX('SKU明细'!$H$9:$H$1592,MATCH("[6574,""S02-NY-40""]",'SKU明细'!$AE$9:$AE$1592,0)))=1,COUNT(INDEX('SKU明细'!$G$9:$G$1592,MATCH("[6574,""S02-NY-40""]",'SKU明细'!$AE$9:$AE$1592,0)))=1,SUM(INDEX('SKU明细'!$G$9:$G$1592,MATCH("[6574,""S02-NY-40""]",'SKU明细'!$AE$9:$AE$1592,0)))&gt;0),SUM(INDEX('SKU明细'!$H$9:$H$1592,MATCH("[6574,""S02-NY-40""]",'SKU明细'!$AE$9:$AE$1592,0)))/SUM(INDEX('SKU明细'!$G$9:$G$1592,MATCH("[6574,""S02-NY-40""]",'SKU明细'!$AE$9:$AE$1592,0))),"待核")</x:f>
        <x:v>0</x:v>
      </x:c>
      <x:c r="T101" s="21" t="n">
        <x:f>IF(AND(COUNT(INDEX('SKU明细'!$I$9:$I$1592,MATCH("[6574,""S02-NY-40""]",'SKU明细'!$AE$9:$AE$1592,0)))=1,COUNT(INDEX('SKU明细'!$AD$9:$AD$1592,MATCH("[6574,""S02-NY-40""]",'SKU明细'!$AE$9:$AE$1592,0)))=1,SUM(INDEX('SKU明细'!$AD$9:$AD$1592,MATCH("[6574,""S02-NY-40""]",'SKU明细'!$AE$9:$AE$1592,0)))&gt;0),SUM(INDEX('SKU明细'!$I$9:$I$1592,MATCH("[6574,""S02-NY-40""]",'SKU明细'!$AE$9:$AE$1592,0)))/SUM(INDEX('SKU明细'!$AD$9:$AD$1592,MATCH("[6574,""S02-NY-40""]",'SKU明细'!$AE$9:$AE$1592,0))),"待核")</x:f>
        <x:v>9.275618374558302</x:v>
      </x:c>
      <x:c r="U101" s="21" t="n">
        <x:f>IF(COUNT(S101:T101)=2,S101-T101,"待核")</x:f>
        <x:v>-9.275618374558302</x:v>
      </x:c>
      <x:c r="V101" s="22" t="n">
        <x:f>IF(AND(ISNUMBER(U101),ISNUMBER(T101),T101&lt;&gt;0),U101/T101,"")</x:f>
        <x:v>-1</x:v>
      </x:c>
      <x:c r="W101" s="23" t="n">
        <x:f>IF(COUNT(INDEX('SKU明细'!$H$9:$H$1592,MATCH("[6574,""S02-NY-40""]",'SKU明细'!$AE$9:$AE$1592,0)))=0,"待核",SUM(INDEX('SKU明细'!$H$9:$H$1592,MATCH("[6574,""S02-NY-40""]",'SKU明细'!$AE$9:$AE$1592,0))))</x:f>
        <x:v>0</x:v>
      </x:c>
      <x:c r="X101" s="24" t="str">
        <x:f>IF(COUNTIFS('SKU明细'!$AH$9:$AH$1592,"[""S02"",""S02-NY"",""NY"",""藏青色""]",'SKU明细'!$E$9:$E$1592,"促销")&gt;0,"促销 ","")&amp;IF(COUNTIFS('SKU明细'!$AH$9:$AH$1592,"[""S02"",""S02-NY"",""NY"",""藏青色""]",'SKU明细'!$E$9:$E$1592,"红线促销")&gt;0,"红线促销 ","")&amp;IF(COUNTIFS('SKU明细'!$AH$9:$AH$1592,"[""S02"",""S02-NY"",""NY"",""藏青色""]",'SKU明细'!$E$9:$E$1592,"考虑清仓")&gt;0,"考虑清仓 ","")&amp;IF(COUNTIFS('SKU明细'!$AH$9:$AH$1592,"[""S02"",""S02-NY"",""NY"",""藏青色""]",'SKU明细'!$E$9:$E$1592,"断货")&gt;0,"断货 ","")&amp;IF(COUNTIFS('SKU明细'!$AH$9:$AH$1592,"[""S02"",""S02-NY"",""NY"",""藏青色""]",'SKU明细'!$E$9:$E$1592,"零日销待复核")&gt;0,"零日销待复核 ","")&amp;IF(COUNTIFS('SKU明细'!$AH$9:$AH$1592,"[""S02"",""S02-NY"",""NY"",""藏青色""]",'SKU明细'!$E$9:$E$1592,"数据待核")&gt;0,"数据待核 ","")&amp;IF(COUNTIFS('SKU明细'!$AH$9:$AH$1592,"[""S02"",""S02-NY"",""NY"",""藏青色""]",'SKU明细'!$E$9:$E$1592,"正常库存")&gt;0,"正常库存 ","")&amp;IF(COUNTIFS('SKU明细'!$AH$9:$AH$1592,"[""S02"",""S02-NY"",""NY"",""藏青色""]",'SKU明细'!$E$9:$E$1592,"补货提醒")&gt;0,"补货提醒 ","")</x:f>
        <x:v>断货 </x:v>
      </x:c>
      <x:c r="Y101" s="24" t="str">
        <x:f>IF(NOT(ISNUMBER(U101)),"覆盖待核／无可比基准","完整可比")</x:f>
        <x:v>完整可比</x:v>
      </x:c>
      <x:c r="Z101" s="24" t="str">
        <x:v>在售</x:v>
      </x:c>
      <x:c r="AA101" s="24" t="n">
        <x:f>IF(SUMIFS('SKU明细'!$AF$9:$AF$1592,'SKU明细'!$D$9:$D$1592,A101,'SKU明细'!$Z$9:$Z$1592,"&lt;&gt;移出")=0,"待核",SUMIFS('SKU明细'!$H$9:$H$1592,'SKU明细'!$D$9:$D$1592,A101,'SKU明细'!$Z$9:$Z$1592,"&lt;&gt;移出"))</x:f>
        <x:v>1166</x:v>
      </x:c>
    </x:row>
    <x:row r="102" ht="54" customHeight="1">
      <x:c r="A102" s="20" t="str">
        <x:v>S02</x:v>
      </x:c>
      <x:c r="B102" s="20" t="str">
        <x:v>陈晨</x:v>
      </x:c>
      <x:c r="C102" s="20" t="str">
        <x:v>玫瑰金</x:v>
      </x:c>
      <x:c r="D102" s="20" t="str">
        <x:v>RG</x:v>
      </x:c>
      <x:c r="E102" s="20" t="str">
        <x:v>S02-RG</x:v>
      </x:c>
      <x:c r="F102" s="20"/>
      <x:c r="G102" s="21" t="str">
        <x:f>"—"</x:f>
        <x:v>—</x:v>
      </x:c>
      <x:c r="H102" s="21" t="str">
        <x:f>"—"</x:f>
        <x:v>—</x:v>
      </x:c>
      <x:c r="I102" s="21" t="str">
        <x:f>"—"</x:f>
        <x:v>—</x:v>
      </x:c>
      <x:c r="J102" s="21" t="str">
        <x:f>"—"</x:f>
        <x:v>—</x:v>
      </x:c>
      <x:c r="K102" s="21" t="str">
        <x:f>"—"</x:f>
        <x:v>—</x:v>
      </x:c>
      <x:c r="L102" s="21" t="str">
        <x:f>IF(AND(COUNT(INDEX('SKU明细'!$H$9:$H$1592,MATCH("[6574,""S02-RG-39""]",'SKU明细'!$AE$9:$AE$1592,0)))=1,COUNT(INDEX('SKU明细'!$G$9:$G$1592,MATCH("[6574,""S02-RG-39""]",'SKU明细'!$AE$9:$AE$1592,0)))=1,SUM(INDEX('SKU明细'!$G$9:$G$1592,MATCH("[6574,""S02-RG-39""]",'SKU明细'!$AE$9:$AE$1592,0)))&gt;0),SUM(INDEX('SKU明细'!$H$9:$H$1592,MATCH("[6574,""S02-RG-39""]",'SKU明细'!$AE$9:$AE$1592,0)))/SUM(INDEX('SKU明细'!$G$9:$G$1592,MATCH("[6574,""S02-RG-39""]",'SKU明细'!$AE$9:$AE$1592,0))),"待核")</x:f>
        <x:v>待核</x:v>
      </x:c>
      <x:c r="M102" s="21" t="str">
        <x:f>"—"</x:f>
        <x:v>—</x:v>
      </x:c>
      <x:c r="N102" s="21" t="str">
        <x:f>"—"</x:f>
        <x:v>—</x:v>
      </x:c>
      <x:c r="O102" s="21" t="str">
        <x:f>"—"</x:f>
        <x:v>—</x:v>
      </x:c>
      <x:c r="P102" s="21" t="str">
        <x:f>"—"</x:f>
        <x:v>—</x:v>
      </x:c>
      <x:c r="Q102" s="21" t="str">
        <x:f>"—"</x:f>
        <x:v>—</x:v>
      </x:c>
      <x:c r="R102" s="21" t="str">
        <x:f>"—"</x:f>
        <x:v>—</x:v>
      </x:c>
      <x:c r="S102" s="21" t="str">
        <x:f>IF(AND(COUNT(INDEX('SKU明细'!$H$9:$H$1592,MATCH("[6574,""S02-RG-39""]",'SKU明细'!$AE$9:$AE$1592,0)))=1,COUNT(INDEX('SKU明细'!$G$9:$G$1592,MATCH("[6574,""S02-RG-39""]",'SKU明细'!$AE$9:$AE$1592,0)))=1,SUM(INDEX('SKU明细'!$G$9:$G$1592,MATCH("[6574,""S02-RG-39""]",'SKU明细'!$AE$9:$AE$1592,0)))&gt;0),SUM(INDEX('SKU明细'!$H$9:$H$1592,MATCH("[6574,""S02-RG-39""]",'SKU明细'!$AE$9:$AE$1592,0)))/SUM(INDEX('SKU明细'!$G$9:$G$1592,MATCH("[6574,""S02-RG-39""]",'SKU明细'!$AE$9:$AE$1592,0))),"待核")</x:f>
        <x:v>待核</x:v>
      </x:c>
      <x:c r="T102" s="21" t="n">
        <x:f>IF(AND(COUNT(INDEX('SKU明细'!$I$9:$I$1592,MATCH("[6574,""S02-RG-39""]",'SKU明细'!$AE$9:$AE$1592,0)))=1,COUNT(INDEX('SKU明细'!$AD$9:$AD$1592,MATCH("[6574,""S02-RG-39""]",'SKU明细'!$AE$9:$AE$1592,0)))=1,SUM(INDEX('SKU明细'!$AD$9:$AD$1592,MATCH("[6574,""S02-RG-39""]",'SKU明细'!$AE$9:$AE$1592,0)))&gt;0),SUM(INDEX('SKU明细'!$I$9:$I$1592,MATCH("[6574,""S02-RG-39""]",'SKU明细'!$AE$9:$AE$1592,0)))/SUM(INDEX('SKU明细'!$AD$9:$AD$1592,MATCH("[6574,""S02-RG-39""]",'SKU明细'!$AE$9:$AE$1592,0))),"待核")</x:f>
        <x:v>900.0000000000001</x:v>
      </x:c>
      <x:c r="U102" s="21" t="str">
        <x:f>IF(COUNT(S102:T102)=2,S102-T102,"待核")</x:f>
        <x:v>待核</x:v>
      </x:c>
      <x:c r="V102" s="22" t="str">
        <x:f>IF(AND(ISNUMBER(U102),ISNUMBER(T102),T102&lt;&gt;0),U102/T102,"")</x:f>
      </x:c>
      <x:c r="W102" s="23" t="n">
        <x:f>IF(COUNT(INDEX('SKU明细'!$H$9:$H$1592,MATCH("[6574,""S02-RG-39""]",'SKU明细'!$AE$9:$AE$1592,0)))=0,"待核",SUM(INDEX('SKU明细'!$H$9:$H$1592,MATCH("[6574,""S02-RG-39""]",'SKU明细'!$AE$9:$AE$1592,0))))</x:f>
        <x:v>6</x:v>
      </x:c>
      <x:c r="X102" s="24" t="str">
        <x:f>IF(COUNTIFS('SKU明细'!$AH$9:$AH$1592,"[""S02"",""S02-RG"",""RG"",""玫瑰金""]",'SKU明细'!$E$9:$E$1592,"促销")&gt;0,"促销 ","")&amp;IF(COUNTIFS('SKU明细'!$AH$9:$AH$1592,"[""S02"",""S02-RG"",""RG"",""玫瑰金""]",'SKU明细'!$E$9:$E$1592,"红线促销")&gt;0,"红线促销 ","")&amp;IF(COUNTIFS('SKU明细'!$AH$9:$AH$1592,"[""S02"",""S02-RG"",""RG"",""玫瑰金""]",'SKU明细'!$E$9:$E$1592,"考虑清仓")&gt;0,"考虑清仓 ","")&amp;IF(COUNTIFS('SKU明细'!$AH$9:$AH$1592,"[""S02"",""S02-RG"",""RG"",""玫瑰金""]",'SKU明细'!$E$9:$E$1592,"断货")&gt;0,"断货 ","")&amp;IF(COUNTIFS('SKU明细'!$AH$9:$AH$1592,"[""S02"",""S02-RG"",""RG"",""玫瑰金""]",'SKU明细'!$E$9:$E$1592,"零日销待复核")&gt;0,"零日销待复核 ","")&amp;IF(COUNTIFS('SKU明细'!$AH$9:$AH$1592,"[""S02"",""S02-RG"",""RG"",""玫瑰金""]",'SKU明细'!$E$9:$E$1592,"数据待核")&gt;0,"数据待核 ","")&amp;IF(COUNTIFS('SKU明细'!$AH$9:$AH$1592,"[""S02"",""S02-RG"",""RG"",""玫瑰金""]",'SKU明细'!$E$9:$E$1592,"正常库存")&gt;0,"正常库存 ","")&amp;IF(COUNTIFS('SKU明细'!$AH$9:$AH$1592,"[""S02"",""S02-RG"",""RG"",""玫瑰金""]",'SKU明细'!$E$9:$E$1592,"补货提醒")&gt;0,"补货提醒 ","")</x:f>
        <x:v>零日销待复核 </x:v>
      </x:c>
      <x:c r="Y102" s="24" t="str">
        <x:f>IF(NOT(ISNUMBER(U102)),"覆盖待核／无可比基准","完整可比")</x:f>
        <x:v>覆盖待核／无可比基准</x:v>
      </x:c>
      <x:c r="Z102" s="24" t="str">
        <x:v>在售</x:v>
      </x:c>
      <x:c r="AA102" s="24" t="n">
        <x:f>IF(SUMIFS('SKU明细'!$AF$9:$AF$1592,'SKU明细'!$D$9:$D$1592,A102,'SKU明细'!$Z$9:$Z$1592,"&lt;&gt;移出")=0,"待核",SUMIFS('SKU明细'!$H$9:$H$1592,'SKU明细'!$D$9:$D$1592,A102,'SKU明细'!$Z$9:$Z$1592,"&lt;&gt;移出"))</x:f>
        <x:v>1166</x:v>
      </x:c>
    </x:row>
    <x:row r="103" ht="54" customHeight="1">
      <x:c r="A103" s="20" t="str">
        <x:v>S02</x:v>
      </x:c>
      <x:c r="B103" s="20" t="str">
        <x:v>陈晨</x:v>
      </x:c>
      <x:c r="C103" s="20" t="str">
        <x:v>玫瑰金</x:v>
      </x:c>
      <x:c r="D103" s="20" t="str">
        <x:v>RG1</x:v>
      </x:c>
      <x:c r="E103" s="20" t="str">
        <x:v>S02-RG1</x:v>
      </x:c>
      <x:c r="F103" s="20"/>
      <x:c r="G103" s="21" t="str">
        <x:f>"—"</x:f>
        <x:v>—</x:v>
      </x:c>
      <x:c r="H103" s="21" t="str">
        <x:f>"—"</x:f>
        <x:v>—</x:v>
      </x:c>
      <x:c r="I103" s="21" t="str">
        <x:f>IF(AND(COUNT(INDEX('SKU明细'!$H$9:$H$1592,MATCH("[6574,""S02-RG1-37""]",'SKU明细'!$AE$9:$AE$1592,0)))=1,COUNT(INDEX('SKU明细'!$G$9:$G$1592,MATCH("[6574,""S02-RG1-37""]",'SKU明细'!$AE$9:$AE$1592,0)))=1,SUM(INDEX('SKU明细'!$G$9:$G$1592,MATCH("[6574,""S02-RG1-37""]",'SKU明细'!$AE$9:$AE$1592,0)))&gt;0),SUM(INDEX('SKU明细'!$H$9:$H$1592,MATCH("[6574,""S02-RG1-37""]",'SKU明细'!$AE$9:$AE$1592,0)))/SUM(INDEX('SKU明细'!$G$9:$G$1592,MATCH("[6574,""S02-RG1-37""]",'SKU明细'!$AE$9:$AE$1592,0))),"待核")</x:f>
        <x:v>待核</x:v>
      </x:c>
      <x:c r="J103" s="21" t="str">
        <x:f>"—"</x:f>
        <x:v>—</x:v>
      </x:c>
      <x:c r="K103" s="21" t="str">
        <x:f>"—"</x:f>
        <x:v>—</x:v>
      </x:c>
      <x:c r="L103" s="21" t="str">
        <x:f>"—"</x:f>
        <x:v>—</x:v>
      </x:c>
      <x:c r="M103" s="21" t="str">
        <x:f>IF(AND(COUNT(INDEX('SKU明细'!$H$9:$H$1592,MATCH("[6574,""S02-RG1-40""]",'SKU明细'!$AE$9:$AE$1592,0)))=1,COUNT(INDEX('SKU明细'!$G$9:$G$1592,MATCH("[6574,""S02-RG1-40""]",'SKU明细'!$AE$9:$AE$1592,0)))=1,SUM(INDEX('SKU明细'!$G$9:$G$1592,MATCH("[6574,""S02-RG1-40""]",'SKU明细'!$AE$9:$AE$1592,0)))&gt;0),SUM(INDEX('SKU明细'!$H$9:$H$1592,MATCH("[6574,""S02-RG1-40""]",'SKU明细'!$AE$9:$AE$1592,0)))/SUM(INDEX('SKU明细'!$G$9:$G$1592,MATCH("[6574,""S02-RG1-40""]",'SKU明细'!$AE$9:$AE$1592,0))),"待核")</x:f>
        <x:v>待核</x:v>
      </x:c>
      <x:c r="N103" s="21" t="str">
        <x:f>"—"</x:f>
        <x:v>—</x:v>
      </x:c>
      <x:c r="O103" s="21" t="str">
        <x:f>"—"</x:f>
        <x:v>—</x:v>
      </x:c>
      <x:c r="P103" s="21" t="str">
        <x:f>"—"</x:f>
        <x:v>—</x:v>
      </x:c>
      <x:c r="Q103" s="21" t="n">
        <x:f>IF(AND(COUNT(INDEX('SKU明细'!$H$9:$H$1592,MATCH("[6574,""S02-RG1-42""]",'SKU明细'!$AE$9:$AE$1592,0)))=1,COUNT(INDEX('SKU明细'!$G$9:$G$1592,MATCH("[6574,""S02-RG1-42""]",'SKU明细'!$AE$9:$AE$1592,0)))=1,SUM(INDEX('SKU明细'!$G$9:$G$1592,MATCH("[6574,""S02-RG1-42""]",'SKU明细'!$AE$9:$AE$1592,0)))&gt;0),SUM(INDEX('SKU明细'!$H$9:$H$1592,MATCH("[6574,""S02-RG1-42""]",'SKU明细'!$AE$9:$AE$1592,0)))/SUM(INDEX('SKU明细'!$G$9:$G$1592,MATCH("[6574,""S02-RG1-42""]",'SKU明细'!$AE$9:$AE$1592,0))),"待核")</x:f>
        <x:v>144.82758620689657</x:v>
      </x:c>
      <x:c r="R103" s="21" t="str">
        <x:f>"—"</x:f>
        <x:v>—</x:v>
      </x:c>
      <x:c r="S103" s="21" t="n">
        <x:f>IF(AND(COUNT(INDEX('SKU明细'!$H$9:$H$1592,MATCH("[6574,""S02-RG1-42""]",'SKU明细'!$AE$9:$AE$1592,0)),INDEX('SKU明细'!$H$9:$H$1592,MATCH("[6574,""S02-RG1-37""]",'SKU明细'!$AE$9:$AE$1592,0)),INDEX('SKU明细'!$H$9:$H$1592,MATCH("[6574,""S02-RG1-40""]",'SKU明细'!$AE$9:$AE$1592,0)))=3,COUNT(INDEX('SKU明细'!$G$9:$G$1592,MATCH("[6574,""S02-RG1-42""]",'SKU明细'!$AE$9:$AE$1592,0)),INDEX('SKU明细'!$G$9:$G$1592,MATCH("[6574,""S02-RG1-37""]",'SKU明细'!$AE$9:$AE$1592,0)),INDEX('SKU明细'!$G$9:$G$1592,MATCH("[6574,""S02-RG1-40""]",'SKU明细'!$AE$9:$AE$1592,0)))=3,SUM(INDEX('SKU明细'!$G$9:$G$1592,MATCH("[6574,""S02-RG1-42""]",'SKU明细'!$AE$9:$AE$1592,0)),INDEX('SKU明细'!$G$9:$G$1592,MATCH("[6574,""S02-RG1-37""]",'SKU明细'!$AE$9:$AE$1592,0)),INDEX('SKU明细'!$G$9:$G$1592,MATCH("[6574,""S02-RG1-40""]",'SKU明细'!$AE$9:$AE$1592,0)))&gt;0),SUM(INDEX('SKU明细'!$H$9:$H$1592,MATCH("[6574,""S02-RG1-42""]",'SKU明细'!$AE$9:$AE$1592,0)),INDEX('SKU明细'!$H$9:$H$1592,MATCH("[6574,""S02-RG1-37""]",'SKU明细'!$AE$9:$AE$1592,0)),INDEX('SKU明细'!$H$9:$H$1592,MATCH("[6574,""S02-RG1-40""]",'SKU明细'!$AE$9:$AE$1592,0)))/SUM(INDEX('SKU明细'!$G$9:$G$1592,MATCH("[6574,""S02-RG1-42""]",'SKU明细'!$AE$9:$AE$1592,0)),INDEX('SKU明细'!$G$9:$G$1592,MATCH("[6574,""S02-RG1-37""]",'SKU明细'!$AE$9:$AE$1592,0)),INDEX('SKU明细'!$G$9:$G$1592,MATCH("[6574,""S02-RG1-40""]",'SKU明细'!$AE$9:$AE$1592,0))),"待核")</x:f>
        <x:v>651.7241379310345</x:v>
      </x:c>
      <x:c r="T103" s="21" t="str">
        <x:f>IF(AND(COUNT(INDEX('SKU明细'!$I$9:$I$1592,MATCH("[6574,""S02-RG1-42""]",'SKU明细'!$AE$9:$AE$1592,0)),INDEX('SKU明细'!$I$9:$I$1592,MATCH("[6574,""S02-RG1-37""]",'SKU明细'!$AE$9:$AE$1592,0)),INDEX('SKU明细'!$I$9:$I$1592,MATCH("[6574,""S02-RG1-40""]",'SKU明细'!$AE$9:$AE$1592,0)))=3,COUNT(INDEX('SKU明细'!$AD$9:$AD$1592,MATCH("[6574,""S02-RG1-42""]",'SKU明细'!$AE$9:$AE$1592,0)),INDEX('SKU明细'!$AD$9:$AD$1592,MATCH("[6574,""S02-RG1-37""]",'SKU明细'!$AE$9:$AE$1592,0)),INDEX('SKU明细'!$AD$9:$AD$1592,MATCH("[6574,""S02-RG1-40""]",'SKU明细'!$AE$9:$AE$1592,0)))=3,SUM(INDEX('SKU明细'!$AD$9:$AD$1592,MATCH("[6574,""S02-RG1-42""]",'SKU明细'!$AE$9:$AE$1592,0)),INDEX('SKU明细'!$AD$9:$AD$1592,MATCH("[6574,""S02-RG1-37""]",'SKU明细'!$AE$9:$AE$1592,0)),INDEX('SKU明细'!$AD$9:$AD$1592,MATCH("[6574,""S02-RG1-40""]",'SKU明细'!$AE$9:$AE$1592,0)))&gt;0),SUM(INDEX('SKU明细'!$I$9:$I$1592,MATCH("[6574,""S02-RG1-42""]",'SKU明细'!$AE$9:$AE$1592,0)),INDEX('SKU明细'!$I$9:$I$1592,MATCH("[6574,""S02-RG1-37""]",'SKU明细'!$AE$9:$AE$1592,0)),INDEX('SKU明细'!$I$9:$I$1592,MATCH("[6574,""S02-RG1-40""]",'SKU明细'!$AE$9:$AE$1592,0)))/SUM(INDEX('SKU明细'!$AD$9:$AD$1592,MATCH("[6574,""S02-RG1-42""]",'SKU明细'!$AE$9:$AE$1592,0)),INDEX('SKU明细'!$AD$9:$AD$1592,MATCH("[6574,""S02-RG1-37""]",'SKU明细'!$AE$9:$AE$1592,0)),INDEX('SKU明细'!$AD$9:$AD$1592,MATCH("[6574,""S02-RG1-40""]",'SKU明细'!$AE$9:$AE$1592,0))),"待核")</x:f>
        <x:v>待核</x:v>
      </x:c>
      <x:c r="U103" s="21" t="str">
        <x:f>IF(COUNT(S103:T103)=2,S103-T103,"待核")</x:f>
        <x:v>待核</x:v>
      </x:c>
      <x:c r="V103" s="22" t="str">
        <x:f>IF(AND(ISNUMBER(U103),ISNUMBER(T103),T103&lt;&gt;0),U103/T103,"")</x:f>
      </x:c>
      <x:c r="W103" s="23" t="n">
        <x:f>IF(COUNT(INDEX('SKU明细'!$H$9:$H$1592,MATCH("[6574,""S02-RG1-42""]",'SKU明细'!$AE$9:$AE$1592,0)),INDEX('SKU明细'!$H$9:$H$1592,MATCH("[6574,""S02-RG1-37""]",'SKU明细'!$AE$9:$AE$1592,0)),INDEX('SKU明细'!$H$9:$H$1592,MATCH("[6574,""S02-RG1-40""]",'SKU明细'!$AE$9:$AE$1592,0)))=0,"待核",SUM(INDEX('SKU明细'!$H$9:$H$1592,MATCH("[6574,""S02-RG1-42""]",'SKU明细'!$AE$9:$AE$1592,0)),INDEX('SKU明细'!$H$9:$H$1592,MATCH("[6574,""S02-RG1-37""]",'SKU明细'!$AE$9:$AE$1592,0)),INDEX('SKU明细'!$H$9:$H$1592,MATCH("[6574,""S02-RG1-40""]",'SKU明细'!$AE$9:$AE$1592,0))))</x:f>
        <x:v>27</x:v>
      </x:c>
      <x:c r="X103" s="24" t="str">
        <x:f>IF(COUNTIFS('SKU明细'!$AH$9:$AH$1592,"[""S02"",""S02-RG1"",""RG1"",""玫瑰金""]",'SKU明细'!$E$9:$E$1592,"促销")&gt;0,"促销 ","")&amp;IF(COUNTIFS('SKU明细'!$AH$9:$AH$1592,"[""S02"",""S02-RG1"",""RG1"",""玫瑰金""]",'SKU明细'!$E$9:$E$1592,"红线促销")&gt;0,"红线促销 ","")&amp;IF(COUNTIFS('SKU明细'!$AH$9:$AH$1592,"[""S02"",""S02-RG1"",""RG1"",""玫瑰金""]",'SKU明细'!$E$9:$E$1592,"考虑清仓")&gt;0,"考虑清仓 ","")&amp;IF(COUNTIFS('SKU明细'!$AH$9:$AH$1592,"[""S02"",""S02-RG1"",""RG1"",""玫瑰金""]",'SKU明细'!$E$9:$E$1592,"断货")&gt;0,"断货 ","")&amp;IF(COUNTIFS('SKU明细'!$AH$9:$AH$1592,"[""S02"",""S02-RG1"",""RG1"",""玫瑰金""]",'SKU明细'!$E$9:$E$1592,"零日销待复核")&gt;0,"零日销待复核 ","")&amp;IF(COUNTIFS('SKU明细'!$AH$9:$AH$1592,"[""S02"",""S02-RG1"",""RG1"",""玫瑰金""]",'SKU明细'!$E$9:$E$1592,"数据待核")&gt;0,"数据待核 ","")&amp;IF(COUNTIFS('SKU明细'!$AH$9:$AH$1592,"[""S02"",""S02-RG1"",""RG1"",""玫瑰金""]",'SKU明细'!$E$9:$E$1592,"正常库存")&gt;0,"正常库存 ","")&amp;IF(COUNTIFS('SKU明细'!$AH$9:$AH$1592,"[""S02"",""S02-RG1"",""RG1"",""玫瑰金""]",'SKU明细'!$E$9:$E$1592,"补货提醒")&gt;0,"补货提醒 ","")</x:f>
        <x:v>促销 零日销待复核 </x:v>
      </x:c>
      <x:c r="Y103" s="24" t="str">
        <x:f>IF(NOT(ISNUMBER(U103)),"覆盖待核／无可比基准","完整可比")</x:f>
        <x:v>覆盖待核／无可比基准</x:v>
      </x:c>
      <x:c r="Z103" s="24" t="str">
        <x:v>在售</x:v>
      </x:c>
      <x:c r="AA103" s="24" t="n">
        <x:f>IF(SUMIFS('SKU明细'!$AF$9:$AF$1592,'SKU明细'!$D$9:$D$1592,A103,'SKU明细'!$Z$9:$Z$1592,"&lt;&gt;移出")=0,"待核",SUMIFS('SKU明细'!$H$9:$H$1592,'SKU明细'!$D$9:$D$1592,A103,'SKU明细'!$Z$9:$Z$1592,"&lt;&gt;移出"))</x:f>
        <x:v>1166</x:v>
      </x:c>
    </x:row>
    <x:row r="104" ht="54" customHeight="1">
      <x:c r="A104" s="20" t="str">
        <x:v>S02</x:v>
      </x:c>
      <x:c r="B104" s="20" t="str">
        <x:v>陈晨</x:v>
      </x:c>
      <x:c r="C104" s="20" t="str">
        <x:v>黑白蛇纹</x:v>
      </x:c>
      <x:c r="D104" s="20" t="str">
        <x:v>SP</x:v>
      </x:c>
      <x:c r="E104" s="20" t="str">
        <x:v>S02-SP</x:v>
      </x:c>
      <x:c r="F104" s="20"/>
      <x:c r="G104" s="21" t="str">
        <x:f>"—"</x:f>
        <x:v>—</x:v>
      </x:c>
      <x:c r="H104" s="21" t="n">
        <x:f>IF(AND(COUNT(INDEX('SKU明细'!$H$9:$H$1592,MATCH("[6574,""S02-SP-37""]",'SKU明细'!$AE$9:$AE$1592,0)))=1,COUNT(INDEX('SKU明细'!$G$9:$G$1592,MATCH("[6574,""S02-SP-37""]",'SKU明细'!$AE$9:$AE$1592,0)))=1,SUM(INDEX('SKU明细'!$G$9:$G$1592,MATCH("[6574,""S02-SP-37""]",'SKU明细'!$AE$9:$AE$1592,0)))&gt;0),SUM(INDEX('SKU明细'!$H$9:$H$1592,MATCH("[6574,""S02-SP-37""]",'SKU明细'!$AE$9:$AE$1592,0)))/SUM(INDEX('SKU明细'!$G$9:$G$1592,MATCH("[6574,""S02-SP-37""]",'SKU明细'!$AE$9:$AE$1592,0))),"待核")</x:f>
        <x:v>0</x:v>
      </x:c>
      <x:c r="I104" s="21" t="str">
        <x:f>"—"</x:f>
        <x:v>—</x:v>
      </x:c>
      <x:c r="J104" s="21" t="n">
        <x:f>IF(AND(COUNT(INDEX('SKU明细'!$H$9:$H$1592,MATCH("[6574,""S02-SP-38""]",'SKU明细'!$AE$9:$AE$1592,0)))=1,COUNT(INDEX('SKU明细'!$G$9:$G$1592,MATCH("[6574,""S02-SP-38""]",'SKU明细'!$AE$9:$AE$1592,0)))=1,SUM(INDEX('SKU明细'!$G$9:$G$1592,MATCH("[6574,""S02-SP-38""]",'SKU明细'!$AE$9:$AE$1592,0)))&gt;0),SUM(INDEX('SKU明细'!$H$9:$H$1592,MATCH("[6574,""S02-SP-38""]",'SKU明细'!$AE$9:$AE$1592,0)))/SUM(INDEX('SKU明细'!$G$9:$G$1592,MATCH("[6574,""S02-SP-38""]",'SKU明细'!$AE$9:$AE$1592,0))),"待核")</x:f>
        <x:v>0</x:v>
      </x:c>
      <x:c r="K104" s="21" t="str">
        <x:f>"—"</x:f>
        <x:v>—</x:v>
      </x:c>
      <x:c r="L104" s="21" t="n">
        <x:f>IF(AND(COUNT(INDEX('SKU明细'!$H$9:$H$1592,MATCH("[6574,""S02-SP-39""]",'SKU明细'!$AE$9:$AE$1592,0)))=1,COUNT(INDEX('SKU明细'!$G$9:$G$1592,MATCH("[6574,""S02-SP-39""]",'SKU明细'!$AE$9:$AE$1592,0)))=1,SUM(INDEX('SKU明细'!$G$9:$G$1592,MATCH("[6574,""S02-SP-39""]",'SKU明细'!$AE$9:$AE$1592,0)))&gt;0),SUM(INDEX('SKU明细'!$H$9:$H$1592,MATCH("[6574,""S02-SP-39""]",'SKU明细'!$AE$9:$AE$1592,0)))/SUM(INDEX('SKU明细'!$G$9:$G$1592,MATCH("[6574,""S02-SP-39""]",'SKU明细'!$AE$9:$AE$1592,0))),"待核")</x:f>
        <x:v>0</x:v>
      </x:c>
      <x:c r="M104" s="21" t="str">
        <x:f>"—"</x:f>
        <x:v>—</x:v>
      </x:c>
      <x:c r="N104" s="21" t="str">
        <x:f>IF(AND(COUNT(INDEX('SKU明细'!$H$9:$H$1592,MATCH("[6574,""S02-SP-40""]",'SKU明细'!$AE$9:$AE$1592,0)))=1,COUNT(INDEX('SKU明细'!$G$9:$G$1592,MATCH("[6574,""S02-SP-40""]",'SKU明细'!$AE$9:$AE$1592,0)))=1,SUM(INDEX('SKU明细'!$G$9:$G$1592,MATCH("[6574,""S02-SP-40""]",'SKU明细'!$AE$9:$AE$1592,0)))&gt;0),SUM(INDEX('SKU明细'!$H$9:$H$1592,MATCH("[6574,""S02-SP-40""]",'SKU明细'!$AE$9:$AE$1592,0)))/SUM(INDEX('SKU明细'!$G$9:$G$1592,MATCH("[6574,""S02-SP-40""]",'SKU明细'!$AE$9:$AE$1592,0))),"待核")</x:f>
        <x:v>待核</x:v>
      </x:c>
      <x:c r="O104" s="21" t="str">
        <x:f>"—"</x:f>
        <x:v>—</x:v>
      </x:c>
      <x:c r="P104" s="21" t="str">
        <x:f>"—"</x:f>
        <x:v>—</x:v>
      </x:c>
      <x:c r="Q104" s="21" t="str">
        <x:f>"—"</x:f>
        <x:v>—</x:v>
      </x:c>
      <x:c r="R104" s="21" t="str">
        <x:f>"—"</x:f>
        <x:v>—</x:v>
      </x:c>
      <x:c r="S104" s="21" t="n">
        <x:f>IF(AND(COUNT(INDEX('SKU明细'!$H$9:$H$1592,MATCH("[6574,""S02-SP-37""]",'SKU明细'!$AE$9:$AE$1592,0)),INDEX('SKU明细'!$H$9:$H$1592,MATCH("[6574,""S02-SP-38""]",'SKU明细'!$AE$9:$AE$1592,0)),INDEX('SKU明细'!$H$9:$H$1592,MATCH("[6574,""S02-SP-39""]",'SKU明细'!$AE$9:$AE$1592,0)),INDEX('SKU明细'!$H$9:$H$1592,MATCH("[6574,""S02-SP-40""]",'SKU明细'!$AE$9:$AE$1592,0)))=4,COUNT(INDEX('SKU明细'!$G$9:$G$1592,MATCH("[6574,""S02-SP-37""]",'SKU明细'!$AE$9:$AE$1592,0)),INDEX('SKU明细'!$G$9:$G$1592,MATCH("[6574,""S02-SP-38""]",'SKU明细'!$AE$9:$AE$1592,0)),INDEX('SKU明细'!$G$9:$G$1592,MATCH("[6574,""S02-SP-39""]",'SKU明细'!$AE$9:$AE$1592,0)),INDEX('SKU明细'!$G$9:$G$1592,MATCH("[6574,""S02-SP-40""]",'SKU明细'!$AE$9:$AE$1592,0)))=4,SUM(INDEX('SKU明细'!$G$9:$G$1592,MATCH("[6574,""S02-SP-37""]",'SKU明细'!$AE$9:$AE$1592,0)),INDEX('SKU明细'!$G$9:$G$1592,MATCH("[6574,""S02-SP-38""]",'SKU明细'!$AE$9:$AE$1592,0)),INDEX('SKU明细'!$G$9:$G$1592,MATCH("[6574,""S02-SP-39""]",'SKU明细'!$AE$9:$AE$1592,0)),INDEX('SKU明细'!$G$9:$G$1592,MATCH("[6574,""S02-SP-40""]",'SKU明细'!$AE$9:$AE$1592,0)))&gt;0),SUM(INDEX('SKU明细'!$H$9:$H$1592,MATCH("[6574,""S02-SP-37""]",'SKU明细'!$AE$9:$AE$1592,0)),INDEX('SKU明细'!$H$9:$H$1592,MATCH("[6574,""S02-SP-38""]",'SKU明细'!$AE$9:$AE$1592,0)),INDEX('SKU明细'!$H$9:$H$1592,MATCH("[6574,""S02-SP-39""]",'SKU明细'!$AE$9:$AE$1592,0)),INDEX('SKU明细'!$H$9:$H$1592,MATCH("[6574,""S02-SP-40""]",'SKU明细'!$AE$9:$AE$1592,0)))/SUM(INDEX('SKU明细'!$G$9:$G$1592,MATCH("[6574,""S02-SP-37""]",'SKU明细'!$AE$9:$AE$1592,0)),INDEX('SKU明细'!$G$9:$G$1592,MATCH("[6574,""S02-SP-38""]",'SKU明细'!$AE$9:$AE$1592,0)),INDEX('SKU明细'!$G$9:$G$1592,MATCH("[6574,""S02-SP-39""]",'SKU明细'!$AE$9:$AE$1592,0)),INDEX('SKU明细'!$G$9:$G$1592,MATCH("[6574,""S02-SP-40""]",'SKU明细'!$AE$9:$AE$1592,0))),"待核")</x:f>
        <x:v>0</x:v>
      </x:c>
      <x:c r="T104" s="21" t="n">
        <x:f>IF(AND(COUNT(INDEX('SKU明细'!$I$9:$I$1592,MATCH("[6574,""S02-SP-37""]",'SKU明细'!$AE$9:$AE$1592,0)),INDEX('SKU明细'!$I$9:$I$1592,MATCH("[6574,""S02-SP-38""]",'SKU明细'!$AE$9:$AE$1592,0)),INDEX('SKU明细'!$I$9:$I$1592,MATCH("[6574,""S02-SP-39""]",'SKU明细'!$AE$9:$AE$1592,0)),INDEX('SKU明细'!$I$9:$I$1592,MATCH("[6574,""S02-SP-40""]",'SKU明细'!$AE$9:$AE$1592,0)))=4,COUNT(INDEX('SKU明细'!$AD$9:$AD$1592,MATCH("[6574,""S02-SP-37""]",'SKU明细'!$AE$9:$AE$1592,0)),INDEX('SKU明细'!$AD$9:$AD$1592,MATCH("[6574,""S02-SP-38""]",'SKU明细'!$AE$9:$AE$1592,0)),INDEX('SKU明细'!$AD$9:$AD$1592,MATCH("[6574,""S02-SP-39""]",'SKU明细'!$AE$9:$AE$1592,0)),INDEX('SKU明细'!$AD$9:$AD$1592,MATCH("[6574,""S02-SP-40""]",'SKU明细'!$AE$9:$AE$1592,0)))=4,SUM(INDEX('SKU明细'!$AD$9:$AD$1592,MATCH("[6574,""S02-SP-37""]",'SKU明细'!$AE$9:$AE$1592,0)),INDEX('SKU明细'!$AD$9:$AD$1592,MATCH("[6574,""S02-SP-38""]",'SKU明细'!$AE$9:$AE$1592,0)),INDEX('SKU明细'!$AD$9:$AD$1592,MATCH("[6574,""S02-SP-39""]",'SKU明细'!$AE$9:$AE$1592,0)),INDEX('SKU明细'!$AD$9:$AD$1592,MATCH("[6574,""S02-SP-40""]",'SKU明细'!$AE$9:$AE$1592,0)))&gt;0),SUM(INDEX('SKU明细'!$I$9:$I$1592,MATCH("[6574,""S02-SP-37""]",'SKU明细'!$AE$9:$AE$1592,0)),INDEX('SKU明细'!$I$9:$I$1592,MATCH("[6574,""S02-SP-38""]",'SKU明细'!$AE$9:$AE$1592,0)),INDEX('SKU明细'!$I$9:$I$1592,MATCH("[6574,""S02-SP-39""]",'SKU明细'!$AE$9:$AE$1592,0)),INDEX('SKU明细'!$I$9:$I$1592,MATCH("[6574,""S02-SP-40""]",'SKU明细'!$AE$9:$AE$1592,0)))/SUM(INDEX('SKU明细'!$AD$9:$AD$1592,MATCH("[6574,""S02-SP-37""]",'SKU明细'!$AE$9:$AE$1592,0)),INDEX('SKU明细'!$AD$9:$AD$1592,MATCH("[6574,""S02-SP-38""]",'SKU明细'!$AE$9:$AE$1592,0)),INDEX('SKU明细'!$AD$9:$AD$1592,MATCH("[6574,""S02-SP-39""]",'SKU明细'!$AE$9:$AE$1592,0)),INDEX('SKU明细'!$AD$9:$AD$1592,MATCH("[6574,""S02-SP-40""]",'SKU明细'!$AE$9:$AE$1592,0))),"待核")</x:f>
        <x:v>0</x:v>
      </x:c>
      <x:c r="U104" s="21" t="n">
        <x:f>IF(COUNT(S104:T104)=2,S104-T104,"待核")</x:f>
        <x:v>0</x:v>
      </x:c>
      <x:c r="V104" s="22" t="str">
        <x:f>IF(AND(ISNUMBER(U104),ISNUMBER(T104),T104&lt;&gt;0),U104/T104,"")</x:f>
      </x:c>
      <x:c r="W104" s="23" t="n">
        <x:f>IF(COUNT(INDEX('SKU明细'!$H$9:$H$1592,MATCH("[6574,""S02-SP-37""]",'SKU明细'!$AE$9:$AE$1592,0)),INDEX('SKU明细'!$H$9:$H$1592,MATCH("[6574,""S02-SP-38""]",'SKU明细'!$AE$9:$AE$1592,0)),INDEX('SKU明细'!$H$9:$H$1592,MATCH("[6574,""S02-SP-39""]",'SKU明细'!$AE$9:$AE$1592,0)),INDEX('SKU明细'!$H$9:$H$1592,MATCH("[6574,""S02-SP-40""]",'SKU明细'!$AE$9:$AE$1592,0)))=0,"待核",SUM(INDEX('SKU明细'!$H$9:$H$1592,MATCH("[6574,""S02-SP-37""]",'SKU明细'!$AE$9:$AE$1592,0)),INDEX('SKU明细'!$H$9:$H$1592,MATCH("[6574,""S02-SP-38""]",'SKU明细'!$AE$9:$AE$1592,0)),INDEX('SKU明细'!$H$9:$H$1592,MATCH("[6574,""S02-SP-39""]",'SKU明细'!$AE$9:$AE$1592,0)),INDEX('SKU明细'!$H$9:$H$1592,MATCH("[6574,""S02-SP-40""]",'SKU明细'!$AE$9:$AE$1592,0))))</x:f>
        <x:v>0</x:v>
      </x:c>
      <x:c r="X104" s="24" t="str">
        <x:f>IF(COUNTIFS('SKU明细'!$AH$9:$AH$1592,"[""S02"",""S02-SP"",""SP"",""黑白蛇纹""]",'SKU明细'!$E$9:$E$1592,"促销")&gt;0,"促销 ","")&amp;IF(COUNTIFS('SKU明细'!$AH$9:$AH$1592,"[""S02"",""S02-SP"",""SP"",""黑白蛇纹""]",'SKU明细'!$E$9:$E$1592,"红线促销")&gt;0,"红线促销 ","")&amp;IF(COUNTIFS('SKU明细'!$AH$9:$AH$1592,"[""S02"",""S02-SP"",""SP"",""黑白蛇纹""]",'SKU明细'!$E$9:$E$1592,"考虑清仓")&gt;0,"考虑清仓 ","")&amp;IF(COUNTIFS('SKU明细'!$AH$9:$AH$1592,"[""S02"",""S02-SP"",""SP"",""黑白蛇纹""]",'SKU明细'!$E$9:$E$1592,"断货")&gt;0,"断货 ","")&amp;IF(COUNTIFS('SKU明细'!$AH$9:$AH$1592,"[""S02"",""S02-SP"",""SP"",""黑白蛇纹""]",'SKU明细'!$E$9:$E$1592,"零日销待复核")&gt;0,"零日销待复核 ","")&amp;IF(COUNTIFS('SKU明细'!$AH$9:$AH$1592,"[""S02"",""S02-SP"",""SP"",""黑白蛇纹""]",'SKU明细'!$E$9:$E$1592,"数据待核")&gt;0,"数据待核 ","")&amp;IF(COUNTIFS('SKU明细'!$AH$9:$AH$1592,"[""S02"",""S02-SP"",""SP"",""黑白蛇纹""]",'SKU明细'!$E$9:$E$1592,"正常库存")&gt;0,"正常库存 ","")&amp;IF(COUNTIFS('SKU明细'!$AH$9:$AH$1592,"[""S02"",""S02-SP"",""SP"",""黑白蛇纹""]",'SKU明细'!$E$9:$E$1592,"补货提醒")&gt;0,"补货提醒 ","")</x:f>
        <x:v>断货 </x:v>
      </x:c>
      <x:c r="Y104" s="24" t="str">
        <x:f>IF(NOT(ISNUMBER(U104)),"覆盖待核／无可比基准","完整可比")</x:f>
        <x:v>完整可比</x:v>
      </x:c>
      <x:c r="Z104" s="24" t="str">
        <x:v>在售、停售</x:v>
      </x:c>
      <x:c r="AA104" s="24" t="n">
        <x:f>IF(SUMIFS('SKU明细'!$AF$9:$AF$1592,'SKU明细'!$D$9:$D$1592,A104,'SKU明细'!$Z$9:$Z$1592,"&lt;&gt;移出")=0,"待核",SUMIFS('SKU明细'!$H$9:$H$1592,'SKU明细'!$D$9:$D$1592,A104,'SKU明细'!$Z$9:$Z$1592,"&lt;&gt;移出"))</x:f>
        <x:v>1166</x:v>
      </x:c>
    </x:row>
    <x:row r="105" ht="54" customHeight="1">
      <x:c r="A105" s="20" t="str">
        <x:v>S02</x:v>
      </x:c>
      <x:c r="B105" s="20" t="str">
        <x:v>陈晨</x:v>
      </x:c>
      <x:c r="C105" s="20" t="str">
        <x:v>驼色</x:v>
      </x:c>
      <x:c r="D105" s="20" t="str">
        <x:v>TN</x:v>
      </x:c>
      <x:c r="E105" s="20" t="str">
        <x:v>S02-TN</x:v>
      </x:c>
      <x:c r="F105" s="20"/>
      <x:c r="G105" s="21" t="str">
        <x:f>"—"</x:f>
        <x:v>—</x:v>
      </x:c>
      <x:c r="H105" s="21" t="n">
        <x:f>IF(AND(COUNT(INDEX('SKU明细'!$H$9:$H$1592,MATCH("[6574,""S02-TN-37""]",'SKU明细'!$AE$9:$AE$1592,0)))=1,COUNT(INDEX('SKU明细'!$G$9:$G$1592,MATCH("[6574,""S02-TN-37""]",'SKU明细'!$AE$9:$AE$1592,0)))=1,SUM(INDEX('SKU明细'!$G$9:$G$1592,MATCH("[6574,""S02-TN-37""]",'SKU明细'!$AE$9:$AE$1592,0)))&gt;0),SUM(INDEX('SKU明细'!$H$9:$H$1592,MATCH("[6574,""S02-TN-37""]",'SKU明细'!$AE$9:$AE$1592,0)))/SUM(INDEX('SKU明细'!$G$9:$G$1592,MATCH("[6574,""S02-TN-37""]",'SKU明细'!$AE$9:$AE$1592,0))),"待核")</x:f>
        <x:v>666.6666666666667</x:v>
      </x:c>
      <x:c r="I105" s="21" t="str">
        <x:f>"—"</x:f>
        <x:v>—</x:v>
      </x:c>
      <x:c r="J105" s="21" t="n">
        <x:f>IF(AND(COUNT(INDEX('SKU明细'!$H$9:$H$1592,MATCH("[6574,""S02-TN-38""]",'SKU明细'!$AE$9:$AE$1592,0)))=1,COUNT(INDEX('SKU明细'!$G$9:$G$1592,MATCH("[6574,""S02-TN-38""]",'SKU明细'!$AE$9:$AE$1592,0)))=1,SUM(INDEX('SKU明细'!$G$9:$G$1592,MATCH("[6574,""S02-TN-38""]",'SKU明细'!$AE$9:$AE$1592,0)))&gt;0),SUM(INDEX('SKU明细'!$H$9:$H$1592,MATCH("[6574,""S02-TN-38""]",'SKU明细'!$AE$9:$AE$1592,0)))/SUM(INDEX('SKU明细'!$G$9:$G$1592,MATCH("[6574,""S02-TN-38""]",'SKU明细'!$AE$9:$AE$1592,0))),"待核")</x:f>
        <x:v>117.48251748251748</x:v>
      </x:c>
      <x:c r="K105" s="21" t="str">
        <x:f>"—"</x:f>
        <x:v>—</x:v>
      </x:c>
      <x:c r="L105" s="21" t="n">
        <x:f>IF(AND(COUNT(INDEX('SKU明细'!$H$9:$H$1592,MATCH("[6574,""S02-TN-39""]",'SKU明细'!$AE$9:$AE$1592,0)))=1,COUNT(INDEX('SKU明细'!$G$9:$G$1592,MATCH("[6574,""S02-TN-39""]",'SKU明细'!$AE$9:$AE$1592,0)))=1,SUM(INDEX('SKU明细'!$G$9:$G$1592,MATCH("[6574,""S02-TN-39""]",'SKU明细'!$AE$9:$AE$1592,0)))&gt;0),SUM(INDEX('SKU明细'!$H$9:$H$1592,MATCH("[6574,""S02-TN-39""]",'SKU明细'!$AE$9:$AE$1592,0)))/SUM(INDEX('SKU明细'!$G$9:$G$1592,MATCH("[6574,""S02-TN-39""]",'SKU明细'!$AE$9:$AE$1592,0))),"待核")</x:f>
        <x:v>17.796610169491526</x:v>
      </x:c>
      <x:c r="M105" s="21" t="str">
        <x:f>"—"</x:f>
        <x:v>—</x:v>
      </x:c>
      <x:c r="N105" s="21" t="n">
        <x:f>IF(AND(COUNT(INDEX('SKU明细'!$H$9:$H$1592,MATCH("[6574,""S02-TN-40""]",'SKU明细'!$AE$9:$AE$1592,0)))=1,COUNT(INDEX('SKU明细'!$G$9:$G$1592,MATCH("[6574,""S02-TN-40""]",'SKU明细'!$AE$9:$AE$1592,0)))=1,SUM(INDEX('SKU明细'!$G$9:$G$1592,MATCH("[6574,""S02-TN-40""]",'SKU明细'!$AE$9:$AE$1592,0)))&gt;0),SUM(INDEX('SKU明细'!$H$9:$H$1592,MATCH("[6574,""S02-TN-40""]",'SKU明细'!$AE$9:$AE$1592,0)))/SUM(INDEX('SKU明细'!$G$9:$G$1592,MATCH("[6574,""S02-TN-40""]",'SKU明细'!$AE$9:$AE$1592,0))),"待核")</x:f>
        <x:v>0</x:v>
      </x:c>
      <x:c r="O105" s="21" t="str">
        <x:f>"—"</x:f>
        <x:v>—</x:v>
      </x:c>
      <x:c r="P105" s="21" t="n">
        <x:f>IF(AND(COUNT(INDEX('SKU明细'!$H$9:$H$1592,MATCH("[6574,""S02-TN-41""]",'SKU明细'!$AE$9:$AE$1592,0)))=1,COUNT(INDEX('SKU明细'!$G$9:$G$1592,MATCH("[6574,""S02-TN-41""]",'SKU明细'!$AE$9:$AE$1592,0)))=1,SUM(INDEX('SKU明细'!$G$9:$G$1592,MATCH("[6574,""S02-TN-41""]",'SKU明细'!$AE$9:$AE$1592,0)))&gt;0),SUM(INDEX('SKU明细'!$H$9:$H$1592,MATCH("[6574,""S02-TN-41""]",'SKU明细'!$AE$9:$AE$1592,0)))/SUM(INDEX('SKU明细'!$G$9:$G$1592,MATCH("[6574,""S02-TN-41""]",'SKU明细'!$AE$9:$AE$1592,0))),"待核")</x:f>
        <x:v>0</x:v>
      </x:c>
      <x:c r="Q105" s="21" t="str">
        <x:f>"—"</x:f>
        <x:v>—</x:v>
      </x:c>
      <x:c r="R105" s="21" t="n">
        <x:f>IF(AND(COUNT(INDEX('SKU明细'!$H$9:$H$1592,MATCH("[6574,""S02-TN-42""]",'SKU明细'!$AE$9:$AE$1592,0)))=1,COUNT(INDEX('SKU明细'!$G$9:$G$1592,MATCH("[6574,""S02-TN-42""]",'SKU明细'!$AE$9:$AE$1592,0)))=1,SUM(INDEX('SKU明细'!$G$9:$G$1592,MATCH("[6574,""S02-TN-42""]",'SKU明细'!$AE$9:$AE$1592,0)))&gt;0),SUM(INDEX('SKU明细'!$H$9:$H$1592,MATCH("[6574,""S02-TN-42""]",'SKU明细'!$AE$9:$AE$1592,0)))/SUM(INDEX('SKU明细'!$G$9:$G$1592,MATCH("[6574,""S02-TN-42""]",'SKU明细'!$AE$9:$AE$1592,0))),"待核")</x:f>
        <x:v>117.48251748251748</x:v>
      </x:c>
      <x:c r="S105" s="21" t="n">
        <x:f>IF(AND(COUNT(INDEX('SKU明细'!$H$9:$H$1592,MATCH("[6574,""S02-TN-37""]",'SKU明细'!$AE$9:$AE$1592,0)),INDEX('SKU明细'!$H$9:$H$1592,MATCH("[6574,""S02-TN-38""]",'SKU明细'!$AE$9:$AE$1592,0)),INDEX('SKU明细'!$H$9:$H$1592,MATCH("[6574,""S02-TN-42""]",'SKU明细'!$AE$9:$AE$1592,0)),INDEX('SKU明细'!$H$9:$H$1592,MATCH("[6574,""S02-TN-40""]",'SKU明细'!$AE$9:$AE$1592,0)),INDEX('SKU明细'!$H$9:$H$1592,MATCH("[6574,""S02-TN-41""]",'SKU明细'!$AE$9:$AE$1592,0)),INDEX('SKU明细'!$H$9:$H$1592,MATCH("[6574,""S02-TN-39""]",'SKU明细'!$AE$9:$AE$1592,0)))=6,COUNT(INDEX('SKU明细'!$G$9:$G$1592,MATCH("[6574,""S02-TN-37""]",'SKU明细'!$AE$9:$AE$1592,0)),INDEX('SKU明细'!$G$9:$G$1592,MATCH("[6574,""S02-TN-38""]",'SKU明细'!$AE$9:$AE$1592,0)),INDEX('SKU明细'!$G$9:$G$1592,MATCH("[6574,""S02-TN-42""]",'SKU明细'!$AE$9:$AE$1592,0)),INDEX('SKU明细'!$G$9:$G$1592,MATCH("[6574,""S02-TN-40""]",'SKU明细'!$AE$9:$AE$1592,0)),INDEX('SKU明细'!$G$9:$G$1592,MATCH("[6574,""S02-TN-41""]",'SKU明细'!$AE$9:$AE$1592,0)),INDEX('SKU明细'!$G$9:$G$1592,MATCH("[6574,""S02-TN-39""]",'SKU明细'!$AE$9:$AE$1592,0)))=6,SUM(INDEX('SKU明细'!$G$9:$G$1592,MATCH("[6574,""S02-TN-37""]",'SKU明细'!$AE$9:$AE$1592,0)),INDEX('SKU明细'!$G$9:$G$1592,MATCH("[6574,""S02-TN-38""]",'SKU明细'!$AE$9:$AE$1592,0)),INDEX('SKU明细'!$G$9:$G$1592,MATCH("[6574,""S02-TN-42""]",'SKU明细'!$AE$9:$AE$1592,0)),INDEX('SKU明细'!$G$9:$G$1592,MATCH("[6574,""S02-TN-40""]",'SKU明细'!$AE$9:$AE$1592,0)),INDEX('SKU明细'!$G$9:$G$1592,MATCH("[6574,""S02-TN-41""]",'SKU明细'!$AE$9:$AE$1592,0)),INDEX('SKU明细'!$G$9:$G$1592,MATCH("[6574,""S02-TN-39""]",'SKU明细'!$AE$9:$AE$1592,0)))&gt;0),SUM(INDEX('SKU明细'!$H$9:$H$1592,MATCH("[6574,""S02-TN-37""]",'SKU明细'!$AE$9:$AE$1592,0)),INDEX('SKU明细'!$H$9:$H$1592,MATCH("[6574,""S02-TN-38""]",'SKU明细'!$AE$9:$AE$1592,0)),INDEX('SKU明细'!$H$9:$H$1592,MATCH("[6574,""S02-TN-42""]",'SKU明细'!$AE$9:$AE$1592,0)),INDEX('SKU明细'!$H$9:$H$1592,MATCH("[6574,""S02-TN-40""]",'SKU明细'!$AE$9:$AE$1592,0)),INDEX('SKU明细'!$H$9:$H$1592,MATCH("[6574,""S02-TN-41""]",'SKU明细'!$AE$9:$AE$1592,0)),INDEX('SKU明细'!$H$9:$H$1592,MATCH("[6574,""S02-TN-39""]",'SKU明细'!$AE$9:$AE$1592,0)))/SUM(INDEX('SKU明细'!$G$9:$G$1592,MATCH("[6574,""S02-TN-37""]",'SKU明细'!$AE$9:$AE$1592,0)),INDEX('SKU明细'!$G$9:$G$1592,MATCH("[6574,""S02-TN-38""]",'SKU明细'!$AE$9:$AE$1592,0)),INDEX('SKU明细'!$G$9:$G$1592,MATCH("[6574,""S02-TN-42""]",'SKU明细'!$AE$9:$AE$1592,0)),INDEX('SKU明细'!$G$9:$G$1592,MATCH("[6574,""S02-TN-40""]",'SKU明细'!$AE$9:$AE$1592,0)),INDEX('SKU明细'!$G$9:$G$1592,MATCH("[6574,""S02-TN-41""]",'SKU明细'!$AE$9:$AE$1592,0)),INDEX('SKU明细'!$G$9:$G$1592,MATCH("[6574,""S02-TN-39""]",'SKU明细'!$AE$9:$AE$1592,0))),"待核")</x:f>
        <x:v>48.275862068965516</x:v>
      </x:c>
      <x:c r="T105" s="21" t="n">
        <x:f>IF(AND(COUNT(INDEX('SKU明细'!$I$9:$I$1592,MATCH("[6574,""S02-TN-37""]",'SKU明细'!$AE$9:$AE$1592,0)),INDEX('SKU明细'!$I$9:$I$1592,MATCH("[6574,""S02-TN-38""]",'SKU明细'!$AE$9:$AE$1592,0)),INDEX('SKU明细'!$I$9:$I$1592,MATCH("[6574,""S02-TN-42""]",'SKU明细'!$AE$9:$AE$1592,0)),INDEX('SKU明细'!$I$9:$I$1592,MATCH("[6574,""S02-TN-40""]",'SKU明细'!$AE$9:$AE$1592,0)),INDEX('SKU明细'!$I$9:$I$1592,MATCH("[6574,""S02-TN-41""]",'SKU明细'!$AE$9:$AE$1592,0)),INDEX('SKU明细'!$I$9:$I$1592,MATCH("[6574,""S02-TN-39""]",'SKU明细'!$AE$9:$AE$1592,0)))=6,COUNT(INDEX('SKU明细'!$AD$9:$AD$1592,MATCH("[6574,""S02-TN-37""]",'SKU明细'!$AE$9:$AE$1592,0)),INDEX('SKU明细'!$AD$9:$AD$1592,MATCH("[6574,""S02-TN-38""]",'SKU明细'!$AE$9:$AE$1592,0)),INDEX('SKU明细'!$AD$9:$AD$1592,MATCH("[6574,""S02-TN-42""]",'SKU明细'!$AE$9:$AE$1592,0)),INDEX('SKU明细'!$AD$9:$AD$1592,MATCH("[6574,""S02-TN-40""]",'SKU明细'!$AE$9:$AE$1592,0)),INDEX('SKU明细'!$AD$9:$AD$1592,MATCH("[6574,""S02-TN-41""]",'SKU明细'!$AE$9:$AE$1592,0)),INDEX('SKU明细'!$AD$9:$AD$1592,MATCH("[6574,""S02-TN-39""]",'SKU明细'!$AE$9:$AE$1592,0)))=6,SUM(INDEX('SKU明细'!$AD$9:$AD$1592,MATCH("[6574,""S02-TN-37""]",'SKU明细'!$AE$9:$AE$1592,0)),INDEX('SKU明细'!$AD$9:$AD$1592,MATCH("[6574,""S02-TN-38""]",'SKU明细'!$AE$9:$AE$1592,0)),INDEX('SKU明细'!$AD$9:$AD$1592,MATCH("[6574,""S02-TN-42""]",'SKU明细'!$AE$9:$AE$1592,0)),INDEX('SKU明细'!$AD$9:$AD$1592,MATCH("[6574,""S02-TN-40""]",'SKU明细'!$AE$9:$AE$1592,0)),INDEX('SKU明细'!$AD$9:$AD$1592,MATCH("[6574,""S02-TN-41""]",'SKU明细'!$AE$9:$AE$1592,0)),INDEX('SKU明细'!$AD$9:$AD$1592,MATCH("[6574,""S02-TN-39""]",'SKU明细'!$AE$9:$AE$1592,0)))&gt;0),SUM(INDEX('SKU明细'!$I$9:$I$1592,MATCH("[6574,""S02-TN-37""]",'SKU明细'!$AE$9:$AE$1592,0)),INDEX('SKU明细'!$I$9:$I$1592,MATCH("[6574,""S02-TN-38""]",'SKU明细'!$AE$9:$AE$1592,0)),INDEX('SKU明细'!$I$9:$I$1592,MATCH("[6574,""S02-TN-42""]",'SKU明细'!$AE$9:$AE$1592,0)),INDEX('SKU明细'!$I$9:$I$1592,MATCH("[6574,""S02-TN-40""]",'SKU明细'!$AE$9:$AE$1592,0)),INDEX('SKU明细'!$I$9:$I$1592,MATCH("[6574,""S02-TN-41""]",'SKU明细'!$AE$9:$AE$1592,0)),INDEX('SKU明细'!$I$9:$I$1592,MATCH("[6574,""S02-TN-39""]",'SKU明细'!$AE$9:$AE$1592,0)))/SUM(INDEX('SKU明细'!$AD$9:$AD$1592,MATCH("[6574,""S02-TN-37""]",'SKU明细'!$AE$9:$AE$1592,0)),INDEX('SKU明细'!$AD$9:$AD$1592,MATCH("[6574,""S02-TN-38""]",'SKU明细'!$AE$9:$AE$1592,0)),INDEX('SKU明细'!$AD$9:$AD$1592,MATCH("[6574,""S02-TN-42""]",'SKU明细'!$AE$9:$AE$1592,0)),INDEX('SKU明细'!$AD$9:$AD$1592,MATCH("[6574,""S02-TN-40""]",'SKU明细'!$AE$9:$AE$1592,0)),INDEX('SKU明细'!$AD$9:$AD$1592,MATCH("[6574,""S02-TN-41""]",'SKU明细'!$AE$9:$AE$1592,0)),INDEX('SKU明细'!$AD$9:$AD$1592,MATCH("[6574,""S02-TN-39""]",'SKU明细'!$AE$9:$AE$1592,0))),"待核")</x:f>
        <x:v>26.066485946640036</x:v>
      </x:c>
      <x:c r="U105" s="21" t="n">
        <x:f>IF(COUNT(S105:T105)=2,S105-T105,"待核")</x:f>
        <x:v>22.20937612232548</x:v>
      </x:c>
      <x:c r="V105" s="22" t="n">
        <x:f>IF(AND(ISNUMBER(U105),ISNUMBER(T105),T105&lt;&gt;0),U105/T105,"")</x:f>
        <x:v>0.8520280089840135</x:v>
      </x:c>
      <x:c r="W105" s="23" t="n">
        <x:f>IF(COUNT(INDEX('SKU明细'!$H$9:$H$1592,MATCH("[6574,""S02-TN-37""]",'SKU明细'!$AE$9:$AE$1592,0)),INDEX('SKU明细'!$H$9:$H$1592,MATCH("[6574,""S02-TN-38""]",'SKU明细'!$AE$9:$AE$1592,0)),INDEX('SKU明细'!$H$9:$H$1592,MATCH("[6574,""S02-TN-42""]",'SKU明细'!$AE$9:$AE$1592,0)),INDEX('SKU明细'!$H$9:$H$1592,MATCH("[6574,""S02-TN-40""]",'SKU明细'!$AE$9:$AE$1592,0)),INDEX('SKU明细'!$H$9:$H$1592,MATCH("[6574,""S02-TN-41""]",'SKU明细'!$AE$9:$AE$1592,0)),INDEX('SKU明细'!$H$9:$H$1592,MATCH("[6574,""S02-TN-39""]",'SKU明细'!$AE$9:$AE$1592,0)))=0,"待核",SUM(INDEX('SKU明细'!$H$9:$H$1592,MATCH("[6574,""S02-TN-37""]",'SKU明细'!$AE$9:$AE$1592,0)),INDEX('SKU明细'!$H$9:$H$1592,MATCH("[6574,""S02-TN-38""]",'SKU明细'!$AE$9:$AE$1592,0)),INDEX('SKU明细'!$H$9:$H$1592,MATCH("[6574,""S02-TN-42""]",'SKU明细'!$AE$9:$AE$1592,0)),INDEX('SKU明细'!$H$9:$H$1592,MATCH("[6574,""S02-TN-40""]",'SKU明细'!$AE$9:$AE$1592,0)),INDEX('SKU明细'!$H$9:$H$1592,MATCH("[6574,""S02-TN-41""]",'SKU明细'!$AE$9:$AE$1592,0)),INDEX('SKU明细'!$H$9:$H$1592,MATCH("[6574,""S02-TN-39""]",'SKU明细'!$AE$9:$AE$1592,0))))</x:f>
        <x:v>74</x:v>
      </x:c>
      <x:c r="X105" s="24" t="str">
        <x:f>IF(COUNTIFS('SKU明细'!$AH$9:$AH$1592,"[""S02"",""S02-TN"",""TN"",""驼色""]",'SKU明细'!$E$9:$E$1592,"促销")&gt;0,"促销 ","")&amp;IF(COUNTIFS('SKU明细'!$AH$9:$AH$1592,"[""S02"",""S02-TN"",""TN"",""驼色""]",'SKU明细'!$E$9:$E$1592,"红线促销")&gt;0,"红线促销 ","")&amp;IF(COUNTIFS('SKU明细'!$AH$9:$AH$1592,"[""S02"",""S02-TN"",""TN"",""驼色""]",'SKU明细'!$E$9:$E$1592,"考虑清仓")&gt;0,"考虑清仓 ","")&amp;IF(COUNTIFS('SKU明细'!$AH$9:$AH$1592,"[""S02"",""S02-TN"",""TN"",""驼色""]",'SKU明细'!$E$9:$E$1592,"断货")&gt;0,"断货 ","")&amp;IF(COUNTIFS('SKU明细'!$AH$9:$AH$1592,"[""S02"",""S02-TN"",""TN"",""驼色""]",'SKU明细'!$E$9:$E$1592,"零日销待复核")&gt;0,"零日销待复核 ","")&amp;IF(COUNTIFS('SKU明细'!$AH$9:$AH$1592,"[""S02"",""S02-TN"",""TN"",""驼色""]",'SKU明细'!$E$9:$E$1592,"数据待核")&gt;0,"数据待核 ","")&amp;IF(COUNTIFS('SKU明细'!$AH$9:$AH$1592,"[""S02"",""S02-TN"",""TN"",""驼色""]",'SKU明细'!$E$9:$E$1592,"正常库存")&gt;0,"正常库存 ","")&amp;IF(COUNTIFS('SKU明细'!$AH$9:$AH$1592,"[""S02"",""S02-TN"",""TN"",""驼色""]",'SKU明细'!$E$9:$E$1592,"补货提醒")&gt;0,"补货提醒 ","")</x:f>
        <x:v>促销 考虑清仓 断货 补货提醒 </x:v>
      </x:c>
      <x:c r="Y105" s="24" t="str">
        <x:f>IF(NOT(ISNUMBER(U105)),"覆盖待核／无可比基准","完整可比")</x:f>
        <x:v>完整可比</x:v>
      </x:c>
      <x:c r="Z105" s="24" t="str">
        <x:v>在售</x:v>
      </x:c>
      <x:c r="AA105" s="24" t="n">
        <x:f>IF(SUMIFS('SKU明细'!$AF$9:$AF$1592,'SKU明细'!$D$9:$D$1592,A105,'SKU明细'!$Z$9:$Z$1592,"&lt;&gt;移出")=0,"待核",SUMIFS('SKU明细'!$H$9:$H$1592,'SKU明细'!$D$9:$D$1592,A105,'SKU明细'!$Z$9:$Z$1592,"&lt;&gt;移出"))</x:f>
        <x:v>1166</x:v>
      </x:c>
    </x:row>
    <x:row r="106" ht="54" customHeight="1">
      <x:c r="A106" s="20" t="str">
        <x:v>S02</x:v>
      </x:c>
      <x:c r="B106" s="20" t="str">
        <x:v>陈晨</x:v>
      </x:c>
      <x:c r="C106" s="20" t="str">
        <x:v>驼色</x:v>
      </x:c>
      <x:c r="D106" s="20" t="str">
        <x:v>TN1</x:v>
      </x:c>
      <x:c r="E106" s="20" t="str">
        <x:v>S02-TN1</x:v>
      </x:c>
      <x:c r="F106" s="20"/>
      <x:c r="G106" s="21" t="str">
        <x:f>"—"</x:f>
        <x:v>—</x:v>
      </x:c>
      <x:c r="H106" s="21" t="str">
        <x:f>"—"</x:f>
        <x:v>—</x:v>
      </x:c>
      <x:c r="I106" s="21" t="n">
        <x:f>IF(AND(COUNT(INDEX('SKU明细'!$H$9:$H$1592,MATCH("[6574,""S02-TN1-37""]",'SKU明细'!$AE$9:$AE$1592,0)))=1,COUNT(INDEX('SKU明细'!$G$9:$G$1592,MATCH("[6574,""S02-TN1-37""]",'SKU明细'!$AE$9:$AE$1592,0)))=1,SUM(INDEX('SKU明细'!$G$9:$G$1592,MATCH("[6574,""S02-TN1-37""]",'SKU明细'!$AE$9:$AE$1592,0)))&gt;0),SUM(INDEX('SKU明细'!$H$9:$H$1592,MATCH("[6574,""S02-TN1-37""]",'SKU明细'!$AE$9:$AE$1592,0)))/SUM(INDEX('SKU明细'!$G$9:$G$1592,MATCH("[6574,""S02-TN1-37""]",'SKU明细'!$AE$9:$AE$1592,0))),"待核")</x:f>
        <x:v>20.09569377990431</x:v>
      </x:c>
      <x:c r="J106" s="21" t="str">
        <x:f>"—"</x:f>
        <x:v>—</x:v>
      </x:c>
      <x:c r="K106" s="21" t="str">
        <x:f>"—"</x:f>
        <x:v>—</x:v>
      </x:c>
      <x:c r="L106" s="21" t="str">
        <x:f>"—"</x:f>
        <x:v>—</x:v>
      </x:c>
      <x:c r="M106" s="21" t="str">
        <x:f>"—"</x:f>
        <x:v>—</x:v>
      </x:c>
      <x:c r="N106" s="21" t="str">
        <x:f>"—"</x:f>
        <x:v>—</x:v>
      </x:c>
      <x:c r="O106" s="21" t="n">
        <x:f>IF(AND(COUNT(INDEX('SKU明细'!$H$9:$H$1592,MATCH("[6574,""S02-TN1-41""]",'SKU明细'!$AE$9:$AE$1592,0)))=1,COUNT(INDEX('SKU明细'!$G$9:$G$1592,MATCH("[6574,""S02-TN1-41""]",'SKU明细'!$AE$9:$AE$1592,0)))=1,SUM(INDEX('SKU明细'!$G$9:$G$1592,MATCH("[6574,""S02-TN1-41""]",'SKU明细'!$AE$9:$AE$1592,0)))&gt;0),SUM(INDEX('SKU明细'!$H$9:$H$1592,MATCH("[6574,""S02-TN1-41""]",'SKU明细'!$AE$9:$AE$1592,0)))/SUM(INDEX('SKU明细'!$G$9:$G$1592,MATCH("[6574,""S02-TN1-41""]",'SKU明细'!$AE$9:$AE$1592,0))),"待核")</x:f>
        <x:v>4.1916167664670665</x:v>
      </x:c>
      <x:c r="P106" s="21" t="str">
        <x:f>"—"</x:f>
        <x:v>—</x:v>
      </x:c>
      <x:c r="Q106" s="21" t="str">
        <x:f>"—"</x:f>
        <x:v>—</x:v>
      </x:c>
      <x:c r="R106" s="21" t="str">
        <x:f>"—"</x:f>
        <x:v>—</x:v>
      </x:c>
      <x:c r="S106" s="21" t="n">
        <x:f>IF(AND(COUNT(INDEX('SKU明细'!$H$9:$H$1592,MATCH("[6574,""S02-TN1-37""]",'SKU明细'!$AE$9:$AE$1592,0)),INDEX('SKU明细'!$H$9:$H$1592,MATCH("[6574,""S02-TN1-41""]",'SKU明细'!$AE$9:$AE$1592,0)))=2,COUNT(INDEX('SKU明细'!$G$9:$G$1592,MATCH("[6574,""S02-TN1-37""]",'SKU明细'!$AE$9:$AE$1592,0)),INDEX('SKU明细'!$G$9:$G$1592,MATCH("[6574,""S02-TN1-41""]",'SKU明细'!$AE$9:$AE$1592,0)))=2,SUM(INDEX('SKU明细'!$G$9:$G$1592,MATCH("[6574,""S02-TN1-37""]",'SKU明细'!$AE$9:$AE$1592,0)),INDEX('SKU明细'!$G$9:$G$1592,MATCH("[6574,""S02-TN1-41""]",'SKU明细'!$AE$9:$AE$1592,0)))&gt;0),SUM(INDEX('SKU明细'!$H$9:$H$1592,MATCH("[6574,""S02-TN1-37""]",'SKU明细'!$AE$9:$AE$1592,0)),INDEX('SKU明细'!$H$9:$H$1592,MATCH("[6574,""S02-TN1-41""]",'SKU明细'!$AE$9:$AE$1592,0)))/SUM(INDEX('SKU明细'!$G$9:$G$1592,MATCH("[6574,""S02-TN1-37""]",'SKU明细'!$AE$9:$AE$1592,0)),INDEX('SKU明细'!$G$9:$G$1592,MATCH("[6574,""S02-TN1-41""]",'SKU明细'!$AE$9:$AE$1592,0))),"待核")</x:f>
        <x:v>8.87323943661972</x:v>
      </x:c>
      <x:c r="T106" s="21" t="n">
        <x:f>IF(AND(COUNT(INDEX('SKU明细'!$I$9:$I$1592,MATCH("[6574,""S02-TN1-37""]",'SKU明细'!$AE$9:$AE$1592,0)),INDEX('SKU明细'!$I$9:$I$1592,MATCH("[6574,""S02-TN1-41""]",'SKU明细'!$AE$9:$AE$1592,0)))=2,COUNT(INDEX('SKU明细'!$AD$9:$AD$1592,MATCH("[6574,""S02-TN1-37""]",'SKU明细'!$AE$9:$AE$1592,0)),INDEX('SKU明细'!$AD$9:$AD$1592,MATCH("[6574,""S02-TN1-41""]",'SKU明细'!$AE$9:$AE$1592,0)))=2,SUM(INDEX('SKU明细'!$AD$9:$AD$1592,MATCH("[6574,""S02-TN1-37""]",'SKU明细'!$AE$9:$AE$1592,0)),INDEX('SKU明细'!$AD$9:$AD$1592,MATCH("[6574,""S02-TN1-41""]",'SKU明细'!$AE$9:$AE$1592,0)))&gt;0),SUM(INDEX('SKU明细'!$I$9:$I$1592,MATCH("[6574,""S02-TN1-37""]",'SKU明细'!$AE$9:$AE$1592,0)),INDEX('SKU明细'!$I$9:$I$1592,MATCH("[6574,""S02-TN1-41""]",'SKU明细'!$AE$9:$AE$1592,0)))/SUM(INDEX('SKU明细'!$AD$9:$AD$1592,MATCH("[6574,""S02-TN1-37""]",'SKU明细'!$AE$9:$AE$1592,0)),INDEX('SKU明细'!$AD$9:$AD$1592,MATCH("[6574,""S02-TN1-41""]",'SKU明细'!$AE$9:$AE$1592,0))),"待核")</x:f>
        <x:v>27.67203513909224</x:v>
      </x:c>
      <x:c r="U106" s="21" t="n">
        <x:f>IF(COUNT(S106:T106)=2,S106-T106,"待核")</x:f>
        <x:v>-18.79879570247252</x:v>
      </x:c>
      <x:c r="V106" s="22" t="n">
        <x:f>IF(AND(ISNUMBER(U106),ISNUMBER(T106),T106&lt;&gt;0),U106/T106,"")</x:f>
        <x:v>-0.6793427230046948</x:v>
      </x:c>
      <x:c r="W106" s="23" t="n">
        <x:f>IF(COUNT(INDEX('SKU明细'!$H$9:$H$1592,MATCH("[6574,""S02-TN1-37""]",'SKU明细'!$AE$9:$AE$1592,0)),INDEX('SKU明细'!$H$9:$H$1592,MATCH("[6574,""S02-TN1-41""]",'SKU明细'!$AE$9:$AE$1592,0)))=0,"待核",SUM(INDEX('SKU明细'!$H$9:$H$1592,MATCH("[6574,""S02-TN1-37""]",'SKU明细'!$AE$9:$AE$1592,0)),INDEX('SKU明细'!$H$9:$H$1592,MATCH("[6574,""S02-TN1-41""]",'SKU明细'!$AE$9:$AE$1592,0))))</x:f>
        <x:v>3</x:v>
      </x:c>
      <x:c r="X106" s="24" t="str">
        <x:f>IF(COUNTIFS('SKU明细'!$AH$9:$AH$1592,"[""S02"",""S02-TN1"",""TN1"",""驼色""]",'SKU明细'!$E$9:$E$1592,"促销")&gt;0,"促销 ","")&amp;IF(COUNTIFS('SKU明细'!$AH$9:$AH$1592,"[""S02"",""S02-TN1"",""TN1"",""驼色""]",'SKU明细'!$E$9:$E$1592,"红线促销")&gt;0,"红线促销 ","")&amp;IF(COUNTIFS('SKU明细'!$AH$9:$AH$1592,"[""S02"",""S02-TN1"",""TN1"",""驼色""]",'SKU明细'!$E$9:$E$1592,"考虑清仓")&gt;0,"考虑清仓 ","")&amp;IF(COUNTIFS('SKU明细'!$AH$9:$AH$1592,"[""S02"",""S02-TN1"",""TN1"",""驼色""]",'SKU明细'!$E$9:$E$1592,"断货")&gt;0,"断货 ","")&amp;IF(COUNTIFS('SKU明细'!$AH$9:$AH$1592,"[""S02"",""S02-TN1"",""TN1"",""驼色""]",'SKU明细'!$E$9:$E$1592,"零日销待复核")&gt;0,"零日销待复核 ","")&amp;IF(COUNTIFS('SKU明细'!$AH$9:$AH$1592,"[""S02"",""S02-TN1"",""TN1"",""驼色""]",'SKU明细'!$E$9:$E$1592,"数据待核")&gt;0,"数据待核 ","")&amp;IF(COUNTIFS('SKU明细'!$AH$9:$AH$1592,"[""S02"",""S02-TN1"",""TN1"",""驼色""]",'SKU明细'!$E$9:$E$1592,"正常库存")&gt;0,"正常库存 ","")&amp;IF(COUNTIFS('SKU明细'!$AH$9:$AH$1592,"[""S02"",""S02-TN1"",""TN1"",""驼色""]",'SKU明细'!$E$9:$E$1592,"补货提醒")&gt;0,"补货提醒 ","")</x:f>
        <x:v>补货提醒 </x:v>
      </x:c>
      <x:c r="Y106" s="24" t="str">
        <x:f>IF(NOT(ISNUMBER(U106)),"覆盖待核／无可比基准","完整可比")</x:f>
        <x:v>完整可比</x:v>
      </x:c>
      <x:c r="Z106" s="24" t="str">
        <x:v>在售</x:v>
      </x:c>
      <x:c r="AA106" s="24" t="n">
        <x:f>IF(SUMIFS('SKU明细'!$AF$9:$AF$1592,'SKU明细'!$D$9:$D$1592,A106,'SKU明细'!$Z$9:$Z$1592,"&lt;&gt;移出")=0,"待核",SUMIFS('SKU明细'!$H$9:$H$1592,'SKU明细'!$D$9:$D$1592,A106,'SKU明细'!$Z$9:$Z$1592,"&lt;&gt;移出"))</x:f>
        <x:v>1166</x:v>
      </x:c>
    </x:row>
    <x:row r="107" ht="54" customHeight="1">
      <x:c r="A107" s="20" t="str">
        <x:v>S02</x:v>
      </x:c>
      <x:c r="B107" s="20" t="str">
        <x:v>陈晨</x:v>
      </x:c>
      <x:c r="C107" s="20" t="str">
        <x:v>驼色PU</x:v>
      </x:c>
      <x:c r="D107" s="20" t="str">
        <x:v>TNP</x:v>
      </x:c>
      <x:c r="E107" s="20" t="str">
        <x:v>S02-TNP</x:v>
      </x:c>
      <x:c r="F107" s="20"/>
      <x:c r="G107" s="21" t="str">
        <x:f>"—"</x:f>
        <x:v>—</x:v>
      </x:c>
      <x:c r="H107" s="21" t="n">
        <x:f>IF(AND(COUNT(INDEX('SKU明细'!$H$9:$H$1592,MATCH("[6574,""S02-TNP-37""]",'SKU明细'!$AE$9:$AE$1592,0)))=1,COUNT(INDEX('SKU明细'!$G$9:$G$1592,MATCH("[6574,""S02-TNP-37""]",'SKU明细'!$AE$9:$AE$1592,0)))=1,SUM(INDEX('SKU明细'!$G$9:$G$1592,MATCH("[6574,""S02-TNP-37""]",'SKU明细'!$AE$9:$AE$1592,0)))&gt;0),SUM(INDEX('SKU明细'!$H$9:$H$1592,MATCH("[6574,""S02-TNP-37""]",'SKU明细'!$AE$9:$AE$1592,0)))/SUM(INDEX('SKU明细'!$G$9:$G$1592,MATCH("[6574,""S02-TNP-37""]",'SKU明细'!$AE$9:$AE$1592,0))),"待核")</x:f>
        <x:v>99.83022071307302</x:v>
      </x:c>
      <x:c r="I107" s="21" t="str">
        <x:f>"—"</x:f>
        <x:v>—</x:v>
      </x:c>
      <x:c r="J107" s="21" t="n">
        <x:f>IF(AND(COUNT(INDEX('SKU明细'!$H$9:$H$1592,MATCH("[6574,""S02-TNP-38""]",'SKU明细'!$AE$9:$AE$1592,0)))=1,COUNT(INDEX('SKU明细'!$G$9:$G$1592,MATCH("[6574,""S02-TNP-38""]",'SKU明细'!$AE$9:$AE$1592,0)))=1,SUM(INDEX('SKU明细'!$G$9:$G$1592,MATCH("[6574,""S02-TNP-38""]",'SKU明细'!$AE$9:$AE$1592,0)))&gt;0),SUM(INDEX('SKU明细'!$H$9:$H$1592,MATCH("[6574,""S02-TNP-38""]",'SKU明细'!$AE$9:$AE$1592,0)))/SUM(INDEX('SKU明细'!$G$9:$G$1592,MATCH("[6574,""S02-TNP-38""]",'SKU明细'!$AE$9:$AE$1592,0))),"待核")</x:f>
        <x:v>53.98457583547558</x:v>
      </x:c>
      <x:c r="K107" s="21" t="str">
        <x:f>"—"</x:f>
        <x:v>—</x:v>
      </x:c>
      <x:c r="L107" s="21" t="n">
        <x:f>IF(AND(COUNT(INDEX('SKU明细'!$H$9:$H$1592,MATCH("[6574,""S02-TNP-39""]",'SKU明细'!$AE$9:$AE$1592,0)))=1,COUNT(INDEX('SKU明细'!$G$9:$G$1592,MATCH("[6574,""S02-TNP-39""]",'SKU明细'!$AE$9:$AE$1592,0)))=1,SUM(INDEX('SKU明细'!$G$9:$G$1592,MATCH("[6574,""S02-TNP-39""]",'SKU明细'!$AE$9:$AE$1592,0)))&gt;0),SUM(INDEX('SKU明细'!$H$9:$H$1592,MATCH("[6574,""S02-TNP-39""]",'SKU明细'!$AE$9:$AE$1592,0)))/SUM(INDEX('SKU明细'!$G$9:$G$1592,MATCH("[6574,""S02-TNP-39""]",'SKU明细'!$AE$9:$AE$1592,0))),"待核")</x:f>
        <x:v>29.37823834196891</x:v>
      </x:c>
      <x:c r="M107" s="21" t="str">
        <x:f>"—"</x:f>
        <x:v>—</x:v>
      </x:c>
      <x:c r="N107" s="21" t="n">
        <x:f>IF(AND(COUNT(INDEX('SKU明细'!$H$9:$H$1592,MATCH("[6574,""S02-TNP-40""]",'SKU明细'!$AE$9:$AE$1592,0)))=1,COUNT(INDEX('SKU明细'!$G$9:$G$1592,MATCH("[6574,""S02-TNP-40""]",'SKU明细'!$AE$9:$AE$1592,0)))=1,SUM(INDEX('SKU明细'!$G$9:$G$1592,MATCH("[6574,""S02-TNP-40""]",'SKU明细'!$AE$9:$AE$1592,0)))&gt;0),SUM(INDEX('SKU明细'!$H$9:$H$1592,MATCH("[6574,""S02-TNP-40""]",'SKU明细'!$AE$9:$AE$1592,0)))/SUM(INDEX('SKU明细'!$G$9:$G$1592,MATCH("[6574,""S02-TNP-40""]",'SKU明细'!$AE$9:$AE$1592,0))),"待核")</x:f>
        <x:v>10650</x:v>
      </x:c>
      <x:c r="O107" s="21" t="str">
        <x:f>"—"</x:f>
        <x:v>—</x:v>
      </x:c>
      <x:c r="P107" s="21" t="n">
        <x:f>IF(AND(COUNT(INDEX('SKU明细'!$H$9:$H$1592,MATCH("[6574,""S02-TNP-41""]",'SKU明细'!$AE$9:$AE$1592,0)))=1,COUNT(INDEX('SKU明细'!$G$9:$G$1592,MATCH("[6574,""S02-TNP-41""]",'SKU明细'!$AE$9:$AE$1592,0)))=1,SUM(INDEX('SKU明细'!$G$9:$G$1592,MATCH("[6574,""S02-TNP-41""]",'SKU明细'!$AE$9:$AE$1592,0)))&gt;0),SUM(INDEX('SKU明细'!$H$9:$H$1592,MATCH("[6574,""S02-TNP-41""]",'SKU明细'!$AE$9:$AE$1592,0)))/SUM(INDEX('SKU明细'!$G$9:$G$1592,MATCH("[6574,""S02-TNP-41""]",'SKU明细'!$AE$9:$AE$1592,0))),"待核")</x:f>
        <x:v>242.11764705882354</x:v>
      </x:c>
      <x:c r="Q107" s="21" t="str">
        <x:f>"—"</x:f>
        <x:v>—</x:v>
      </x:c>
      <x:c r="R107" s="21" t="n">
        <x:f>IF(AND(COUNT(INDEX('SKU明细'!$H$9:$H$1592,MATCH("[6574,""S02-TNP-42""]",'SKU明细'!$AE$9:$AE$1592,0)))=1,COUNT(INDEX('SKU明细'!$G$9:$G$1592,MATCH("[6574,""S02-TNP-42""]",'SKU明细'!$AE$9:$AE$1592,0)))=1,SUM(INDEX('SKU明细'!$G$9:$G$1592,MATCH("[6574,""S02-TNP-42""]",'SKU明细'!$AE$9:$AE$1592,0)))&gt;0),SUM(INDEX('SKU明细'!$H$9:$H$1592,MATCH("[6574,""S02-TNP-42""]",'SKU明细'!$AE$9:$AE$1592,0)))/SUM(INDEX('SKU明细'!$G$9:$G$1592,MATCH("[6574,""S02-TNP-42""]",'SKU明细'!$AE$9:$AE$1592,0))),"待核")</x:f>
        <x:v>68.47826086956523</x:v>
      </x:c>
      <x:c r="S107" s="21" t="n">
        <x:f>IF(AND(COUNT(INDEX('SKU明细'!$H$9:$H$1592,MATCH("[6574,""S02-TNP-40""]",'SKU明细'!$AE$9:$AE$1592,0)),INDEX('SKU明细'!$H$9:$H$1592,MATCH("[6574,""S02-TNP-41""]",'SKU明细'!$AE$9:$AE$1592,0)),INDEX('SKU明细'!$H$9:$H$1592,MATCH("[6574,""S02-TNP-37""]",'SKU明细'!$AE$9:$AE$1592,0)),INDEX('SKU明细'!$H$9:$H$1592,MATCH("[6574,""S02-TNP-42""]",'SKU明细'!$AE$9:$AE$1592,0)),INDEX('SKU明细'!$H$9:$H$1592,MATCH("[6574,""S02-TNP-38""]",'SKU明细'!$AE$9:$AE$1592,0)),INDEX('SKU明细'!$H$9:$H$1592,MATCH("[6574,""S02-TNP-39""]",'SKU明细'!$AE$9:$AE$1592,0)))=6,COUNT(INDEX('SKU明细'!$G$9:$G$1592,MATCH("[6574,""S02-TNP-40""]",'SKU明细'!$AE$9:$AE$1592,0)),INDEX('SKU明细'!$G$9:$G$1592,MATCH("[6574,""S02-TNP-41""]",'SKU明细'!$AE$9:$AE$1592,0)),INDEX('SKU明细'!$G$9:$G$1592,MATCH("[6574,""S02-TNP-37""]",'SKU明细'!$AE$9:$AE$1592,0)),INDEX('SKU明细'!$G$9:$G$1592,MATCH("[6574,""S02-TNP-42""]",'SKU明细'!$AE$9:$AE$1592,0)),INDEX('SKU明细'!$G$9:$G$1592,MATCH("[6574,""S02-TNP-38""]",'SKU明细'!$AE$9:$AE$1592,0)),INDEX('SKU明细'!$G$9:$G$1592,MATCH("[6574,""S02-TNP-39""]",'SKU明细'!$AE$9:$AE$1592,0)))=6,SUM(INDEX('SKU明细'!$G$9:$G$1592,MATCH("[6574,""S02-TNP-40""]",'SKU明细'!$AE$9:$AE$1592,0)),INDEX('SKU明细'!$G$9:$G$1592,MATCH("[6574,""S02-TNP-41""]",'SKU明细'!$AE$9:$AE$1592,0)),INDEX('SKU明细'!$G$9:$G$1592,MATCH("[6574,""S02-TNP-37""]",'SKU明细'!$AE$9:$AE$1592,0)),INDEX('SKU明细'!$G$9:$G$1592,MATCH("[6574,""S02-TNP-42""]",'SKU明细'!$AE$9:$AE$1592,0)),INDEX('SKU明细'!$G$9:$G$1592,MATCH("[6574,""S02-TNP-38""]",'SKU明细'!$AE$9:$AE$1592,0)),INDEX('SKU明细'!$G$9:$G$1592,MATCH("[6574,""S02-TNP-39""]",'SKU明细'!$AE$9:$AE$1592,0)))&gt;0),SUM(INDEX('SKU明细'!$H$9:$H$1592,MATCH("[6574,""S02-TNP-40""]",'SKU明细'!$AE$9:$AE$1592,0)),INDEX('SKU明细'!$H$9:$H$1592,MATCH("[6574,""S02-TNP-41""]",'SKU明细'!$AE$9:$AE$1592,0)),INDEX('SKU明细'!$H$9:$H$1592,MATCH("[6574,""S02-TNP-37""]",'SKU明细'!$AE$9:$AE$1592,0)),INDEX('SKU明细'!$H$9:$H$1592,MATCH("[6574,""S02-TNP-42""]",'SKU明细'!$AE$9:$AE$1592,0)),INDEX('SKU明细'!$H$9:$H$1592,MATCH("[6574,""S02-TNP-38""]",'SKU明细'!$AE$9:$AE$1592,0)),INDEX('SKU明细'!$H$9:$H$1592,MATCH("[6574,""S02-TNP-39""]",'SKU明细'!$AE$9:$AE$1592,0)))/SUM(INDEX('SKU明细'!$G$9:$G$1592,MATCH("[6574,""S02-TNP-40""]",'SKU明细'!$AE$9:$AE$1592,0)),INDEX('SKU明细'!$G$9:$G$1592,MATCH("[6574,""S02-TNP-41""]",'SKU明细'!$AE$9:$AE$1592,0)),INDEX('SKU明细'!$G$9:$G$1592,MATCH("[6574,""S02-TNP-37""]",'SKU明细'!$AE$9:$AE$1592,0)),INDEX('SKU明细'!$G$9:$G$1592,MATCH("[6574,""S02-TNP-42""]",'SKU明细'!$AE$9:$AE$1592,0)),INDEX('SKU明细'!$G$9:$G$1592,MATCH("[6574,""S02-TNP-38""]",'SKU明细'!$AE$9:$AE$1592,0)),INDEX('SKU明细'!$G$9:$G$1592,MATCH("[6574,""S02-TNP-39""]",'SKU明细'!$AE$9:$AE$1592,0))),"待核")</x:f>
        <x:v>100.76335877862594</x:v>
      </x:c>
      <x:c r="T107" s="21" t="n">
        <x:f>IF(AND(COUNT(INDEX('SKU明细'!$I$9:$I$1592,MATCH("[6574,""S02-TNP-40""]",'SKU明细'!$AE$9:$AE$1592,0)),INDEX('SKU明细'!$I$9:$I$1592,MATCH("[6574,""S02-TNP-41""]",'SKU明细'!$AE$9:$AE$1592,0)),INDEX('SKU明细'!$I$9:$I$1592,MATCH("[6574,""S02-TNP-37""]",'SKU明细'!$AE$9:$AE$1592,0)),INDEX('SKU明细'!$I$9:$I$1592,MATCH("[6574,""S02-TNP-42""]",'SKU明细'!$AE$9:$AE$1592,0)),INDEX('SKU明细'!$I$9:$I$1592,MATCH("[6574,""S02-TNP-38""]",'SKU明细'!$AE$9:$AE$1592,0)),INDEX('SKU明细'!$I$9:$I$1592,MATCH("[6574,""S02-TNP-39""]",'SKU明细'!$AE$9:$AE$1592,0)))=6,COUNT(INDEX('SKU明细'!$AD$9:$AD$1592,MATCH("[6574,""S02-TNP-40""]",'SKU明细'!$AE$9:$AE$1592,0)),INDEX('SKU明细'!$AD$9:$AD$1592,MATCH("[6574,""S02-TNP-41""]",'SKU明细'!$AE$9:$AE$1592,0)),INDEX('SKU明细'!$AD$9:$AD$1592,MATCH("[6574,""S02-TNP-37""]",'SKU明细'!$AE$9:$AE$1592,0)),INDEX('SKU明细'!$AD$9:$AD$1592,MATCH("[6574,""S02-TNP-42""]",'SKU明细'!$AE$9:$AE$1592,0)),INDEX('SKU明细'!$AD$9:$AD$1592,MATCH("[6574,""S02-TNP-38""]",'SKU明细'!$AE$9:$AE$1592,0)),INDEX('SKU明细'!$AD$9:$AD$1592,MATCH("[6574,""S02-TNP-39""]",'SKU明细'!$AE$9:$AE$1592,0)))=6,SUM(INDEX('SKU明细'!$AD$9:$AD$1592,MATCH("[6574,""S02-TNP-40""]",'SKU明细'!$AE$9:$AE$1592,0)),INDEX('SKU明细'!$AD$9:$AD$1592,MATCH("[6574,""S02-TNP-41""]",'SKU明细'!$AE$9:$AE$1592,0)),INDEX('SKU明细'!$AD$9:$AD$1592,MATCH("[6574,""S02-TNP-37""]",'SKU明细'!$AE$9:$AE$1592,0)),INDEX('SKU明细'!$AD$9:$AD$1592,MATCH("[6574,""S02-TNP-42""]",'SKU明细'!$AE$9:$AE$1592,0)),INDEX('SKU明细'!$AD$9:$AD$1592,MATCH("[6574,""S02-TNP-38""]",'SKU明细'!$AE$9:$AE$1592,0)),INDEX('SKU明细'!$AD$9:$AD$1592,MATCH("[6574,""S02-TNP-39""]",'SKU明细'!$AE$9:$AE$1592,0)))&gt;0),SUM(INDEX('SKU明细'!$I$9:$I$1592,MATCH("[6574,""S02-TNP-40""]",'SKU明细'!$AE$9:$AE$1592,0)),INDEX('SKU明细'!$I$9:$I$1592,MATCH("[6574,""S02-TNP-41""]",'SKU明细'!$AE$9:$AE$1592,0)),INDEX('SKU明细'!$I$9:$I$1592,MATCH("[6574,""S02-TNP-37""]",'SKU明细'!$AE$9:$AE$1592,0)),INDEX('SKU明细'!$I$9:$I$1592,MATCH("[6574,""S02-TNP-42""]",'SKU明细'!$AE$9:$AE$1592,0)),INDEX('SKU明细'!$I$9:$I$1592,MATCH("[6574,""S02-TNP-38""]",'SKU明细'!$AE$9:$AE$1592,0)),INDEX('SKU明细'!$I$9:$I$1592,MATCH("[6574,""S02-TNP-39""]",'SKU明细'!$AE$9:$AE$1592,0)))/SUM(INDEX('SKU明细'!$AD$9:$AD$1592,MATCH("[6574,""S02-TNP-40""]",'SKU明细'!$AE$9:$AE$1592,0)),INDEX('SKU明细'!$AD$9:$AD$1592,MATCH("[6574,""S02-TNP-41""]",'SKU明细'!$AE$9:$AE$1592,0)),INDEX('SKU明细'!$AD$9:$AD$1592,MATCH("[6574,""S02-TNP-37""]",'SKU明细'!$AE$9:$AE$1592,0)),INDEX('SKU明细'!$AD$9:$AD$1592,MATCH("[6574,""S02-TNP-42""]",'SKU明细'!$AE$9:$AE$1592,0)),INDEX('SKU明细'!$AD$9:$AD$1592,MATCH("[6574,""S02-TNP-38""]",'SKU明细'!$AE$9:$AE$1592,0)),INDEX('SKU明细'!$AD$9:$AD$1592,MATCH("[6574,""S02-TNP-39""]",'SKU明细'!$AE$9:$AE$1592,0))),"待核")</x:f>
        <x:v>58.440662373505056</x:v>
      </x:c>
      <x:c r="U107" s="21" t="n">
        <x:f>IF(COUNT(S107:T107)=2,S107-T107,"待核")</x:f>
        <x:v>42.32269640512089</x:v>
      </x:c>
      <x:c r="V107" s="22" t="n">
        <x:f>IF(AND(ISNUMBER(U107),ISNUMBER(T107),T107&lt;&gt;0),U107/T107,"")</x:f>
        <x:v>0.7241994646574799</x:v>
      </x:c>
      <x:c r="W107" s="23" t="n">
        <x:f>IF(COUNT(INDEX('SKU明细'!$H$9:$H$1592,MATCH("[6574,""S02-TNP-40""]",'SKU明细'!$AE$9:$AE$1592,0)),INDEX('SKU明细'!$H$9:$H$1592,MATCH("[6574,""S02-TNP-41""]",'SKU明细'!$AE$9:$AE$1592,0)),INDEX('SKU明细'!$H$9:$H$1592,MATCH("[6574,""S02-TNP-37""]",'SKU明细'!$AE$9:$AE$1592,0)),INDEX('SKU明细'!$H$9:$H$1592,MATCH("[6574,""S02-TNP-42""]",'SKU明细'!$AE$9:$AE$1592,0)),INDEX('SKU明细'!$H$9:$H$1592,MATCH("[6574,""S02-TNP-38""]",'SKU明细'!$AE$9:$AE$1592,0)),INDEX('SKU明细'!$H$9:$H$1592,MATCH("[6574,""S02-TNP-39""]",'SKU明细'!$AE$9:$AE$1592,0)))=0,"待核",SUM(INDEX('SKU明细'!$H$9:$H$1592,MATCH("[6574,""S02-TNP-40""]",'SKU明细'!$AE$9:$AE$1592,0)),INDEX('SKU明细'!$H$9:$H$1592,MATCH("[6574,""S02-TNP-41""]",'SKU明细'!$AE$9:$AE$1592,0)),INDEX('SKU明细'!$H$9:$H$1592,MATCH("[6574,""S02-TNP-37""]",'SKU明细'!$AE$9:$AE$1592,0)),INDEX('SKU明细'!$H$9:$H$1592,MATCH("[6574,""S02-TNP-42""]",'SKU明细'!$AE$9:$AE$1592,0)),INDEX('SKU明细'!$H$9:$H$1592,MATCH("[6574,""S02-TNP-38""]",'SKU明细'!$AE$9:$AE$1592,0)),INDEX('SKU明细'!$H$9:$H$1592,MATCH("[6574,""S02-TNP-39""]",'SKU明细'!$AE$9:$AE$1592,0))))</x:f>
        <x:v>220</x:v>
      </x:c>
      <x:c r="X107" s="24" t="str">
        <x:f>IF(COUNTIFS('SKU明细'!$AH$9:$AH$1592,"[""S02"",""S02-TNP"",""TNP"",""驼色PU""]",'SKU明细'!$E$9:$E$1592,"促销")&gt;0,"促销 ","")&amp;IF(COUNTIFS('SKU明细'!$AH$9:$AH$1592,"[""S02"",""S02-TNP"",""TNP"",""驼色PU""]",'SKU明细'!$E$9:$E$1592,"红线促销")&gt;0,"红线促销 ","")&amp;IF(COUNTIFS('SKU明细'!$AH$9:$AH$1592,"[""S02"",""S02-TNP"",""TNP"",""驼色PU""]",'SKU明细'!$E$9:$E$1592,"考虑清仓")&gt;0,"考虑清仓 ","")&amp;IF(COUNTIFS('SKU明细'!$AH$9:$AH$1592,"[""S02"",""S02-TNP"",""TNP"",""驼色PU""]",'SKU明细'!$E$9:$E$1592,"断货")&gt;0,"断货 ","")&amp;IF(COUNTIFS('SKU明细'!$AH$9:$AH$1592,"[""S02"",""S02-TNP"",""TNP"",""驼色PU""]",'SKU明细'!$E$9:$E$1592,"零日销待复核")&gt;0,"零日销待复核 ","")&amp;IF(COUNTIFS('SKU明细'!$AH$9:$AH$1592,"[""S02"",""S02-TNP"",""TNP"",""驼色PU""]",'SKU明细'!$E$9:$E$1592,"数据待核")&gt;0,"数据待核 ","")&amp;IF(COUNTIFS('SKU明细'!$AH$9:$AH$1592,"[""S02"",""S02-TNP"",""TNP"",""驼色PU""]",'SKU明细'!$E$9:$E$1592,"正常库存")&gt;0,"正常库存 ","")&amp;IF(COUNTIFS('SKU明细'!$AH$9:$AH$1592,"[""S02"",""S02-TNP"",""TNP"",""驼色PU""]",'SKU明细'!$E$9:$E$1592,"补货提醒")&gt;0,"补货提醒 ","")</x:f>
        <x:v>促销 红线促销 考虑清仓 正常库存 补货提醒 </x:v>
      </x:c>
      <x:c r="Y107" s="24" t="str">
        <x:f>IF(NOT(ISNUMBER(U107)),"覆盖待核／无可比基准","完整可比")</x:f>
        <x:v>完整可比</x:v>
      </x:c>
      <x:c r="Z107" s="24" t="str">
        <x:v>在售</x:v>
      </x:c>
      <x:c r="AA107" s="24" t="n">
        <x:f>IF(SUMIFS('SKU明细'!$AF$9:$AF$1592,'SKU明细'!$D$9:$D$1592,A107,'SKU明细'!$Z$9:$Z$1592,"&lt;&gt;移出")=0,"待核",SUMIFS('SKU明细'!$H$9:$H$1592,'SKU明细'!$D$9:$D$1592,A107,'SKU明细'!$Z$9:$Z$1592,"&lt;&gt;移出"))</x:f>
        <x:v>1166</x:v>
      </x:c>
    </x:row>
    <x:row r="108" ht="54" customHeight="1">
      <x:c r="A108" s="20" t="str">
        <x:v>S02</x:v>
      </x:c>
      <x:c r="B108" s="20" t="str">
        <x:v>陈晨</x:v>
      </x:c>
      <x:c r="C108" s="20" t="str">
        <x:v>驼色PU</x:v>
      </x:c>
      <x:c r="D108" s="20" t="str">
        <x:v>TNP1</x:v>
      </x:c>
      <x:c r="E108" s="20" t="str">
        <x:v>S02-TNP1</x:v>
      </x:c>
      <x:c r="F108" s="20"/>
      <x:c r="G108" s="21" t="str">
        <x:f>"—"</x:f>
        <x:v>—</x:v>
      </x:c>
      <x:c r="H108" s="21" t="str">
        <x:f>"—"</x:f>
        <x:v>—</x:v>
      </x:c>
      <x:c r="I108" s="21" t="n">
        <x:f>IF(AND(COUNT(INDEX('SKU明细'!$H$9:$H$1592,MATCH("[6574,""S02-TNP1-37""]",'SKU明细'!$AE$9:$AE$1592,0)))=1,COUNT(INDEX('SKU明细'!$G$9:$G$1592,MATCH("[6574,""S02-TNP1-37""]",'SKU明细'!$AE$9:$AE$1592,0)))=1,SUM(INDEX('SKU明细'!$G$9:$G$1592,MATCH("[6574,""S02-TNP1-37""]",'SKU明细'!$AE$9:$AE$1592,0)))&gt;0),SUM(INDEX('SKU明细'!$H$9:$H$1592,MATCH("[6574,""S02-TNP1-37""]",'SKU明细'!$AE$9:$AE$1592,0)))/SUM(INDEX('SKU明细'!$G$9:$G$1592,MATCH("[6574,""S02-TNP1-37""]",'SKU明细'!$AE$9:$AE$1592,0))),"待核")</x:f>
        <x:v>40.697674418604656</x:v>
      </x:c>
      <x:c r="J108" s="21" t="str">
        <x:f>"—"</x:f>
        <x:v>—</x:v>
      </x:c>
      <x:c r="K108" s="21" t="str">
        <x:f>"—"</x:f>
        <x:v>—</x:v>
      </x:c>
      <x:c r="L108" s="21" t="str">
        <x:f>"—"</x:f>
        <x:v>—</x:v>
      </x:c>
      <x:c r="M108" s="21" t="str">
        <x:f>"—"</x:f>
        <x:v>—</x:v>
      </x:c>
      <x:c r="N108" s="21" t="str">
        <x:f>"—"</x:f>
        <x:v>—</x:v>
      </x:c>
      <x:c r="O108" s="21" t="n">
        <x:f>IF(AND(COUNT(INDEX('SKU明细'!$H$9:$H$1592,MATCH("[6574,""S02-TNP1-41""]",'SKU明细'!$AE$9:$AE$1592,0)))=1,COUNT(INDEX('SKU明细'!$G$9:$G$1592,MATCH("[6574,""S02-TNP1-41""]",'SKU明细'!$AE$9:$AE$1592,0)))=1,SUM(INDEX('SKU明细'!$G$9:$G$1592,MATCH("[6574,""S02-TNP1-41""]",'SKU明细'!$AE$9:$AE$1592,0)))&gt;0),SUM(INDEX('SKU明细'!$H$9:$H$1592,MATCH("[6574,""S02-TNP1-41""]",'SKU明细'!$AE$9:$AE$1592,0)))/SUM(INDEX('SKU明细'!$G$9:$G$1592,MATCH("[6574,""S02-TNP1-41""]",'SKU明细'!$AE$9:$AE$1592,0))),"待核")</x:f>
        <x:v>0</x:v>
      </x:c>
      <x:c r="P108" s="21" t="str">
        <x:f>"—"</x:f>
        <x:v>—</x:v>
      </x:c>
      <x:c r="Q108" s="21" t="str">
        <x:f>"—"</x:f>
        <x:v>—</x:v>
      </x:c>
      <x:c r="R108" s="21" t="str">
        <x:f>"—"</x:f>
        <x:v>—</x:v>
      </x:c>
      <x:c r="S108" s="21" t="n">
        <x:f>IF(AND(COUNT(INDEX('SKU明细'!$H$9:$H$1592,MATCH("[6574,""S02-TNP1-41""]",'SKU明细'!$AE$9:$AE$1592,0)),INDEX('SKU明细'!$H$9:$H$1592,MATCH("[6574,""S02-TNP1-37""]",'SKU明细'!$AE$9:$AE$1592,0)))=2,COUNT(INDEX('SKU明细'!$G$9:$G$1592,MATCH("[6574,""S02-TNP1-41""]",'SKU明细'!$AE$9:$AE$1592,0)),INDEX('SKU明细'!$G$9:$G$1592,MATCH("[6574,""S02-TNP1-37""]",'SKU明细'!$AE$9:$AE$1592,0)))=2,SUM(INDEX('SKU明细'!$G$9:$G$1592,MATCH("[6574,""S02-TNP1-41""]",'SKU明细'!$AE$9:$AE$1592,0)),INDEX('SKU明细'!$G$9:$G$1592,MATCH("[6574,""S02-TNP1-37""]",'SKU明细'!$AE$9:$AE$1592,0)))&gt;0),SUM(INDEX('SKU明细'!$H$9:$H$1592,MATCH("[6574,""S02-TNP1-41""]",'SKU明细'!$AE$9:$AE$1592,0)),INDEX('SKU明细'!$H$9:$H$1592,MATCH("[6574,""S02-TNP1-37""]",'SKU明细'!$AE$9:$AE$1592,0)))/SUM(INDEX('SKU明细'!$G$9:$G$1592,MATCH("[6574,""S02-TNP1-41""]",'SKU明细'!$AE$9:$AE$1592,0)),INDEX('SKU明细'!$G$9:$G$1592,MATCH("[6574,""S02-TNP1-37""]",'SKU明细'!$AE$9:$AE$1592,0))),"待核")</x:f>
        <x:v>16.153846153846157</x:v>
      </x:c>
      <x:c r="T108" s="21" t="n">
        <x:f>IF(AND(COUNT(INDEX('SKU明细'!$I$9:$I$1592,MATCH("[6574,""S02-TNP1-41""]",'SKU明细'!$AE$9:$AE$1592,0)),INDEX('SKU明细'!$I$9:$I$1592,MATCH("[6574,""S02-TNP1-37""]",'SKU明细'!$AE$9:$AE$1592,0)))=2,COUNT(INDEX('SKU明细'!$AD$9:$AD$1592,MATCH("[6574,""S02-TNP1-41""]",'SKU明细'!$AE$9:$AE$1592,0)),INDEX('SKU明细'!$AD$9:$AD$1592,MATCH("[6574,""S02-TNP1-37""]",'SKU明细'!$AE$9:$AE$1592,0)))=2,SUM(INDEX('SKU明细'!$AD$9:$AD$1592,MATCH("[6574,""S02-TNP1-41""]",'SKU明细'!$AE$9:$AE$1592,0)),INDEX('SKU明细'!$AD$9:$AD$1592,MATCH("[6574,""S02-TNP1-37""]",'SKU明细'!$AE$9:$AE$1592,0)))&gt;0),SUM(INDEX('SKU明细'!$I$9:$I$1592,MATCH("[6574,""S02-TNP1-41""]",'SKU明细'!$AE$9:$AE$1592,0)),INDEX('SKU明细'!$I$9:$I$1592,MATCH("[6574,""S02-TNP1-37""]",'SKU明细'!$AE$9:$AE$1592,0)))/SUM(INDEX('SKU明细'!$AD$9:$AD$1592,MATCH("[6574,""S02-TNP1-41""]",'SKU明细'!$AE$9:$AE$1592,0)),INDEX('SKU明细'!$AD$9:$AD$1592,MATCH("[6574,""S02-TNP1-37""]",'SKU明细'!$AE$9:$AE$1592,0))),"待核")</x:f>
        <x:v>14.40329218106996</x:v>
      </x:c>
      <x:c r="U108" s="21" t="n">
        <x:f>IF(COUNT(S108:T108)=2,S108-T108,"待核")</x:f>
        <x:v>1.7505539727761974</x:v>
      </x:c>
      <x:c r="V108" s="22" t="n">
        <x:f>IF(AND(ISNUMBER(U108),ISNUMBER(T108),T108&lt;&gt;0),U108/T108,"")</x:f>
        <x:v>0.1215384615384617</x:v>
      </x:c>
      <x:c r="W108" s="23" t="n">
        <x:f>IF(COUNT(INDEX('SKU明细'!$H$9:$H$1592,MATCH("[6574,""S02-TNP1-41""]",'SKU明细'!$AE$9:$AE$1592,0)),INDEX('SKU明细'!$H$9:$H$1592,MATCH("[6574,""S02-TNP1-37""]",'SKU明细'!$AE$9:$AE$1592,0)))=0,"待核",SUM(INDEX('SKU明细'!$H$9:$H$1592,MATCH("[6574,""S02-TNP1-41""]",'SKU明细'!$AE$9:$AE$1592,0)),INDEX('SKU明细'!$H$9:$H$1592,MATCH("[6574,""S02-TNP1-37""]",'SKU明细'!$AE$9:$AE$1592,0))))</x:f>
        <x:v>10</x:v>
      </x:c>
      <x:c r="X108" s="24" t="str">
        <x:f>IF(COUNTIFS('SKU明细'!$AH$9:$AH$1592,"[""S02"",""S02-TNP1"",""TNP1"",""驼色PU""]",'SKU明细'!$E$9:$E$1592,"促销")&gt;0,"促销 ","")&amp;IF(COUNTIFS('SKU明细'!$AH$9:$AH$1592,"[""S02"",""S02-TNP1"",""TNP1"",""驼色PU""]",'SKU明细'!$E$9:$E$1592,"红线促销")&gt;0,"红线促销 ","")&amp;IF(COUNTIFS('SKU明细'!$AH$9:$AH$1592,"[""S02"",""S02-TNP1"",""TNP1"",""驼色PU""]",'SKU明细'!$E$9:$E$1592,"考虑清仓")&gt;0,"考虑清仓 ","")&amp;IF(COUNTIFS('SKU明细'!$AH$9:$AH$1592,"[""S02"",""S02-TNP1"",""TNP1"",""驼色PU""]",'SKU明细'!$E$9:$E$1592,"断货")&gt;0,"断货 ","")&amp;IF(COUNTIFS('SKU明细'!$AH$9:$AH$1592,"[""S02"",""S02-TNP1"",""TNP1"",""驼色PU""]",'SKU明细'!$E$9:$E$1592,"零日销待复核")&gt;0,"零日销待复核 ","")&amp;IF(COUNTIFS('SKU明细'!$AH$9:$AH$1592,"[""S02"",""S02-TNP1"",""TNP1"",""驼色PU""]",'SKU明细'!$E$9:$E$1592,"数据待核")&gt;0,"数据待核 ","")&amp;IF(COUNTIFS('SKU明细'!$AH$9:$AH$1592,"[""S02"",""S02-TNP1"",""TNP1"",""驼色PU""]",'SKU明细'!$E$9:$E$1592,"正常库存")&gt;0,"正常库存 ","")&amp;IF(COUNTIFS('SKU明细'!$AH$9:$AH$1592,"[""S02"",""S02-TNP1"",""TNP1"",""驼色PU""]",'SKU明细'!$E$9:$E$1592,"补货提醒")&gt;0,"补货提醒 ","")</x:f>
        <x:v>断货 补货提醒 </x:v>
      </x:c>
      <x:c r="Y108" s="24" t="str">
        <x:f>IF(NOT(ISNUMBER(U108)),"覆盖待核／无可比基准","完整可比")</x:f>
        <x:v>完整可比</x:v>
      </x:c>
      <x:c r="Z108" s="24" t="str">
        <x:v>在售</x:v>
      </x:c>
      <x:c r="AA108" s="24" t="n">
        <x:f>IF(SUMIFS('SKU明细'!$AF$9:$AF$1592,'SKU明细'!$D$9:$D$1592,A108,'SKU明细'!$Z$9:$Z$1592,"&lt;&gt;移出")=0,"待核",SUMIFS('SKU明细'!$H$9:$H$1592,'SKU明细'!$D$9:$D$1592,A108,'SKU明细'!$Z$9:$Z$1592,"&lt;&gt;移出"))</x:f>
        <x:v>1166</x:v>
      </x:c>
    </x:row>
    <x:row r="109" ht="54" customHeight="1">
      <x:c r="A109" s="15" t="str">
        <x:v>2302153</x:v>
      </x:c>
      <x:c r="B109" s="15" t="str">
        <x:v>徐新怡</x:v>
      </x:c>
      <x:c r="C109" s="15" t="str">
        <x:v>米白</x:v>
      </x:c>
      <x:c r="D109" s="15" t="str">
        <x:v>BG-P</x:v>
      </x:c>
      <x:c r="E109" s="15" t="str">
        <x:v>2302153-BG-P-Z</x:v>
      </x:c>
      <x:c r="F109" s="15"/>
      <x:c r="G109" s="16" t="str">
        <x:f>"—"</x:f>
        <x:v>—</x:v>
      </x:c>
      <x:c r="H109" s="16" t="n">
        <x:f>IF(AND(COUNT(INDEX('SKU明细'!$H$9:$H$1592,MATCH("[6574,""2302153-BG-P-Z-37""]",'SKU明细'!$AE$9:$AE$1592,0)))=1,COUNT(INDEX('SKU明细'!$G$9:$G$1592,MATCH("[6574,""2302153-BG-P-Z-37""]",'SKU明细'!$AE$9:$AE$1592,0)))=1,SUM(INDEX('SKU明细'!$G$9:$G$1592,MATCH("[6574,""2302153-BG-P-Z-37""]",'SKU明细'!$AE$9:$AE$1592,0)))&gt;0),SUM(INDEX('SKU明细'!$H$9:$H$1592,MATCH("[6574,""2302153-BG-P-Z-37""]",'SKU明细'!$AE$9:$AE$1592,0)))/SUM(INDEX('SKU明细'!$G$9:$G$1592,MATCH("[6574,""2302153-BG-P-Z-37""]",'SKU明细'!$AE$9:$AE$1592,0))),"待核")</x:f>
        <x:v>0</x:v>
      </x:c>
      <x:c r="I109" s="16" t="n">
        <x:f>IF(AND(COUNT(INDEX('SKU明细'!$H$9:$H$1592,MATCH("[6574,""2302153-BG-P-Z-37.5""]",'SKU明细'!$AE$9:$AE$1592,0)))=1,COUNT(INDEX('SKU明细'!$G$9:$G$1592,MATCH("[6574,""2302153-BG-P-Z-37.5""]",'SKU明细'!$AE$9:$AE$1592,0)))=1,SUM(INDEX('SKU明细'!$G$9:$G$1592,MATCH("[6574,""2302153-BG-P-Z-37.5""]",'SKU明细'!$AE$9:$AE$1592,0)))&gt;0),SUM(INDEX('SKU明细'!$H$9:$H$1592,MATCH("[6574,""2302153-BG-P-Z-37.5""]",'SKU明细'!$AE$9:$AE$1592,0)))/SUM(INDEX('SKU明细'!$G$9:$G$1592,MATCH("[6574,""2302153-BG-P-Z-37.5""]",'SKU明细'!$AE$9:$AE$1592,0))),"待核")</x:f>
        <x:v>0</x:v>
      </x:c>
      <x:c r="J109" s="16" t="n">
        <x:f>IF(AND(COUNT(INDEX('SKU明细'!$H$9:$H$1592,MATCH("[6574,""2302153-BG-P-Z-38""]",'SKU明细'!$AE$9:$AE$1592,0)))=1,COUNT(INDEX('SKU明细'!$G$9:$G$1592,MATCH("[6574,""2302153-BG-P-Z-38""]",'SKU明细'!$AE$9:$AE$1592,0)))=1,SUM(INDEX('SKU明细'!$G$9:$G$1592,MATCH("[6574,""2302153-BG-P-Z-38""]",'SKU明细'!$AE$9:$AE$1592,0)))&gt;0),SUM(INDEX('SKU明细'!$H$9:$H$1592,MATCH("[6574,""2302153-BG-P-Z-38""]",'SKU明细'!$AE$9:$AE$1592,0)))/SUM(INDEX('SKU明细'!$G$9:$G$1592,MATCH("[6574,""2302153-BG-P-Z-38""]",'SKU明细'!$AE$9:$AE$1592,0))),"待核")</x:f>
        <x:v>0</x:v>
      </x:c>
      <x:c r="K109" s="16" t="n">
        <x:f>IF(AND(COUNT(INDEX('SKU明细'!$H$9:$H$1592,MATCH("[6574,""2302153-BG-P-Z-38.5""]",'SKU明细'!$AE$9:$AE$1592,0)))=1,COUNT(INDEX('SKU明细'!$G$9:$G$1592,MATCH("[6574,""2302153-BG-P-Z-38.5""]",'SKU明细'!$AE$9:$AE$1592,0)))=1,SUM(INDEX('SKU明细'!$G$9:$G$1592,MATCH("[6574,""2302153-BG-P-Z-38.5""]",'SKU明细'!$AE$9:$AE$1592,0)))&gt;0),SUM(INDEX('SKU明细'!$H$9:$H$1592,MATCH("[6574,""2302153-BG-P-Z-38.5""]",'SKU明细'!$AE$9:$AE$1592,0)))/SUM(INDEX('SKU明细'!$G$9:$G$1592,MATCH("[6574,""2302153-BG-P-Z-38.5""]",'SKU明细'!$AE$9:$AE$1592,0))),"待核")</x:f>
        <x:v>0</x:v>
      </x:c>
      <x:c r="L109" s="16" t="n">
        <x:f>IF(AND(COUNT(INDEX('SKU明细'!$H$9:$H$1592,MATCH("[6574,""2302153-BG-P-Z-39""]",'SKU明细'!$AE$9:$AE$1592,0)))=1,COUNT(INDEX('SKU明细'!$G$9:$G$1592,MATCH("[6574,""2302153-BG-P-Z-39""]",'SKU明细'!$AE$9:$AE$1592,0)))=1,SUM(INDEX('SKU明细'!$G$9:$G$1592,MATCH("[6574,""2302153-BG-P-Z-39""]",'SKU明细'!$AE$9:$AE$1592,0)))&gt;0),SUM(INDEX('SKU明细'!$H$9:$H$1592,MATCH("[6574,""2302153-BG-P-Z-39""]",'SKU明细'!$AE$9:$AE$1592,0)))/SUM(INDEX('SKU明细'!$G$9:$G$1592,MATCH("[6574,""2302153-BG-P-Z-39""]",'SKU明细'!$AE$9:$AE$1592,0))),"待核")</x:f>
        <x:v>0</x:v>
      </x:c>
      <x:c r="M109" s="16" t="n">
        <x:f>IF(AND(COUNT(INDEX('SKU明细'!$H$9:$H$1592,MATCH("[6574,""2302153-BG-P-Z-39.5""]",'SKU明细'!$AE$9:$AE$1592,0)))=1,COUNT(INDEX('SKU明细'!$G$9:$G$1592,MATCH("[6574,""2302153-BG-P-Z-39.5""]",'SKU明细'!$AE$9:$AE$1592,0)))=1,SUM(INDEX('SKU明细'!$G$9:$G$1592,MATCH("[6574,""2302153-BG-P-Z-39.5""]",'SKU明细'!$AE$9:$AE$1592,0)))&gt;0),SUM(INDEX('SKU明细'!$H$9:$H$1592,MATCH("[6574,""2302153-BG-P-Z-39.5""]",'SKU明细'!$AE$9:$AE$1592,0)))/SUM(INDEX('SKU明细'!$G$9:$G$1592,MATCH("[6574,""2302153-BG-P-Z-39.5""]",'SKU明细'!$AE$9:$AE$1592,0))),"待核")</x:f>
        <x:v>0</x:v>
      </x:c>
      <x:c r="N109" s="16" t="n">
        <x:f>IF(AND(COUNT(INDEX('SKU明细'!$H$9:$H$1592,MATCH("[6574,""2302153-BG-P-Z-40""]",'SKU明细'!$AE$9:$AE$1592,0)))=1,COUNT(INDEX('SKU明细'!$G$9:$G$1592,MATCH("[6574,""2302153-BG-P-Z-40""]",'SKU明细'!$AE$9:$AE$1592,0)))=1,SUM(INDEX('SKU明细'!$G$9:$G$1592,MATCH("[6574,""2302153-BG-P-Z-40""]",'SKU明细'!$AE$9:$AE$1592,0)))&gt;0),SUM(INDEX('SKU明细'!$H$9:$H$1592,MATCH("[6574,""2302153-BG-P-Z-40""]",'SKU明细'!$AE$9:$AE$1592,0)))/SUM(INDEX('SKU明细'!$G$9:$G$1592,MATCH("[6574,""2302153-BG-P-Z-40""]",'SKU明细'!$AE$9:$AE$1592,0))),"待核")</x:f>
        <x:v>0</x:v>
      </x:c>
      <x:c r="O109" s="16" t="n">
        <x:f>IF(AND(COUNT(INDEX('SKU明细'!$H$9:$H$1592,MATCH("[6574,""2302153-BG-P-Z-40.5""]",'SKU明细'!$AE$9:$AE$1592,0)))=1,COUNT(INDEX('SKU明细'!$G$9:$G$1592,MATCH("[6574,""2302153-BG-P-Z-40.5""]",'SKU明细'!$AE$9:$AE$1592,0)))=1,SUM(INDEX('SKU明细'!$G$9:$G$1592,MATCH("[6574,""2302153-BG-P-Z-40.5""]",'SKU明细'!$AE$9:$AE$1592,0)))&gt;0),SUM(INDEX('SKU明细'!$H$9:$H$1592,MATCH("[6574,""2302153-BG-P-Z-40.5""]",'SKU明细'!$AE$9:$AE$1592,0)))/SUM(INDEX('SKU明细'!$G$9:$G$1592,MATCH("[6574,""2302153-BG-P-Z-40.5""]",'SKU明细'!$AE$9:$AE$1592,0))),"待核")</x:f>
        <x:v>1.814254859611231</x:v>
      </x:c>
      <x:c r="P109" s="16" t="n">
        <x:f>IF(AND(COUNT(INDEX('SKU明细'!$H$9:$H$1592,MATCH("[6574,""2302153-BG-P-Z-41""]",'SKU明细'!$AE$9:$AE$1592,0)))=1,COUNT(INDEX('SKU明细'!$G$9:$G$1592,MATCH("[6574,""2302153-BG-P-Z-41""]",'SKU明细'!$AE$9:$AE$1592,0)))=1,SUM(INDEX('SKU明细'!$G$9:$G$1592,MATCH("[6574,""2302153-BG-P-Z-41""]",'SKU明细'!$AE$9:$AE$1592,0)))&gt;0),SUM(INDEX('SKU明细'!$H$9:$H$1592,MATCH("[6574,""2302153-BG-P-Z-41""]",'SKU明细'!$AE$9:$AE$1592,0)))/SUM(INDEX('SKU明细'!$G$9:$G$1592,MATCH("[6574,""2302153-BG-P-Z-41""]",'SKU明细'!$AE$9:$AE$1592,0))),"待核")</x:f>
        <x:v>0</x:v>
      </x:c>
      <x:c r="Q109" s="16" t="str">
        <x:f>"—"</x:f>
        <x:v>—</x:v>
      </x:c>
      <x:c r="R109" s="16" t="n">
        <x:f>IF(AND(COUNT(INDEX('SKU明细'!$H$9:$H$1592,MATCH("[6574,""2302153-BG-P-Z-42""]",'SKU明细'!$AE$9:$AE$1592,0)))=1,COUNT(INDEX('SKU明细'!$G$9:$G$1592,MATCH("[6574,""2302153-BG-P-Z-42""]",'SKU明细'!$AE$9:$AE$1592,0)))=1,SUM(INDEX('SKU明细'!$G$9:$G$1592,MATCH("[6574,""2302153-BG-P-Z-42""]",'SKU明细'!$AE$9:$AE$1592,0)))&gt;0),SUM(INDEX('SKU明细'!$H$9:$H$1592,MATCH("[6574,""2302153-BG-P-Z-42""]",'SKU明细'!$AE$9:$AE$1592,0)))/SUM(INDEX('SKU明细'!$G$9:$G$1592,MATCH("[6574,""2302153-BG-P-Z-42""]",'SKU明细'!$AE$9:$AE$1592,0))),"待核")</x:f>
        <x:v>0</x:v>
      </x:c>
      <x:c r="S109" s="16" t="n">
        <x:f>IF(AND(COUNT(INDEX('SKU明细'!$H$9:$H$1592,MATCH("[6574,""2302153-BG-P-Z-37""]",'SKU明细'!$AE$9:$AE$1592,0)),INDEX('SKU明细'!$H$9:$H$1592,MATCH("[6574,""2302153-BG-P-Z-37.5""]",'SKU明细'!$AE$9:$AE$1592,0)),INDEX('SKU明细'!$H$9:$H$1592,MATCH("[6574,""2302153-BG-P-Z-38""]",'SKU明细'!$AE$9:$AE$1592,0)),INDEX('SKU明细'!$H$9:$H$1592,MATCH("[6574,""2302153-BG-P-Z-38.5""]",'SKU明细'!$AE$9:$AE$1592,0)),INDEX('SKU明细'!$H$9:$H$1592,MATCH("[6574,""2302153-BG-P-Z-39""]",'SKU明细'!$AE$9:$AE$1592,0)),INDEX('SKU明细'!$H$9:$H$1592,MATCH("[6574,""2302153-BG-P-Z-39.5""]",'SKU明细'!$AE$9:$AE$1592,0)),INDEX('SKU明细'!$H$9:$H$1592,MATCH("[6574,""2302153-BG-P-Z-40""]",'SKU明细'!$AE$9:$AE$1592,0)),INDEX('SKU明细'!$H$9:$H$1592,MATCH("[6574,""2302153-BG-P-Z-41""]",'SKU明细'!$AE$9:$AE$1592,0)),INDEX('SKU明细'!$H$9:$H$1592,MATCH("[6574,""2302153-BG-P-Z-42""]",'SKU明细'!$AE$9:$AE$1592,0)),INDEX('SKU明细'!$H$9:$H$1592,MATCH("[6574,""2302153-BG-P-Z-40.5""]",'SKU明细'!$AE$9:$AE$1592,0)))=10,COUNT(INDEX('SKU明细'!$G$9:$G$1592,MATCH("[6574,""2302153-BG-P-Z-37""]",'SKU明细'!$AE$9:$AE$1592,0)),INDEX('SKU明细'!$G$9:$G$1592,MATCH("[6574,""2302153-BG-P-Z-37.5""]",'SKU明细'!$AE$9:$AE$1592,0)),INDEX('SKU明细'!$G$9:$G$1592,MATCH("[6574,""2302153-BG-P-Z-38""]",'SKU明细'!$AE$9:$AE$1592,0)),INDEX('SKU明细'!$G$9:$G$1592,MATCH("[6574,""2302153-BG-P-Z-38.5""]",'SKU明细'!$AE$9:$AE$1592,0)),INDEX('SKU明细'!$G$9:$G$1592,MATCH("[6574,""2302153-BG-P-Z-39""]",'SKU明细'!$AE$9:$AE$1592,0)),INDEX('SKU明细'!$G$9:$G$1592,MATCH("[6574,""2302153-BG-P-Z-39.5""]",'SKU明细'!$AE$9:$AE$1592,0)),INDEX('SKU明细'!$G$9:$G$1592,MATCH("[6574,""2302153-BG-P-Z-40""]",'SKU明细'!$AE$9:$AE$1592,0)),INDEX('SKU明细'!$G$9:$G$1592,MATCH("[6574,""2302153-BG-P-Z-41""]",'SKU明细'!$AE$9:$AE$1592,0)),INDEX('SKU明细'!$G$9:$G$1592,MATCH("[6574,""2302153-BG-P-Z-42""]",'SKU明细'!$AE$9:$AE$1592,0)),INDEX('SKU明细'!$G$9:$G$1592,MATCH("[6574,""2302153-BG-P-Z-40.5""]",'SKU明细'!$AE$9:$AE$1592,0)))=10,SUM(INDEX('SKU明细'!$G$9:$G$1592,MATCH("[6574,""2302153-BG-P-Z-37""]",'SKU明细'!$AE$9:$AE$1592,0)),INDEX('SKU明细'!$G$9:$G$1592,MATCH("[6574,""2302153-BG-P-Z-37.5""]",'SKU明细'!$AE$9:$AE$1592,0)),INDEX('SKU明细'!$G$9:$G$1592,MATCH("[6574,""2302153-BG-P-Z-38""]",'SKU明细'!$AE$9:$AE$1592,0)),INDEX('SKU明细'!$G$9:$G$1592,MATCH("[6574,""2302153-BG-P-Z-38.5""]",'SKU明细'!$AE$9:$AE$1592,0)),INDEX('SKU明细'!$G$9:$G$1592,MATCH("[6574,""2302153-BG-P-Z-39""]",'SKU明细'!$AE$9:$AE$1592,0)),INDEX('SKU明细'!$G$9:$G$1592,MATCH("[6574,""2302153-BG-P-Z-39.5""]",'SKU明细'!$AE$9:$AE$1592,0)),INDEX('SKU明细'!$G$9:$G$1592,MATCH("[6574,""2302153-BG-P-Z-40""]",'SKU明细'!$AE$9:$AE$1592,0)),INDEX('SKU明细'!$G$9:$G$1592,MATCH("[6574,""2302153-BG-P-Z-41""]",'SKU明细'!$AE$9:$AE$1592,0)),INDEX('SKU明细'!$G$9:$G$1592,MATCH("[6574,""2302153-BG-P-Z-42""]",'SKU明细'!$AE$9:$AE$1592,0)),INDEX('SKU明细'!$G$9:$G$1592,MATCH("[6574,""2302153-BG-P-Z-40.5""]",'SKU明细'!$AE$9:$AE$1592,0)))&gt;0),SUM(INDEX('SKU明细'!$H$9:$H$1592,MATCH("[6574,""2302153-BG-P-Z-37""]",'SKU明细'!$AE$9:$AE$1592,0)),INDEX('SKU明细'!$H$9:$H$1592,MATCH("[6574,""2302153-BG-P-Z-37.5""]",'SKU明细'!$AE$9:$AE$1592,0)),INDEX('SKU明细'!$H$9:$H$1592,MATCH("[6574,""2302153-BG-P-Z-38""]",'SKU明细'!$AE$9:$AE$1592,0)),INDEX('SKU明细'!$H$9:$H$1592,MATCH("[6574,""2302153-BG-P-Z-38.5""]",'SKU明细'!$AE$9:$AE$1592,0)),INDEX('SKU明细'!$H$9:$H$1592,MATCH("[6574,""2302153-BG-P-Z-39""]",'SKU明细'!$AE$9:$AE$1592,0)),INDEX('SKU明细'!$H$9:$H$1592,MATCH("[6574,""2302153-BG-P-Z-39.5""]",'SKU明细'!$AE$9:$AE$1592,0)),INDEX('SKU明细'!$H$9:$H$1592,MATCH("[6574,""2302153-BG-P-Z-40""]",'SKU明细'!$AE$9:$AE$1592,0)),INDEX('SKU明细'!$H$9:$H$1592,MATCH("[6574,""2302153-BG-P-Z-41""]",'SKU明细'!$AE$9:$AE$1592,0)),INDEX('SKU明细'!$H$9:$H$1592,MATCH("[6574,""2302153-BG-P-Z-42""]",'SKU明细'!$AE$9:$AE$1592,0)),INDEX('SKU明细'!$H$9:$H$1592,MATCH("[6574,""2302153-BG-P-Z-40.5""]",'SKU明细'!$AE$9:$AE$1592,0)))/SUM(INDEX('SKU明细'!$G$9:$G$1592,MATCH("[6574,""2302153-BG-P-Z-37""]",'SKU明细'!$AE$9:$AE$1592,0)),INDEX('SKU明细'!$G$9:$G$1592,MATCH("[6574,""2302153-BG-P-Z-37.5""]",'SKU明细'!$AE$9:$AE$1592,0)),INDEX('SKU明细'!$G$9:$G$1592,MATCH("[6574,""2302153-BG-P-Z-38""]",'SKU明细'!$AE$9:$AE$1592,0)),INDEX('SKU明细'!$G$9:$G$1592,MATCH("[6574,""2302153-BG-P-Z-38.5""]",'SKU明细'!$AE$9:$AE$1592,0)),INDEX('SKU明细'!$G$9:$G$1592,MATCH("[6574,""2302153-BG-P-Z-39""]",'SKU明细'!$AE$9:$AE$1592,0)),INDEX('SKU明细'!$G$9:$G$1592,MATCH("[6574,""2302153-BG-P-Z-39.5""]",'SKU明细'!$AE$9:$AE$1592,0)),INDEX('SKU明细'!$G$9:$G$1592,MATCH("[6574,""2302153-BG-P-Z-40""]",'SKU明细'!$AE$9:$AE$1592,0)),INDEX('SKU明细'!$G$9:$G$1592,MATCH("[6574,""2302153-BG-P-Z-41""]",'SKU明细'!$AE$9:$AE$1592,0)),INDEX('SKU明细'!$G$9:$G$1592,MATCH("[6574,""2302153-BG-P-Z-42""]",'SKU明细'!$AE$9:$AE$1592,0)),INDEX('SKU明细'!$G$9:$G$1592,MATCH("[6574,""2302153-BG-P-Z-40.5""]",'SKU明细'!$AE$9:$AE$1592,0))),"待核")</x:f>
        <x:v>0.5412371134020619</x:v>
      </x:c>
      <x:c r="T109" s="16" t="n">
        <x:f>IF(AND(COUNT(INDEX('SKU明细'!$I$9:$I$1592,MATCH("[6574,""2302153-BG-P-Z-37""]",'SKU明细'!$AE$9:$AE$1592,0)),INDEX('SKU明细'!$I$9:$I$1592,MATCH("[6574,""2302153-BG-P-Z-37.5""]",'SKU明细'!$AE$9:$AE$1592,0)),INDEX('SKU明细'!$I$9:$I$1592,MATCH("[6574,""2302153-BG-P-Z-38""]",'SKU明细'!$AE$9:$AE$1592,0)),INDEX('SKU明细'!$I$9:$I$1592,MATCH("[6574,""2302153-BG-P-Z-38.5""]",'SKU明细'!$AE$9:$AE$1592,0)),INDEX('SKU明细'!$I$9:$I$1592,MATCH("[6574,""2302153-BG-P-Z-39""]",'SKU明细'!$AE$9:$AE$1592,0)),INDEX('SKU明细'!$I$9:$I$1592,MATCH("[6574,""2302153-BG-P-Z-39.5""]",'SKU明细'!$AE$9:$AE$1592,0)),INDEX('SKU明细'!$I$9:$I$1592,MATCH("[6574,""2302153-BG-P-Z-40""]",'SKU明细'!$AE$9:$AE$1592,0)),INDEX('SKU明细'!$I$9:$I$1592,MATCH("[6574,""2302153-BG-P-Z-41""]",'SKU明细'!$AE$9:$AE$1592,0)),INDEX('SKU明细'!$I$9:$I$1592,MATCH("[6574,""2302153-BG-P-Z-42""]",'SKU明细'!$AE$9:$AE$1592,0)),INDEX('SKU明细'!$I$9:$I$1592,MATCH("[6574,""2302153-BG-P-Z-40.5""]",'SKU明细'!$AE$9:$AE$1592,0)))=10,COUNT(INDEX('SKU明细'!$AD$9:$AD$1592,MATCH("[6574,""2302153-BG-P-Z-37""]",'SKU明细'!$AE$9:$AE$1592,0)),INDEX('SKU明细'!$AD$9:$AD$1592,MATCH("[6574,""2302153-BG-P-Z-37.5""]",'SKU明细'!$AE$9:$AE$1592,0)),INDEX('SKU明细'!$AD$9:$AD$1592,MATCH("[6574,""2302153-BG-P-Z-38""]",'SKU明细'!$AE$9:$AE$1592,0)),INDEX('SKU明细'!$AD$9:$AD$1592,MATCH("[6574,""2302153-BG-P-Z-38.5""]",'SKU明细'!$AE$9:$AE$1592,0)),INDEX('SKU明细'!$AD$9:$AD$1592,MATCH("[6574,""2302153-BG-P-Z-39""]",'SKU明细'!$AE$9:$AE$1592,0)),INDEX('SKU明细'!$AD$9:$AD$1592,MATCH("[6574,""2302153-BG-P-Z-39.5""]",'SKU明细'!$AE$9:$AE$1592,0)),INDEX('SKU明细'!$AD$9:$AD$1592,MATCH("[6574,""2302153-BG-P-Z-40""]",'SKU明细'!$AE$9:$AE$1592,0)),INDEX('SKU明细'!$AD$9:$AD$1592,MATCH("[6574,""2302153-BG-P-Z-41""]",'SKU明细'!$AE$9:$AE$1592,0)),INDEX('SKU明细'!$AD$9:$AD$1592,MATCH("[6574,""2302153-BG-P-Z-42""]",'SKU明细'!$AE$9:$AE$1592,0)),INDEX('SKU明细'!$AD$9:$AD$1592,MATCH("[6574,""2302153-BG-P-Z-40.5""]",'SKU明细'!$AE$9:$AE$1592,0)))=10,SUM(INDEX('SKU明细'!$AD$9:$AD$1592,MATCH("[6574,""2302153-BG-P-Z-37""]",'SKU明细'!$AE$9:$AE$1592,0)),INDEX('SKU明细'!$AD$9:$AD$1592,MATCH("[6574,""2302153-BG-P-Z-37.5""]",'SKU明细'!$AE$9:$AE$1592,0)),INDEX('SKU明细'!$AD$9:$AD$1592,MATCH("[6574,""2302153-BG-P-Z-38""]",'SKU明细'!$AE$9:$AE$1592,0)),INDEX('SKU明细'!$AD$9:$AD$1592,MATCH("[6574,""2302153-BG-P-Z-38.5""]",'SKU明细'!$AE$9:$AE$1592,0)),INDEX('SKU明细'!$AD$9:$AD$1592,MATCH("[6574,""2302153-BG-P-Z-39""]",'SKU明细'!$AE$9:$AE$1592,0)),INDEX('SKU明细'!$AD$9:$AD$1592,MATCH("[6574,""2302153-BG-P-Z-39.5""]",'SKU明细'!$AE$9:$AE$1592,0)),INDEX('SKU明细'!$AD$9:$AD$1592,MATCH("[6574,""2302153-BG-P-Z-40""]",'SKU明细'!$AE$9:$AE$1592,0)),INDEX('SKU明细'!$AD$9:$AD$1592,MATCH("[6574,""2302153-BG-P-Z-41""]",'SKU明细'!$AE$9:$AE$1592,0)),INDEX('SKU明细'!$AD$9:$AD$1592,MATCH("[6574,""2302153-BG-P-Z-42""]",'SKU明细'!$AE$9:$AE$1592,0)),INDEX('SKU明细'!$AD$9:$AD$1592,MATCH("[6574,""2302153-BG-P-Z-40.5""]",'SKU明细'!$AE$9:$AE$1592,0)))&gt;0),SUM(INDEX('SKU明细'!$I$9:$I$1592,MATCH("[6574,""2302153-BG-P-Z-37""]",'SKU明细'!$AE$9:$AE$1592,0)),INDEX('SKU明细'!$I$9:$I$1592,MATCH("[6574,""2302153-BG-P-Z-37.5""]",'SKU明细'!$AE$9:$AE$1592,0)),INDEX('SKU明细'!$I$9:$I$1592,MATCH("[6574,""2302153-BG-P-Z-38""]",'SKU明细'!$AE$9:$AE$1592,0)),INDEX('SKU明细'!$I$9:$I$1592,MATCH("[6574,""2302153-BG-P-Z-38.5""]",'SKU明细'!$AE$9:$AE$1592,0)),INDEX('SKU明细'!$I$9:$I$1592,MATCH("[6574,""2302153-BG-P-Z-39""]",'SKU明细'!$AE$9:$AE$1592,0)),INDEX('SKU明细'!$I$9:$I$1592,MATCH("[6574,""2302153-BG-P-Z-39.5""]",'SKU明细'!$AE$9:$AE$1592,0)),INDEX('SKU明细'!$I$9:$I$1592,MATCH("[6574,""2302153-BG-P-Z-40""]",'SKU明细'!$AE$9:$AE$1592,0)),INDEX('SKU明细'!$I$9:$I$1592,MATCH("[6574,""2302153-BG-P-Z-41""]",'SKU明细'!$AE$9:$AE$1592,0)),INDEX('SKU明细'!$I$9:$I$1592,MATCH("[6574,""2302153-BG-P-Z-42""]",'SKU明细'!$AE$9:$AE$1592,0)),INDEX('SKU明细'!$I$9:$I$1592,MATCH("[6574,""2302153-BG-P-Z-40.5""]",'SKU明细'!$AE$9:$AE$1592,0)))/SUM(INDEX('SKU明细'!$AD$9:$AD$1592,MATCH("[6574,""2302153-BG-P-Z-37""]",'SKU明细'!$AE$9:$AE$1592,0)),INDEX('SKU明细'!$AD$9:$AD$1592,MATCH("[6574,""2302153-BG-P-Z-37.5""]",'SKU明细'!$AE$9:$AE$1592,0)),INDEX('SKU明细'!$AD$9:$AD$1592,MATCH("[6574,""2302153-BG-P-Z-38""]",'SKU明细'!$AE$9:$AE$1592,0)),INDEX('SKU明细'!$AD$9:$AD$1592,MATCH("[6574,""2302153-BG-P-Z-38.5""]",'SKU明细'!$AE$9:$AE$1592,0)),INDEX('SKU明细'!$AD$9:$AD$1592,MATCH("[6574,""2302153-BG-P-Z-39""]",'SKU明细'!$AE$9:$AE$1592,0)),INDEX('SKU明细'!$AD$9:$AD$1592,MATCH("[6574,""2302153-BG-P-Z-39.5""]",'SKU明细'!$AE$9:$AE$1592,0)),INDEX('SKU明细'!$AD$9:$AD$1592,MATCH("[6574,""2302153-BG-P-Z-40""]",'SKU明细'!$AE$9:$AE$1592,0)),INDEX('SKU明细'!$AD$9:$AD$1592,MATCH("[6574,""2302153-BG-P-Z-41""]",'SKU明细'!$AE$9:$AE$1592,0)),INDEX('SKU明细'!$AD$9:$AD$1592,MATCH("[6574,""2302153-BG-P-Z-42""]",'SKU明细'!$AE$9:$AE$1592,0)),INDEX('SKU明细'!$AD$9:$AD$1592,MATCH("[6574,""2302153-BG-P-Z-40.5""]",'SKU明细'!$AE$9:$AE$1592,0))),"待核")</x:f>
        <x:v>4.618429733890477</x:v>
      </x:c>
      <x:c r="U109" s="16" t="n">
        <x:f>IF(COUNT(S109:T109)=2,S109-T109,"待核")</x:f>
        <x:v>-4.0771926204884155</x:v>
      </x:c>
      <x:c r="V109" s="17" t="n">
        <x:f>IF(AND(ISNUMBER(U109),ISNUMBER(T109),T109&lt;&gt;0),U109/T109,"")</x:f>
        <x:v>-0.8828092783505155</x:v>
      </x:c>
      <x:c r="W109" s="18" t="n">
        <x:f>IF(COUNT(INDEX('SKU明细'!$H$9:$H$1592,MATCH("[6574,""2302153-BG-P-Z-37""]",'SKU明细'!$AE$9:$AE$1592,0)),INDEX('SKU明细'!$H$9:$H$1592,MATCH("[6574,""2302153-BG-P-Z-37.5""]",'SKU明细'!$AE$9:$AE$1592,0)),INDEX('SKU明细'!$H$9:$H$1592,MATCH("[6574,""2302153-BG-P-Z-38""]",'SKU明细'!$AE$9:$AE$1592,0)),INDEX('SKU明细'!$H$9:$H$1592,MATCH("[6574,""2302153-BG-P-Z-38.5""]",'SKU明细'!$AE$9:$AE$1592,0)),INDEX('SKU明细'!$H$9:$H$1592,MATCH("[6574,""2302153-BG-P-Z-39""]",'SKU明细'!$AE$9:$AE$1592,0)),INDEX('SKU明细'!$H$9:$H$1592,MATCH("[6574,""2302153-BG-P-Z-39.5""]",'SKU明细'!$AE$9:$AE$1592,0)),INDEX('SKU明细'!$H$9:$H$1592,MATCH("[6574,""2302153-BG-P-Z-40""]",'SKU明细'!$AE$9:$AE$1592,0)),INDEX('SKU明细'!$H$9:$H$1592,MATCH("[6574,""2302153-BG-P-Z-41""]",'SKU明细'!$AE$9:$AE$1592,0)),INDEX('SKU明细'!$H$9:$H$1592,MATCH("[6574,""2302153-BG-P-Z-42""]",'SKU明细'!$AE$9:$AE$1592,0)),INDEX('SKU明细'!$H$9:$H$1592,MATCH("[6574,""2302153-BG-P-Z-40.5""]",'SKU明细'!$AE$9:$AE$1592,0)))=0,"待核",SUM(INDEX('SKU明细'!$H$9:$H$1592,MATCH("[6574,""2302153-BG-P-Z-37""]",'SKU明细'!$AE$9:$AE$1592,0)),INDEX('SKU明细'!$H$9:$H$1592,MATCH("[6574,""2302153-BG-P-Z-37.5""]",'SKU明细'!$AE$9:$AE$1592,0)),INDEX('SKU明细'!$H$9:$H$1592,MATCH("[6574,""2302153-BG-P-Z-38""]",'SKU明细'!$AE$9:$AE$1592,0)),INDEX('SKU明细'!$H$9:$H$1592,MATCH("[6574,""2302153-BG-P-Z-38.5""]",'SKU明细'!$AE$9:$AE$1592,0)),INDEX('SKU明细'!$H$9:$H$1592,MATCH("[6574,""2302153-BG-P-Z-39""]",'SKU明细'!$AE$9:$AE$1592,0)),INDEX('SKU明细'!$H$9:$H$1592,MATCH("[6574,""2302153-BG-P-Z-39.5""]",'SKU明细'!$AE$9:$AE$1592,0)),INDEX('SKU明细'!$H$9:$H$1592,MATCH("[6574,""2302153-BG-P-Z-40""]",'SKU明细'!$AE$9:$AE$1592,0)),INDEX('SKU明细'!$H$9:$H$1592,MATCH("[6574,""2302153-BG-P-Z-41""]",'SKU明细'!$AE$9:$AE$1592,0)),INDEX('SKU明细'!$H$9:$H$1592,MATCH("[6574,""2302153-BG-P-Z-42""]",'SKU明细'!$AE$9:$AE$1592,0)),INDEX('SKU明细'!$H$9:$H$1592,MATCH("[6574,""2302153-BG-P-Z-40.5""]",'SKU明细'!$AE$9:$AE$1592,0))))</x:f>
        <x:v>2</x:v>
      </x:c>
      <x:c r="X109" s="19" t="str">
        <x:f>IF(COUNTIFS('SKU明细'!$AH$9:$AH$1592,"[""2302153"",""2302153-BG-P-Z"",""BG-P"",""米白""]",'SKU明细'!$E$9:$E$1592,"促销")&gt;0,"促销 ","")&amp;IF(COUNTIFS('SKU明细'!$AH$9:$AH$1592,"[""2302153"",""2302153-BG-P-Z"",""BG-P"",""米白""]",'SKU明细'!$E$9:$E$1592,"红线促销")&gt;0,"红线促销 ","")&amp;IF(COUNTIFS('SKU明细'!$AH$9:$AH$1592,"[""2302153"",""2302153-BG-P-Z"",""BG-P"",""米白""]",'SKU明细'!$E$9:$E$1592,"考虑清仓")&gt;0,"考虑清仓 ","")&amp;IF(COUNTIFS('SKU明细'!$AH$9:$AH$1592,"[""2302153"",""2302153-BG-P-Z"",""BG-P"",""米白""]",'SKU明细'!$E$9:$E$1592,"断货")&gt;0,"断货 ","")&amp;IF(COUNTIFS('SKU明细'!$AH$9:$AH$1592,"[""2302153"",""2302153-BG-P-Z"",""BG-P"",""米白""]",'SKU明细'!$E$9:$E$1592,"零日销待复核")&gt;0,"零日销待复核 ","")&amp;IF(COUNTIFS('SKU明细'!$AH$9:$AH$1592,"[""2302153"",""2302153-BG-P-Z"",""BG-P"",""米白""]",'SKU明细'!$E$9:$E$1592,"数据待核")&gt;0,"数据待核 ","")&amp;IF(COUNTIFS('SKU明细'!$AH$9:$AH$1592,"[""2302153"",""2302153-BG-P-Z"",""BG-P"",""米白""]",'SKU明细'!$E$9:$E$1592,"正常库存")&gt;0,"正常库存 ","")&amp;IF(COUNTIFS('SKU明细'!$AH$9:$AH$1592,"[""2302153"",""2302153-BG-P-Z"",""BG-P"",""米白""]",'SKU明细'!$E$9:$E$1592,"补货提醒")&gt;0,"补货提醒 ","")</x:f>
        <x:v>断货 补货提醒 </x:v>
      </x:c>
      <x:c r="Y109" s="19" t="str">
        <x:f>IF(NOT(ISNUMBER(U109)),"覆盖待核／无可比基准","完整可比")</x:f>
        <x:v>完整可比</x:v>
      </x:c>
      <x:c r="Z109" s="19" t="str">
        <x:v>在售、停售</x:v>
      </x:c>
      <x:c r="AA109" s="19" t="n">
        <x:f>IF(SUMIFS('SKU明细'!$AF$9:$AF$1592,'SKU明细'!$D$9:$D$1592,A109,'SKU明细'!$Z$9:$Z$1592,"&lt;&gt;移出")=0,"待核",SUMIFS('SKU明细'!$H$9:$H$1592,'SKU明细'!$D$9:$D$1592,A109,'SKU明细'!$Z$9:$Z$1592,"&lt;&gt;移出"))</x:f>
        <x:v>1112</x:v>
      </x:c>
    </x:row>
    <x:row r="110" ht="54" customHeight="1">
      <x:c r="A110" s="15" t="str">
        <x:v>2302153</x:v>
      </x:c>
      <x:c r="B110" s="15" t="str">
        <x:v>徐新怡</x:v>
      </x:c>
      <x:c r="C110" s="15" t="str">
        <x:v>黑色</x:v>
      </x:c>
      <x:c r="D110" s="15" t="str">
        <x:v>BK-P</x:v>
      </x:c>
      <x:c r="E110" s="15" t="str">
        <x:v>2302153-BK-P-Z</x:v>
      </x:c>
      <x:c r="F110" s="15"/>
      <x:c r="G110" s="16" t="str">
        <x:f>"—"</x:f>
        <x:v>—</x:v>
      </x:c>
      <x:c r="H110" s="16" t="n">
        <x:f>IF(AND(COUNT(INDEX('SKU明细'!$H$9:$H$1592,MATCH("[6574,""2302153-BK-P-Z-6""]",'SKU明细'!$AE$9:$AE$1592,0)))=1,COUNT(INDEX('SKU明细'!$G$9:$G$1592,MATCH("[6574,""2302153-BK-P-Z-6""]",'SKU明细'!$AE$9:$AE$1592,0)))=1,SUM(INDEX('SKU明细'!$G$9:$G$1592,MATCH("[6574,""2302153-BK-P-Z-6""]",'SKU明细'!$AE$9:$AE$1592,0)))&gt;0),SUM(INDEX('SKU明细'!$H$9:$H$1592,MATCH("[6574,""2302153-BK-P-Z-6""]",'SKU明细'!$AE$9:$AE$1592,0)))/SUM(INDEX('SKU明细'!$G$9:$G$1592,MATCH("[6574,""2302153-BK-P-Z-6""]",'SKU明细'!$AE$9:$AE$1592,0))),"待核")</x:f>
        <x:v>13.514851485148515</x:v>
      </x:c>
      <x:c r="I110" s="16" t="n">
        <x:f>IF(AND(COUNT(INDEX('SKU明细'!$H$9:$H$1592,MATCH("[6574,""2302153-BK-P-Z-6.5""]",'SKU明细'!$AE$9:$AE$1592,0)))=1,COUNT(INDEX('SKU明细'!$G$9:$G$1592,MATCH("[6574,""2302153-BK-P-Z-6.5""]",'SKU明细'!$AE$9:$AE$1592,0)))=1,SUM(INDEX('SKU明细'!$G$9:$G$1592,MATCH("[6574,""2302153-BK-P-Z-6.5""]",'SKU明细'!$AE$9:$AE$1592,0)))&gt;0),SUM(INDEX('SKU明细'!$H$9:$H$1592,MATCH("[6574,""2302153-BK-P-Z-6.5""]",'SKU明细'!$AE$9:$AE$1592,0)))/SUM(INDEX('SKU明细'!$G$9:$G$1592,MATCH("[6574,""2302153-BK-P-Z-6.5""]",'SKU明细'!$AE$9:$AE$1592,0))),"待核")</x:f>
        <x:v>0</x:v>
      </x:c>
      <x:c r="J110" s="16" t="n">
        <x:f>IF(AND(COUNT(INDEX('SKU明细'!$H$9:$H$1592,MATCH("[6574,""2302153-BK-P-Z-7""]",'SKU明细'!$AE$9:$AE$1592,0)))=1,COUNT(INDEX('SKU明细'!$G$9:$G$1592,MATCH("[6574,""2302153-BK-P-Z-7""]",'SKU明细'!$AE$9:$AE$1592,0)))=1,SUM(INDEX('SKU明细'!$G$9:$G$1592,MATCH("[6574,""2302153-BK-P-Z-7""]",'SKU明细'!$AE$9:$AE$1592,0)))&gt;0),SUM(INDEX('SKU明细'!$H$9:$H$1592,MATCH("[6574,""2302153-BK-P-Z-7""]",'SKU明细'!$AE$9:$AE$1592,0)))/SUM(INDEX('SKU明细'!$G$9:$G$1592,MATCH("[6574,""2302153-BK-P-Z-7""]",'SKU明细'!$AE$9:$AE$1592,0))),"待核")</x:f>
        <x:v>0</x:v>
      </x:c>
      <x:c r="K110" s="16" t="n">
        <x:f>IF(AND(COUNT(INDEX('SKU明细'!$H$9:$H$1592,MATCH("[6574,""2302153-BK-P-Z-7.5""]",'SKU明细'!$AE$9:$AE$1592,0)))=1,COUNT(INDEX('SKU明细'!$G$9:$G$1592,MATCH("[6574,""2302153-BK-P-Z-7.5""]",'SKU明细'!$AE$9:$AE$1592,0)))=1,SUM(INDEX('SKU明细'!$G$9:$G$1592,MATCH("[6574,""2302153-BK-P-Z-7.5""]",'SKU明细'!$AE$9:$AE$1592,0)))&gt;0),SUM(INDEX('SKU明细'!$H$9:$H$1592,MATCH("[6574,""2302153-BK-P-Z-7.5""]",'SKU明细'!$AE$9:$AE$1592,0)))/SUM(INDEX('SKU明细'!$G$9:$G$1592,MATCH("[6574,""2302153-BK-P-Z-7.5""]",'SKU明细'!$AE$9:$AE$1592,0))),"待核")</x:f>
        <x:v>10.297723292469351</x:v>
      </x:c>
      <x:c r="L110" s="16" t="n">
        <x:f>IF(AND(COUNT(INDEX('SKU明细'!$H$9:$H$1592,MATCH("[6574,""2302153-BK-P-Z-8""]",'SKU明细'!$AE$9:$AE$1592,0)))=1,COUNT(INDEX('SKU明细'!$G$9:$G$1592,MATCH("[6574,""2302153-BK-P-Z-8""]",'SKU明细'!$AE$9:$AE$1592,0)))=1,SUM(INDEX('SKU明细'!$G$9:$G$1592,MATCH("[6574,""2302153-BK-P-Z-8""]",'SKU明细'!$AE$9:$AE$1592,0)))&gt;0),SUM(INDEX('SKU明细'!$H$9:$H$1592,MATCH("[6574,""2302153-BK-P-Z-8""]",'SKU明细'!$AE$9:$AE$1592,0)))/SUM(INDEX('SKU明细'!$G$9:$G$1592,MATCH("[6574,""2302153-BK-P-Z-8""]",'SKU明细'!$AE$9:$AE$1592,0))),"待核")</x:f>
        <x:v>0</x:v>
      </x:c>
      <x:c r="M110" s="16" t="n">
        <x:f>IF(AND(COUNT(INDEX('SKU明细'!$H$9:$H$1592,MATCH("[6574,""2302153-BK-P-Z-8.5""]",'SKU明细'!$AE$9:$AE$1592,0)))=1,COUNT(INDEX('SKU明细'!$G$9:$G$1592,MATCH("[6574,""2302153-BK-P-Z-8.5""]",'SKU明细'!$AE$9:$AE$1592,0)))=1,SUM(INDEX('SKU明细'!$G$9:$G$1592,MATCH("[6574,""2302153-BK-P-Z-8.5""]",'SKU明细'!$AE$9:$AE$1592,0)))&gt;0),SUM(INDEX('SKU明细'!$H$9:$H$1592,MATCH("[6574,""2302153-BK-P-Z-8.5""]",'SKU明细'!$AE$9:$AE$1592,0)))/SUM(INDEX('SKU明细'!$G$9:$G$1592,MATCH("[6574,""2302153-BK-P-Z-8.5""]",'SKU明细'!$AE$9:$AE$1592,0))),"待核")</x:f>
        <x:v>0</x:v>
      </x:c>
      <x:c r="N110" s="16" t="n">
        <x:f>IF(AND(COUNT(INDEX('SKU明细'!$H$9:$H$1592,MATCH("[6574,""2302153-BK-P-Z-9""]",'SKU明细'!$AE$9:$AE$1592,0)))=1,COUNT(INDEX('SKU明细'!$G$9:$G$1592,MATCH("[6574,""2302153-BK-P-Z-9""]",'SKU明细'!$AE$9:$AE$1592,0)))=1,SUM(INDEX('SKU明细'!$G$9:$G$1592,MATCH("[6574,""2302153-BK-P-Z-9""]",'SKU明细'!$AE$9:$AE$1592,0)))&gt;0),SUM(INDEX('SKU明细'!$H$9:$H$1592,MATCH("[6574,""2302153-BK-P-Z-9""]",'SKU明细'!$AE$9:$AE$1592,0)))/SUM(INDEX('SKU明细'!$G$9:$G$1592,MATCH("[6574,""2302153-BK-P-Z-9""]",'SKU明细'!$AE$9:$AE$1592,0))),"待核")</x:f>
        <x:v>0</x:v>
      </x:c>
      <x:c r="O110" s="16" t="n">
        <x:f>IF(AND(COUNT(INDEX('SKU明细'!$H$9:$H$1592,MATCH("[6574,""2302153-BK-P-Z-9.5""]",'SKU明细'!$AE$9:$AE$1592,0)))=1,COUNT(INDEX('SKU明细'!$G$9:$G$1592,MATCH("[6574,""2302153-BK-P-Z-9.5""]",'SKU明细'!$AE$9:$AE$1592,0)))=1,SUM(INDEX('SKU明细'!$G$9:$G$1592,MATCH("[6574,""2302153-BK-P-Z-9.5""]",'SKU明细'!$AE$9:$AE$1592,0)))&gt;0),SUM(INDEX('SKU明细'!$H$9:$H$1592,MATCH("[6574,""2302153-BK-P-Z-9.5""]",'SKU明细'!$AE$9:$AE$1592,0)))/SUM(INDEX('SKU明细'!$G$9:$G$1592,MATCH("[6574,""2302153-BK-P-Z-9.5""]",'SKU明细'!$AE$9:$AE$1592,0))),"待核")</x:f>
        <x:v>70.34313725490196</x:v>
      </x:c>
      <x:c r="P110" s="16" t="n">
        <x:f>IF(AND(COUNT(INDEX('SKU明细'!$H$9:$H$1592,MATCH("[6574,""2302153-BK-P-Z-10""]",'SKU明细'!$AE$9:$AE$1592,0)))=1,COUNT(INDEX('SKU明细'!$G$9:$G$1592,MATCH("[6574,""2302153-BK-P-Z-10""]",'SKU明细'!$AE$9:$AE$1592,0)))=1,SUM(INDEX('SKU明细'!$G$9:$G$1592,MATCH("[6574,""2302153-BK-P-Z-10""]",'SKU明细'!$AE$9:$AE$1592,0)))&gt;0),SUM(INDEX('SKU明细'!$H$9:$H$1592,MATCH("[6574,""2302153-BK-P-Z-10""]",'SKU明细'!$AE$9:$AE$1592,0)))/SUM(INDEX('SKU明细'!$G$9:$G$1592,MATCH("[6574,""2302153-BK-P-Z-10""]",'SKU明细'!$AE$9:$AE$1592,0))),"待核")</x:f>
        <x:v>0</x:v>
      </x:c>
      <x:c r="Q110" s="16" t="n">
        <x:f>IF(AND(COUNT(INDEX('SKU明细'!$H$9:$H$1592,MATCH("[6574,""2302153-BK-P-Z-10.5""]",'SKU明细'!$AE$9:$AE$1592,0)))=1,COUNT(INDEX('SKU明细'!$G$9:$G$1592,MATCH("[6574,""2302153-BK-P-Z-10.5""]",'SKU明细'!$AE$9:$AE$1592,0)))=1,SUM(INDEX('SKU明细'!$G$9:$G$1592,MATCH("[6574,""2302153-BK-P-Z-10.5""]",'SKU明细'!$AE$9:$AE$1592,0)))&gt;0),SUM(INDEX('SKU明细'!$H$9:$H$1592,MATCH("[6574,""2302153-BK-P-Z-10.5""]",'SKU明细'!$AE$9:$AE$1592,0)))/SUM(INDEX('SKU明细'!$G$9:$G$1592,MATCH("[6574,""2302153-BK-P-Z-10.5""]",'SKU明细'!$AE$9:$AE$1592,0))),"待核")</x:f>
        <x:v>0</x:v>
      </x:c>
      <x:c r="R110" s="16" t="n">
        <x:f>IF(AND(COUNT(INDEX('SKU明细'!$H$9:$H$1592,MATCH("[6574,""2302153-BK-P-Z-11""]",'SKU明细'!$AE$9:$AE$1592,0)))=1,COUNT(INDEX('SKU明细'!$G$9:$G$1592,MATCH("[6574,""2302153-BK-P-Z-11""]",'SKU明细'!$AE$9:$AE$1592,0)))=1,SUM(INDEX('SKU明细'!$G$9:$G$1592,MATCH("[6574,""2302153-BK-P-Z-11""]",'SKU明细'!$AE$9:$AE$1592,0)))&gt;0),SUM(INDEX('SKU明细'!$H$9:$H$1592,MATCH("[6574,""2302153-BK-P-Z-11""]",'SKU明细'!$AE$9:$AE$1592,0)))/SUM(INDEX('SKU明细'!$G$9:$G$1592,MATCH("[6574,""2302153-BK-P-Z-11""]",'SKU明细'!$AE$9:$AE$1592,0))),"待核")</x:f>
        <x:v>0</x:v>
      </x:c>
      <x:c r="S110" s="16" t="n">
        <x:f>IF(AND(COUNT(INDEX('SKU明细'!$H$9:$H$1592,MATCH("[6574,""2302153-BK-P-Z-10""]",'SKU明细'!$AE$9:$AE$1592,0)),INDEX('SKU明细'!$H$9:$H$1592,MATCH("[6574,""2302153-BK-P-Z-10.5""]",'SKU明细'!$AE$9:$AE$1592,0)),INDEX('SKU明细'!$H$9:$H$1592,MATCH("[6574,""2302153-BK-P-Z-11""]",'SKU明细'!$AE$9:$AE$1592,0)),INDEX('SKU明细'!$H$9:$H$1592,MATCH("[6574,""2302153-BK-P-Z-6.5""]",'SKU明细'!$AE$9:$AE$1592,0)),INDEX('SKU明细'!$H$9:$H$1592,MATCH("[6574,""2302153-BK-P-Z-7""]",'SKU明细'!$AE$9:$AE$1592,0)),INDEX('SKU明细'!$H$9:$H$1592,MATCH("[6574,""2302153-BK-P-Z-8""]",'SKU明细'!$AE$9:$AE$1592,0)),INDEX('SKU明细'!$H$9:$H$1592,MATCH("[6574,""2302153-BK-P-Z-8.5""]",'SKU明细'!$AE$9:$AE$1592,0)),INDEX('SKU明细'!$H$9:$H$1592,MATCH("[6574,""2302153-BK-P-Z-9""]",'SKU明细'!$AE$9:$AE$1592,0)),INDEX('SKU明细'!$H$9:$H$1592,MATCH("[6574,""2302153-BK-P-Z-9.5""]",'SKU明细'!$AE$9:$AE$1592,0)),INDEX('SKU明细'!$H$9:$H$1592,MATCH("[6574,""2302153-BK-P-Z-6""]",'SKU明细'!$AE$9:$AE$1592,0)),INDEX('SKU明细'!$H$9:$H$1592,MATCH("[6574,""2302153-BK-P-Z-7.5""]",'SKU明细'!$AE$9:$AE$1592,0)))=11,COUNT(INDEX('SKU明细'!$G$9:$G$1592,MATCH("[6574,""2302153-BK-P-Z-10""]",'SKU明细'!$AE$9:$AE$1592,0)),INDEX('SKU明细'!$G$9:$G$1592,MATCH("[6574,""2302153-BK-P-Z-10.5""]",'SKU明细'!$AE$9:$AE$1592,0)),INDEX('SKU明细'!$G$9:$G$1592,MATCH("[6574,""2302153-BK-P-Z-11""]",'SKU明细'!$AE$9:$AE$1592,0)),INDEX('SKU明细'!$G$9:$G$1592,MATCH("[6574,""2302153-BK-P-Z-6.5""]",'SKU明细'!$AE$9:$AE$1592,0)),INDEX('SKU明细'!$G$9:$G$1592,MATCH("[6574,""2302153-BK-P-Z-7""]",'SKU明细'!$AE$9:$AE$1592,0)),INDEX('SKU明细'!$G$9:$G$1592,MATCH("[6574,""2302153-BK-P-Z-8""]",'SKU明细'!$AE$9:$AE$1592,0)),INDEX('SKU明细'!$G$9:$G$1592,MATCH("[6574,""2302153-BK-P-Z-8.5""]",'SKU明细'!$AE$9:$AE$1592,0)),INDEX('SKU明细'!$G$9:$G$1592,MATCH("[6574,""2302153-BK-P-Z-9""]",'SKU明细'!$AE$9:$AE$1592,0)),INDEX('SKU明细'!$G$9:$G$1592,MATCH("[6574,""2302153-BK-P-Z-9.5""]",'SKU明细'!$AE$9:$AE$1592,0)),INDEX('SKU明细'!$G$9:$G$1592,MATCH("[6574,""2302153-BK-P-Z-6""]",'SKU明细'!$AE$9:$AE$1592,0)),INDEX('SKU明细'!$G$9:$G$1592,MATCH("[6574,""2302153-BK-P-Z-7.5""]",'SKU明细'!$AE$9:$AE$1592,0)))=11,SUM(INDEX('SKU明细'!$G$9:$G$1592,MATCH("[6574,""2302153-BK-P-Z-10""]",'SKU明细'!$AE$9:$AE$1592,0)),INDEX('SKU明细'!$G$9:$G$1592,MATCH("[6574,""2302153-BK-P-Z-10.5""]",'SKU明细'!$AE$9:$AE$1592,0)),INDEX('SKU明细'!$G$9:$G$1592,MATCH("[6574,""2302153-BK-P-Z-11""]",'SKU明细'!$AE$9:$AE$1592,0)),INDEX('SKU明细'!$G$9:$G$1592,MATCH("[6574,""2302153-BK-P-Z-6.5""]",'SKU明细'!$AE$9:$AE$1592,0)),INDEX('SKU明细'!$G$9:$G$1592,MATCH("[6574,""2302153-BK-P-Z-7""]",'SKU明细'!$AE$9:$AE$1592,0)),INDEX('SKU明细'!$G$9:$G$1592,MATCH("[6574,""2302153-BK-P-Z-8""]",'SKU明细'!$AE$9:$AE$1592,0)),INDEX('SKU明细'!$G$9:$G$1592,MATCH("[6574,""2302153-BK-P-Z-8.5""]",'SKU明细'!$AE$9:$AE$1592,0)),INDEX('SKU明细'!$G$9:$G$1592,MATCH("[6574,""2302153-BK-P-Z-9""]",'SKU明细'!$AE$9:$AE$1592,0)),INDEX('SKU明细'!$G$9:$G$1592,MATCH("[6574,""2302153-BK-P-Z-9.5""]",'SKU明细'!$AE$9:$AE$1592,0)),INDEX('SKU明细'!$G$9:$G$1592,MATCH("[6574,""2302153-BK-P-Z-6""]",'SKU明细'!$AE$9:$AE$1592,0)),INDEX('SKU明细'!$G$9:$G$1592,MATCH("[6574,""2302153-BK-P-Z-7.5""]",'SKU明细'!$AE$9:$AE$1592,0)))&gt;0),SUM(INDEX('SKU明细'!$H$9:$H$1592,MATCH("[6574,""2302153-BK-P-Z-10""]",'SKU明细'!$AE$9:$AE$1592,0)),INDEX('SKU明细'!$H$9:$H$1592,MATCH("[6574,""2302153-BK-P-Z-10.5""]",'SKU明细'!$AE$9:$AE$1592,0)),INDEX('SKU明细'!$H$9:$H$1592,MATCH("[6574,""2302153-BK-P-Z-11""]",'SKU明细'!$AE$9:$AE$1592,0)),INDEX('SKU明细'!$H$9:$H$1592,MATCH("[6574,""2302153-BK-P-Z-6.5""]",'SKU明细'!$AE$9:$AE$1592,0)),INDEX('SKU明细'!$H$9:$H$1592,MATCH("[6574,""2302153-BK-P-Z-7""]",'SKU明细'!$AE$9:$AE$1592,0)),INDEX('SKU明细'!$H$9:$H$1592,MATCH("[6574,""2302153-BK-P-Z-8""]",'SKU明细'!$AE$9:$AE$1592,0)),INDEX('SKU明细'!$H$9:$H$1592,MATCH("[6574,""2302153-BK-P-Z-8.5""]",'SKU明细'!$AE$9:$AE$1592,0)),INDEX('SKU明细'!$H$9:$H$1592,MATCH("[6574,""2302153-BK-P-Z-9""]",'SKU明细'!$AE$9:$AE$1592,0)),INDEX('SKU明细'!$H$9:$H$1592,MATCH("[6574,""2302153-BK-P-Z-9.5""]",'SKU明细'!$AE$9:$AE$1592,0)),INDEX('SKU明细'!$H$9:$H$1592,MATCH("[6574,""2302153-BK-P-Z-6""]",'SKU明细'!$AE$9:$AE$1592,0)),INDEX('SKU明细'!$H$9:$H$1592,MATCH("[6574,""2302153-BK-P-Z-7.5""]",'SKU明细'!$AE$9:$AE$1592,0)))/SUM(INDEX('SKU明细'!$G$9:$G$1592,MATCH("[6574,""2302153-BK-P-Z-10""]",'SKU明细'!$AE$9:$AE$1592,0)),INDEX('SKU明细'!$G$9:$G$1592,MATCH("[6574,""2302153-BK-P-Z-10.5""]",'SKU明细'!$AE$9:$AE$1592,0)),INDEX('SKU明细'!$G$9:$G$1592,MATCH("[6574,""2302153-BK-P-Z-11""]",'SKU明细'!$AE$9:$AE$1592,0)),INDEX('SKU明细'!$G$9:$G$1592,MATCH("[6574,""2302153-BK-P-Z-6.5""]",'SKU明细'!$AE$9:$AE$1592,0)),INDEX('SKU明细'!$G$9:$G$1592,MATCH("[6574,""2302153-BK-P-Z-7""]",'SKU明细'!$AE$9:$AE$1592,0)),INDEX('SKU明细'!$G$9:$G$1592,MATCH("[6574,""2302153-BK-P-Z-8""]",'SKU明细'!$AE$9:$AE$1592,0)),INDEX('SKU明细'!$G$9:$G$1592,MATCH("[6574,""2302153-BK-P-Z-8.5""]",'SKU明细'!$AE$9:$AE$1592,0)),INDEX('SKU明细'!$G$9:$G$1592,MATCH("[6574,""2302153-BK-P-Z-9""]",'SKU明细'!$AE$9:$AE$1592,0)),INDEX('SKU明细'!$G$9:$G$1592,MATCH("[6574,""2302153-BK-P-Z-9.5""]",'SKU明细'!$AE$9:$AE$1592,0)),INDEX('SKU明细'!$G$9:$G$1592,MATCH("[6574,""2302153-BK-P-Z-6""]",'SKU明细'!$AE$9:$AE$1592,0)),INDEX('SKU明细'!$G$9:$G$1592,MATCH("[6574,""2302153-BK-P-Z-7.5""]",'SKU明细'!$AE$9:$AE$1592,0))),"待核")</x:f>
        <x:v>14.291065742648437</x:v>
      </x:c>
      <x:c r="T110" s="16" t="n">
        <x:f>IF(AND(COUNT(INDEX('SKU明细'!$I$9:$I$1592,MATCH("[6574,""2302153-BK-P-Z-10""]",'SKU明细'!$AE$9:$AE$1592,0)),INDEX('SKU明细'!$I$9:$I$1592,MATCH("[6574,""2302153-BK-P-Z-10.5""]",'SKU明细'!$AE$9:$AE$1592,0)),INDEX('SKU明细'!$I$9:$I$1592,MATCH("[6574,""2302153-BK-P-Z-11""]",'SKU明细'!$AE$9:$AE$1592,0)),INDEX('SKU明细'!$I$9:$I$1592,MATCH("[6574,""2302153-BK-P-Z-6.5""]",'SKU明细'!$AE$9:$AE$1592,0)),INDEX('SKU明细'!$I$9:$I$1592,MATCH("[6574,""2302153-BK-P-Z-7""]",'SKU明细'!$AE$9:$AE$1592,0)),INDEX('SKU明细'!$I$9:$I$1592,MATCH("[6574,""2302153-BK-P-Z-8""]",'SKU明细'!$AE$9:$AE$1592,0)),INDEX('SKU明细'!$I$9:$I$1592,MATCH("[6574,""2302153-BK-P-Z-8.5""]",'SKU明细'!$AE$9:$AE$1592,0)),INDEX('SKU明细'!$I$9:$I$1592,MATCH("[6574,""2302153-BK-P-Z-9""]",'SKU明细'!$AE$9:$AE$1592,0)),INDEX('SKU明细'!$I$9:$I$1592,MATCH("[6574,""2302153-BK-P-Z-9.5""]",'SKU明细'!$AE$9:$AE$1592,0)),INDEX('SKU明细'!$I$9:$I$1592,MATCH("[6574,""2302153-BK-P-Z-6""]",'SKU明细'!$AE$9:$AE$1592,0)),INDEX('SKU明细'!$I$9:$I$1592,MATCH("[6574,""2302153-BK-P-Z-7.5""]",'SKU明细'!$AE$9:$AE$1592,0)))=11,COUNT(INDEX('SKU明细'!$AD$9:$AD$1592,MATCH("[6574,""2302153-BK-P-Z-10""]",'SKU明细'!$AE$9:$AE$1592,0)),INDEX('SKU明细'!$AD$9:$AD$1592,MATCH("[6574,""2302153-BK-P-Z-10.5""]",'SKU明细'!$AE$9:$AE$1592,0)),INDEX('SKU明细'!$AD$9:$AD$1592,MATCH("[6574,""2302153-BK-P-Z-11""]",'SKU明细'!$AE$9:$AE$1592,0)),INDEX('SKU明细'!$AD$9:$AD$1592,MATCH("[6574,""2302153-BK-P-Z-6.5""]",'SKU明细'!$AE$9:$AE$1592,0)),INDEX('SKU明细'!$AD$9:$AD$1592,MATCH("[6574,""2302153-BK-P-Z-7""]",'SKU明细'!$AE$9:$AE$1592,0)),INDEX('SKU明细'!$AD$9:$AD$1592,MATCH("[6574,""2302153-BK-P-Z-8""]",'SKU明细'!$AE$9:$AE$1592,0)),INDEX('SKU明细'!$AD$9:$AD$1592,MATCH("[6574,""2302153-BK-P-Z-8.5""]",'SKU明细'!$AE$9:$AE$1592,0)),INDEX('SKU明细'!$AD$9:$AD$1592,MATCH("[6574,""2302153-BK-P-Z-9""]",'SKU明细'!$AE$9:$AE$1592,0)),INDEX('SKU明细'!$AD$9:$AD$1592,MATCH("[6574,""2302153-BK-P-Z-9.5""]",'SKU明细'!$AE$9:$AE$1592,0)),INDEX('SKU明细'!$AD$9:$AD$1592,MATCH("[6574,""2302153-BK-P-Z-6""]",'SKU明细'!$AE$9:$AE$1592,0)),INDEX('SKU明细'!$AD$9:$AD$1592,MATCH("[6574,""2302153-BK-P-Z-7.5""]",'SKU明细'!$AE$9:$AE$1592,0)))=11,SUM(INDEX('SKU明细'!$AD$9:$AD$1592,MATCH("[6574,""2302153-BK-P-Z-10""]",'SKU明细'!$AE$9:$AE$1592,0)),INDEX('SKU明细'!$AD$9:$AD$1592,MATCH("[6574,""2302153-BK-P-Z-10.5""]",'SKU明细'!$AE$9:$AE$1592,0)),INDEX('SKU明细'!$AD$9:$AD$1592,MATCH("[6574,""2302153-BK-P-Z-11""]",'SKU明细'!$AE$9:$AE$1592,0)),INDEX('SKU明细'!$AD$9:$AD$1592,MATCH("[6574,""2302153-BK-P-Z-6.5""]",'SKU明细'!$AE$9:$AE$1592,0)),INDEX('SKU明细'!$AD$9:$AD$1592,MATCH("[6574,""2302153-BK-P-Z-7""]",'SKU明细'!$AE$9:$AE$1592,0)),INDEX('SKU明细'!$AD$9:$AD$1592,MATCH("[6574,""2302153-BK-P-Z-8""]",'SKU明细'!$AE$9:$AE$1592,0)),INDEX('SKU明细'!$AD$9:$AD$1592,MATCH("[6574,""2302153-BK-P-Z-8.5""]",'SKU明细'!$AE$9:$AE$1592,0)),INDEX('SKU明细'!$AD$9:$AD$1592,MATCH("[6574,""2302153-BK-P-Z-9""]",'SKU明细'!$AE$9:$AE$1592,0)),INDEX('SKU明细'!$AD$9:$AD$1592,MATCH("[6574,""2302153-BK-P-Z-9.5""]",'SKU明细'!$AE$9:$AE$1592,0)),INDEX('SKU明细'!$AD$9:$AD$1592,MATCH("[6574,""2302153-BK-P-Z-6""]",'SKU明细'!$AE$9:$AE$1592,0)),INDEX('SKU明细'!$AD$9:$AD$1592,MATCH("[6574,""2302153-BK-P-Z-7.5""]",'SKU明细'!$AE$9:$AE$1592,0)))&gt;0),SUM(INDEX('SKU明细'!$I$9:$I$1592,MATCH("[6574,""2302153-BK-P-Z-10""]",'SKU明细'!$AE$9:$AE$1592,0)),INDEX('SKU明细'!$I$9:$I$1592,MATCH("[6574,""2302153-BK-P-Z-10.5""]",'SKU明细'!$AE$9:$AE$1592,0)),INDEX('SKU明细'!$I$9:$I$1592,MATCH("[6574,""2302153-BK-P-Z-11""]",'SKU明细'!$AE$9:$AE$1592,0)),INDEX('SKU明细'!$I$9:$I$1592,MATCH("[6574,""2302153-BK-P-Z-6.5""]",'SKU明细'!$AE$9:$AE$1592,0)),INDEX('SKU明细'!$I$9:$I$1592,MATCH("[6574,""2302153-BK-P-Z-7""]",'SKU明细'!$AE$9:$AE$1592,0)),INDEX('SKU明细'!$I$9:$I$1592,MATCH("[6574,""2302153-BK-P-Z-8""]",'SKU明细'!$AE$9:$AE$1592,0)),INDEX('SKU明细'!$I$9:$I$1592,MATCH("[6574,""2302153-BK-P-Z-8.5""]",'SKU明细'!$AE$9:$AE$1592,0)),INDEX('SKU明细'!$I$9:$I$1592,MATCH("[6574,""2302153-BK-P-Z-9""]",'SKU明细'!$AE$9:$AE$1592,0)),INDEX('SKU明细'!$I$9:$I$1592,MATCH("[6574,""2302153-BK-P-Z-9.5""]",'SKU明细'!$AE$9:$AE$1592,0)),INDEX('SKU明细'!$I$9:$I$1592,MATCH("[6574,""2302153-BK-P-Z-6""]",'SKU明细'!$AE$9:$AE$1592,0)),INDEX('SKU明细'!$I$9:$I$1592,MATCH("[6574,""2302153-BK-P-Z-7.5""]",'SKU明细'!$AE$9:$AE$1592,0)))/SUM(INDEX('SKU明细'!$AD$9:$AD$1592,MATCH("[6574,""2302153-BK-P-Z-10""]",'SKU明细'!$AE$9:$AE$1592,0)),INDEX('SKU明细'!$AD$9:$AD$1592,MATCH("[6574,""2302153-BK-P-Z-10.5""]",'SKU明细'!$AE$9:$AE$1592,0)),INDEX('SKU明细'!$AD$9:$AD$1592,MATCH("[6574,""2302153-BK-P-Z-11""]",'SKU明细'!$AE$9:$AE$1592,0)),INDEX('SKU明细'!$AD$9:$AD$1592,MATCH("[6574,""2302153-BK-P-Z-6.5""]",'SKU明细'!$AE$9:$AE$1592,0)),INDEX('SKU明细'!$AD$9:$AD$1592,MATCH("[6574,""2302153-BK-P-Z-7""]",'SKU明细'!$AE$9:$AE$1592,0)),INDEX('SKU明细'!$AD$9:$AD$1592,MATCH("[6574,""2302153-BK-P-Z-8""]",'SKU明细'!$AE$9:$AE$1592,0)),INDEX('SKU明细'!$AD$9:$AD$1592,MATCH("[6574,""2302153-BK-P-Z-8.5""]",'SKU明细'!$AE$9:$AE$1592,0)),INDEX('SKU明细'!$AD$9:$AD$1592,MATCH("[6574,""2302153-BK-P-Z-9""]",'SKU明细'!$AE$9:$AE$1592,0)),INDEX('SKU明细'!$AD$9:$AD$1592,MATCH("[6574,""2302153-BK-P-Z-9.5""]",'SKU明细'!$AE$9:$AE$1592,0)),INDEX('SKU明细'!$AD$9:$AD$1592,MATCH("[6574,""2302153-BK-P-Z-6""]",'SKU明细'!$AE$9:$AE$1592,0)),INDEX('SKU明细'!$AD$9:$AD$1592,MATCH("[6574,""2302153-BK-P-Z-7.5""]",'SKU明细'!$AE$9:$AE$1592,0))),"待核")</x:f>
        <x:v>13.17030053034767</x:v>
      </x:c>
      <x:c r="U110" s="16" t="n">
        <x:f>IF(COUNT(S110:T110)=2,S110-T110,"待核")</x:f>
        <x:v>1.1207652123007659</x:v>
      </x:c>
      <x:c r="V110" s="17" t="n">
        <x:f>IF(AND(ISNUMBER(U110),ISNUMBER(T110),T110&lt;&gt;0),U110/T110,"")</x:f>
        <x:v>0.08509792238364206</x:v>
      </x:c>
      <x:c r="W110" s="18" t="n">
        <x:f>IF(COUNT(INDEX('SKU明细'!$H$9:$H$1592,MATCH("[6574,""2302153-BK-P-Z-10""]",'SKU明细'!$AE$9:$AE$1592,0)),INDEX('SKU明细'!$H$9:$H$1592,MATCH("[6574,""2302153-BK-P-Z-10.5""]",'SKU明细'!$AE$9:$AE$1592,0)),INDEX('SKU明细'!$H$9:$H$1592,MATCH("[6574,""2302153-BK-P-Z-11""]",'SKU明细'!$AE$9:$AE$1592,0)),INDEX('SKU明细'!$H$9:$H$1592,MATCH("[6574,""2302153-BK-P-Z-6.5""]",'SKU明细'!$AE$9:$AE$1592,0)),INDEX('SKU明细'!$H$9:$H$1592,MATCH("[6574,""2302153-BK-P-Z-7""]",'SKU明细'!$AE$9:$AE$1592,0)),INDEX('SKU明细'!$H$9:$H$1592,MATCH("[6574,""2302153-BK-P-Z-8""]",'SKU明细'!$AE$9:$AE$1592,0)),INDEX('SKU明细'!$H$9:$H$1592,MATCH("[6574,""2302153-BK-P-Z-8.5""]",'SKU明细'!$AE$9:$AE$1592,0)),INDEX('SKU明细'!$H$9:$H$1592,MATCH("[6574,""2302153-BK-P-Z-9""]",'SKU明细'!$AE$9:$AE$1592,0)),INDEX('SKU明细'!$H$9:$H$1592,MATCH("[6574,""2302153-BK-P-Z-9.5""]",'SKU明细'!$AE$9:$AE$1592,0)),INDEX('SKU明细'!$H$9:$H$1592,MATCH("[6574,""2302153-BK-P-Z-6""]",'SKU明细'!$AE$9:$AE$1592,0)),INDEX('SKU明细'!$H$9:$H$1592,MATCH("[6574,""2302153-BK-P-Z-7.5""]",'SKU明细'!$AE$9:$AE$1592,0)))=0,"待核",SUM(INDEX('SKU明细'!$H$9:$H$1592,MATCH("[6574,""2302153-BK-P-Z-10""]",'SKU明细'!$AE$9:$AE$1592,0)),INDEX('SKU明细'!$H$9:$H$1592,MATCH("[6574,""2302153-BK-P-Z-10.5""]",'SKU明细'!$AE$9:$AE$1592,0)),INDEX('SKU明细'!$H$9:$H$1592,MATCH("[6574,""2302153-BK-P-Z-11""]",'SKU明细'!$AE$9:$AE$1592,0)),INDEX('SKU明细'!$H$9:$H$1592,MATCH("[6574,""2302153-BK-P-Z-6.5""]",'SKU明细'!$AE$9:$AE$1592,0)),INDEX('SKU明细'!$H$9:$H$1592,MATCH("[6574,""2302153-BK-P-Z-7""]",'SKU明细'!$AE$9:$AE$1592,0)),INDEX('SKU明细'!$H$9:$H$1592,MATCH("[6574,""2302153-BK-P-Z-8""]",'SKU明细'!$AE$9:$AE$1592,0)),INDEX('SKU明细'!$H$9:$H$1592,MATCH("[6574,""2302153-BK-P-Z-8.5""]",'SKU明细'!$AE$9:$AE$1592,0)),INDEX('SKU明细'!$H$9:$H$1592,MATCH("[6574,""2302153-BK-P-Z-9""]",'SKU明细'!$AE$9:$AE$1592,0)),INDEX('SKU明细'!$H$9:$H$1592,MATCH("[6574,""2302153-BK-P-Z-9.5""]",'SKU明细'!$AE$9:$AE$1592,0)),INDEX('SKU明细'!$H$9:$H$1592,MATCH("[6574,""2302153-BK-P-Z-6""]",'SKU明细'!$AE$9:$AE$1592,0)),INDEX('SKU明细'!$H$9:$H$1592,MATCH("[6574,""2302153-BK-P-Z-7.5""]",'SKU明细'!$AE$9:$AE$1592,0))))</x:f>
        <x:v>109</x:v>
      </x:c>
      <x:c r="X110" s="19" t="str">
        <x:f>IF(COUNTIFS('SKU明细'!$AH$9:$AH$1592,"[""2302153"",""2302153-BK-P-Z"",""BK-P"",""黑色""]",'SKU明细'!$E$9:$E$1592,"促销")&gt;0,"促销 ","")&amp;IF(COUNTIFS('SKU明细'!$AH$9:$AH$1592,"[""2302153"",""2302153-BK-P-Z"",""BK-P"",""黑色""]",'SKU明细'!$E$9:$E$1592,"红线促销")&gt;0,"红线促销 ","")&amp;IF(COUNTIFS('SKU明细'!$AH$9:$AH$1592,"[""2302153"",""2302153-BK-P-Z"",""BK-P"",""黑色""]",'SKU明细'!$E$9:$E$1592,"考虑清仓")&gt;0,"考虑清仓 ","")&amp;IF(COUNTIFS('SKU明细'!$AH$9:$AH$1592,"[""2302153"",""2302153-BK-P-Z"",""BK-P"",""黑色""]",'SKU明细'!$E$9:$E$1592,"断货")&gt;0,"断货 ","")&amp;IF(COUNTIFS('SKU明细'!$AH$9:$AH$1592,"[""2302153"",""2302153-BK-P-Z"",""BK-P"",""黑色""]",'SKU明细'!$E$9:$E$1592,"零日销待复核")&gt;0,"零日销待复核 ","")&amp;IF(COUNTIFS('SKU明细'!$AH$9:$AH$1592,"[""2302153"",""2302153-BK-P-Z"",""BK-P"",""黑色""]",'SKU明细'!$E$9:$E$1592,"数据待核")&gt;0,"数据待核 ","")&amp;IF(COUNTIFS('SKU明细'!$AH$9:$AH$1592,"[""2302153"",""2302153-BK-P-Z"",""BK-P"",""黑色""]",'SKU明细'!$E$9:$E$1592,"正常库存")&gt;0,"正常库存 ","")&amp;IF(COUNTIFS('SKU明细'!$AH$9:$AH$1592,"[""2302153"",""2302153-BK-P-Z"",""BK-P"",""黑色""]",'SKU明细'!$E$9:$E$1592,"补货提醒")&gt;0,"补货提醒 ","")</x:f>
        <x:v>断货 正常库存 补货提醒 </x:v>
      </x:c>
      <x:c r="Y110" s="19" t="str">
        <x:f>IF(NOT(ISNUMBER(U110)),"覆盖待核／无可比基准","完整可比")</x:f>
        <x:v>完整可比</x:v>
      </x:c>
      <x:c r="Z110" s="19" t="str">
        <x:v>在售</x:v>
      </x:c>
      <x:c r="AA110" s="19" t="n">
        <x:f>IF(SUMIFS('SKU明细'!$AF$9:$AF$1592,'SKU明细'!$D$9:$D$1592,A110,'SKU明细'!$Z$9:$Z$1592,"&lt;&gt;移出")=0,"待核",SUMIFS('SKU明细'!$H$9:$H$1592,'SKU明细'!$D$9:$D$1592,A110,'SKU明细'!$Z$9:$Z$1592,"&lt;&gt;移出"))</x:f>
        <x:v>1112</x:v>
      </x:c>
    </x:row>
    <x:row r="111" ht="54" customHeight="1">
      <x:c r="A111" s="15" t="str">
        <x:v>2302153</x:v>
      </x:c>
      <x:c r="B111" s="15" t="str">
        <x:v>徐新怡</x:v>
      </x:c>
      <x:c r="C111" s="15" t="str">
        <x:v>黑色</x:v>
      </x:c>
      <x:c r="D111" s="15" t="str">
        <x:v>BK</x:v>
      </x:c>
      <x:c r="E111" s="15" t="str">
        <x:v>2302153-BK-S-Z</x:v>
      </x:c>
      <x:c r="F111" s="15"/>
      <x:c r="G111" s="16" t="str">
        <x:f>"—"</x:f>
        <x:v>—</x:v>
      </x:c>
      <x:c r="H111" s="16" t="n">
        <x:f>IF(AND(COUNT(INDEX('SKU明细'!$H$9:$H$1592,MATCH("[6574,""2302153-BK-S-Z-6""]",'SKU明细'!$AE$9:$AE$1592,0)))=1,COUNT(INDEX('SKU明细'!$G$9:$G$1592,MATCH("[6574,""2302153-BK-S-Z-6""]",'SKU明细'!$AE$9:$AE$1592,0)))=1,SUM(INDEX('SKU明细'!$G$9:$G$1592,MATCH("[6574,""2302153-BK-S-Z-6""]",'SKU明细'!$AE$9:$AE$1592,0)))&gt;0),SUM(INDEX('SKU明细'!$H$9:$H$1592,MATCH("[6574,""2302153-BK-S-Z-6""]",'SKU明细'!$AE$9:$AE$1592,0)))/SUM(INDEX('SKU明细'!$G$9:$G$1592,MATCH("[6574,""2302153-BK-S-Z-6""]",'SKU明细'!$AE$9:$AE$1592,0))),"待核")</x:f>
        <x:v>26.194097961667175</x:v>
      </x:c>
      <x:c r="I111" s="16" t="n">
        <x:f>IF(AND(COUNT(INDEX('SKU明细'!$H$9:$H$1592,MATCH("[6574,""2302153-BK-S-Z-6.5""]",'SKU明细'!$AE$9:$AE$1592,0)))=1,COUNT(INDEX('SKU明细'!$G$9:$G$1592,MATCH("[6574,""2302153-BK-S-Z-6.5""]",'SKU明细'!$AE$9:$AE$1592,0)))=1,SUM(INDEX('SKU明细'!$G$9:$G$1592,MATCH("[6574,""2302153-BK-S-Z-6.5""]",'SKU明细'!$AE$9:$AE$1592,0)))&gt;0),SUM(INDEX('SKU明细'!$H$9:$H$1592,MATCH("[6574,""2302153-BK-S-Z-6.5""]",'SKU明细'!$AE$9:$AE$1592,0)))/SUM(INDEX('SKU明细'!$G$9:$G$1592,MATCH("[6574,""2302153-BK-S-Z-6.5""]",'SKU明细'!$AE$9:$AE$1592,0))),"待核")</x:f>
        <x:v>69.31311329170383</x:v>
      </x:c>
      <x:c r="J111" s="16" t="n">
        <x:f>IF(AND(COUNT(INDEX('SKU明细'!$H$9:$H$1592,MATCH("[6574,""2302153-BK-S-Z-7""]",'SKU明细'!$AE$9:$AE$1592,0)))=1,COUNT(INDEX('SKU明细'!$G$9:$G$1592,MATCH("[6574,""2302153-BK-S-Z-7""]",'SKU明细'!$AE$9:$AE$1592,0)))=1,SUM(INDEX('SKU明细'!$G$9:$G$1592,MATCH("[6574,""2302153-BK-S-Z-7""]",'SKU明细'!$AE$9:$AE$1592,0)))&gt;0),SUM(INDEX('SKU明细'!$H$9:$H$1592,MATCH("[6574,""2302153-BK-S-Z-7""]",'SKU明细'!$AE$9:$AE$1592,0)))/SUM(INDEX('SKU明细'!$G$9:$G$1592,MATCH("[6574,""2302153-BK-S-Z-7""]",'SKU明细'!$AE$9:$AE$1592,0))),"待核")</x:f>
        <x:v>0.5765271105010294</x:v>
      </x:c>
      <x:c r="K111" s="16" t="n">
        <x:f>IF(AND(COUNT(INDEX('SKU明细'!$H$9:$H$1592,MATCH("[6574,""2302153-BK-S-Z-7.5""]",'SKU明细'!$AE$9:$AE$1592,0)))=1,COUNT(INDEX('SKU明细'!$G$9:$G$1592,MATCH("[6574,""2302153-BK-S-Z-7.5""]",'SKU明细'!$AE$9:$AE$1592,0)))=1,SUM(INDEX('SKU明细'!$G$9:$G$1592,MATCH("[6574,""2302153-BK-S-Z-7.5""]",'SKU明细'!$AE$9:$AE$1592,0)))&gt;0),SUM(INDEX('SKU明细'!$H$9:$H$1592,MATCH("[6574,""2302153-BK-S-Z-7.5""]",'SKU明细'!$AE$9:$AE$1592,0)))/SUM(INDEX('SKU明细'!$G$9:$G$1592,MATCH("[6574,""2302153-BK-S-Z-7.5""]",'SKU明细'!$AE$9:$AE$1592,0))),"待核")</x:f>
        <x:v>16.949722549184465</x:v>
      </x:c>
      <x:c r="L111" s="16" t="n">
        <x:f>IF(AND(COUNT(INDEX('SKU明细'!$H$9:$H$1592,MATCH("[6574,""2302153-BK-S-Z-8""]",'SKU明细'!$AE$9:$AE$1592,0)))=1,COUNT(INDEX('SKU明细'!$G$9:$G$1592,MATCH("[6574,""2302153-BK-S-Z-8""]",'SKU明细'!$AE$9:$AE$1592,0)))=1,SUM(INDEX('SKU明细'!$G$9:$G$1592,MATCH("[6574,""2302153-BK-S-Z-8""]",'SKU明细'!$AE$9:$AE$1592,0)))&gt;0),SUM(INDEX('SKU明细'!$H$9:$H$1592,MATCH("[6574,""2302153-BK-S-Z-8""]",'SKU明细'!$AE$9:$AE$1592,0)))/SUM(INDEX('SKU明细'!$G$9:$G$1592,MATCH("[6574,""2302153-BK-S-Z-8""]",'SKU明细'!$AE$9:$AE$1592,0))),"待核")</x:f>
        <x:v>0.27184466019417475</x:v>
      </x:c>
      <x:c r="M111" s="16" t="n">
        <x:f>IF(AND(COUNT(INDEX('SKU明细'!$H$9:$H$1592,MATCH("[6574,""2302153-BK-S-Z-8.5""]",'SKU明细'!$AE$9:$AE$1592,0)))=1,COUNT(INDEX('SKU明细'!$G$9:$G$1592,MATCH("[6574,""2302153-BK-S-Z-8.5""]",'SKU明细'!$AE$9:$AE$1592,0)))=1,SUM(INDEX('SKU明细'!$G$9:$G$1592,MATCH("[6574,""2302153-BK-S-Z-8.5""]",'SKU明细'!$AE$9:$AE$1592,0)))&gt;0),SUM(INDEX('SKU明细'!$H$9:$H$1592,MATCH("[6574,""2302153-BK-S-Z-8.5""]",'SKU明细'!$AE$9:$AE$1592,0)))/SUM(INDEX('SKU明细'!$G$9:$G$1592,MATCH("[6574,""2302153-BK-S-Z-8.5""]",'SKU明细'!$AE$9:$AE$1592,0))),"待核")</x:f>
        <x:v>33.568406205923836</x:v>
      </x:c>
      <x:c r="N111" s="16" t="n">
        <x:f>IF(AND(COUNT(INDEX('SKU明细'!$H$9:$H$1592,MATCH("[6574,""2302153-BK-S-Z-9""]",'SKU明细'!$AE$9:$AE$1592,0)))=1,COUNT(INDEX('SKU明细'!$G$9:$G$1592,MATCH("[6574,""2302153-BK-S-Z-9""]",'SKU明细'!$AE$9:$AE$1592,0)))=1,SUM(INDEX('SKU明细'!$G$9:$G$1592,MATCH("[6574,""2302153-BK-S-Z-9""]",'SKU明细'!$AE$9:$AE$1592,0)))&gt;0),SUM(INDEX('SKU明细'!$H$9:$H$1592,MATCH("[6574,""2302153-BK-S-Z-9""]",'SKU明细'!$AE$9:$AE$1592,0)))/SUM(INDEX('SKU明细'!$G$9:$G$1592,MATCH("[6574,""2302153-BK-S-Z-9""]",'SKU明细'!$AE$9:$AE$1592,0))),"待核")</x:f>
        <x:v>27.075658826863133</x:v>
      </x:c>
      <x:c r="O111" s="16" t="n">
        <x:f>IF(AND(COUNT(INDEX('SKU明细'!$H$9:$H$1592,MATCH("[6574,""2302153-BK-S-Z-9.5""]",'SKU明细'!$AE$9:$AE$1592,0)))=1,COUNT(INDEX('SKU明细'!$G$9:$G$1592,MATCH("[6574,""2302153-BK-S-Z-9.5""]",'SKU明细'!$AE$9:$AE$1592,0)))=1,SUM(INDEX('SKU明细'!$G$9:$G$1592,MATCH("[6574,""2302153-BK-S-Z-9.5""]",'SKU明细'!$AE$9:$AE$1592,0)))&gt;0),SUM(INDEX('SKU明细'!$H$9:$H$1592,MATCH("[6574,""2302153-BK-S-Z-9.5""]",'SKU明细'!$AE$9:$AE$1592,0)))/SUM(INDEX('SKU明细'!$G$9:$G$1592,MATCH("[6574,""2302153-BK-S-Z-9.5""]",'SKU明细'!$AE$9:$AE$1592,0))),"待核")</x:f>
        <x:v>43.472966390647834</x:v>
      </x:c>
      <x:c r="P111" s="16" t="n">
        <x:f>IF(AND(COUNT(INDEX('SKU明细'!$H$9:$H$1592,MATCH("[6574,""2302153-BK-S-Z-10""]",'SKU明细'!$AE$9:$AE$1592,0)))=1,COUNT(INDEX('SKU明细'!$G$9:$G$1592,MATCH("[6574,""2302153-BK-S-Z-10""]",'SKU明细'!$AE$9:$AE$1592,0)))=1,SUM(INDEX('SKU明细'!$G$9:$G$1592,MATCH("[6574,""2302153-BK-S-Z-10""]",'SKU明细'!$AE$9:$AE$1592,0)))&gt;0),SUM(INDEX('SKU明细'!$H$9:$H$1592,MATCH("[6574,""2302153-BK-S-Z-10""]",'SKU明细'!$AE$9:$AE$1592,0)))/SUM(INDEX('SKU明细'!$G$9:$G$1592,MATCH("[6574,""2302153-BK-S-Z-10""]",'SKU明细'!$AE$9:$AE$1592,0))),"待核")</x:f>
        <x:v>83.88625592417061</x:v>
      </x:c>
      <x:c r="Q111" s="16" t="n">
        <x:f>IF(AND(COUNT(INDEX('SKU明细'!$H$9:$H$1592,MATCH("[6574,""2302153-BK-S-Z-10.5""]",'SKU明细'!$AE$9:$AE$1592,0)))=1,COUNT(INDEX('SKU明细'!$G$9:$G$1592,MATCH("[6574,""2302153-BK-S-Z-10.5""]",'SKU明细'!$AE$9:$AE$1592,0)))=1,SUM(INDEX('SKU明细'!$G$9:$G$1592,MATCH("[6574,""2302153-BK-S-Z-10.5""]",'SKU明细'!$AE$9:$AE$1592,0)))&gt;0),SUM(INDEX('SKU明细'!$H$9:$H$1592,MATCH("[6574,""2302153-BK-S-Z-10.5""]",'SKU明细'!$AE$9:$AE$1592,0)))/SUM(INDEX('SKU明细'!$G$9:$G$1592,MATCH("[6574,""2302153-BK-S-Z-10.5""]",'SKU明细'!$AE$9:$AE$1592,0))),"待核")</x:f>
        <x:v>0</x:v>
      </x:c>
      <x:c r="R111" s="16" t="n">
        <x:f>IF(AND(COUNT(INDEX('SKU明细'!$H$9:$H$1592,MATCH("[6574,""2302153-BK-S-Z-11""]",'SKU明细'!$AE$9:$AE$1592,0)))=1,COUNT(INDEX('SKU明细'!$G$9:$G$1592,MATCH("[6574,""2302153-BK-S-Z-11""]",'SKU明细'!$AE$9:$AE$1592,0)))=1,SUM(INDEX('SKU明细'!$G$9:$G$1592,MATCH("[6574,""2302153-BK-S-Z-11""]",'SKU明细'!$AE$9:$AE$1592,0)))&gt;0),SUM(INDEX('SKU明细'!$H$9:$H$1592,MATCH("[6574,""2302153-BK-S-Z-11""]",'SKU明细'!$AE$9:$AE$1592,0)))/SUM(INDEX('SKU明细'!$G$9:$G$1592,MATCH("[6574,""2302153-BK-S-Z-11""]",'SKU明细'!$AE$9:$AE$1592,0))),"待核")</x:f>
        <x:v>12.223515715948778</x:v>
      </x:c>
      <x:c r="S111" s="16" t="n">
        <x:f>IF(AND(COUNT(INDEX('SKU明细'!$H$9:$H$1592,MATCH("[6574,""2302153-BK-S-Z-10.5""]",'SKU明细'!$AE$9:$AE$1592,0)),INDEX('SKU明细'!$H$9:$H$1592,MATCH("[6574,""2302153-BK-S-Z-10""]",'SKU明细'!$AE$9:$AE$1592,0)),INDEX('SKU明细'!$H$9:$H$1592,MATCH("[6574,""2302153-BK-S-Z-6.5""]",'SKU明细'!$AE$9:$AE$1592,0)),INDEX('SKU明细'!$H$9:$H$1592,MATCH("[6574,""2302153-BK-S-Z-11""]",'SKU明细'!$AE$9:$AE$1592,0)),INDEX('SKU明细'!$H$9:$H$1592,MATCH("[6574,""2302153-BK-S-Z-6""]",'SKU明细'!$AE$9:$AE$1592,0)),INDEX('SKU明细'!$H$9:$H$1592,MATCH("[6574,""2302153-BK-S-Z-7""]",'SKU明细'!$AE$9:$AE$1592,0)),INDEX('SKU明细'!$H$9:$H$1592,MATCH("[6574,""2302153-BK-S-Z-7.5""]",'SKU明细'!$AE$9:$AE$1592,0)),INDEX('SKU明细'!$H$9:$H$1592,MATCH("[6574,""2302153-BK-S-Z-8""]",'SKU明细'!$AE$9:$AE$1592,0)),INDEX('SKU明细'!$H$9:$H$1592,MATCH("[6574,""2302153-BK-S-Z-8.5""]",'SKU明细'!$AE$9:$AE$1592,0)),INDEX('SKU明细'!$H$9:$H$1592,MATCH("[6574,""2302153-BK-S-Z-9""]",'SKU明细'!$AE$9:$AE$1592,0)),INDEX('SKU明细'!$H$9:$H$1592,MATCH("[6574,""2302153-BK-S-Z-9.5""]",'SKU明细'!$AE$9:$AE$1592,0)))=11,COUNT(INDEX('SKU明细'!$G$9:$G$1592,MATCH("[6574,""2302153-BK-S-Z-10.5""]",'SKU明细'!$AE$9:$AE$1592,0)),INDEX('SKU明细'!$G$9:$G$1592,MATCH("[6574,""2302153-BK-S-Z-10""]",'SKU明细'!$AE$9:$AE$1592,0)),INDEX('SKU明细'!$G$9:$G$1592,MATCH("[6574,""2302153-BK-S-Z-6.5""]",'SKU明细'!$AE$9:$AE$1592,0)),INDEX('SKU明细'!$G$9:$G$1592,MATCH("[6574,""2302153-BK-S-Z-11""]",'SKU明细'!$AE$9:$AE$1592,0)),INDEX('SKU明细'!$G$9:$G$1592,MATCH("[6574,""2302153-BK-S-Z-6""]",'SKU明细'!$AE$9:$AE$1592,0)),INDEX('SKU明细'!$G$9:$G$1592,MATCH("[6574,""2302153-BK-S-Z-7""]",'SKU明细'!$AE$9:$AE$1592,0)),INDEX('SKU明细'!$G$9:$G$1592,MATCH("[6574,""2302153-BK-S-Z-7.5""]",'SKU明细'!$AE$9:$AE$1592,0)),INDEX('SKU明细'!$G$9:$G$1592,MATCH("[6574,""2302153-BK-S-Z-8""]",'SKU明细'!$AE$9:$AE$1592,0)),INDEX('SKU明细'!$G$9:$G$1592,MATCH("[6574,""2302153-BK-S-Z-8.5""]",'SKU明细'!$AE$9:$AE$1592,0)),INDEX('SKU明细'!$G$9:$G$1592,MATCH("[6574,""2302153-BK-S-Z-9""]",'SKU明细'!$AE$9:$AE$1592,0)),INDEX('SKU明细'!$G$9:$G$1592,MATCH("[6574,""2302153-BK-S-Z-9.5""]",'SKU明细'!$AE$9:$AE$1592,0)))=11,SUM(INDEX('SKU明细'!$G$9:$G$1592,MATCH("[6574,""2302153-BK-S-Z-10.5""]",'SKU明细'!$AE$9:$AE$1592,0)),INDEX('SKU明细'!$G$9:$G$1592,MATCH("[6574,""2302153-BK-S-Z-10""]",'SKU明细'!$AE$9:$AE$1592,0)),INDEX('SKU明细'!$G$9:$G$1592,MATCH("[6574,""2302153-BK-S-Z-6.5""]",'SKU明细'!$AE$9:$AE$1592,0)),INDEX('SKU明细'!$G$9:$G$1592,MATCH("[6574,""2302153-BK-S-Z-11""]",'SKU明细'!$AE$9:$AE$1592,0)),INDEX('SKU明细'!$G$9:$G$1592,MATCH("[6574,""2302153-BK-S-Z-6""]",'SKU明细'!$AE$9:$AE$1592,0)),INDEX('SKU明细'!$G$9:$G$1592,MATCH("[6574,""2302153-BK-S-Z-7""]",'SKU明细'!$AE$9:$AE$1592,0)),INDEX('SKU明细'!$G$9:$G$1592,MATCH("[6574,""2302153-BK-S-Z-7.5""]",'SKU明细'!$AE$9:$AE$1592,0)),INDEX('SKU明细'!$G$9:$G$1592,MATCH("[6574,""2302153-BK-S-Z-8""]",'SKU明细'!$AE$9:$AE$1592,0)),INDEX('SKU明细'!$G$9:$G$1592,MATCH("[6574,""2302153-BK-S-Z-8.5""]",'SKU明细'!$AE$9:$AE$1592,0)),INDEX('SKU明细'!$G$9:$G$1592,MATCH("[6574,""2302153-BK-S-Z-9""]",'SKU明细'!$AE$9:$AE$1592,0)),INDEX('SKU明细'!$G$9:$G$1592,MATCH("[6574,""2302153-BK-S-Z-9.5""]",'SKU明细'!$AE$9:$AE$1592,0)))&gt;0),SUM(INDEX('SKU明细'!$H$9:$H$1592,MATCH("[6574,""2302153-BK-S-Z-10.5""]",'SKU明细'!$AE$9:$AE$1592,0)),INDEX('SKU明细'!$H$9:$H$1592,MATCH("[6574,""2302153-BK-S-Z-10""]",'SKU明细'!$AE$9:$AE$1592,0)),INDEX('SKU明细'!$H$9:$H$1592,MATCH("[6574,""2302153-BK-S-Z-6.5""]",'SKU明细'!$AE$9:$AE$1592,0)),INDEX('SKU明细'!$H$9:$H$1592,MATCH("[6574,""2302153-BK-S-Z-11""]",'SKU明细'!$AE$9:$AE$1592,0)),INDEX('SKU明细'!$H$9:$H$1592,MATCH("[6574,""2302153-BK-S-Z-6""]",'SKU明细'!$AE$9:$AE$1592,0)),INDEX('SKU明细'!$H$9:$H$1592,MATCH("[6574,""2302153-BK-S-Z-7""]",'SKU明细'!$AE$9:$AE$1592,0)),INDEX('SKU明细'!$H$9:$H$1592,MATCH("[6574,""2302153-BK-S-Z-7.5""]",'SKU明细'!$AE$9:$AE$1592,0)),INDEX('SKU明细'!$H$9:$H$1592,MATCH("[6574,""2302153-BK-S-Z-8""]",'SKU明细'!$AE$9:$AE$1592,0)),INDEX('SKU明细'!$H$9:$H$1592,MATCH("[6574,""2302153-BK-S-Z-8.5""]",'SKU明细'!$AE$9:$AE$1592,0)),INDEX('SKU明细'!$H$9:$H$1592,MATCH("[6574,""2302153-BK-S-Z-9""]",'SKU明细'!$AE$9:$AE$1592,0)),INDEX('SKU明细'!$H$9:$H$1592,MATCH("[6574,""2302153-BK-S-Z-9.5""]",'SKU明细'!$AE$9:$AE$1592,0)))/SUM(INDEX('SKU明细'!$G$9:$G$1592,MATCH("[6574,""2302153-BK-S-Z-10.5""]",'SKU明细'!$AE$9:$AE$1592,0)),INDEX('SKU明细'!$G$9:$G$1592,MATCH("[6574,""2302153-BK-S-Z-10""]",'SKU明细'!$AE$9:$AE$1592,0)),INDEX('SKU明细'!$G$9:$G$1592,MATCH("[6574,""2302153-BK-S-Z-6.5""]",'SKU明细'!$AE$9:$AE$1592,0)),INDEX('SKU明细'!$G$9:$G$1592,MATCH("[6574,""2302153-BK-S-Z-11""]",'SKU明细'!$AE$9:$AE$1592,0)),INDEX('SKU明细'!$G$9:$G$1592,MATCH("[6574,""2302153-BK-S-Z-6""]",'SKU明细'!$AE$9:$AE$1592,0)),INDEX('SKU明细'!$G$9:$G$1592,MATCH("[6574,""2302153-BK-S-Z-7""]",'SKU明细'!$AE$9:$AE$1592,0)),INDEX('SKU明细'!$G$9:$G$1592,MATCH("[6574,""2302153-BK-S-Z-7.5""]",'SKU明细'!$AE$9:$AE$1592,0)),INDEX('SKU明细'!$G$9:$G$1592,MATCH("[6574,""2302153-BK-S-Z-8""]",'SKU明细'!$AE$9:$AE$1592,0)),INDEX('SKU明细'!$G$9:$G$1592,MATCH("[6574,""2302153-BK-S-Z-8.5""]",'SKU明细'!$AE$9:$AE$1592,0)),INDEX('SKU明细'!$G$9:$G$1592,MATCH("[6574,""2302153-BK-S-Z-9""]",'SKU明细'!$AE$9:$AE$1592,0)),INDEX('SKU明细'!$G$9:$G$1592,MATCH("[6574,""2302153-BK-S-Z-9.5""]",'SKU明细'!$AE$9:$AE$1592,0))),"待核")</x:f>
        <x:v>23.356391327094116</x:v>
      </x:c>
      <x:c r="T111" s="16" t="n">
        <x:f>IF(AND(COUNT(INDEX('SKU明细'!$I$9:$I$1592,MATCH("[6574,""2302153-BK-S-Z-10.5""]",'SKU明细'!$AE$9:$AE$1592,0)),INDEX('SKU明细'!$I$9:$I$1592,MATCH("[6574,""2302153-BK-S-Z-10""]",'SKU明细'!$AE$9:$AE$1592,0)),INDEX('SKU明细'!$I$9:$I$1592,MATCH("[6574,""2302153-BK-S-Z-6.5""]",'SKU明细'!$AE$9:$AE$1592,0)),INDEX('SKU明细'!$I$9:$I$1592,MATCH("[6574,""2302153-BK-S-Z-11""]",'SKU明细'!$AE$9:$AE$1592,0)),INDEX('SKU明细'!$I$9:$I$1592,MATCH("[6574,""2302153-BK-S-Z-6""]",'SKU明细'!$AE$9:$AE$1592,0)),INDEX('SKU明细'!$I$9:$I$1592,MATCH("[6574,""2302153-BK-S-Z-7""]",'SKU明细'!$AE$9:$AE$1592,0)),INDEX('SKU明细'!$I$9:$I$1592,MATCH("[6574,""2302153-BK-S-Z-7.5""]",'SKU明细'!$AE$9:$AE$1592,0)),INDEX('SKU明细'!$I$9:$I$1592,MATCH("[6574,""2302153-BK-S-Z-8""]",'SKU明细'!$AE$9:$AE$1592,0)),INDEX('SKU明细'!$I$9:$I$1592,MATCH("[6574,""2302153-BK-S-Z-8.5""]",'SKU明细'!$AE$9:$AE$1592,0)),INDEX('SKU明细'!$I$9:$I$1592,MATCH("[6574,""2302153-BK-S-Z-9""]",'SKU明细'!$AE$9:$AE$1592,0)),INDEX('SKU明细'!$I$9:$I$1592,MATCH("[6574,""2302153-BK-S-Z-9.5""]",'SKU明细'!$AE$9:$AE$1592,0)))=11,COUNT(INDEX('SKU明细'!$AD$9:$AD$1592,MATCH("[6574,""2302153-BK-S-Z-10.5""]",'SKU明细'!$AE$9:$AE$1592,0)),INDEX('SKU明细'!$AD$9:$AD$1592,MATCH("[6574,""2302153-BK-S-Z-10""]",'SKU明细'!$AE$9:$AE$1592,0)),INDEX('SKU明细'!$AD$9:$AD$1592,MATCH("[6574,""2302153-BK-S-Z-6.5""]",'SKU明细'!$AE$9:$AE$1592,0)),INDEX('SKU明细'!$AD$9:$AD$1592,MATCH("[6574,""2302153-BK-S-Z-11""]",'SKU明细'!$AE$9:$AE$1592,0)),INDEX('SKU明细'!$AD$9:$AD$1592,MATCH("[6574,""2302153-BK-S-Z-6""]",'SKU明细'!$AE$9:$AE$1592,0)),INDEX('SKU明细'!$AD$9:$AD$1592,MATCH("[6574,""2302153-BK-S-Z-7""]",'SKU明细'!$AE$9:$AE$1592,0)),INDEX('SKU明细'!$AD$9:$AD$1592,MATCH("[6574,""2302153-BK-S-Z-7.5""]",'SKU明细'!$AE$9:$AE$1592,0)),INDEX('SKU明细'!$AD$9:$AD$1592,MATCH("[6574,""2302153-BK-S-Z-8""]",'SKU明细'!$AE$9:$AE$1592,0)),INDEX('SKU明细'!$AD$9:$AD$1592,MATCH("[6574,""2302153-BK-S-Z-8.5""]",'SKU明细'!$AE$9:$AE$1592,0)),INDEX('SKU明细'!$AD$9:$AD$1592,MATCH("[6574,""2302153-BK-S-Z-9""]",'SKU明细'!$AE$9:$AE$1592,0)),INDEX('SKU明细'!$AD$9:$AD$1592,MATCH("[6574,""2302153-BK-S-Z-9.5""]",'SKU明细'!$AE$9:$AE$1592,0)))=11,SUM(INDEX('SKU明细'!$AD$9:$AD$1592,MATCH("[6574,""2302153-BK-S-Z-10.5""]",'SKU明细'!$AE$9:$AE$1592,0)),INDEX('SKU明细'!$AD$9:$AD$1592,MATCH("[6574,""2302153-BK-S-Z-10""]",'SKU明细'!$AE$9:$AE$1592,0)),INDEX('SKU明细'!$AD$9:$AD$1592,MATCH("[6574,""2302153-BK-S-Z-6.5""]",'SKU明细'!$AE$9:$AE$1592,0)),INDEX('SKU明细'!$AD$9:$AD$1592,MATCH("[6574,""2302153-BK-S-Z-11""]",'SKU明细'!$AE$9:$AE$1592,0)),INDEX('SKU明细'!$AD$9:$AD$1592,MATCH("[6574,""2302153-BK-S-Z-6""]",'SKU明细'!$AE$9:$AE$1592,0)),INDEX('SKU明细'!$AD$9:$AD$1592,MATCH("[6574,""2302153-BK-S-Z-7""]",'SKU明细'!$AE$9:$AE$1592,0)),INDEX('SKU明细'!$AD$9:$AD$1592,MATCH("[6574,""2302153-BK-S-Z-7.5""]",'SKU明细'!$AE$9:$AE$1592,0)),INDEX('SKU明细'!$AD$9:$AD$1592,MATCH("[6574,""2302153-BK-S-Z-8""]",'SKU明细'!$AE$9:$AE$1592,0)),INDEX('SKU明细'!$AD$9:$AD$1592,MATCH("[6574,""2302153-BK-S-Z-8.5""]",'SKU明细'!$AE$9:$AE$1592,0)),INDEX('SKU明细'!$AD$9:$AD$1592,MATCH("[6574,""2302153-BK-S-Z-9""]",'SKU明细'!$AE$9:$AE$1592,0)),INDEX('SKU明细'!$AD$9:$AD$1592,MATCH("[6574,""2302153-BK-S-Z-9.5""]",'SKU明细'!$AE$9:$AE$1592,0)))&gt;0),SUM(INDEX('SKU明细'!$I$9:$I$1592,MATCH("[6574,""2302153-BK-S-Z-10.5""]",'SKU明细'!$AE$9:$AE$1592,0)),INDEX('SKU明细'!$I$9:$I$1592,MATCH("[6574,""2302153-BK-S-Z-10""]",'SKU明细'!$AE$9:$AE$1592,0)),INDEX('SKU明细'!$I$9:$I$1592,MATCH("[6574,""2302153-BK-S-Z-6.5""]",'SKU明细'!$AE$9:$AE$1592,0)),INDEX('SKU明细'!$I$9:$I$1592,MATCH("[6574,""2302153-BK-S-Z-11""]",'SKU明细'!$AE$9:$AE$1592,0)),INDEX('SKU明细'!$I$9:$I$1592,MATCH("[6574,""2302153-BK-S-Z-6""]",'SKU明细'!$AE$9:$AE$1592,0)),INDEX('SKU明细'!$I$9:$I$1592,MATCH("[6574,""2302153-BK-S-Z-7""]",'SKU明细'!$AE$9:$AE$1592,0)),INDEX('SKU明细'!$I$9:$I$1592,MATCH("[6574,""2302153-BK-S-Z-7.5""]",'SKU明细'!$AE$9:$AE$1592,0)),INDEX('SKU明细'!$I$9:$I$1592,MATCH("[6574,""2302153-BK-S-Z-8""]",'SKU明细'!$AE$9:$AE$1592,0)),INDEX('SKU明细'!$I$9:$I$1592,MATCH("[6574,""2302153-BK-S-Z-8.5""]",'SKU明细'!$AE$9:$AE$1592,0)),INDEX('SKU明细'!$I$9:$I$1592,MATCH("[6574,""2302153-BK-S-Z-9""]",'SKU明细'!$AE$9:$AE$1592,0)),INDEX('SKU明细'!$I$9:$I$1592,MATCH("[6574,""2302153-BK-S-Z-9.5""]",'SKU明细'!$AE$9:$AE$1592,0)))/SUM(INDEX('SKU明细'!$AD$9:$AD$1592,MATCH("[6574,""2302153-BK-S-Z-10.5""]",'SKU明细'!$AE$9:$AE$1592,0)),INDEX('SKU明细'!$AD$9:$AD$1592,MATCH("[6574,""2302153-BK-S-Z-10""]",'SKU明细'!$AE$9:$AE$1592,0)),INDEX('SKU明细'!$AD$9:$AD$1592,MATCH("[6574,""2302153-BK-S-Z-6.5""]",'SKU明细'!$AE$9:$AE$1592,0)),INDEX('SKU明细'!$AD$9:$AD$1592,MATCH("[6574,""2302153-BK-S-Z-11""]",'SKU明细'!$AE$9:$AE$1592,0)),INDEX('SKU明细'!$AD$9:$AD$1592,MATCH("[6574,""2302153-BK-S-Z-6""]",'SKU明细'!$AE$9:$AE$1592,0)),INDEX('SKU明细'!$AD$9:$AD$1592,MATCH("[6574,""2302153-BK-S-Z-7""]",'SKU明细'!$AE$9:$AE$1592,0)),INDEX('SKU明细'!$AD$9:$AD$1592,MATCH("[6574,""2302153-BK-S-Z-7.5""]",'SKU明细'!$AE$9:$AE$1592,0)),INDEX('SKU明细'!$AD$9:$AD$1592,MATCH("[6574,""2302153-BK-S-Z-8""]",'SKU明细'!$AE$9:$AE$1592,0)),INDEX('SKU明细'!$AD$9:$AD$1592,MATCH("[6574,""2302153-BK-S-Z-8.5""]",'SKU明细'!$AE$9:$AE$1592,0)),INDEX('SKU明细'!$AD$9:$AD$1592,MATCH("[6574,""2302153-BK-S-Z-9""]",'SKU明细'!$AE$9:$AE$1592,0)),INDEX('SKU明细'!$AD$9:$AD$1592,MATCH("[6574,""2302153-BK-S-Z-9.5""]",'SKU明细'!$AE$9:$AE$1592,0))),"待核")</x:f>
        <x:v>37.03826955074875</x:v>
      </x:c>
      <x:c r="U111" s="16" t="n">
        <x:f>IF(COUNT(S111:T111)=2,S111-T111,"待核")</x:f>
        <x:v>-13.681878223654635</x:v>
      </x:c>
      <x:c r="V111" s="17" t="n">
        <x:f>IF(AND(ISNUMBER(U111),ISNUMBER(T111),T111&lt;&gt;0),U111/T111,"")</x:f>
        <x:v>-0.3693984192460214</x:v>
      </x:c>
      <x:c r="W111" s="18" t="n">
        <x:f>IF(COUNT(INDEX('SKU明细'!$H$9:$H$1592,MATCH("[6574,""2302153-BK-S-Z-10.5""]",'SKU明细'!$AE$9:$AE$1592,0)),INDEX('SKU明细'!$H$9:$H$1592,MATCH("[6574,""2302153-BK-S-Z-10""]",'SKU明细'!$AE$9:$AE$1592,0)),INDEX('SKU明细'!$H$9:$H$1592,MATCH("[6574,""2302153-BK-S-Z-6.5""]",'SKU明细'!$AE$9:$AE$1592,0)),INDEX('SKU明细'!$H$9:$H$1592,MATCH("[6574,""2302153-BK-S-Z-11""]",'SKU明细'!$AE$9:$AE$1592,0)),INDEX('SKU明细'!$H$9:$H$1592,MATCH("[6574,""2302153-BK-S-Z-6""]",'SKU明细'!$AE$9:$AE$1592,0)),INDEX('SKU明细'!$H$9:$H$1592,MATCH("[6574,""2302153-BK-S-Z-7""]",'SKU明细'!$AE$9:$AE$1592,0)),INDEX('SKU明细'!$H$9:$H$1592,MATCH("[6574,""2302153-BK-S-Z-7.5""]",'SKU明细'!$AE$9:$AE$1592,0)),INDEX('SKU明细'!$H$9:$H$1592,MATCH("[6574,""2302153-BK-S-Z-8""]",'SKU明细'!$AE$9:$AE$1592,0)),INDEX('SKU明细'!$H$9:$H$1592,MATCH("[6574,""2302153-BK-S-Z-8.5""]",'SKU明细'!$AE$9:$AE$1592,0)),INDEX('SKU明细'!$H$9:$H$1592,MATCH("[6574,""2302153-BK-S-Z-9""]",'SKU明细'!$AE$9:$AE$1592,0)),INDEX('SKU明细'!$H$9:$H$1592,MATCH("[6574,""2302153-BK-S-Z-9.5""]",'SKU明细'!$AE$9:$AE$1592,0)))=0,"待核",SUM(INDEX('SKU明细'!$H$9:$H$1592,MATCH("[6574,""2302153-BK-S-Z-10.5""]",'SKU明细'!$AE$9:$AE$1592,0)),INDEX('SKU明细'!$H$9:$H$1592,MATCH("[6574,""2302153-BK-S-Z-10""]",'SKU明细'!$AE$9:$AE$1592,0)),INDEX('SKU明细'!$H$9:$H$1592,MATCH("[6574,""2302153-BK-S-Z-6.5""]",'SKU明细'!$AE$9:$AE$1592,0)),INDEX('SKU明细'!$H$9:$H$1592,MATCH("[6574,""2302153-BK-S-Z-11""]",'SKU明细'!$AE$9:$AE$1592,0)),INDEX('SKU明细'!$H$9:$H$1592,MATCH("[6574,""2302153-BK-S-Z-6""]",'SKU明细'!$AE$9:$AE$1592,0)),INDEX('SKU明细'!$H$9:$H$1592,MATCH("[6574,""2302153-BK-S-Z-7""]",'SKU明细'!$AE$9:$AE$1592,0)),INDEX('SKU明细'!$H$9:$H$1592,MATCH("[6574,""2302153-BK-S-Z-7.5""]",'SKU明细'!$AE$9:$AE$1592,0)),INDEX('SKU明细'!$H$9:$H$1592,MATCH("[6574,""2302153-BK-S-Z-8""]",'SKU明细'!$AE$9:$AE$1592,0)),INDEX('SKU明细'!$H$9:$H$1592,MATCH("[6574,""2302153-BK-S-Z-8.5""]",'SKU明细'!$AE$9:$AE$1592,0)),INDEX('SKU明细'!$H$9:$H$1592,MATCH("[6574,""2302153-BK-S-Z-9""]",'SKU明细'!$AE$9:$AE$1592,0)),INDEX('SKU明细'!$H$9:$H$1592,MATCH("[6574,""2302153-BK-S-Z-9.5""]",'SKU明细'!$AE$9:$AE$1592,0))))</x:f>
        <x:v>574</x:v>
      </x:c>
      <x:c r="X111" s="19" t="str">
        <x:f>IF(COUNTIFS('SKU明细'!$AH$9:$AH$1592,"[""2302153"",""2302153-BK-S-Z"",""BK"",""黑色""]",'SKU明细'!$E$9:$E$1592,"促销")&gt;0,"促销 ","")&amp;IF(COUNTIFS('SKU明细'!$AH$9:$AH$1592,"[""2302153"",""2302153-BK-S-Z"",""BK"",""黑色""]",'SKU明细'!$E$9:$E$1592,"红线促销")&gt;0,"红线促销 ","")&amp;IF(COUNTIFS('SKU明细'!$AH$9:$AH$1592,"[""2302153"",""2302153-BK-S-Z"",""BK"",""黑色""]",'SKU明细'!$E$9:$E$1592,"考虑清仓")&gt;0,"考虑清仓 ","")&amp;IF(COUNTIFS('SKU明细'!$AH$9:$AH$1592,"[""2302153"",""2302153-BK-S-Z"",""BK"",""黑色""]",'SKU明细'!$E$9:$E$1592,"断货")&gt;0,"断货 ","")&amp;IF(COUNTIFS('SKU明细'!$AH$9:$AH$1592,"[""2302153"",""2302153-BK-S-Z"",""BK"",""黑色""]",'SKU明细'!$E$9:$E$1592,"零日销待复核")&gt;0,"零日销待复核 ","")&amp;IF(COUNTIFS('SKU明细'!$AH$9:$AH$1592,"[""2302153"",""2302153-BK-S-Z"",""BK"",""黑色""]",'SKU明细'!$E$9:$E$1592,"数据待核")&gt;0,"数据待核 ","")&amp;IF(COUNTIFS('SKU明细'!$AH$9:$AH$1592,"[""2302153"",""2302153-BK-S-Z"",""BK"",""黑色""]",'SKU明细'!$E$9:$E$1592,"正常库存")&gt;0,"正常库存 ","")&amp;IF(COUNTIFS('SKU明细'!$AH$9:$AH$1592,"[""2302153"",""2302153-BK-S-Z"",""BK"",""黑色""]",'SKU明细'!$E$9:$E$1592,"补货提醒")&gt;0,"补货提醒 ","")</x:f>
        <x:v>断货 正常库存 补货提醒 </x:v>
      </x:c>
      <x:c r="Y111" s="19" t="str">
        <x:f>IF(NOT(ISNUMBER(U111)),"覆盖待核／无可比基准","完整可比")</x:f>
        <x:v>完整可比</x:v>
      </x:c>
      <x:c r="Z111" s="19" t="str">
        <x:v>在售</x:v>
      </x:c>
      <x:c r="AA111" s="19" t="n">
        <x:f>IF(SUMIFS('SKU明细'!$AF$9:$AF$1592,'SKU明细'!$D$9:$D$1592,A111,'SKU明细'!$Z$9:$Z$1592,"&lt;&gt;移出")=0,"待核",SUMIFS('SKU明细'!$H$9:$H$1592,'SKU明细'!$D$9:$D$1592,A111,'SKU明细'!$Z$9:$Z$1592,"&lt;&gt;移出"))</x:f>
        <x:v>1112</x:v>
      </x:c>
    </x:row>
    <x:row r="112" ht="54" customHeight="1">
      <x:c r="A112" s="15" t="str">
        <x:v>2302153</x:v>
      </x:c>
      <x:c r="B112" s="15" t="str">
        <x:v>徐新怡</x:v>
      </x:c>
      <x:c r="C112" s="15" t="str">
        <x:v>驼色</x:v>
      </x:c>
      <x:c r="D112" s="15" t="str">
        <x:v>CC-P</x:v>
      </x:c>
      <x:c r="E112" s="15" t="str">
        <x:v>2302153-CC-P-Z</x:v>
      </x:c>
      <x:c r="F112" s="15"/>
      <x:c r="G112" s="16" t="str">
        <x:f>"—"</x:f>
        <x:v>—</x:v>
      </x:c>
      <x:c r="H112" s="16" t="n">
        <x:f>IF(AND(COUNT(INDEX('SKU明细'!$H$9:$H$1592,MATCH("[6574,""2302153-CC-P-Z-6""]",'SKU明细'!$AE$9:$AE$1592,0)))=1,COUNT(INDEX('SKU明细'!$G$9:$G$1592,MATCH("[6574,""2302153-CC-P-Z-6""]",'SKU明细'!$AE$9:$AE$1592,0)))=1,SUM(INDEX('SKU明细'!$G$9:$G$1592,MATCH("[6574,""2302153-CC-P-Z-6""]",'SKU明细'!$AE$9:$AE$1592,0)))&gt;0),SUM(INDEX('SKU明细'!$H$9:$H$1592,MATCH("[6574,""2302153-CC-P-Z-6""]",'SKU明细'!$AE$9:$AE$1592,0)))/SUM(INDEX('SKU明细'!$G$9:$G$1592,MATCH("[6574,""2302153-CC-P-Z-6""]",'SKU明细'!$AE$9:$AE$1592,0))),"待核")</x:f>
        <x:v>69.42148760330579</x:v>
      </x:c>
      <x:c r="I112" s="16" t="n">
        <x:f>IF(AND(COUNT(INDEX('SKU明细'!$H$9:$H$1592,MATCH("[6574,""2302153-CC-P-Z-6.5""]",'SKU明细'!$AE$9:$AE$1592,0)))=1,COUNT(INDEX('SKU明细'!$G$9:$G$1592,MATCH("[6574,""2302153-CC-P-Z-6.5""]",'SKU明细'!$AE$9:$AE$1592,0)))=1,SUM(INDEX('SKU明细'!$G$9:$G$1592,MATCH("[6574,""2302153-CC-P-Z-6.5""]",'SKU明细'!$AE$9:$AE$1592,0)))&gt;0),SUM(INDEX('SKU明细'!$H$9:$H$1592,MATCH("[6574,""2302153-CC-P-Z-6.5""]",'SKU明细'!$AE$9:$AE$1592,0)))/SUM(INDEX('SKU明细'!$G$9:$G$1592,MATCH("[6574,""2302153-CC-P-Z-6.5""]",'SKU明细'!$AE$9:$AE$1592,0))),"待核")</x:f>
        <x:v>0</x:v>
      </x:c>
      <x:c r="J112" s="16" t="n">
        <x:f>IF(AND(COUNT(INDEX('SKU明细'!$H$9:$H$1592,MATCH("[6574,""2302153-CC-P-Z-7""]",'SKU明细'!$AE$9:$AE$1592,0)))=1,COUNT(INDEX('SKU明细'!$G$9:$G$1592,MATCH("[6574,""2302153-CC-P-Z-7""]",'SKU明细'!$AE$9:$AE$1592,0)))=1,SUM(INDEX('SKU明细'!$G$9:$G$1592,MATCH("[6574,""2302153-CC-P-Z-7""]",'SKU明细'!$AE$9:$AE$1592,0)))&gt;0),SUM(INDEX('SKU明细'!$H$9:$H$1592,MATCH("[6574,""2302153-CC-P-Z-7""]",'SKU明细'!$AE$9:$AE$1592,0)))/SUM(INDEX('SKU明细'!$G$9:$G$1592,MATCH("[6574,""2302153-CC-P-Z-7""]",'SKU明细'!$AE$9:$AE$1592,0))),"待核")</x:f>
        <x:v>0</x:v>
      </x:c>
      <x:c r="K112" s="16" t="n">
        <x:f>IF(AND(COUNT(INDEX('SKU明细'!$H$9:$H$1592,MATCH("[6574,""2302153-CC-P-Z-7.5""]",'SKU明细'!$AE$9:$AE$1592,0)))=1,COUNT(INDEX('SKU明细'!$G$9:$G$1592,MATCH("[6574,""2302153-CC-P-Z-7.5""]",'SKU明细'!$AE$9:$AE$1592,0)))=1,SUM(INDEX('SKU明细'!$G$9:$G$1592,MATCH("[6574,""2302153-CC-P-Z-7.5""]",'SKU明细'!$AE$9:$AE$1592,0)))&gt;0),SUM(INDEX('SKU明细'!$H$9:$H$1592,MATCH("[6574,""2302153-CC-P-Z-7.5""]",'SKU明细'!$AE$9:$AE$1592,0)))/SUM(INDEX('SKU明细'!$G$9:$G$1592,MATCH("[6574,""2302153-CC-P-Z-7.5""]",'SKU明细'!$AE$9:$AE$1592,0))),"待核")</x:f>
        <x:v>0</x:v>
      </x:c>
      <x:c r="L112" s="16" t="n">
        <x:f>IF(AND(COUNT(INDEX('SKU明细'!$H$9:$H$1592,MATCH("[6574,""2302153-CC-P-Z-8""]",'SKU明细'!$AE$9:$AE$1592,0)))=1,COUNT(INDEX('SKU明细'!$G$9:$G$1592,MATCH("[6574,""2302153-CC-P-Z-8""]",'SKU明细'!$AE$9:$AE$1592,0)))=1,SUM(INDEX('SKU明细'!$G$9:$G$1592,MATCH("[6574,""2302153-CC-P-Z-8""]",'SKU明细'!$AE$9:$AE$1592,0)))&gt;0),SUM(INDEX('SKU明细'!$H$9:$H$1592,MATCH("[6574,""2302153-CC-P-Z-8""]",'SKU明细'!$AE$9:$AE$1592,0)))/SUM(INDEX('SKU明细'!$G$9:$G$1592,MATCH("[6574,""2302153-CC-P-Z-8""]",'SKU明细'!$AE$9:$AE$1592,0))),"待核")</x:f>
        <x:v>0</x:v>
      </x:c>
      <x:c r="M112" s="16" t="n">
        <x:f>IF(AND(COUNT(INDEX('SKU明细'!$H$9:$H$1592,MATCH("[6574,""2302153-CC-P-Z-8.5""]",'SKU明细'!$AE$9:$AE$1592,0)))=1,COUNT(INDEX('SKU明细'!$G$9:$G$1592,MATCH("[6574,""2302153-CC-P-Z-8.5""]",'SKU明细'!$AE$9:$AE$1592,0)))=1,SUM(INDEX('SKU明细'!$G$9:$G$1592,MATCH("[6574,""2302153-CC-P-Z-8.5""]",'SKU明细'!$AE$9:$AE$1592,0)))&gt;0),SUM(INDEX('SKU明细'!$H$9:$H$1592,MATCH("[6574,""2302153-CC-P-Z-8.5""]",'SKU明细'!$AE$9:$AE$1592,0)))/SUM(INDEX('SKU明细'!$G$9:$G$1592,MATCH("[6574,""2302153-CC-P-Z-8.5""]",'SKU明细'!$AE$9:$AE$1592,0))),"待核")</x:f>
        <x:v>0</x:v>
      </x:c>
      <x:c r="N112" s="16" t="n">
        <x:f>IF(AND(COUNT(INDEX('SKU明细'!$H$9:$H$1592,MATCH("[6574,""2302153-CC-P-Z-9""]",'SKU明细'!$AE$9:$AE$1592,0)))=1,COUNT(INDEX('SKU明细'!$G$9:$G$1592,MATCH("[6574,""2302153-CC-P-Z-9""]",'SKU明细'!$AE$9:$AE$1592,0)))=1,SUM(INDEX('SKU明细'!$G$9:$G$1592,MATCH("[6574,""2302153-CC-P-Z-9""]",'SKU明细'!$AE$9:$AE$1592,0)))&gt;0),SUM(INDEX('SKU明细'!$H$9:$H$1592,MATCH("[6574,""2302153-CC-P-Z-9""]",'SKU明细'!$AE$9:$AE$1592,0)))/SUM(INDEX('SKU明细'!$G$9:$G$1592,MATCH("[6574,""2302153-CC-P-Z-9""]",'SKU明细'!$AE$9:$AE$1592,0))),"待核")</x:f>
        <x:v>0</x:v>
      </x:c>
      <x:c r="O112" s="16" t="n">
        <x:f>IF(AND(COUNT(INDEX('SKU明细'!$H$9:$H$1592,MATCH("[6574,""2302153-CC-P-Z-9.5""]",'SKU明细'!$AE$9:$AE$1592,0)))=1,COUNT(INDEX('SKU明细'!$G$9:$G$1592,MATCH("[6574,""2302153-CC-P-Z-9.5""]",'SKU明细'!$AE$9:$AE$1592,0)))=1,SUM(INDEX('SKU明细'!$G$9:$G$1592,MATCH("[6574,""2302153-CC-P-Z-9.5""]",'SKU明细'!$AE$9:$AE$1592,0)))&gt;0),SUM(INDEX('SKU明细'!$H$9:$H$1592,MATCH("[6574,""2302153-CC-P-Z-9.5""]",'SKU明细'!$AE$9:$AE$1592,0)))/SUM(INDEX('SKU明细'!$G$9:$G$1592,MATCH("[6574,""2302153-CC-P-Z-9.5""]",'SKU明细'!$AE$9:$AE$1592,0))),"待核")</x:f>
        <x:v>6.560222145088511</x:v>
      </x:c>
      <x:c r="P112" s="16" t="n">
        <x:f>IF(AND(COUNT(INDEX('SKU明细'!$H$9:$H$1592,MATCH("[6574,""2302153-CC-P-Z-10""]",'SKU明细'!$AE$9:$AE$1592,0)))=1,COUNT(INDEX('SKU明细'!$G$9:$G$1592,MATCH("[6574,""2302153-CC-P-Z-10""]",'SKU明细'!$AE$9:$AE$1592,0)))=1,SUM(INDEX('SKU明细'!$G$9:$G$1592,MATCH("[6574,""2302153-CC-P-Z-10""]",'SKU明细'!$AE$9:$AE$1592,0)))&gt;0),SUM(INDEX('SKU明细'!$H$9:$H$1592,MATCH("[6574,""2302153-CC-P-Z-10""]",'SKU明细'!$AE$9:$AE$1592,0)))/SUM(INDEX('SKU明细'!$G$9:$G$1592,MATCH("[6574,""2302153-CC-P-Z-10""]",'SKU明细'!$AE$9:$AE$1592,0))),"待核")</x:f>
        <x:v>0</x:v>
      </x:c>
      <x:c r="Q112" s="16" t="str">
        <x:f>"—"</x:f>
        <x:v>—</x:v>
      </x:c>
      <x:c r="R112" s="16" t="n">
        <x:f>IF(AND(COUNT(INDEX('SKU明细'!$H$9:$H$1592,MATCH("[6574,""2302153-CC-P-Z-11""]",'SKU明细'!$AE$9:$AE$1592,0)))=1,COUNT(INDEX('SKU明细'!$G$9:$G$1592,MATCH("[6574,""2302153-CC-P-Z-11""]",'SKU明细'!$AE$9:$AE$1592,0)))=1,SUM(INDEX('SKU明细'!$G$9:$G$1592,MATCH("[6574,""2302153-CC-P-Z-11""]",'SKU明细'!$AE$9:$AE$1592,0)))&gt;0),SUM(INDEX('SKU明细'!$H$9:$H$1592,MATCH("[6574,""2302153-CC-P-Z-11""]",'SKU明细'!$AE$9:$AE$1592,0)))/SUM(INDEX('SKU明细'!$G$9:$G$1592,MATCH("[6574,""2302153-CC-P-Z-11""]",'SKU明细'!$AE$9:$AE$1592,0))),"待核")</x:f>
        <x:v>0</x:v>
      </x:c>
      <x:c r="S112" s="16" t="n">
        <x:f>IF(AND(COUNT(INDEX('SKU明细'!$H$9:$H$1592,MATCH("[6574,""2302153-CC-P-Z-10""]",'SKU明细'!$AE$9:$AE$1592,0)),INDEX('SKU明细'!$H$9:$H$1592,MATCH("[6574,""2302153-CC-P-Z-11""]",'SKU明细'!$AE$9:$AE$1592,0)),INDEX('SKU明细'!$H$9:$H$1592,MATCH("[6574,""2302153-CC-P-Z-6.5""]",'SKU明细'!$AE$9:$AE$1592,0)),INDEX('SKU明细'!$H$9:$H$1592,MATCH("[6574,""2302153-CC-P-Z-7""]",'SKU明细'!$AE$9:$AE$1592,0)),INDEX('SKU明细'!$H$9:$H$1592,MATCH("[6574,""2302153-CC-P-Z-7.5""]",'SKU明细'!$AE$9:$AE$1592,0)),INDEX('SKU明细'!$H$9:$H$1592,MATCH("[6574,""2302153-CC-P-Z-8""]",'SKU明细'!$AE$9:$AE$1592,0)),INDEX('SKU明细'!$H$9:$H$1592,MATCH("[6574,""2302153-CC-P-Z-8.5""]",'SKU明细'!$AE$9:$AE$1592,0)),INDEX('SKU明细'!$H$9:$H$1592,MATCH("[6574,""2302153-CC-P-Z-9""]",'SKU明细'!$AE$9:$AE$1592,0)),INDEX('SKU明细'!$H$9:$H$1592,MATCH("[6574,""2302153-CC-P-Z-6""]",'SKU明细'!$AE$9:$AE$1592,0)),INDEX('SKU明细'!$H$9:$H$1592,MATCH("[6574,""2302153-CC-P-Z-9.5""]",'SKU明细'!$AE$9:$AE$1592,0)))=10,COUNT(INDEX('SKU明细'!$G$9:$G$1592,MATCH("[6574,""2302153-CC-P-Z-10""]",'SKU明细'!$AE$9:$AE$1592,0)),INDEX('SKU明细'!$G$9:$G$1592,MATCH("[6574,""2302153-CC-P-Z-11""]",'SKU明细'!$AE$9:$AE$1592,0)),INDEX('SKU明细'!$G$9:$G$1592,MATCH("[6574,""2302153-CC-P-Z-6.5""]",'SKU明细'!$AE$9:$AE$1592,0)),INDEX('SKU明细'!$G$9:$G$1592,MATCH("[6574,""2302153-CC-P-Z-7""]",'SKU明细'!$AE$9:$AE$1592,0)),INDEX('SKU明细'!$G$9:$G$1592,MATCH("[6574,""2302153-CC-P-Z-7.5""]",'SKU明细'!$AE$9:$AE$1592,0)),INDEX('SKU明细'!$G$9:$G$1592,MATCH("[6574,""2302153-CC-P-Z-8""]",'SKU明细'!$AE$9:$AE$1592,0)),INDEX('SKU明细'!$G$9:$G$1592,MATCH("[6574,""2302153-CC-P-Z-8.5""]",'SKU明细'!$AE$9:$AE$1592,0)),INDEX('SKU明细'!$G$9:$G$1592,MATCH("[6574,""2302153-CC-P-Z-9""]",'SKU明细'!$AE$9:$AE$1592,0)),INDEX('SKU明细'!$G$9:$G$1592,MATCH("[6574,""2302153-CC-P-Z-6""]",'SKU明细'!$AE$9:$AE$1592,0)),INDEX('SKU明细'!$G$9:$G$1592,MATCH("[6574,""2302153-CC-P-Z-9.5""]",'SKU明细'!$AE$9:$AE$1592,0)))=10,SUM(INDEX('SKU明细'!$G$9:$G$1592,MATCH("[6574,""2302153-CC-P-Z-10""]",'SKU明细'!$AE$9:$AE$1592,0)),INDEX('SKU明细'!$G$9:$G$1592,MATCH("[6574,""2302153-CC-P-Z-11""]",'SKU明细'!$AE$9:$AE$1592,0)),INDEX('SKU明细'!$G$9:$G$1592,MATCH("[6574,""2302153-CC-P-Z-6.5""]",'SKU明细'!$AE$9:$AE$1592,0)),INDEX('SKU明细'!$G$9:$G$1592,MATCH("[6574,""2302153-CC-P-Z-7""]",'SKU明细'!$AE$9:$AE$1592,0)),INDEX('SKU明细'!$G$9:$G$1592,MATCH("[6574,""2302153-CC-P-Z-7.5""]",'SKU明细'!$AE$9:$AE$1592,0)),INDEX('SKU明细'!$G$9:$G$1592,MATCH("[6574,""2302153-CC-P-Z-8""]",'SKU明细'!$AE$9:$AE$1592,0)),INDEX('SKU明细'!$G$9:$G$1592,MATCH("[6574,""2302153-CC-P-Z-8.5""]",'SKU明细'!$AE$9:$AE$1592,0)),INDEX('SKU明细'!$G$9:$G$1592,MATCH("[6574,""2302153-CC-P-Z-9""]",'SKU明细'!$AE$9:$AE$1592,0)),INDEX('SKU明细'!$G$9:$G$1592,MATCH("[6574,""2302153-CC-P-Z-6""]",'SKU明细'!$AE$9:$AE$1592,0)),INDEX('SKU明细'!$G$9:$G$1592,MATCH("[6574,""2302153-CC-P-Z-9.5""]",'SKU明细'!$AE$9:$AE$1592,0)))&gt;0),SUM(INDEX('SKU明细'!$H$9:$H$1592,MATCH("[6574,""2302153-CC-P-Z-10""]",'SKU明细'!$AE$9:$AE$1592,0)),INDEX('SKU明细'!$H$9:$H$1592,MATCH("[6574,""2302153-CC-P-Z-11""]",'SKU明细'!$AE$9:$AE$1592,0)),INDEX('SKU明细'!$H$9:$H$1592,MATCH("[6574,""2302153-CC-P-Z-6.5""]",'SKU明细'!$AE$9:$AE$1592,0)),INDEX('SKU明细'!$H$9:$H$1592,MATCH("[6574,""2302153-CC-P-Z-7""]",'SKU明细'!$AE$9:$AE$1592,0)),INDEX('SKU明细'!$H$9:$H$1592,MATCH("[6574,""2302153-CC-P-Z-7.5""]",'SKU明细'!$AE$9:$AE$1592,0)),INDEX('SKU明细'!$H$9:$H$1592,MATCH("[6574,""2302153-CC-P-Z-8""]",'SKU明细'!$AE$9:$AE$1592,0)),INDEX('SKU明细'!$H$9:$H$1592,MATCH("[6574,""2302153-CC-P-Z-8.5""]",'SKU明细'!$AE$9:$AE$1592,0)),INDEX('SKU明细'!$H$9:$H$1592,MATCH("[6574,""2302153-CC-P-Z-9""]",'SKU明细'!$AE$9:$AE$1592,0)),INDEX('SKU明细'!$H$9:$H$1592,MATCH("[6574,""2302153-CC-P-Z-6""]",'SKU明细'!$AE$9:$AE$1592,0)),INDEX('SKU明细'!$H$9:$H$1592,MATCH("[6574,""2302153-CC-P-Z-9.5""]",'SKU明细'!$AE$9:$AE$1592,0)))/SUM(INDEX('SKU明细'!$G$9:$G$1592,MATCH("[6574,""2302153-CC-P-Z-10""]",'SKU明细'!$AE$9:$AE$1592,0)),INDEX('SKU明细'!$G$9:$G$1592,MATCH("[6574,""2302153-CC-P-Z-11""]",'SKU明细'!$AE$9:$AE$1592,0)),INDEX('SKU明细'!$G$9:$G$1592,MATCH("[6574,""2302153-CC-P-Z-6.5""]",'SKU明细'!$AE$9:$AE$1592,0)),INDEX('SKU明细'!$G$9:$G$1592,MATCH("[6574,""2302153-CC-P-Z-7""]",'SKU明细'!$AE$9:$AE$1592,0)),INDEX('SKU明细'!$G$9:$G$1592,MATCH("[6574,""2302153-CC-P-Z-7.5""]",'SKU明细'!$AE$9:$AE$1592,0)),INDEX('SKU明细'!$G$9:$G$1592,MATCH("[6574,""2302153-CC-P-Z-8""]",'SKU明细'!$AE$9:$AE$1592,0)),INDEX('SKU明细'!$G$9:$G$1592,MATCH("[6574,""2302153-CC-P-Z-8.5""]",'SKU明细'!$AE$9:$AE$1592,0)),INDEX('SKU明细'!$G$9:$G$1592,MATCH("[6574,""2302153-CC-P-Z-9""]",'SKU明细'!$AE$9:$AE$1592,0)),INDEX('SKU明细'!$G$9:$G$1592,MATCH("[6574,""2302153-CC-P-Z-6""]",'SKU明细'!$AE$9:$AE$1592,0)),INDEX('SKU明细'!$G$9:$G$1592,MATCH("[6574,""2302153-CC-P-Z-9.5""]",'SKU明细'!$AE$9:$AE$1592,0))),"待核")</x:f>
        <x:v>3.7234042553191484</x:v>
      </x:c>
      <x:c r="T112" s="16" t="n">
        <x:f>IF(AND(COUNT(INDEX('SKU明细'!$I$9:$I$1592,MATCH("[6574,""2302153-CC-P-Z-10""]",'SKU明细'!$AE$9:$AE$1592,0)),INDEX('SKU明细'!$I$9:$I$1592,MATCH("[6574,""2302153-CC-P-Z-11""]",'SKU明细'!$AE$9:$AE$1592,0)),INDEX('SKU明细'!$I$9:$I$1592,MATCH("[6574,""2302153-CC-P-Z-6.5""]",'SKU明细'!$AE$9:$AE$1592,0)),INDEX('SKU明细'!$I$9:$I$1592,MATCH("[6574,""2302153-CC-P-Z-7""]",'SKU明细'!$AE$9:$AE$1592,0)),INDEX('SKU明细'!$I$9:$I$1592,MATCH("[6574,""2302153-CC-P-Z-7.5""]",'SKU明细'!$AE$9:$AE$1592,0)),INDEX('SKU明细'!$I$9:$I$1592,MATCH("[6574,""2302153-CC-P-Z-8""]",'SKU明细'!$AE$9:$AE$1592,0)),INDEX('SKU明细'!$I$9:$I$1592,MATCH("[6574,""2302153-CC-P-Z-8.5""]",'SKU明细'!$AE$9:$AE$1592,0)),INDEX('SKU明细'!$I$9:$I$1592,MATCH("[6574,""2302153-CC-P-Z-9""]",'SKU明细'!$AE$9:$AE$1592,0)),INDEX('SKU明细'!$I$9:$I$1592,MATCH("[6574,""2302153-CC-P-Z-6""]",'SKU明细'!$AE$9:$AE$1592,0)),INDEX('SKU明细'!$I$9:$I$1592,MATCH("[6574,""2302153-CC-P-Z-9.5""]",'SKU明细'!$AE$9:$AE$1592,0)))=10,COUNT(INDEX('SKU明细'!$AD$9:$AD$1592,MATCH("[6574,""2302153-CC-P-Z-10""]",'SKU明细'!$AE$9:$AE$1592,0)),INDEX('SKU明细'!$AD$9:$AD$1592,MATCH("[6574,""2302153-CC-P-Z-11""]",'SKU明细'!$AE$9:$AE$1592,0)),INDEX('SKU明细'!$AD$9:$AD$1592,MATCH("[6574,""2302153-CC-P-Z-6.5""]",'SKU明细'!$AE$9:$AE$1592,0)),INDEX('SKU明细'!$AD$9:$AD$1592,MATCH("[6574,""2302153-CC-P-Z-7""]",'SKU明细'!$AE$9:$AE$1592,0)),INDEX('SKU明细'!$AD$9:$AD$1592,MATCH("[6574,""2302153-CC-P-Z-7.5""]",'SKU明细'!$AE$9:$AE$1592,0)),INDEX('SKU明细'!$AD$9:$AD$1592,MATCH("[6574,""2302153-CC-P-Z-8""]",'SKU明细'!$AE$9:$AE$1592,0)),INDEX('SKU明细'!$AD$9:$AD$1592,MATCH("[6574,""2302153-CC-P-Z-8.5""]",'SKU明细'!$AE$9:$AE$1592,0)),INDEX('SKU明细'!$AD$9:$AD$1592,MATCH("[6574,""2302153-CC-P-Z-9""]",'SKU明细'!$AE$9:$AE$1592,0)),INDEX('SKU明细'!$AD$9:$AD$1592,MATCH("[6574,""2302153-CC-P-Z-6""]",'SKU明细'!$AE$9:$AE$1592,0)),INDEX('SKU明细'!$AD$9:$AD$1592,MATCH("[6574,""2302153-CC-P-Z-9.5""]",'SKU明细'!$AE$9:$AE$1592,0)))=10,SUM(INDEX('SKU明细'!$AD$9:$AD$1592,MATCH("[6574,""2302153-CC-P-Z-10""]",'SKU明细'!$AE$9:$AE$1592,0)),INDEX('SKU明细'!$AD$9:$AD$1592,MATCH("[6574,""2302153-CC-P-Z-11""]",'SKU明细'!$AE$9:$AE$1592,0)),INDEX('SKU明细'!$AD$9:$AD$1592,MATCH("[6574,""2302153-CC-P-Z-6.5""]",'SKU明细'!$AE$9:$AE$1592,0)),INDEX('SKU明细'!$AD$9:$AD$1592,MATCH("[6574,""2302153-CC-P-Z-7""]",'SKU明细'!$AE$9:$AE$1592,0)),INDEX('SKU明细'!$AD$9:$AD$1592,MATCH("[6574,""2302153-CC-P-Z-7.5""]",'SKU明细'!$AE$9:$AE$1592,0)),INDEX('SKU明细'!$AD$9:$AD$1592,MATCH("[6574,""2302153-CC-P-Z-8""]",'SKU明细'!$AE$9:$AE$1592,0)),INDEX('SKU明细'!$AD$9:$AD$1592,MATCH("[6574,""2302153-CC-P-Z-8.5""]",'SKU明细'!$AE$9:$AE$1592,0)),INDEX('SKU明细'!$AD$9:$AD$1592,MATCH("[6574,""2302153-CC-P-Z-9""]",'SKU明细'!$AE$9:$AE$1592,0)),INDEX('SKU明细'!$AD$9:$AD$1592,MATCH("[6574,""2302153-CC-P-Z-6""]",'SKU明细'!$AE$9:$AE$1592,0)),INDEX('SKU明细'!$AD$9:$AD$1592,MATCH("[6574,""2302153-CC-P-Z-9.5""]",'SKU明细'!$AE$9:$AE$1592,0)))&gt;0),SUM(INDEX('SKU明细'!$I$9:$I$1592,MATCH("[6574,""2302153-CC-P-Z-10""]",'SKU明细'!$AE$9:$AE$1592,0)),INDEX('SKU明细'!$I$9:$I$1592,MATCH("[6574,""2302153-CC-P-Z-11""]",'SKU明细'!$AE$9:$AE$1592,0)),INDEX('SKU明细'!$I$9:$I$1592,MATCH("[6574,""2302153-CC-P-Z-6.5""]",'SKU明细'!$AE$9:$AE$1592,0)),INDEX('SKU明细'!$I$9:$I$1592,MATCH("[6574,""2302153-CC-P-Z-7""]",'SKU明细'!$AE$9:$AE$1592,0)),INDEX('SKU明细'!$I$9:$I$1592,MATCH("[6574,""2302153-CC-P-Z-7.5""]",'SKU明细'!$AE$9:$AE$1592,0)),INDEX('SKU明细'!$I$9:$I$1592,MATCH("[6574,""2302153-CC-P-Z-8""]",'SKU明细'!$AE$9:$AE$1592,0)),INDEX('SKU明细'!$I$9:$I$1592,MATCH("[6574,""2302153-CC-P-Z-8.5""]",'SKU明细'!$AE$9:$AE$1592,0)),INDEX('SKU明细'!$I$9:$I$1592,MATCH("[6574,""2302153-CC-P-Z-9""]",'SKU明细'!$AE$9:$AE$1592,0)),INDEX('SKU明细'!$I$9:$I$1592,MATCH("[6574,""2302153-CC-P-Z-6""]",'SKU明细'!$AE$9:$AE$1592,0)),INDEX('SKU明细'!$I$9:$I$1592,MATCH("[6574,""2302153-CC-P-Z-9.5""]",'SKU明细'!$AE$9:$AE$1592,0)))/SUM(INDEX('SKU明细'!$AD$9:$AD$1592,MATCH("[6574,""2302153-CC-P-Z-10""]",'SKU明细'!$AE$9:$AE$1592,0)),INDEX('SKU明细'!$AD$9:$AD$1592,MATCH("[6574,""2302153-CC-P-Z-11""]",'SKU明细'!$AE$9:$AE$1592,0)),INDEX('SKU明细'!$AD$9:$AD$1592,MATCH("[6574,""2302153-CC-P-Z-6.5""]",'SKU明细'!$AE$9:$AE$1592,0)),INDEX('SKU明细'!$AD$9:$AD$1592,MATCH("[6574,""2302153-CC-P-Z-7""]",'SKU明细'!$AE$9:$AE$1592,0)),INDEX('SKU明细'!$AD$9:$AD$1592,MATCH("[6574,""2302153-CC-P-Z-7.5""]",'SKU明细'!$AE$9:$AE$1592,0)),INDEX('SKU明细'!$AD$9:$AD$1592,MATCH("[6574,""2302153-CC-P-Z-8""]",'SKU明细'!$AE$9:$AE$1592,0)),INDEX('SKU明细'!$AD$9:$AD$1592,MATCH("[6574,""2302153-CC-P-Z-8.5""]",'SKU明细'!$AE$9:$AE$1592,0)),INDEX('SKU明细'!$AD$9:$AD$1592,MATCH("[6574,""2302153-CC-P-Z-9""]",'SKU明细'!$AE$9:$AE$1592,0)),INDEX('SKU明细'!$AD$9:$AD$1592,MATCH("[6574,""2302153-CC-P-Z-6""]",'SKU明细'!$AE$9:$AE$1592,0)),INDEX('SKU明细'!$AD$9:$AD$1592,MATCH("[6574,""2302153-CC-P-Z-9.5""]",'SKU明细'!$AE$9:$AE$1592,0))),"待核")</x:f>
        <x:v>4.477322651505362</x:v>
      </x:c>
      <x:c r="U112" s="16" t="n">
        <x:f>IF(COUNT(S112:T112)=2,S112-T112,"待核")</x:f>
        <x:v>-0.7539183961862133</x:v>
      </x:c>
      <x:c r="V112" s="17" t="n">
        <x:f>IF(AND(ISNUMBER(U112),ISNUMBER(T112),T112&lt;&gt;0),U112/T112,"")</x:f>
        <x:v>-0.16838598753492368</x:v>
      </x:c>
      <x:c r="W112" s="18" t="n">
        <x:f>IF(COUNT(INDEX('SKU明细'!$H$9:$H$1592,MATCH("[6574,""2302153-CC-P-Z-10""]",'SKU明细'!$AE$9:$AE$1592,0)),INDEX('SKU明细'!$H$9:$H$1592,MATCH("[6574,""2302153-CC-P-Z-11""]",'SKU明细'!$AE$9:$AE$1592,0)),INDEX('SKU明细'!$H$9:$H$1592,MATCH("[6574,""2302153-CC-P-Z-6.5""]",'SKU明细'!$AE$9:$AE$1592,0)),INDEX('SKU明细'!$H$9:$H$1592,MATCH("[6574,""2302153-CC-P-Z-7""]",'SKU明细'!$AE$9:$AE$1592,0)),INDEX('SKU明细'!$H$9:$H$1592,MATCH("[6574,""2302153-CC-P-Z-7.5""]",'SKU明细'!$AE$9:$AE$1592,0)),INDEX('SKU明细'!$H$9:$H$1592,MATCH("[6574,""2302153-CC-P-Z-8""]",'SKU明细'!$AE$9:$AE$1592,0)),INDEX('SKU明细'!$H$9:$H$1592,MATCH("[6574,""2302153-CC-P-Z-8.5""]",'SKU明细'!$AE$9:$AE$1592,0)),INDEX('SKU明细'!$H$9:$H$1592,MATCH("[6574,""2302153-CC-P-Z-9""]",'SKU明细'!$AE$9:$AE$1592,0)),INDEX('SKU明细'!$H$9:$H$1592,MATCH("[6574,""2302153-CC-P-Z-6""]",'SKU明细'!$AE$9:$AE$1592,0)),INDEX('SKU明细'!$H$9:$H$1592,MATCH("[6574,""2302153-CC-P-Z-9.5""]",'SKU明细'!$AE$9:$AE$1592,0)))=0,"待核",SUM(INDEX('SKU明细'!$H$9:$H$1592,MATCH("[6574,""2302153-CC-P-Z-10""]",'SKU明细'!$AE$9:$AE$1592,0)),INDEX('SKU明细'!$H$9:$H$1592,MATCH("[6574,""2302153-CC-P-Z-11""]",'SKU明细'!$AE$9:$AE$1592,0)),INDEX('SKU明细'!$H$9:$H$1592,MATCH("[6574,""2302153-CC-P-Z-6.5""]",'SKU明细'!$AE$9:$AE$1592,0)),INDEX('SKU明细'!$H$9:$H$1592,MATCH("[6574,""2302153-CC-P-Z-7""]",'SKU明细'!$AE$9:$AE$1592,0)),INDEX('SKU明细'!$H$9:$H$1592,MATCH("[6574,""2302153-CC-P-Z-7.5""]",'SKU明细'!$AE$9:$AE$1592,0)),INDEX('SKU明细'!$H$9:$H$1592,MATCH("[6574,""2302153-CC-P-Z-8""]",'SKU明细'!$AE$9:$AE$1592,0)),INDEX('SKU明细'!$H$9:$H$1592,MATCH("[6574,""2302153-CC-P-Z-8.5""]",'SKU明细'!$AE$9:$AE$1592,0)),INDEX('SKU明细'!$H$9:$H$1592,MATCH("[6574,""2302153-CC-P-Z-9""]",'SKU明细'!$AE$9:$AE$1592,0)),INDEX('SKU明细'!$H$9:$H$1592,MATCH("[6574,""2302153-CC-P-Z-6""]",'SKU明细'!$AE$9:$AE$1592,0)),INDEX('SKU明细'!$H$9:$H$1592,MATCH("[6574,""2302153-CC-P-Z-9.5""]",'SKU明细'!$AE$9:$AE$1592,0))))</x:f>
        <x:v>25</x:v>
      </x:c>
      <x:c r="X112" s="19" t="str">
        <x:f>IF(COUNTIFS('SKU明细'!$AH$9:$AH$1592,"[""2302153"",""2302153-CC-P-Z"",""CC-P"",""驼色""]",'SKU明细'!$E$9:$E$1592,"促销")&gt;0,"促销 ","")&amp;IF(COUNTIFS('SKU明细'!$AH$9:$AH$1592,"[""2302153"",""2302153-CC-P-Z"",""CC-P"",""驼色""]",'SKU明细'!$E$9:$E$1592,"红线促销")&gt;0,"红线促销 ","")&amp;IF(COUNTIFS('SKU明细'!$AH$9:$AH$1592,"[""2302153"",""2302153-CC-P-Z"",""CC-P"",""驼色""]",'SKU明细'!$E$9:$E$1592,"考虑清仓")&gt;0,"考虑清仓 ","")&amp;IF(COUNTIFS('SKU明细'!$AH$9:$AH$1592,"[""2302153"",""2302153-CC-P-Z"",""CC-P"",""驼色""]",'SKU明细'!$E$9:$E$1592,"断货")&gt;0,"断货 ","")&amp;IF(COUNTIFS('SKU明细'!$AH$9:$AH$1592,"[""2302153"",""2302153-CC-P-Z"",""CC-P"",""驼色""]",'SKU明细'!$E$9:$E$1592,"零日销待复核")&gt;0,"零日销待复核 ","")&amp;IF(COUNTIFS('SKU明细'!$AH$9:$AH$1592,"[""2302153"",""2302153-CC-P-Z"",""CC-P"",""驼色""]",'SKU明细'!$E$9:$E$1592,"数据待核")&gt;0,"数据待核 ","")&amp;IF(COUNTIFS('SKU明细'!$AH$9:$AH$1592,"[""2302153"",""2302153-CC-P-Z"",""CC-P"",""驼色""]",'SKU明细'!$E$9:$E$1592,"正常库存")&gt;0,"正常库存 ","")&amp;IF(COUNTIFS('SKU明细'!$AH$9:$AH$1592,"[""2302153"",""2302153-CC-P-Z"",""CC-P"",""驼色""]",'SKU明细'!$E$9:$E$1592,"补货提醒")&gt;0,"补货提醒 ","")</x:f>
        <x:v>断货 正常库存 补货提醒 </x:v>
      </x:c>
      <x:c r="Y112" s="19" t="str">
        <x:f>IF(NOT(ISNUMBER(U112)),"覆盖待核／无可比基准","完整可比")</x:f>
        <x:v>完整可比</x:v>
      </x:c>
      <x:c r="Z112" s="19" t="str">
        <x:v>在售</x:v>
      </x:c>
      <x:c r="AA112" s="19" t="n">
        <x:f>IF(SUMIFS('SKU明细'!$AF$9:$AF$1592,'SKU明细'!$D$9:$D$1592,A112,'SKU明细'!$Z$9:$Z$1592,"&lt;&gt;移出")=0,"待核",SUMIFS('SKU明细'!$H$9:$H$1592,'SKU明细'!$D$9:$D$1592,A112,'SKU明细'!$Z$9:$Z$1592,"&lt;&gt;移出"))</x:f>
        <x:v>1112</x:v>
      </x:c>
    </x:row>
    <x:row r="113" ht="54" customHeight="1">
      <x:c r="A113" s="15" t="str">
        <x:v>2302153</x:v>
      </x:c>
      <x:c r="B113" s="15" t="str">
        <x:v>徐新怡</x:v>
      </x:c>
      <x:c r="C113" s="15" t="str">
        <x:v>驼色</x:v>
      </x:c>
      <x:c r="D113" s="15" t="str">
        <x:v>CC</x:v>
      </x:c>
      <x:c r="E113" s="15" t="str">
        <x:v>2302153-CC-S-Z</x:v>
      </x:c>
      <x:c r="F113" s="15"/>
      <x:c r="G113" s="16" t="str">
        <x:f>"—"</x:f>
        <x:v>—</x:v>
      </x:c>
      <x:c r="H113" s="16" t="n">
        <x:f>IF(AND(COUNT(INDEX('SKU明细'!$H$9:$H$1592,MATCH("[6574,""2302153-CC-S-Z-6""]",'SKU明细'!$AE$9:$AE$1592,0)))=1,COUNT(INDEX('SKU明细'!$G$9:$G$1592,MATCH("[6574,""2302153-CC-S-Z-6""]",'SKU明细'!$AE$9:$AE$1592,0)))=1,SUM(INDEX('SKU明细'!$G$9:$G$1592,MATCH("[6574,""2302153-CC-S-Z-6""]",'SKU明细'!$AE$9:$AE$1592,0)))&gt;0),SUM(INDEX('SKU明细'!$H$9:$H$1592,MATCH("[6574,""2302153-CC-S-Z-6""]",'SKU明细'!$AE$9:$AE$1592,0)))/SUM(INDEX('SKU明细'!$G$9:$G$1592,MATCH("[6574,""2302153-CC-S-Z-6""]",'SKU明细'!$AE$9:$AE$1592,0))),"待核")</x:f>
        <x:v>0</x:v>
      </x:c>
      <x:c r="I113" s="16" t="str">
        <x:f>"—"</x:f>
        <x:v>—</x:v>
      </x:c>
      <x:c r="J113" s="16" t="n">
        <x:f>IF(AND(COUNT(INDEX('SKU明细'!$H$9:$H$1592,MATCH("[6574,""2302153-CC-S-Z-7""]",'SKU明细'!$AE$9:$AE$1592,0)))=1,COUNT(INDEX('SKU明细'!$G$9:$G$1592,MATCH("[6574,""2302153-CC-S-Z-7""]",'SKU明细'!$AE$9:$AE$1592,0)))=1,SUM(INDEX('SKU明细'!$G$9:$G$1592,MATCH("[6574,""2302153-CC-S-Z-7""]",'SKU明细'!$AE$9:$AE$1592,0)))&gt;0),SUM(INDEX('SKU明细'!$H$9:$H$1592,MATCH("[6574,""2302153-CC-S-Z-7""]",'SKU明细'!$AE$9:$AE$1592,0)))/SUM(INDEX('SKU明细'!$G$9:$G$1592,MATCH("[6574,""2302153-CC-S-Z-7""]",'SKU明细'!$AE$9:$AE$1592,0))),"待核")</x:f>
        <x:v>0</x:v>
      </x:c>
      <x:c r="K113" s="16" t="str">
        <x:f>"—"</x:f>
        <x:v>—</x:v>
      </x:c>
      <x:c r="L113" s="16" t="n">
        <x:f>IF(AND(COUNT(INDEX('SKU明细'!$H$9:$H$1592,MATCH("[6574,""2302153-CC-S-Z-8""]",'SKU明细'!$AE$9:$AE$1592,0)))=1,COUNT(INDEX('SKU明细'!$G$9:$G$1592,MATCH("[6574,""2302153-CC-S-Z-8""]",'SKU明细'!$AE$9:$AE$1592,0)))=1,SUM(INDEX('SKU明细'!$G$9:$G$1592,MATCH("[6574,""2302153-CC-S-Z-8""]",'SKU明细'!$AE$9:$AE$1592,0)))&gt;0),SUM(INDEX('SKU明细'!$H$9:$H$1592,MATCH("[6574,""2302153-CC-S-Z-8""]",'SKU明细'!$AE$9:$AE$1592,0)))/SUM(INDEX('SKU明细'!$G$9:$G$1592,MATCH("[6574,""2302153-CC-S-Z-8""]",'SKU明细'!$AE$9:$AE$1592,0))),"待核")</x:f>
        <x:v>0</x:v>
      </x:c>
      <x:c r="M113" s="16" t="str">
        <x:f>"—"</x:f>
        <x:v>—</x:v>
      </x:c>
      <x:c r="N113" s="16" t="n">
        <x:f>IF(AND(COUNT(INDEX('SKU明细'!$H$9:$H$1592,MATCH("[6574,""2302153-CC-S-Z-9""]",'SKU明细'!$AE$9:$AE$1592,0)))=1,COUNT(INDEX('SKU明细'!$G$9:$G$1592,MATCH("[6574,""2302153-CC-S-Z-9""]",'SKU明细'!$AE$9:$AE$1592,0)))=1,SUM(INDEX('SKU明细'!$G$9:$G$1592,MATCH("[6574,""2302153-CC-S-Z-9""]",'SKU明细'!$AE$9:$AE$1592,0)))&gt;0),SUM(INDEX('SKU明细'!$H$9:$H$1592,MATCH("[6574,""2302153-CC-S-Z-9""]",'SKU明细'!$AE$9:$AE$1592,0)))/SUM(INDEX('SKU明细'!$G$9:$G$1592,MATCH("[6574,""2302153-CC-S-Z-9""]",'SKU明细'!$AE$9:$AE$1592,0))),"待核")</x:f>
        <x:v>0</x:v>
      </x:c>
      <x:c r="O113" s="16" t="str">
        <x:f>"—"</x:f>
        <x:v>—</x:v>
      </x:c>
      <x:c r="P113" s="16" t="n">
        <x:f>IF(AND(COUNT(INDEX('SKU明细'!$H$9:$H$1592,MATCH("[6574,""2302153-CC-S-Z-10""]",'SKU明细'!$AE$9:$AE$1592,0)))=1,COUNT(INDEX('SKU明细'!$G$9:$G$1592,MATCH("[6574,""2302153-CC-S-Z-10""]",'SKU明细'!$AE$9:$AE$1592,0)))=1,SUM(INDEX('SKU明细'!$G$9:$G$1592,MATCH("[6574,""2302153-CC-S-Z-10""]",'SKU明细'!$AE$9:$AE$1592,0)))&gt;0),SUM(INDEX('SKU明细'!$H$9:$H$1592,MATCH("[6574,""2302153-CC-S-Z-10""]",'SKU明细'!$AE$9:$AE$1592,0)))/SUM(INDEX('SKU明细'!$G$9:$G$1592,MATCH("[6574,""2302153-CC-S-Z-10""]",'SKU明细'!$AE$9:$AE$1592,0))),"待核")</x:f>
        <x:v>0</x:v>
      </x:c>
      <x:c r="Q113" s="16" t="str">
        <x:f>"—"</x:f>
        <x:v>—</x:v>
      </x:c>
      <x:c r="R113" s="16" t="n">
        <x:f>IF(AND(COUNT(INDEX('SKU明细'!$H$9:$H$1592,MATCH("[6574,""2302153-CC-S-Z-11""]",'SKU明细'!$AE$9:$AE$1592,0)))=1,COUNT(INDEX('SKU明细'!$G$9:$G$1592,MATCH("[6574,""2302153-CC-S-Z-11""]",'SKU明细'!$AE$9:$AE$1592,0)))=1,SUM(INDEX('SKU明细'!$G$9:$G$1592,MATCH("[6574,""2302153-CC-S-Z-11""]",'SKU明细'!$AE$9:$AE$1592,0)))&gt;0),SUM(INDEX('SKU明细'!$H$9:$H$1592,MATCH("[6574,""2302153-CC-S-Z-11""]",'SKU明细'!$AE$9:$AE$1592,0)))/SUM(INDEX('SKU明细'!$G$9:$G$1592,MATCH("[6574,""2302153-CC-S-Z-11""]",'SKU明细'!$AE$9:$AE$1592,0))),"待核")</x:f>
        <x:v>0</x:v>
      </x:c>
      <x:c r="S113" s="16" t="n">
        <x:f>IF(AND(COUNT(INDEX('SKU明细'!$H$9:$H$1592,MATCH("[6574,""2302153-CC-S-Z-10""]",'SKU明细'!$AE$9:$AE$1592,0)),INDEX('SKU明细'!$H$9:$H$1592,MATCH("[6574,""2302153-CC-S-Z-11""]",'SKU明细'!$AE$9:$AE$1592,0)),INDEX('SKU明细'!$H$9:$H$1592,MATCH("[6574,""2302153-CC-S-Z-6""]",'SKU明细'!$AE$9:$AE$1592,0)),INDEX('SKU明细'!$H$9:$H$1592,MATCH("[6574,""2302153-CC-S-Z-7""]",'SKU明细'!$AE$9:$AE$1592,0)),INDEX('SKU明细'!$H$9:$H$1592,MATCH("[6574,""2302153-CC-S-Z-8""]",'SKU明细'!$AE$9:$AE$1592,0)),INDEX('SKU明细'!$H$9:$H$1592,MATCH("[6574,""2302153-CC-S-Z-9""]",'SKU明细'!$AE$9:$AE$1592,0)))=6,COUNT(INDEX('SKU明细'!$G$9:$G$1592,MATCH("[6574,""2302153-CC-S-Z-10""]",'SKU明细'!$AE$9:$AE$1592,0)),INDEX('SKU明细'!$G$9:$G$1592,MATCH("[6574,""2302153-CC-S-Z-11""]",'SKU明细'!$AE$9:$AE$1592,0)),INDEX('SKU明细'!$G$9:$G$1592,MATCH("[6574,""2302153-CC-S-Z-6""]",'SKU明细'!$AE$9:$AE$1592,0)),INDEX('SKU明细'!$G$9:$G$1592,MATCH("[6574,""2302153-CC-S-Z-7""]",'SKU明细'!$AE$9:$AE$1592,0)),INDEX('SKU明细'!$G$9:$G$1592,MATCH("[6574,""2302153-CC-S-Z-8""]",'SKU明细'!$AE$9:$AE$1592,0)),INDEX('SKU明细'!$G$9:$G$1592,MATCH("[6574,""2302153-CC-S-Z-9""]",'SKU明细'!$AE$9:$AE$1592,0)))=6,SUM(INDEX('SKU明细'!$G$9:$G$1592,MATCH("[6574,""2302153-CC-S-Z-10""]",'SKU明细'!$AE$9:$AE$1592,0)),INDEX('SKU明细'!$G$9:$G$1592,MATCH("[6574,""2302153-CC-S-Z-11""]",'SKU明细'!$AE$9:$AE$1592,0)),INDEX('SKU明细'!$G$9:$G$1592,MATCH("[6574,""2302153-CC-S-Z-6""]",'SKU明细'!$AE$9:$AE$1592,0)),INDEX('SKU明细'!$G$9:$G$1592,MATCH("[6574,""2302153-CC-S-Z-7""]",'SKU明细'!$AE$9:$AE$1592,0)),INDEX('SKU明细'!$G$9:$G$1592,MATCH("[6574,""2302153-CC-S-Z-8""]",'SKU明细'!$AE$9:$AE$1592,0)),INDEX('SKU明细'!$G$9:$G$1592,MATCH("[6574,""2302153-CC-S-Z-9""]",'SKU明细'!$AE$9:$AE$1592,0)))&gt;0),SUM(INDEX('SKU明细'!$H$9:$H$1592,MATCH("[6574,""2302153-CC-S-Z-10""]",'SKU明细'!$AE$9:$AE$1592,0)),INDEX('SKU明细'!$H$9:$H$1592,MATCH("[6574,""2302153-CC-S-Z-11""]",'SKU明细'!$AE$9:$AE$1592,0)),INDEX('SKU明细'!$H$9:$H$1592,MATCH("[6574,""2302153-CC-S-Z-6""]",'SKU明细'!$AE$9:$AE$1592,0)),INDEX('SKU明细'!$H$9:$H$1592,MATCH("[6574,""2302153-CC-S-Z-7""]",'SKU明细'!$AE$9:$AE$1592,0)),INDEX('SKU明细'!$H$9:$H$1592,MATCH("[6574,""2302153-CC-S-Z-8""]",'SKU明细'!$AE$9:$AE$1592,0)),INDEX('SKU明细'!$H$9:$H$1592,MATCH("[6574,""2302153-CC-S-Z-9""]",'SKU明细'!$AE$9:$AE$1592,0)))/SUM(INDEX('SKU明细'!$G$9:$G$1592,MATCH("[6574,""2302153-CC-S-Z-10""]",'SKU明细'!$AE$9:$AE$1592,0)),INDEX('SKU明细'!$G$9:$G$1592,MATCH("[6574,""2302153-CC-S-Z-11""]",'SKU明细'!$AE$9:$AE$1592,0)),INDEX('SKU明细'!$G$9:$G$1592,MATCH("[6574,""2302153-CC-S-Z-6""]",'SKU明细'!$AE$9:$AE$1592,0)),INDEX('SKU明细'!$G$9:$G$1592,MATCH("[6574,""2302153-CC-S-Z-7""]",'SKU明细'!$AE$9:$AE$1592,0)),INDEX('SKU明细'!$G$9:$G$1592,MATCH("[6574,""2302153-CC-S-Z-8""]",'SKU明细'!$AE$9:$AE$1592,0)),INDEX('SKU明细'!$G$9:$G$1592,MATCH("[6574,""2302153-CC-S-Z-9""]",'SKU明细'!$AE$9:$AE$1592,0))),"待核")</x:f>
        <x:v>0</x:v>
      </x:c>
      <x:c r="T113" s="16" t="n">
        <x:f>IF(AND(COUNT(INDEX('SKU明细'!$I$9:$I$1592,MATCH("[6574,""2302153-CC-S-Z-10""]",'SKU明细'!$AE$9:$AE$1592,0)),INDEX('SKU明细'!$I$9:$I$1592,MATCH("[6574,""2302153-CC-S-Z-11""]",'SKU明细'!$AE$9:$AE$1592,0)),INDEX('SKU明细'!$I$9:$I$1592,MATCH("[6574,""2302153-CC-S-Z-6""]",'SKU明细'!$AE$9:$AE$1592,0)),INDEX('SKU明细'!$I$9:$I$1592,MATCH("[6574,""2302153-CC-S-Z-7""]",'SKU明细'!$AE$9:$AE$1592,0)),INDEX('SKU明细'!$I$9:$I$1592,MATCH("[6574,""2302153-CC-S-Z-8""]",'SKU明细'!$AE$9:$AE$1592,0)),INDEX('SKU明细'!$I$9:$I$1592,MATCH("[6574,""2302153-CC-S-Z-9""]",'SKU明细'!$AE$9:$AE$1592,0)))=6,COUNT(INDEX('SKU明细'!$AD$9:$AD$1592,MATCH("[6574,""2302153-CC-S-Z-10""]",'SKU明细'!$AE$9:$AE$1592,0)),INDEX('SKU明细'!$AD$9:$AD$1592,MATCH("[6574,""2302153-CC-S-Z-11""]",'SKU明细'!$AE$9:$AE$1592,0)),INDEX('SKU明细'!$AD$9:$AD$1592,MATCH("[6574,""2302153-CC-S-Z-6""]",'SKU明细'!$AE$9:$AE$1592,0)),INDEX('SKU明细'!$AD$9:$AD$1592,MATCH("[6574,""2302153-CC-S-Z-7""]",'SKU明细'!$AE$9:$AE$1592,0)),INDEX('SKU明细'!$AD$9:$AD$1592,MATCH("[6574,""2302153-CC-S-Z-8""]",'SKU明细'!$AE$9:$AE$1592,0)),INDEX('SKU明细'!$AD$9:$AD$1592,MATCH("[6574,""2302153-CC-S-Z-9""]",'SKU明细'!$AE$9:$AE$1592,0)))=6,SUM(INDEX('SKU明细'!$AD$9:$AD$1592,MATCH("[6574,""2302153-CC-S-Z-10""]",'SKU明细'!$AE$9:$AE$1592,0)),INDEX('SKU明细'!$AD$9:$AD$1592,MATCH("[6574,""2302153-CC-S-Z-11""]",'SKU明细'!$AE$9:$AE$1592,0)),INDEX('SKU明细'!$AD$9:$AD$1592,MATCH("[6574,""2302153-CC-S-Z-6""]",'SKU明细'!$AE$9:$AE$1592,0)),INDEX('SKU明细'!$AD$9:$AD$1592,MATCH("[6574,""2302153-CC-S-Z-7""]",'SKU明细'!$AE$9:$AE$1592,0)),INDEX('SKU明细'!$AD$9:$AD$1592,MATCH("[6574,""2302153-CC-S-Z-8""]",'SKU明细'!$AE$9:$AE$1592,0)),INDEX('SKU明细'!$AD$9:$AD$1592,MATCH("[6574,""2302153-CC-S-Z-9""]",'SKU明细'!$AE$9:$AE$1592,0)))&gt;0),SUM(INDEX('SKU明细'!$I$9:$I$1592,MATCH("[6574,""2302153-CC-S-Z-10""]",'SKU明细'!$AE$9:$AE$1592,0)),INDEX('SKU明细'!$I$9:$I$1592,MATCH("[6574,""2302153-CC-S-Z-11""]",'SKU明细'!$AE$9:$AE$1592,0)),INDEX('SKU明细'!$I$9:$I$1592,MATCH("[6574,""2302153-CC-S-Z-6""]",'SKU明细'!$AE$9:$AE$1592,0)),INDEX('SKU明细'!$I$9:$I$1592,MATCH("[6574,""2302153-CC-S-Z-7""]",'SKU明细'!$AE$9:$AE$1592,0)),INDEX('SKU明细'!$I$9:$I$1592,MATCH("[6574,""2302153-CC-S-Z-8""]",'SKU明细'!$AE$9:$AE$1592,0)),INDEX('SKU明细'!$I$9:$I$1592,MATCH("[6574,""2302153-CC-S-Z-9""]",'SKU明细'!$AE$9:$AE$1592,0)))/SUM(INDEX('SKU明细'!$AD$9:$AD$1592,MATCH("[6574,""2302153-CC-S-Z-10""]",'SKU明细'!$AE$9:$AE$1592,0)),INDEX('SKU明细'!$AD$9:$AD$1592,MATCH("[6574,""2302153-CC-S-Z-11""]",'SKU明细'!$AE$9:$AE$1592,0)),INDEX('SKU明细'!$AD$9:$AD$1592,MATCH("[6574,""2302153-CC-S-Z-6""]",'SKU明细'!$AE$9:$AE$1592,0)),INDEX('SKU明细'!$AD$9:$AD$1592,MATCH("[6574,""2302153-CC-S-Z-7""]",'SKU明细'!$AE$9:$AE$1592,0)),INDEX('SKU明细'!$AD$9:$AD$1592,MATCH("[6574,""2302153-CC-S-Z-8""]",'SKU明细'!$AE$9:$AE$1592,0)),INDEX('SKU明细'!$AD$9:$AD$1592,MATCH("[6574,""2302153-CC-S-Z-9""]",'SKU明细'!$AE$9:$AE$1592,0))),"待核")</x:f>
        <x:v>0</x:v>
      </x:c>
      <x:c r="U113" s="16" t="n">
        <x:f>IF(COUNT(S113:T113)=2,S113-T113,"待核")</x:f>
        <x:v>0</x:v>
      </x:c>
      <x:c r="V113" s="17" t="str">
        <x:f>IF(AND(ISNUMBER(U113),ISNUMBER(T113),T113&lt;&gt;0),U113/T113,"")</x:f>
      </x:c>
      <x:c r="W113" s="18" t="n">
        <x:f>IF(COUNT(INDEX('SKU明细'!$H$9:$H$1592,MATCH("[6574,""2302153-CC-S-Z-10""]",'SKU明细'!$AE$9:$AE$1592,0)),INDEX('SKU明细'!$H$9:$H$1592,MATCH("[6574,""2302153-CC-S-Z-11""]",'SKU明细'!$AE$9:$AE$1592,0)),INDEX('SKU明细'!$H$9:$H$1592,MATCH("[6574,""2302153-CC-S-Z-6""]",'SKU明细'!$AE$9:$AE$1592,0)),INDEX('SKU明细'!$H$9:$H$1592,MATCH("[6574,""2302153-CC-S-Z-7""]",'SKU明细'!$AE$9:$AE$1592,0)),INDEX('SKU明细'!$H$9:$H$1592,MATCH("[6574,""2302153-CC-S-Z-8""]",'SKU明细'!$AE$9:$AE$1592,0)),INDEX('SKU明细'!$H$9:$H$1592,MATCH("[6574,""2302153-CC-S-Z-9""]",'SKU明细'!$AE$9:$AE$1592,0)))=0,"待核",SUM(INDEX('SKU明细'!$H$9:$H$1592,MATCH("[6574,""2302153-CC-S-Z-10""]",'SKU明细'!$AE$9:$AE$1592,0)),INDEX('SKU明细'!$H$9:$H$1592,MATCH("[6574,""2302153-CC-S-Z-11""]",'SKU明细'!$AE$9:$AE$1592,0)),INDEX('SKU明细'!$H$9:$H$1592,MATCH("[6574,""2302153-CC-S-Z-6""]",'SKU明细'!$AE$9:$AE$1592,0)),INDEX('SKU明细'!$H$9:$H$1592,MATCH("[6574,""2302153-CC-S-Z-7""]",'SKU明细'!$AE$9:$AE$1592,0)),INDEX('SKU明细'!$H$9:$H$1592,MATCH("[6574,""2302153-CC-S-Z-8""]",'SKU明细'!$AE$9:$AE$1592,0)),INDEX('SKU明细'!$H$9:$H$1592,MATCH("[6574,""2302153-CC-S-Z-9""]",'SKU明细'!$AE$9:$AE$1592,0))))</x:f>
        <x:v>0</x:v>
      </x:c>
      <x:c r="X113" s="19" t="str">
        <x:f>IF(COUNTIFS('SKU明细'!$AH$9:$AH$1592,"[""2302153"",""2302153-CC-S-Z"",""CC"",""驼色""]",'SKU明细'!$E$9:$E$1592,"促销")&gt;0,"促销 ","")&amp;IF(COUNTIFS('SKU明细'!$AH$9:$AH$1592,"[""2302153"",""2302153-CC-S-Z"",""CC"",""驼色""]",'SKU明细'!$E$9:$E$1592,"红线促销")&gt;0,"红线促销 ","")&amp;IF(COUNTIFS('SKU明细'!$AH$9:$AH$1592,"[""2302153"",""2302153-CC-S-Z"",""CC"",""驼色""]",'SKU明细'!$E$9:$E$1592,"考虑清仓")&gt;0,"考虑清仓 ","")&amp;IF(COUNTIFS('SKU明细'!$AH$9:$AH$1592,"[""2302153"",""2302153-CC-S-Z"",""CC"",""驼色""]",'SKU明细'!$E$9:$E$1592,"断货")&gt;0,"断货 ","")&amp;IF(COUNTIFS('SKU明细'!$AH$9:$AH$1592,"[""2302153"",""2302153-CC-S-Z"",""CC"",""驼色""]",'SKU明细'!$E$9:$E$1592,"零日销待复核")&gt;0,"零日销待复核 ","")&amp;IF(COUNTIFS('SKU明细'!$AH$9:$AH$1592,"[""2302153"",""2302153-CC-S-Z"",""CC"",""驼色""]",'SKU明细'!$E$9:$E$1592,"数据待核")&gt;0,"数据待核 ","")&amp;IF(COUNTIFS('SKU明细'!$AH$9:$AH$1592,"[""2302153"",""2302153-CC-S-Z"",""CC"",""驼色""]",'SKU明细'!$E$9:$E$1592,"正常库存")&gt;0,"正常库存 ","")&amp;IF(COUNTIFS('SKU明细'!$AH$9:$AH$1592,"[""2302153"",""2302153-CC-S-Z"",""CC"",""驼色""]",'SKU明细'!$E$9:$E$1592,"补货提醒")&gt;0,"补货提醒 ","")</x:f>
        <x:v>断货 </x:v>
      </x:c>
      <x:c r="Y113" s="19" t="str">
        <x:f>IF(NOT(ISNUMBER(U113)),"覆盖待核／无可比基准","完整可比")</x:f>
        <x:v>完整可比</x:v>
      </x:c>
      <x:c r="Z113" s="19" t="str">
        <x:v>在售</x:v>
      </x:c>
      <x:c r="AA113" s="19" t="n">
        <x:f>IF(SUMIFS('SKU明细'!$AF$9:$AF$1592,'SKU明细'!$D$9:$D$1592,A113,'SKU明细'!$Z$9:$Z$1592,"&lt;&gt;移出")=0,"待核",SUMIFS('SKU明细'!$H$9:$H$1592,'SKU明细'!$D$9:$D$1592,A113,'SKU明细'!$Z$9:$Z$1592,"&lt;&gt;移出"))</x:f>
        <x:v>1112</x:v>
      </x:c>
    </x:row>
    <x:row r="114" ht="54" customHeight="1">
      <x:c r="A114" s="15" t="str">
        <x:v>2302153</x:v>
      </x:c>
      <x:c r="B114" s="15" t="str">
        <x:v>徐新怡</x:v>
      </x:c>
      <x:c r="C114" s="15" t="str">
        <x:v>豹纹</x:v>
      </x:c>
      <x:c r="D114" s="15" t="str">
        <x:v>LP</x:v>
      </x:c>
      <x:c r="E114" s="15" t="str">
        <x:v>2302153-LP-S-Z</x:v>
      </x:c>
      <x:c r="F114" s="15"/>
      <x:c r="G114" s="16" t="str">
        <x:f>"—"</x:f>
        <x:v>—</x:v>
      </x:c>
      <x:c r="H114" s="16" t="n">
        <x:f>IF(AND(COUNT(INDEX('SKU明细'!$H$9:$H$1592,MATCH("[6574,""2302153-LP-S-Z-6""]",'SKU明细'!$AE$9:$AE$1592,0)))=1,COUNT(INDEX('SKU明细'!$G$9:$G$1592,MATCH("[6574,""2302153-LP-S-Z-6""]",'SKU明细'!$AE$9:$AE$1592,0)))=1,SUM(INDEX('SKU明细'!$G$9:$G$1592,MATCH("[6574,""2302153-LP-S-Z-6""]",'SKU明细'!$AE$9:$AE$1592,0)))&gt;0),SUM(INDEX('SKU明细'!$H$9:$H$1592,MATCH("[6574,""2302153-LP-S-Z-6""]",'SKU明细'!$AE$9:$AE$1592,0)))/SUM(INDEX('SKU明细'!$G$9:$G$1592,MATCH("[6574,""2302153-LP-S-Z-6""]",'SKU明细'!$AE$9:$AE$1592,0))),"待核")</x:f>
        <x:v>21.761658031088086</x:v>
      </x:c>
      <x:c r="I114" s="16" t="n">
        <x:f>IF(AND(COUNT(INDEX('SKU明细'!$H$9:$H$1592,MATCH("[6574,""2302153-LP-S-Z-6.5""]",'SKU明细'!$AE$9:$AE$1592,0)))=1,COUNT(INDEX('SKU明细'!$G$9:$G$1592,MATCH("[6574,""2302153-LP-S-Z-6.5""]",'SKU明细'!$AE$9:$AE$1592,0)))=1,SUM(INDEX('SKU明细'!$G$9:$G$1592,MATCH("[6574,""2302153-LP-S-Z-6.5""]",'SKU明细'!$AE$9:$AE$1592,0)))&gt;0),SUM(INDEX('SKU明细'!$H$9:$H$1592,MATCH("[6574,""2302153-LP-S-Z-6.5""]",'SKU明细'!$AE$9:$AE$1592,0)))/SUM(INDEX('SKU明细'!$G$9:$G$1592,MATCH("[6574,""2302153-LP-S-Z-6.5""]",'SKU明细'!$AE$9:$AE$1592,0))),"待核")</x:f>
        <x:v>18.349514563106798</x:v>
      </x:c>
      <x:c r="J114" s="16" t="n">
        <x:f>IF(AND(COUNT(INDEX('SKU明细'!$H$9:$H$1592,MATCH("[6574,""2302153-LP-S-Z-7""]",'SKU明细'!$AE$9:$AE$1592,0)))=1,COUNT(INDEX('SKU明细'!$G$9:$G$1592,MATCH("[6574,""2302153-LP-S-Z-7""]",'SKU明细'!$AE$9:$AE$1592,0)))=1,SUM(INDEX('SKU明细'!$G$9:$G$1592,MATCH("[6574,""2302153-LP-S-Z-7""]",'SKU明细'!$AE$9:$AE$1592,0)))&gt;0),SUM(INDEX('SKU明细'!$H$9:$H$1592,MATCH("[6574,""2302153-LP-S-Z-7""]",'SKU明细'!$AE$9:$AE$1592,0)))/SUM(INDEX('SKU明细'!$G$9:$G$1592,MATCH("[6574,""2302153-LP-S-Z-7""]",'SKU明细'!$AE$9:$AE$1592,0))),"待核")</x:f>
        <x:v>0</x:v>
      </x:c>
      <x:c r="K114" s="16" t="n">
        <x:f>IF(AND(COUNT(INDEX('SKU明细'!$H$9:$H$1592,MATCH("[6574,""2302153-LP-S-Z-7.5""]",'SKU明细'!$AE$9:$AE$1592,0)))=1,COUNT(INDEX('SKU明细'!$G$9:$G$1592,MATCH("[6574,""2302153-LP-S-Z-7.5""]",'SKU明细'!$AE$9:$AE$1592,0)))=1,SUM(INDEX('SKU明细'!$G$9:$G$1592,MATCH("[6574,""2302153-LP-S-Z-7.5""]",'SKU明细'!$AE$9:$AE$1592,0)))&gt;0),SUM(INDEX('SKU明细'!$H$9:$H$1592,MATCH("[6574,""2302153-LP-S-Z-7.5""]",'SKU明细'!$AE$9:$AE$1592,0)))/SUM(INDEX('SKU明细'!$G$9:$G$1592,MATCH("[6574,""2302153-LP-S-Z-7.5""]",'SKU明细'!$AE$9:$AE$1592,0))),"待核")</x:f>
        <x:v>0</x:v>
      </x:c>
      <x:c r="L114" s="16" t="n">
        <x:f>IF(AND(COUNT(INDEX('SKU明细'!$H$9:$H$1592,MATCH("[6574,""2302153-LP-S-Z-8""]",'SKU明细'!$AE$9:$AE$1592,0)))=1,COUNT(INDEX('SKU明细'!$G$9:$G$1592,MATCH("[6574,""2302153-LP-S-Z-8""]",'SKU明细'!$AE$9:$AE$1592,0)))=1,SUM(INDEX('SKU明细'!$G$9:$G$1592,MATCH("[6574,""2302153-LP-S-Z-8""]",'SKU明细'!$AE$9:$AE$1592,0)))&gt;0),SUM(INDEX('SKU明细'!$H$9:$H$1592,MATCH("[6574,""2302153-LP-S-Z-8""]",'SKU明细'!$AE$9:$AE$1592,0)))/SUM(INDEX('SKU明细'!$G$9:$G$1592,MATCH("[6574,""2302153-LP-S-Z-8""]",'SKU明细'!$AE$9:$AE$1592,0))),"待核")</x:f>
        <x:v>0</x:v>
      </x:c>
      <x:c r="M114" s="16" t="n">
        <x:f>IF(AND(COUNT(INDEX('SKU明细'!$H$9:$H$1592,MATCH("[6574,""2302153-LP-S-Z-8.5""]",'SKU明细'!$AE$9:$AE$1592,0)))=1,COUNT(INDEX('SKU明细'!$G$9:$G$1592,MATCH("[6574,""2302153-LP-S-Z-8.5""]",'SKU明细'!$AE$9:$AE$1592,0)))=1,SUM(INDEX('SKU明细'!$G$9:$G$1592,MATCH("[6574,""2302153-LP-S-Z-8.5""]",'SKU明细'!$AE$9:$AE$1592,0)))&gt;0),SUM(INDEX('SKU明细'!$H$9:$H$1592,MATCH("[6574,""2302153-LP-S-Z-8.5""]",'SKU明细'!$AE$9:$AE$1592,0)))/SUM(INDEX('SKU明细'!$G$9:$G$1592,MATCH("[6574,""2302153-LP-S-Z-8.5""]",'SKU明细'!$AE$9:$AE$1592,0))),"待核")</x:f>
        <x:v>0</x:v>
      </x:c>
      <x:c r="N114" s="16" t="n">
        <x:f>IF(AND(COUNT(INDEX('SKU明细'!$H$9:$H$1592,MATCH("[6574,""2302153-LP-S-Z-9""]",'SKU明细'!$AE$9:$AE$1592,0)))=1,COUNT(INDEX('SKU明细'!$G$9:$G$1592,MATCH("[6574,""2302153-LP-S-Z-9""]",'SKU明细'!$AE$9:$AE$1592,0)))=1,SUM(INDEX('SKU明细'!$G$9:$G$1592,MATCH("[6574,""2302153-LP-S-Z-9""]",'SKU明细'!$AE$9:$AE$1592,0)))&gt;0),SUM(INDEX('SKU明细'!$H$9:$H$1592,MATCH("[6574,""2302153-LP-S-Z-9""]",'SKU明细'!$AE$9:$AE$1592,0)))/SUM(INDEX('SKU明细'!$G$9:$G$1592,MATCH("[6574,""2302153-LP-S-Z-9""]",'SKU明细'!$AE$9:$AE$1592,0))),"待核")</x:f>
        <x:v>0</x:v>
      </x:c>
      <x:c r="O114" s="16" t="n">
        <x:f>IF(AND(COUNT(INDEX('SKU明细'!$H$9:$H$1592,MATCH("[6574,""2302153-LP-S-Z-9.5""]",'SKU明细'!$AE$9:$AE$1592,0)))=1,COUNT(INDEX('SKU明细'!$G$9:$G$1592,MATCH("[6574,""2302153-LP-S-Z-9.5""]",'SKU明细'!$AE$9:$AE$1592,0)))=1,SUM(INDEX('SKU明细'!$G$9:$G$1592,MATCH("[6574,""2302153-LP-S-Z-9.5""]",'SKU明细'!$AE$9:$AE$1592,0)))&gt;0),SUM(INDEX('SKU明细'!$H$9:$H$1592,MATCH("[6574,""2302153-LP-S-Z-9.5""]",'SKU明细'!$AE$9:$AE$1592,0)))/SUM(INDEX('SKU明细'!$G$9:$G$1592,MATCH("[6574,""2302153-LP-S-Z-9.5""]",'SKU明细'!$AE$9:$AE$1592,0))),"待核")</x:f>
        <x:v>0</x:v>
      </x:c>
      <x:c r="P114" s="16" t="n">
        <x:f>IF(AND(COUNT(INDEX('SKU明细'!$H$9:$H$1592,MATCH("[6574,""2302153-LP-S-Z-10""]",'SKU明细'!$AE$9:$AE$1592,0)))=1,COUNT(INDEX('SKU明细'!$G$9:$G$1592,MATCH("[6574,""2302153-LP-S-Z-10""]",'SKU明细'!$AE$9:$AE$1592,0)))=1,SUM(INDEX('SKU明细'!$G$9:$G$1592,MATCH("[6574,""2302153-LP-S-Z-10""]",'SKU明细'!$AE$9:$AE$1592,0)))&gt;0),SUM(INDEX('SKU明细'!$H$9:$H$1592,MATCH("[6574,""2302153-LP-S-Z-10""]",'SKU明细'!$AE$9:$AE$1592,0)))/SUM(INDEX('SKU明细'!$G$9:$G$1592,MATCH("[6574,""2302153-LP-S-Z-10""]",'SKU明细'!$AE$9:$AE$1592,0))),"待核")</x:f>
        <x:v>0</x:v>
      </x:c>
      <x:c r="Q114" s="16" t="n">
        <x:f>IF(AND(COUNT(INDEX('SKU明细'!$H$9:$H$1592,MATCH("[6574,""2302153-LP-S-Z-10.5""]",'SKU明细'!$AE$9:$AE$1592,0)))=1,COUNT(INDEX('SKU明细'!$G$9:$G$1592,MATCH("[6574,""2302153-LP-S-Z-10.5""]",'SKU明细'!$AE$9:$AE$1592,0)))=1,SUM(INDEX('SKU明细'!$G$9:$G$1592,MATCH("[6574,""2302153-LP-S-Z-10.5""]",'SKU明细'!$AE$9:$AE$1592,0)))&gt;0),SUM(INDEX('SKU明细'!$H$9:$H$1592,MATCH("[6574,""2302153-LP-S-Z-10.5""]",'SKU明细'!$AE$9:$AE$1592,0)))/SUM(INDEX('SKU明细'!$G$9:$G$1592,MATCH("[6574,""2302153-LP-S-Z-10.5""]",'SKU明细'!$AE$9:$AE$1592,0))),"待核")</x:f>
        <x:v>0</x:v>
      </x:c>
      <x:c r="R114" s="16" t="n">
        <x:f>IF(AND(COUNT(INDEX('SKU明细'!$H$9:$H$1592,MATCH("[6574,""2302153-LP-S-Z-11""]",'SKU明细'!$AE$9:$AE$1592,0)))=1,COUNT(INDEX('SKU明细'!$G$9:$G$1592,MATCH("[6574,""2302153-LP-S-Z-11""]",'SKU明细'!$AE$9:$AE$1592,0)))=1,SUM(INDEX('SKU明细'!$G$9:$G$1592,MATCH("[6574,""2302153-LP-S-Z-11""]",'SKU明细'!$AE$9:$AE$1592,0)))&gt;0),SUM(INDEX('SKU明细'!$H$9:$H$1592,MATCH("[6574,""2302153-LP-S-Z-11""]",'SKU明细'!$AE$9:$AE$1592,0)))/SUM(INDEX('SKU明细'!$G$9:$G$1592,MATCH("[6574,""2302153-LP-S-Z-11""]",'SKU明细'!$AE$9:$AE$1592,0))),"待核")</x:f>
        <x:v>0</x:v>
      </x:c>
      <x:c r="S114" s="16" t="n">
        <x:f>IF(AND(COUNT(INDEX('SKU明细'!$H$9:$H$1592,MATCH("[6574,""2302153-LP-S-Z-10""]",'SKU明细'!$AE$9:$AE$1592,0)),INDEX('SKU明细'!$H$9:$H$1592,MATCH("[6574,""2302153-LP-S-Z-10.5""]",'SKU明细'!$AE$9:$AE$1592,0)),INDEX('SKU明细'!$H$9:$H$1592,MATCH("[6574,""2302153-LP-S-Z-11""]",'SKU明细'!$AE$9:$AE$1592,0)),INDEX('SKU明细'!$H$9:$H$1592,MATCH("[6574,""2302153-LP-S-Z-7""]",'SKU明细'!$AE$9:$AE$1592,0)),INDEX('SKU明细'!$H$9:$H$1592,MATCH("[6574,""2302153-LP-S-Z-7.5""]",'SKU明细'!$AE$9:$AE$1592,0)),INDEX('SKU明细'!$H$9:$H$1592,MATCH("[6574,""2302153-LP-S-Z-8""]",'SKU明细'!$AE$9:$AE$1592,0)),INDEX('SKU明细'!$H$9:$H$1592,MATCH("[6574,""2302153-LP-S-Z-8.5""]",'SKU明细'!$AE$9:$AE$1592,0)),INDEX('SKU明细'!$H$9:$H$1592,MATCH("[6574,""2302153-LP-S-Z-9""]",'SKU明细'!$AE$9:$AE$1592,0)),INDEX('SKU明细'!$H$9:$H$1592,MATCH("[6574,""2302153-LP-S-Z-9.5""]",'SKU明细'!$AE$9:$AE$1592,0)),INDEX('SKU明细'!$H$9:$H$1592,MATCH("[6574,""2302153-LP-S-Z-6""]",'SKU明细'!$AE$9:$AE$1592,0)),INDEX('SKU明细'!$H$9:$H$1592,MATCH("[6574,""2302153-LP-S-Z-6.5""]",'SKU明细'!$AE$9:$AE$1592,0)))=11,COUNT(INDEX('SKU明细'!$G$9:$G$1592,MATCH("[6574,""2302153-LP-S-Z-10""]",'SKU明细'!$AE$9:$AE$1592,0)),INDEX('SKU明细'!$G$9:$G$1592,MATCH("[6574,""2302153-LP-S-Z-10.5""]",'SKU明细'!$AE$9:$AE$1592,0)),INDEX('SKU明细'!$G$9:$G$1592,MATCH("[6574,""2302153-LP-S-Z-11""]",'SKU明细'!$AE$9:$AE$1592,0)),INDEX('SKU明细'!$G$9:$G$1592,MATCH("[6574,""2302153-LP-S-Z-7""]",'SKU明细'!$AE$9:$AE$1592,0)),INDEX('SKU明细'!$G$9:$G$1592,MATCH("[6574,""2302153-LP-S-Z-7.5""]",'SKU明细'!$AE$9:$AE$1592,0)),INDEX('SKU明细'!$G$9:$G$1592,MATCH("[6574,""2302153-LP-S-Z-8""]",'SKU明细'!$AE$9:$AE$1592,0)),INDEX('SKU明细'!$G$9:$G$1592,MATCH("[6574,""2302153-LP-S-Z-8.5""]",'SKU明细'!$AE$9:$AE$1592,0)),INDEX('SKU明细'!$G$9:$G$1592,MATCH("[6574,""2302153-LP-S-Z-9""]",'SKU明细'!$AE$9:$AE$1592,0)),INDEX('SKU明细'!$G$9:$G$1592,MATCH("[6574,""2302153-LP-S-Z-9.5""]",'SKU明细'!$AE$9:$AE$1592,0)),INDEX('SKU明细'!$G$9:$G$1592,MATCH("[6574,""2302153-LP-S-Z-6""]",'SKU明细'!$AE$9:$AE$1592,0)),INDEX('SKU明细'!$G$9:$G$1592,MATCH("[6574,""2302153-LP-S-Z-6.5""]",'SKU明细'!$AE$9:$AE$1592,0)))=11,SUM(INDEX('SKU明细'!$G$9:$G$1592,MATCH("[6574,""2302153-LP-S-Z-10""]",'SKU明细'!$AE$9:$AE$1592,0)),INDEX('SKU明细'!$G$9:$G$1592,MATCH("[6574,""2302153-LP-S-Z-10.5""]",'SKU明细'!$AE$9:$AE$1592,0)),INDEX('SKU明细'!$G$9:$G$1592,MATCH("[6574,""2302153-LP-S-Z-11""]",'SKU明细'!$AE$9:$AE$1592,0)),INDEX('SKU明细'!$G$9:$G$1592,MATCH("[6574,""2302153-LP-S-Z-7""]",'SKU明细'!$AE$9:$AE$1592,0)),INDEX('SKU明细'!$G$9:$G$1592,MATCH("[6574,""2302153-LP-S-Z-7.5""]",'SKU明细'!$AE$9:$AE$1592,0)),INDEX('SKU明细'!$G$9:$G$1592,MATCH("[6574,""2302153-LP-S-Z-8""]",'SKU明细'!$AE$9:$AE$1592,0)),INDEX('SKU明细'!$G$9:$G$1592,MATCH("[6574,""2302153-LP-S-Z-8.5""]",'SKU明细'!$AE$9:$AE$1592,0)),INDEX('SKU明细'!$G$9:$G$1592,MATCH("[6574,""2302153-LP-S-Z-9""]",'SKU明细'!$AE$9:$AE$1592,0)),INDEX('SKU明细'!$G$9:$G$1592,MATCH("[6574,""2302153-LP-S-Z-9.5""]",'SKU明细'!$AE$9:$AE$1592,0)),INDEX('SKU明细'!$G$9:$G$1592,MATCH("[6574,""2302153-LP-S-Z-6""]",'SKU明细'!$AE$9:$AE$1592,0)),INDEX('SKU明细'!$G$9:$G$1592,MATCH("[6574,""2302153-LP-S-Z-6.5""]",'SKU明细'!$AE$9:$AE$1592,0)))&gt;0),SUM(INDEX('SKU明细'!$H$9:$H$1592,MATCH("[6574,""2302153-LP-S-Z-10""]",'SKU明细'!$AE$9:$AE$1592,0)),INDEX('SKU明细'!$H$9:$H$1592,MATCH("[6574,""2302153-LP-S-Z-10.5""]",'SKU明细'!$AE$9:$AE$1592,0)),INDEX('SKU明细'!$H$9:$H$1592,MATCH("[6574,""2302153-LP-S-Z-11""]",'SKU明细'!$AE$9:$AE$1592,0)),INDEX('SKU明细'!$H$9:$H$1592,MATCH("[6574,""2302153-LP-S-Z-7""]",'SKU明细'!$AE$9:$AE$1592,0)),INDEX('SKU明细'!$H$9:$H$1592,MATCH("[6574,""2302153-LP-S-Z-7.5""]",'SKU明细'!$AE$9:$AE$1592,0)),INDEX('SKU明细'!$H$9:$H$1592,MATCH("[6574,""2302153-LP-S-Z-8""]",'SKU明细'!$AE$9:$AE$1592,0)),INDEX('SKU明细'!$H$9:$H$1592,MATCH("[6574,""2302153-LP-S-Z-8.5""]",'SKU明细'!$AE$9:$AE$1592,0)),INDEX('SKU明细'!$H$9:$H$1592,MATCH("[6574,""2302153-LP-S-Z-9""]",'SKU明细'!$AE$9:$AE$1592,0)),INDEX('SKU明细'!$H$9:$H$1592,MATCH("[6574,""2302153-LP-S-Z-9.5""]",'SKU明细'!$AE$9:$AE$1592,0)),INDEX('SKU明细'!$H$9:$H$1592,MATCH("[6574,""2302153-LP-S-Z-6""]",'SKU明细'!$AE$9:$AE$1592,0)),INDEX('SKU明细'!$H$9:$H$1592,MATCH("[6574,""2302153-LP-S-Z-6.5""]",'SKU明细'!$AE$9:$AE$1592,0)))/SUM(INDEX('SKU明细'!$G$9:$G$1592,MATCH("[6574,""2302153-LP-S-Z-10""]",'SKU明细'!$AE$9:$AE$1592,0)),INDEX('SKU明细'!$G$9:$G$1592,MATCH("[6574,""2302153-LP-S-Z-10.5""]",'SKU明细'!$AE$9:$AE$1592,0)),INDEX('SKU明细'!$G$9:$G$1592,MATCH("[6574,""2302153-LP-S-Z-11""]",'SKU明细'!$AE$9:$AE$1592,0)),INDEX('SKU明细'!$G$9:$G$1592,MATCH("[6574,""2302153-LP-S-Z-7""]",'SKU明细'!$AE$9:$AE$1592,0)),INDEX('SKU明细'!$G$9:$G$1592,MATCH("[6574,""2302153-LP-S-Z-7.5""]",'SKU明细'!$AE$9:$AE$1592,0)),INDEX('SKU明细'!$G$9:$G$1592,MATCH("[6574,""2302153-LP-S-Z-8""]",'SKU明细'!$AE$9:$AE$1592,0)),INDEX('SKU明细'!$G$9:$G$1592,MATCH("[6574,""2302153-LP-S-Z-8.5""]",'SKU明细'!$AE$9:$AE$1592,0)),INDEX('SKU明细'!$G$9:$G$1592,MATCH("[6574,""2302153-LP-S-Z-9""]",'SKU明细'!$AE$9:$AE$1592,0)),INDEX('SKU明细'!$G$9:$G$1592,MATCH("[6574,""2302153-LP-S-Z-9.5""]",'SKU明细'!$AE$9:$AE$1592,0)),INDEX('SKU明细'!$G$9:$G$1592,MATCH("[6574,""2302153-LP-S-Z-6""]",'SKU明细'!$AE$9:$AE$1592,0)),INDEX('SKU明细'!$G$9:$G$1592,MATCH("[6574,""2302153-LP-S-Z-6.5""]",'SKU明细'!$AE$9:$AE$1592,0))),"待核")</x:f>
        <x:v>2.9147774590543167</x:v>
      </x:c>
      <x:c r="T114" s="16" t="n">
        <x:f>IF(AND(COUNT(INDEX('SKU明细'!$I$9:$I$1592,MATCH("[6574,""2302153-LP-S-Z-10""]",'SKU明细'!$AE$9:$AE$1592,0)),INDEX('SKU明细'!$I$9:$I$1592,MATCH("[6574,""2302153-LP-S-Z-10.5""]",'SKU明细'!$AE$9:$AE$1592,0)),INDEX('SKU明细'!$I$9:$I$1592,MATCH("[6574,""2302153-LP-S-Z-11""]",'SKU明细'!$AE$9:$AE$1592,0)),INDEX('SKU明细'!$I$9:$I$1592,MATCH("[6574,""2302153-LP-S-Z-7""]",'SKU明细'!$AE$9:$AE$1592,0)),INDEX('SKU明细'!$I$9:$I$1592,MATCH("[6574,""2302153-LP-S-Z-7.5""]",'SKU明细'!$AE$9:$AE$1592,0)),INDEX('SKU明细'!$I$9:$I$1592,MATCH("[6574,""2302153-LP-S-Z-8""]",'SKU明细'!$AE$9:$AE$1592,0)),INDEX('SKU明细'!$I$9:$I$1592,MATCH("[6574,""2302153-LP-S-Z-8.5""]",'SKU明细'!$AE$9:$AE$1592,0)),INDEX('SKU明细'!$I$9:$I$1592,MATCH("[6574,""2302153-LP-S-Z-9""]",'SKU明细'!$AE$9:$AE$1592,0)),INDEX('SKU明细'!$I$9:$I$1592,MATCH("[6574,""2302153-LP-S-Z-9.5""]",'SKU明细'!$AE$9:$AE$1592,0)),INDEX('SKU明细'!$I$9:$I$1592,MATCH("[6574,""2302153-LP-S-Z-6""]",'SKU明细'!$AE$9:$AE$1592,0)),INDEX('SKU明细'!$I$9:$I$1592,MATCH("[6574,""2302153-LP-S-Z-6.5""]",'SKU明细'!$AE$9:$AE$1592,0)))=11,COUNT(INDEX('SKU明细'!$AD$9:$AD$1592,MATCH("[6574,""2302153-LP-S-Z-10""]",'SKU明细'!$AE$9:$AE$1592,0)),INDEX('SKU明细'!$AD$9:$AD$1592,MATCH("[6574,""2302153-LP-S-Z-10.5""]",'SKU明细'!$AE$9:$AE$1592,0)),INDEX('SKU明细'!$AD$9:$AD$1592,MATCH("[6574,""2302153-LP-S-Z-11""]",'SKU明细'!$AE$9:$AE$1592,0)),INDEX('SKU明细'!$AD$9:$AD$1592,MATCH("[6574,""2302153-LP-S-Z-7""]",'SKU明细'!$AE$9:$AE$1592,0)),INDEX('SKU明细'!$AD$9:$AD$1592,MATCH("[6574,""2302153-LP-S-Z-7.5""]",'SKU明细'!$AE$9:$AE$1592,0)),INDEX('SKU明细'!$AD$9:$AD$1592,MATCH("[6574,""2302153-LP-S-Z-8""]",'SKU明细'!$AE$9:$AE$1592,0)),INDEX('SKU明细'!$AD$9:$AD$1592,MATCH("[6574,""2302153-LP-S-Z-8.5""]",'SKU明细'!$AE$9:$AE$1592,0)),INDEX('SKU明细'!$AD$9:$AD$1592,MATCH("[6574,""2302153-LP-S-Z-9""]",'SKU明细'!$AE$9:$AE$1592,0)),INDEX('SKU明细'!$AD$9:$AD$1592,MATCH("[6574,""2302153-LP-S-Z-9.5""]",'SKU明细'!$AE$9:$AE$1592,0)),INDEX('SKU明细'!$AD$9:$AD$1592,MATCH("[6574,""2302153-LP-S-Z-6""]",'SKU明细'!$AE$9:$AE$1592,0)),INDEX('SKU明细'!$AD$9:$AD$1592,MATCH("[6574,""2302153-LP-S-Z-6.5""]",'SKU明细'!$AE$9:$AE$1592,0)))=11,SUM(INDEX('SKU明细'!$AD$9:$AD$1592,MATCH("[6574,""2302153-LP-S-Z-10""]",'SKU明细'!$AE$9:$AE$1592,0)),INDEX('SKU明细'!$AD$9:$AD$1592,MATCH("[6574,""2302153-LP-S-Z-10.5""]",'SKU明细'!$AE$9:$AE$1592,0)),INDEX('SKU明细'!$AD$9:$AD$1592,MATCH("[6574,""2302153-LP-S-Z-11""]",'SKU明细'!$AE$9:$AE$1592,0)),INDEX('SKU明细'!$AD$9:$AD$1592,MATCH("[6574,""2302153-LP-S-Z-7""]",'SKU明细'!$AE$9:$AE$1592,0)),INDEX('SKU明细'!$AD$9:$AD$1592,MATCH("[6574,""2302153-LP-S-Z-7.5""]",'SKU明细'!$AE$9:$AE$1592,0)),INDEX('SKU明细'!$AD$9:$AD$1592,MATCH("[6574,""2302153-LP-S-Z-8""]",'SKU明细'!$AE$9:$AE$1592,0)),INDEX('SKU明细'!$AD$9:$AD$1592,MATCH("[6574,""2302153-LP-S-Z-8.5""]",'SKU明细'!$AE$9:$AE$1592,0)),INDEX('SKU明细'!$AD$9:$AD$1592,MATCH("[6574,""2302153-LP-S-Z-9""]",'SKU明细'!$AE$9:$AE$1592,0)),INDEX('SKU明细'!$AD$9:$AD$1592,MATCH("[6574,""2302153-LP-S-Z-9.5""]",'SKU明细'!$AE$9:$AE$1592,0)),INDEX('SKU明细'!$AD$9:$AD$1592,MATCH("[6574,""2302153-LP-S-Z-6""]",'SKU明细'!$AE$9:$AE$1592,0)),INDEX('SKU明细'!$AD$9:$AD$1592,MATCH("[6574,""2302153-LP-S-Z-6.5""]",'SKU明细'!$AE$9:$AE$1592,0)))&gt;0),SUM(INDEX('SKU明细'!$I$9:$I$1592,MATCH("[6574,""2302153-LP-S-Z-10""]",'SKU明细'!$AE$9:$AE$1592,0)),INDEX('SKU明细'!$I$9:$I$1592,MATCH("[6574,""2302153-LP-S-Z-10.5""]",'SKU明细'!$AE$9:$AE$1592,0)),INDEX('SKU明细'!$I$9:$I$1592,MATCH("[6574,""2302153-LP-S-Z-11""]",'SKU明细'!$AE$9:$AE$1592,0)),INDEX('SKU明细'!$I$9:$I$1592,MATCH("[6574,""2302153-LP-S-Z-7""]",'SKU明细'!$AE$9:$AE$1592,0)),INDEX('SKU明细'!$I$9:$I$1592,MATCH("[6574,""2302153-LP-S-Z-7.5""]",'SKU明细'!$AE$9:$AE$1592,0)),INDEX('SKU明细'!$I$9:$I$1592,MATCH("[6574,""2302153-LP-S-Z-8""]",'SKU明细'!$AE$9:$AE$1592,0)),INDEX('SKU明细'!$I$9:$I$1592,MATCH("[6574,""2302153-LP-S-Z-8.5""]",'SKU明细'!$AE$9:$AE$1592,0)),INDEX('SKU明细'!$I$9:$I$1592,MATCH("[6574,""2302153-LP-S-Z-9""]",'SKU明细'!$AE$9:$AE$1592,0)),INDEX('SKU明细'!$I$9:$I$1592,MATCH("[6574,""2302153-LP-S-Z-9.5""]",'SKU明细'!$AE$9:$AE$1592,0)),INDEX('SKU明细'!$I$9:$I$1592,MATCH("[6574,""2302153-LP-S-Z-6""]",'SKU明细'!$AE$9:$AE$1592,0)),INDEX('SKU明细'!$I$9:$I$1592,MATCH("[6574,""2302153-LP-S-Z-6.5""]",'SKU明细'!$AE$9:$AE$1592,0)))/SUM(INDEX('SKU明细'!$AD$9:$AD$1592,MATCH("[6574,""2302153-LP-S-Z-10""]",'SKU明细'!$AE$9:$AE$1592,0)),INDEX('SKU明细'!$AD$9:$AD$1592,MATCH("[6574,""2302153-LP-S-Z-10.5""]",'SKU明细'!$AE$9:$AE$1592,0)),INDEX('SKU明细'!$AD$9:$AD$1592,MATCH("[6574,""2302153-LP-S-Z-11""]",'SKU明细'!$AE$9:$AE$1592,0)),INDEX('SKU明细'!$AD$9:$AD$1592,MATCH("[6574,""2302153-LP-S-Z-7""]",'SKU明细'!$AE$9:$AE$1592,0)),INDEX('SKU明细'!$AD$9:$AD$1592,MATCH("[6574,""2302153-LP-S-Z-7.5""]",'SKU明细'!$AE$9:$AE$1592,0)),INDEX('SKU明细'!$AD$9:$AD$1592,MATCH("[6574,""2302153-LP-S-Z-8""]",'SKU明细'!$AE$9:$AE$1592,0)),INDEX('SKU明细'!$AD$9:$AD$1592,MATCH("[6574,""2302153-LP-S-Z-8.5""]",'SKU明细'!$AE$9:$AE$1592,0)),INDEX('SKU明细'!$AD$9:$AD$1592,MATCH("[6574,""2302153-LP-S-Z-9""]",'SKU明细'!$AE$9:$AE$1592,0)),INDEX('SKU明细'!$AD$9:$AD$1592,MATCH("[6574,""2302153-LP-S-Z-9.5""]",'SKU明细'!$AE$9:$AE$1592,0)),INDEX('SKU明细'!$AD$9:$AD$1592,MATCH("[6574,""2302153-LP-S-Z-6""]",'SKU明细'!$AE$9:$AE$1592,0)),INDEX('SKU明细'!$AD$9:$AD$1592,MATCH("[6574,""2302153-LP-S-Z-6.5""]",'SKU明细'!$AE$9:$AE$1592,0))),"待核")</x:f>
        <x:v>2.314191257499694</x:v>
      </x:c>
      <x:c r="U114" s="16" t="n">
        <x:f>IF(COUNT(S114:T114)=2,S114-T114,"待核")</x:f>
        <x:v>0.6005862015546226</x:v>
      </x:c>
      <x:c r="V114" s="17" t="n">
        <x:f>IF(AND(ISNUMBER(U114),ISNUMBER(T114),T114&lt;&gt;0),U114/T114,"")</x:f>
        <x:v>0.2595231485765398</x:v>
      </x:c>
      <x:c r="W114" s="18" t="n">
        <x:f>IF(COUNT(INDEX('SKU明细'!$H$9:$H$1592,MATCH("[6574,""2302153-LP-S-Z-10""]",'SKU明细'!$AE$9:$AE$1592,0)),INDEX('SKU明细'!$H$9:$H$1592,MATCH("[6574,""2302153-LP-S-Z-10.5""]",'SKU明细'!$AE$9:$AE$1592,0)),INDEX('SKU明细'!$H$9:$H$1592,MATCH("[6574,""2302153-LP-S-Z-11""]",'SKU明细'!$AE$9:$AE$1592,0)),INDEX('SKU明细'!$H$9:$H$1592,MATCH("[6574,""2302153-LP-S-Z-7""]",'SKU明细'!$AE$9:$AE$1592,0)),INDEX('SKU明细'!$H$9:$H$1592,MATCH("[6574,""2302153-LP-S-Z-7.5""]",'SKU明细'!$AE$9:$AE$1592,0)),INDEX('SKU明细'!$H$9:$H$1592,MATCH("[6574,""2302153-LP-S-Z-8""]",'SKU明细'!$AE$9:$AE$1592,0)),INDEX('SKU明细'!$H$9:$H$1592,MATCH("[6574,""2302153-LP-S-Z-8.5""]",'SKU明细'!$AE$9:$AE$1592,0)),INDEX('SKU明细'!$H$9:$H$1592,MATCH("[6574,""2302153-LP-S-Z-9""]",'SKU明细'!$AE$9:$AE$1592,0)),INDEX('SKU明细'!$H$9:$H$1592,MATCH("[6574,""2302153-LP-S-Z-9.5""]",'SKU明细'!$AE$9:$AE$1592,0)),INDEX('SKU明细'!$H$9:$H$1592,MATCH("[6574,""2302153-LP-S-Z-6""]",'SKU明细'!$AE$9:$AE$1592,0)),INDEX('SKU明细'!$H$9:$H$1592,MATCH("[6574,""2302153-LP-S-Z-6.5""]",'SKU明细'!$AE$9:$AE$1592,0)))=0,"待核",SUM(INDEX('SKU明细'!$H$9:$H$1592,MATCH("[6574,""2302153-LP-S-Z-10""]",'SKU明细'!$AE$9:$AE$1592,0)),INDEX('SKU明细'!$H$9:$H$1592,MATCH("[6574,""2302153-LP-S-Z-10.5""]",'SKU明细'!$AE$9:$AE$1592,0)),INDEX('SKU明细'!$H$9:$H$1592,MATCH("[6574,""2302153-LP-S-Z-11""]",'SKU明细'!$AE$9:$AE$1592,0)),INDEX('SKU明细'!$H$9:$H$1592,MATCH("[6574,""2302153-LP-S-Z-7""]",'SKU明细'!$AE$9:$AE$1592,0)),INDEX('SKU明细'!$H$9:$H$1592,MATCH("[6574,""2302153-LP-S-Z-7.5""]",'SKU明细'!$AE$9:$AE$1592,0)),INDEX('SKU明细'!$H$9:$H$1592,MATCH("[6574,""2302153-LP-S-Z-8""]",'SKU明细'!$AE$9:$AE$1592,0)),INDEX('SKU明细'!$H$9:$H$1592,MATCH("[6574,""2302153-LP-S-Z-8.5""]",'SKU明细'!$AE$9:$AE$1592,0)),INDEX('SKU明细'!$H$9:$H$1592,MATCH("[6574,""2302153-LP-S-Z-9""]",'SKU明细'!$AE$9:$AE$1592,0)),INDEX('SKU明细'!$H$9:$H$1592,MATCH("[6574,""2302153-LP-S-Z-9.5""]",'SKU明细'!$AE$9:$AE$1592,0)),INDEX('SKU明细'!$H$9:$H$1592,MATCH("[6574,""2302153-LP-S-Z-6""]",'SKU明细'!$AE$9:$AE$1592,0)),INDEX('SKU明细'!$H$9:$H$1592,MATCH("[6574,""2302153-LP-S-Z-6.5""]",'SKU明细'!$AE$9:$AE$1592,0))))</x:f>
        <x:v>15</x:v>
      </x:c>
      <x:c r="X114" s="19" t="str">
        <x:f>IF(COUNTIFS('SKU明细'!$AH$9:$AH$1592,"[""2302153"",""2302153-LP-S-Z"",""LP"",""豹纹""]",'SKU明细'!$E$9:$E$1592,"促销")&gt;0,"促销 ","")&amp;IF(COUNTIFS('SKU明细'!$AH$9:$AH$1592,"[""2302153"",""2302153-LP-S-Z"",""LP"",""豹纹""]",'SKU明细'!$E$9:$E$1592,"红线促销")&gt;0,"红线促销 ","")&amp;IF(COUNTIFS('SKU明细'!$AH$9:$AH$1592,"[""2302153"",""2302153-LP-S-Z"",""LP"",""豹纹""]",'SKU明细'!$E$9:$E$1592,"考虑清仓")&gt;0,"考虑清仓 ","")&amp;IF(COUNTIFS('SKU明细'!$AH$9:$AH$1592,"[""2302153"",""2302153-LP-S-Z"",""LP"",""豹纹""]",'SKU明细'!$E$9:$E$1592,"断货")&gt;0,"断货 ","")&amp;IF(COUNTIFS('SKU明细'!$AH$9:$AH$1592,"[""2302153"",""2302153-LP-S-Z"",""LP"",""豹纹""]",'SKU明细'!$E$9:$E$1592,"零日销待复核")&gt;0,"零日销待复核 ","")&amp;IF(COUNTIFS('SKU明细'!$AH$9:$AH$1592,"[""2302153"",""2302153-LP-S-Z"",""LP"",""豹纹""]",'SKU明细'!$E$9:$E$1592,"数据待核")&gt;0,"数据待核 ","")&amp;IF(COUNTIFS('SKU明细'!$AH$9:$AH$1592,"[""2302153"",""2302153-LP-S-Z"",""LP"",""豹纹""]",'SKU明细'!$E$9:$E$1592,"正常库存")&gt;0,"正常库存 ","")&amp;IF(COUNTIFS('SKU明细'!$AH$9:$AH$1592,"[""2302153"",""2302153-LP-S-Z"",""LP"",""豹纹""]",'SKU明细'!$E$9:$E$1592,"补货提醒")&gt;0,"补货提醒 ","")</x:f>
        <x:v>断货 补货提醒 </x:v>
      </x:c>
      <x:c r="Y114" s="19" t="str">
        <x:f>IF(NOT(ISNUMBER(U114)),"覆盖待核／无可比基准","完整可比")</x:f>
        <x:v>完整可比</x:v>
      </x:c>
      <x:c r="Z114" s="19" t="str">
        <x:v>在售</x:v>
      </x:c>
      <x:c r="AA114" s="19" t="n">
        <x:f>IF(SUMIFS('SKU明细'!$AF$9:$AF$1592,'SKU明细'!$D$9:$D$1592,A114,'SKU明细'!$Z$9:$Z$1592,"&lt;&gt;移出")=0,"待核",SUMIFS('SKU明细'!$H$9:$H$1592,'SKU明细'!$D$9:$D$1592,A114,'SKU明细'!$Z$9:$Z$1592,"&lt;&gt;移出"))</x:f>
        <x:v>1112</x:v>
      </x:c>
    </x:row>
    <x:row r="115" ht="54" customHeight="1">
      <x:c r="A115" s="15" t="str">
        <x:v>2302153</x:v>
      </x:c>
      <x:c r="B115" s="15" t="str">
        <x:v>徐新怡</x:v>
      </x:c>
      <x:c r="C115" s="15" t="str">
        <x:v>裸色</x:v>
      </x:c>
      <x:c r="D115" s="15" t="str">
        <x:v>ND</x:v>
      </x:c>
      <x:c r="E115" s="15" t="str">
        <x:v>2302153-ND-S-Z</x:v>
      </x:c>
      <x:c r="F115" s="15"/>
      <x:c r="G115" s="16" t="str">
        <x:f>"—"</x:f>
        <x:v>—</x:v>
      </x:c>
      <x:c r="H115" s="16" t="n">
        <x:f>IF(AND(COUNT(INDEX('SKU明细'!$H$9:$H$1592,MATCH("[6574,""2302153-ND-S-Z-6""]",'SKU明细'!$AE$9:$AE$1592,0)))=1,COUNT(INDEX('SKU明细'!$G$9:$G$1592,MATCH("[6574,""2302153-ND-S-Z-6""]",'SKU明细'!$AE$9:$AE$1592,0)))=1,SUM(INDEX('SKU明细'!$G$9:$G$1592,MATCH("[6574,""2302153-ND-S-Z-6""]",'SKU明细'!$AE$9:$AE$1592,0)))&gt;0),SUM(INDEX('SKU明细'!$H$9:$H$1592,MATCH("[6574,""2302153-ND-S-Z-6""]",'SKU明细'!$AE$9:$AE$1592,0)))/SUM(INDEX('SKU明细'!$G$9:$G$1592,MATCH("[6574,""2302153-ND-S-Z-6""]",'SKU明细'!$AE$9:$AE$1592,0))),"待核")</x:f>
        <x:v>0</x:v>
      </x:c>
      <x:c r="I115" s="16" t="n">
        <x:f>IF(AND(COUNT(INDEX('SKU明细'!$H$9:$H$1592,MATCH("[6574,""2302153-ND-S-Z-6.5""]",'SKU明细'!$AE$9:$AE$1592,0)))=1,COUNT(INDEX('SKU明细'!$G$9:$G$1592,MATCH("[6574,""2302153-ND-S-Z-6.5""]",'SKU明细'!$AE$9:$AE$1592,0)))=1,SUM(INDEX('SKU明细'!$G$9:$G$1592,MATCH("[6574,""2302153-ND-S-Z-6.5""]",'SKU明细'!$AE$9:$AE$1592,0)))&gt;0),SUM(INDEX('SKU明细'!$H$9:$H$1592,MATCH("[6574,""2302153-ND-S-Z-6.5""]",'SKU明细'!$AE$9:$AE$1592,0)))/SUM(INDEX('SKU明细'!$G$9:$G$1592,MATCH("[6574,""2302153-ND-S-Z-6.5""]",'SKU明细'!$AE$9:$AE$1592,0))),"待核")</x:f>
        <x:v>0</x:v>
      </x:c>
      <x:c r="J115" s="16" t="n">
        <x:f>IF(AND(COUNT(INDEX('SKU明细'!$H$9:$H$1592,MATCH("[6574,""2302153-ND-S-Z-7""]",'SKU明细'!$AE$9:$AE$1592,0)))=1,COUNT(INDEX('SKU明细'!$G$9:$G$1592,MATCH("[6574,""2302153-ND-S-Z-7""]",'SKU明细'!$AE$9:$AE$1592,0)))=1,SUM(INDEX('SKU明细'!$G$9:$G$1592,MATCH("[6574,""2302153-ND-S-Z-7""]",'SKU明细'!$AE$9:$AE$1592,0)))&gt;0),SUM(INDEX('SKU明细'!$H$9:$H$1592,MATCH("[6574,""2302153-ND-S-Z-7""]",'SKU明细'!$AE$9:$AE$1592,0)))/SUM(INDEX('SKU明细'!$G$9:$G$1592,MATCH("[6574,""2302153-ND-S-Z-7""]",'SKU明细'!$AE$9:$AE$1592,0))),"待核")</x:f>
        <x:v>0</x:v>
      </x:c>
      <x:c r="K115" s="16" t="n">
        <x:f>IF(AND(COUNT(INDEX('SKU明细'!$H$9:$H$1592,MATCH("[6574,""2302153-ND-S-Z-7.5""]",'SKU明细'!$AE$9:$AE$1592,0)))=1,COUNT(INDEX('SKU明细'!$G$9:$G$1592,MATCH("[6574,""2302153-ND-S-Z-7.5""]",'SKU明细'!$AE$9:$AE$1592,0)))=1,SUM(INDEX('SKU明细'!$G$9:$G$1592,MATCH("[6574,""2302153-ND-S-Z-7.5""]",'SKU明细'!$AE$9:$AE$1592,0)))&gt;0),SUM(INDEX('SKU明细'!$H$9:$H$1592,MATCH("[6574,""2302153-ND-S-Z-7.5""]",'SKU明细'!$AE$9:$AE$1592,0)))/SUM(INDEX('SKU明细'!$G$9:$G$1592,MATCH("[6574,""2302153-ND-S-Z-7.5""]",'SKU明细'!$AE$9:$AE$1592,0))),"待核")</x:f>
        <x:v>3.9766178165651245</x:v>
      </x:c>
      <x:c r="L115" s="16" t="n">
        <x:f>IF(AND(COUNT(INDEX('SKU明细'!$H$9:$H$1592,MATCH("[6574,""2302153-ND-S-Z-8""]",'SKU明细'!$AE$9:$AE$1592,0)))=1,COUNT(INDEX('SKU明细'!$G$9:$G$1592,MATCH("[6574,""2302153-ND-S-Z-8""]",'SKU明细'!$AE$9:$AE$1592,0)))=1,SUM(INDEX('SKU明细'!$G$9:$G$1592,MATCH("[6574,""2302153-ND-S-Z-8""]",'SKU明细'!$AE$9:$AE$1592,0)))&gt;0),SUM(INDEX('SKU明细'!$H$9:$H$1592,MATCH("[6574,""2302153-ND-S-Z-8""]",'SKU明细'!$AE$9:$AE$1592,0)))/SUM(INDEX('SKU明细'!$G$9:$G$1592,MATCH("[6574,""2302153-ND-S-Z-8""]",'SKU明细'!$AE$9:$AE$1592,0))),"待核")</x:f>
        <x:v>7.36842105263158</x:v>
      </x:c>
      <x:c r="M115" s="16" t="n">
        <x:f>IF(AND(COUNT(INDEX('SKU明细'!$H$9:$H$1592,MATCH("[6574,""2302153-ND-S-Z-8.5""]",'SKU明细'!$AE$9:$AE$1592,0)))=1,COUNT(INDEX('SKU明细'!$G$9:$G$1592,MATCH("[6574,""2302153-ND-S-Z-8.5""]",'SKU明细'!$AE$9:$AE$1592,0)))=1,SUM(INDEX('SKU明细'!$G$9:$G$1592,MATCH("[6574,""2302153-ND-S-Z-8.5""]",'SKU明细'!$AE$9:$AE$1592,0)))&gt;0),SUM(INDEX('SKU明细'!$H$9:$H$1592,MATCH("[6574,""2302153-ND-S-Z-8.5""]",'SKU明细'!$AE$9:$AE$1592,0)))/SUM(INDEX('SKU明细'!$G$9:$G$1592,MATCH("[6574,""2302153-ND-S-Z-8.5""]",'SKU明细'!$AE$9:$AE$1592,0))),"待核")</x:f>
        <x:v>5.5436643835616435</x:v>
      </x:c>
      <x:c r="N115" s="16" t="n">
        <x:f>IF(AND(COUNT(INDEX('SKU明细'!$H$9:$H$1592,MATCH("[6574,""2302153-ND-S-Z-9""]",'SKU明细'!$AE$9:$AE$1592,0)))=1,COUNT(INDEX('SKU明细'!$G$9:$G$1592,MATCH("[6574,""2302153-ND-S-Z-9""]",'SKU明细'!$AE$9:$AE$1592,0)))=1,SUM(INDEX('SKU明细'!$G$9:$G$1592,MATCH("[6574,""2302153-ND-S-Z-9""]",'SKU明细'!$AE$9:$AE$1592,0)))&gt;0),SUM(INDEX('SKU明细'!$H$9:$H$1592,MATCH("[6574,""2302153-ND-S-Z-9""]",'SKU明细'!$AE$9:$AE$1592,0)))/SUM(INDEX('SKU明细'!$G$9:$G$1592,MATCH("[6574,""2302153-ND-S-Z-9""]",'SKU明细'!$AE$9:$AE$1592,0))),"待核")</x:f>
        <x:v>10.503597122302159</x:v>
      </x:c>
      <x:c r="O115" s="16" t="n">
        <x:f>IF(AND(COUNT(INDEX('SKU明细'!$H$9:$H$1592,MATCH("[6574,""2302153-ND-S-Z-9.5""]",'SKU明细'!$AE$9:$AE$1592,0)))=1,COUNT(INDEX('SKU明细'!$G$9:$G$1592,MATCH("[6574,""2302153-ND-S-Z-9.5""]",'SKU明细'!$AE$9:$AE$1592,0)))=1,SUM(INDEX('SKU明细'!$G$9:$G$1592,MATCH("[6574,""2302153-ND-S-Z-9.5""]",'SKU明细'!$AE$9:$AE$1592,0)))&gt;0),SUM(INDEX('SKU明细'!$H$9:$H$1592,MATCH("[6574,""2302153-ND-S-Z-9.5""]",'SKU明细'!$AE$9:$AE$1592,0)))/SUM(INDEX('SKU明细'!$G$9:$G$1592,MATCH("[6574,""2302153-ND-S-Z-9.5""]",'SKU明细'!$AE$9:$AE$1592,0))),"待核")</x:f>
        <x:v>48.155933498948976</x:v>
      </x:c>
      <x:c r="P115" s="16" t="n">
        <x:f>IF(AND(COUNT(INDEX('SKU明细'!$H$9:$H$1592,MATCH("[6574,""2302153-ND-S-Z-10""]",'SKU明细'!$AE$9:$AE$1592,0)))=1,COUNT(INDEX('SKU明细'!$G$9:$G$1592,MATCH("[6574,""2302153-ND-S-Z-10""]",'SKU明细'!$AE$9:$AE$1592,0)))=1,SUM(INDEX('SKU明细'!$G$9:$G$1592,MATCH("[6574,""2302153-ND-S-Z-10""]",'SKU明细'!$AE$9:$AE$1592,0)))&gt;0),SUM(INDEX('SKU明细'!$H$9:$H$1592,MATCH("[6574,""2302153-ND-S-Z-10""]",'SKU明细'!$AE$9:$AE$1592,0)))/SUM(INDEX('SKU明细'!$G$9:$G$1592,MATCH("[6574,""2302153-ND-S-Z-10""]",'SKU明细'!$AE$9:$AE$1592,0))),"待核")</x:f>
        <x:v>0</x:v>
      </x:c>
      <x:c r="Q115" s="16" t="str">
        <x:f>"—"</x:f>
        <x:v>—</x:v>
      </x:c>
      <x:c r="R115" s="16" t="n">
        <x:f>IF(AND(COUNT(INDEX('SKU明细'!$H$9:$H$1592,MATCH("[6574,""2302153-ND-S-Z-11""]",'SKU明细'!$AE$9:$AE$1592,0)))=1,COUNT(INDEX('SKU明细'!$G$9:$G$1592,MATCH("[6574,""2302153-ND-S-Z-11""]",'SKU明细'!$AE$9:$AE$1592,0)))=1,SUM(INDEX('SKU明细'!$G$9:$G$1592,MATCH("[6574,""2302153-ND-S-Z-11""]",'SKU明细'!$AE$9:$AE$1592,0)))&gt;0),SUM(INDEX('SKU明细'!$H$9:$H$1592,MATCH("[6574,""2302153-ND-S-Z-11""]",'SKU明细'!$AE$9:$AE$1592,0)))/SUM(INDEX('SKU明细'!$G$9:$G$1592,MATCH("[6574,""2302153-ND-S-Z-11""]",'SKU明细'!$AE$9:$AE$1592,0))),"待核")</x:f>
        <x:v>3.7820801440792433</x:v>
      </x:c>
      <x:c r="S115" s="16" t="n">
        <x:f>IF(AND(COUNT(INDEX('SKU明细'!$H$9:$H$1592,MATCH("[6574,""2302153-ND-S-Z-10""]",'SKU明细'!$AE$9:$AE$1592,0)),INDEX('SKU明细'!$H$9:$H$1592,MATCH("[6574,""2302153-ND-S-Z-6""]",'SKU明细'!$AE$9:$AE$1592,0)),INDEX('SKU明细'!$H$9:$H$1592,MATCH("[6574,""2302153-ND-S-Z-6.5""]",'SKU明细'!$AE$9:$AE$1592,0)),INDEX('SKU明细'!$H$9:$H$1592,MATCH("[6574,""2302153-ND-S-Z-7""]",'SKU明细'!$AE$9:$AE$1592,0)),INDEX('SKU明细'!$H$9:$H$1592,MATCH("[6574,""2302153-ND-S-Z-11""]",'SKU明细'!$AE$9:$AE$1592,0)),INDEX('SKU明细'!$H$9:$H$1592,MATCH("[6574,""2302153-ND-S-Z-7.5""]",'SKU明细'!$AE$9:$AE$1592,0)),INDEX('SKU明细'!$H$9:$H$1592,MATCH("[6574,""2302153-ND-S-Z-8""]",'SKU明细'!$AE$9:$AE$1592,0)),INDEX('SKU明细'!$H$9:$H$1592,MATCH("[6574,""2302153-ND-S-Z-8.5""]",'SKU明细'!$AE$9:$AE$1592,0)),INDEX('SKU明细'!$H$9:$H$1592,MATCH("[6574,""2302153-ND-S-Z-9""]",'SKU明细'!$AE$9:$AE$1592,0)),INDEX('SKU明细'!$H$9:$H$1592,MATCH("[6574,""2302153-ND-S-Z-9.5""]",'SKU明细'!$AE$9:$AE$1592,0)))=10,COUNT(INDEX('SKU明细'!$G$9:$G$1592,MATCH("[6574,""2302153-ND-S-Z-10""]",'SKU明细'!$AE$9:$AE$1592,0)),INDEX('SKU明细'!$G$9:$G$1592,MATCH("[6574,""2302153-ND-S-Z-6""]",'SKU明细'!$AE$9:$AE$1592,0)),INDEX('SKU明细'!$G$9:$G$1592,MATCH("[6574,""2302153-ND-S-Z-6.5""]",'SKU明细'!$AE$9:$AE$1592,0)),INDEX('SKU明细'!$G$9:$G$1592,MATCH("[6574,""2302153-ND-S-Z-7""]",'SKU明细'!$AE$9:$AE$1592,0)),INDEX('SKU明细'!$G$9:$G$1592,MATCH("[6574,""2302153-ND-S-Z-11""]",'SKU明细'!$AE$9:$AE$1592,0)),INDEX('SKU明细'!$G$9:$G$1592,MATCH("[6574,""2302153-ND-S-Z-7.5""]",'SKU明细'!$AE$9:$AE$1592,0)),INDEX('SKU明细'!$G$9:$G$1592,MATCH("[6574,""2302153-ND-S-Z-8""]",'SKU明细'!$AE$9:$AE$1592,0)),INDEX('SKU明细'!$G$9:$G$1592,MATCH("[6574,""2302153-ND-S-Z-8.5""]",'SKU明细'!$AE$9:$AE$1592,0)),INDEX('SKU明细'!$G$9:$G$1592,MATCH("[6574,""2302153-ND-S-Z-9""]",'SKU明细'!$AE$9:$AE$1592,0)),INDEX('SKU明细'!$G$9:$G$1592,MATCH("[6574,""2302153-ND-S-Z-9.5""]",'SKU明细'!$AE$9:$AE$1592,0)))=10,SUM(INDEX('SKU明细'!$G$9:$G$1592,MATCH("[6574,""2302153-ND-S-Z-10""]",'SKU明细'!$AE$9:$AE$1592,0)),INDEX('SKU明细'!$G$9:$G$1592,MATCH("[6574,""2302153-ND-S-Z-6""]",'SKU明细'!$AE$9:$AE$1592,0)),INDEX('SKU明细'!$G$9:$G$1592,MATCH("[6574,""2302153-ND-S-Z-6.5""]",'SKU明细'!$AE$9:$AE$1592,0)),INDEX('SKU明细'!$G$9:$G$1592,MATCH("[6574,""2302153-ND-S-Z-7""]",'SKU明细'!$AE$9:$AE$1592,0)),INDEX('SKU明细'!$G$9:$G$1592,MATCH("[6574,""2302153-ND-S-Z-11""]",'SKU明细'!$AE$9:$AE$1592,0)),INDEX('SKU明细'!$G$9:$G$1592,MATCH("[6574,""2302153-ND-S-Z-7.5""]",'SKU明细'!$AE$9:$AE$1592,0)),INDEX('SKU明细'!$G$9:$G$1592,MATCH("[6574,""2302153-ND-S-Z-8""]",'SKU明细'!$AE$9:$AE$1592,0)),INDEX('SKU明细'!$G$9:$G$1592,MATCH("[6574,""2302153-ND-S-Z-8.5""]",'SKU明细'!$AE$9:$AE$1592,0)),INDEX('SKU明细'!$G$9:$G$1592,MATCH("[6574,""2302153-ND-S-Z-9""]",'SKU明细'!$AE$9:$AE$1592,0)),INDEX('SKU明细'!$G$9:$G$1592,MATCH("[6574,""2302153-ND-S-Z-9.5""]",'SKU明细'!$AE$9:$AE$1592,0)))&gt;0),SUM(INDEX('SKU明细'!$H$9:$H$1592,MATCH("[6574,""2302153-ND-S-Z-10""]",'SKU明细'!$AE$9:$AE$1592,0)),INDEX('SKU明细'!$H$9:$H$1592,MATCH("[6574,""2302153-ND-S-Z-6""]",'SKU明细'!$AE$9:$AE$1592,0)),INDEX('SKU明细'!$H$9:$H$1592,MATCH("[6574,""2302153-ND-S-Z-6.5""]",'SKU明细'!$AE$9:$AE$1592,0)),INDEX('SKU明细'!$H$9:$H$1592,MATCH("[6574,""2302153-ND-S-Z-7""]",'SKU明细'!$AE$9:$AE$1592,0)),INDEX('SKU明细'!$H$9:$H$1592,MATCH("[6574,""2302153-ND-S-Z-11""]",'SKU明细'!$AE$9:$AE$1592,0)),INDEX('SKU明细'!$H$9:$H$1592,MATCH("[6574,""2302153-ND-S-Z-7.5""]",'SKU明细'!$AE$9:$AE$1592,0)),INDEX('SKU明细'!$H$9:$H$1592,MATCH("[6574,""2302153-ND-S-Z-8""]",'SKU明细'!$AE$9:$AE$1592,0)),INDEX('SKU明细'!$H$9:$H$1592,MATCH("[6574,""2302153-ND-S-Z-8.5""]",'SKU明细'!$AE$9:$AE$1592,0)),INDEX('SKU明细'!$H$9:$H$1592,MATCH("[6574,""2302153-ND-S-Z-9""]",'SKU明细'!$AE$9:$AE$1592,0)),INDEX('SKU明细'!$H$9:$H$1592,MATCH("[6574,""2302153-ND-S-Z-9.5""]",'SKU明细'!$AE$9:$AE$1592,0)))/SUM(INDEX('SKU明细'!$G$9:$G$1592,MATCH("[6574,""2302153-ND-S-Z-10""]",'SKU明细'!$AE$9:$AE$1592,0)),INDEX('SKU明细'!$G$9:$G$1592,MATCH("[6574,""2302153-ND-S-Z-6""]",'SKU明细'!$AE$9:$AE$1592,0)),INDEX('SKU明细'!$G$9:$G$1592,MATCH("[6574,""2302153-ND-S-Z-6.5""]",'SKU明细'!$AE$9:$AE$1592,0)),INDEX('SKU明细'!$G$9:$G$1592,MATCH("[6574,""2302153-ND-S-Z-7""]",'SKU明细'!$AE$9:$AE$1592,0)),INDEX('SKU明细'!$G$9:$G$1592,MATCH("[6574,""2302153-ND-S-Z-11""]",'SKU明细'!$AE$9:$AE$1592,0)),INDEX('SKU明细'!$G$9:$G$1592,MATCH("[6574,""2302153-ND-S-Z-7.5""]",'SKU明细'!$AE$9:$AE$1592,0)),INDEX('SKU明细'!$G$9:$G$1592,MATCH("[6574,""2302153-ND-S-Z-8""]",'SKU明细'!$AE$9:$AE$1592,0)),INDEX('SKU明细'!$G$9:$G$1592,MATCH("[6574,""2302153-ND-S-Z-8.5""]",'SKU明细'!$AE$9:$AE$1592,0)),INDEX('SKU明细'!$G$9:$G$1592,MATCH("[6574,""2302153-ND-S-Z-9""]",'SKU明细'!$AE$9:$AE$1592,0)),INDEX('SKU明细'!$G$9:$G$1592,MATCH("[6574,""2302153-ND-S-Z-9.5""]",'SKU明细'!$AE$9:$AE$1592,0))),"待核")</x:f>
        <x:v>8.490426917688696</x:v>
      </x:c>
      <x:c r="T115" s="16" t="n">
        <x:f>IF(AND(COUNT(INDEX('SKU明细'!$I$9:$I$1592,MATCH("[6574,""2302153-ND-S-Z-10""]",'SKU明细'!$AE$9:$AE$1592,0)),INDEX('SKU明细'!$I$9:$I$1592,MATCH("[6574,""2302153-ND-S-Z-6""]",'SKU明细'!$AE$9:$AE$1592,0)),INDEX('SKU明细'!$I$9:$I$1592,MATCH("[6574,""2302153-ND-S-Z-6.5""]",'SKU明细'!$AE$9:$AE$1592,0)),INDEX('SKU明细'!$I$9:$I$1592,MATCH("[6574,""2302153-ND-S-Z-7""]",'SKU明细'!$AE$9:$AE$1592,0)),INDEX('SKU明细'!$I$9:$I$1592,MATCH("[6574,""2302153-ND-S-Z-11""]",'SKU明细'!$AE$9:$AE$1592,0)),INDEX('SKU明细'!$I$9:$I$1592,MATCH("[6574,""2302153-ND-S-Z-7.5""]",'SKU明细'!$AE$9:$AE$1592,0)),INDEX('SKU明细'!$I$9:$I$1592,MATCH("[6574,""2302153-ND-S-Z-8""]",'SKU明细'!$AE$9:$AE$1592,0)),INDEX('SKU明细'!$I$9:$I$1592,MATCH("[6574,""2302153-ND-S-Z-8.5""]",'SKU明细'!$AE$9:$AE$1592,0)),INDEX('SKU明细'!$I$9:$I$1592,MATCH("[6574,""2302153-ND-S-Z-9""]",'SKU明细'!$AE$9:$AE$1592,0)),INDEX('SKU明细'!$I$9:$I$1592,MATCH("[6574,""2302153-ND-S-Z-9.5""]",'SKU明细'!$AE$9:$AE$1592,0)))=10,COUNT(INDEX('SKU明细'!$AD$9:$AD$1592,MATCH("[6574,""2302153-ND-S-Z-10""]",'SKU明细'!$AE$9:$AE$1592,0)),INDEX('SKU明细'!$AD$9:$AD$1592,MATCH("[6574,""2302153-ND-S-Z-6""]",'SKU明细'!$AE$9:$AE$1592,0)),INDEX('SKU明细'!$AD$9:$AD$1592,MATCH("[6574,""2302153-ND-S-Z-6.5""]",'SKU明细'!$AE$9:$AE$1592,0)),INDEX('SKU明细'!$AD$9:$AD$1592,MATCH("[6574,""2302153-ND-S-Z-7""]",'SKU明细'!$AE$9:$AE$1592,0)),INDEX('SKU明细'!$AD$9:$AD$1592,MATCH("[6574,""2302153-ND-S-Z-11""]",'SKU明细'!$AE$9:$AE$1592,0)),INDEX('SKU明细'!$AD$9:$AD$1592,MATCH("[6574,""2302153-ND-S-Z-7.5""]",'SKU明细'!$AE$9:$AE$1592,0)),INDEX('SKU明细'!$AD$9:$AD$1592,MATCH("[6574,""2302153-ND-S-Z-8""]",'SKU明细'!$AE$9:$AE$1592,0)),INDEX('SKU明细'!$AD$9:$AD$1592,MATCH("[6574,""2302153-ND-S-Z-8.5""]",'SKU明细'!$AE$9:$AE$1592,0)),INDEX('SKU明细'!$AD$9:$AD$1592,MATCH("[6574,""2302153-ND-S-Z-9""]",'SKU明细'!$AE$9:$AE$1592,0)),INDEX('SKU明细'!$AD$9:$AD$1592,MATCH("[6574,""2302153-ND-S-Z-9.5""]",'SKU明细'!$AE$9:$AE$1592,0)))=10,SUM(INDEX('SKU明细'!$AD$9:$AD$1592,MATCH("[6574,""2302153-ND-S-Z-10""]",'SKU明细'!$AE$9:$AE$1592,0)),INDEX('SKU明细'!$AD$9:$AD$1592,MATCH("[6574,""2302153-ND-S-Z-6""]",'SKU明细'!$AE$9:$AE$1592,0)),INDEX('SKU明细'!$AD$9:$AD$1592,MATCH("[6574,""2302153-ND-S-Z-6.5""]",'SKU明细'!$AE$9:$AE$1592,0)),INDEX('SKU明细'!$AD$9:$AD$1592,MATCH("[6574,""2302153-ND-S-Z-7""]",'SKU明细'!$AE$9:$AE$1592,0)),INDEX('SKU明细'!$AD$9:$AD$1592,MATCH("[6574,""2302153-ND-S-Z-11""]",'SKU明细'!$AE$9:$AE$1592,0)),INDEX('SKU明细'!$AD$9:$AD$1592,MATCH("[6574,""2302153-ND-S-Z-7.5""]",'SKU明细'!$AE$9:$AE$1592,0)),INDEX('SKU明细'!$AD$9:$AD$1592,MATCH("[6574,""2302153-ND-S-Z-8""]",'SKU明细'!$AE$9:$AE$1592,0)),INDEX('SKU明细'!$AD$9:$AD$1592,MATCH("[6574,""2302153-ND-S-Z-8.5""]",'SKU明细'!$AE$9:$AE$1592,0)),INDEX('SKU明细'!$AD$9:$AD$1592,MATCH("[6574,""2302153-ND-S-Z-9""]",'SKU明细'!$AE$9:$AE$1592,0)),INDEX('SKU明细'!$AD$9:$AD$1592,MATCH("[6574,""2302153-ND-S-Z-9.5""]",'SKU明细'!$AE$9:$AE$1592,0)))&gt;0),SUM(INDEX('SKU明细'!$I$9:$I$1592,MATCH("[6574,""2302153-ND-S-Z-10""]",'SKU明细'!$AE$9:$AE$1592,0)),INDEX('SKU明细'!$I$9:$I$1592,MATCH("[6574,""2302153-ND-S-Z-6""]",'SKU明细'!$AE$9:$AE$1592,0)),INDEX('SKU明细'!$I$9:$I$1592,MATCH("[6574,""2302153-ND-S-Z-6.5""]",'SKU明细'!$AE$9:$AE$1592,0)),INDEX('SKU明细'!$I$9:$I$1592,MATCH("[6574,""2302153-ND-S-Z-7""]",'SKU明细'!$AE$9:$AE$1592,0)),INDEX('SKU明细'!$I$9:$I$1592,MATCH("[6574,""2302153-ND-S-Z-11""]",'SKU明细'!$AE$9:$AE$1592,0)),INDEX('SKU明细'!$I$9:$I$1592,MATCH("[6574,""2302153-ND-S-Z-7.5""]",'SKU明细'!$AE$9:$AE$1592,0)),INDEX('SKU明细'!$I$9:$I$1592,MATCH("[6574,""2302153-ND-S-Z-8""]",'SKU明细'!$AE$9:$AE$1592,0)),INDEX('SKU明细'!$I$9:$I$1592,MATCH("[6574,""2302153-ND-S-Z-8.5""]",'SKU明细'!$AE$9:$AE$1592,0)),INDEX('SKU明细'!$I$9:$I$1592,MATCH("[6574,""2302153-ND-S-Z-9""]",'SKU明细'!$AE$9:$AE$1592,0)),INDEX('SKU明细'!$I$9:$I$1592,MATCH("[6574,""2302153-ND-S-Z-9.5""]",'SKU明细'!$AE$9:$AE$1592,0)))/SUM(INDEX('SKU明细'!$AD$9:$AD$1592,MATCH("[6574,""2302153-ND-S-Z-10""]",'SKU明细'!$AE$9:$AE$1592,0)),INDEX('SKU明细'!$AD$9:$AD$1592,MATCH("[6574,""2302153-ND-S-Z-6""]",'SKU明细'!$AE$9:$AE$1592,0)),INDEX('SKU明细'!$AD$9:$AD$1592,MATCH("[6574,""2302153-ND-S-Z-6.5""]",'SKU明细'!$AE$9:$AE$1592,0)),INDEX('SKU明细'!$AD$9:$AD$1592,MATCH("[6574,""2302153-ND-S-Z-7""]",'SKU明细'!$AE$9:$AE$1592,0)),INDEX('SKU明细'!$AD$9:$AD$1592,MATCH("[6574,""2302153-ND-S-Z-11""]",'SKU明细'!$AE$9:$AE$1592,0)),INDEX('SKU明细'!$AD$9:$AD$1592,MATCH("[6574,""2302153-ND-S-Z-7.5""]",'SKU明细'!$AE$9:$AE$1592,0)),INDEX('SKU明细'!$AD$9:$AD$1592,MATCH("[6574,""2302153-ND-S-Z-8""]",'SKU明细'!$AE$9:$AE$1592,0)),INDEX('SKU明细'!$AD$9:$AD$1592,MATCH("[6574,""2302153-ND-S-Z-8.5""]",'SKU明细'!$AE$9:$AE$1592,0)),INDEX('SKU明细'!$AD$9:$AD$1592,MATCH("[6574,""2302153-ND-S-Z-9""]",'SKU明细'!$AE$9:$AE$1592,0)),INDEX('SKU明细'!$AD$9:$AD$1592,MATCH("[6574,""2302153-ND-S-Z-9.5""]",'SKU明细'!$AE$9:$AE$1592,0))),"待核")</x:f>
        <x:v>13.392436558646263</x:v>
      </x:c>
      <x:c r="U115" s="16" t="n">
        <x:f>IF(COUNT(S115:T115)=2,S115-T115,"待核")</x:f>
        <x:v>-4.9020096409575675</x:v>
      </x:c>
      <x:c r="V115" s="17" t="n">
        <x:f>IF(AND(ISNUMBER(U115),ISNUMBER(T115),T115&lt;&gt;0),U115/T115,"")</x:f>
        <x:v>-0.36602821446951644</x:v>
      </x:c>
      <x:c r="W115" s="18" t="n">
        <x:f>IF(COUNT(INDEX('SKU明细'!$H$9:$H$1592,MATCH("[6574,""2302153-ND-S-Z-10""]",'SKU明细'!$AE$9:$AE$1592,0)),INDEX('SKU明细'!$H$9:$H$1592,MATCH("[6574,""2302153-ND-S-Z-6""]",'SKU明细'!$AE$9:$AE$1592,0)),INDEX('SKU明细'!$H$9:$H$1592,MATCH("[6574,""2302153-ND-S-Z-6.5""]",'SKU明细'!$AE$9:$AE$1592,0)),INDEX('SKU明细'!$H$9:$H$1592,MATCH("[6574,""2302153-ND-S-Z-7""]",'SKU明细'!$AE$9:$AE$1592,0)),INDEX('SKU明细'!$H$9:$H$1592,MATCH("[6574,""2302153-ND-S-Z-11""]",'SKU明细'!$AE$9:$AE$1592,0)),INDEX('SKU明细'!$H$9:$H$1592,MATCH("[6574,""2302153-ND-S-Z-7.5""]",'SKU明细'!$AE$9:$AE$1592,0)),INDEX('SKU明细'!$H$9:$H$1592,MATCH("[6574,""2302153-ND-S-Z-8""]",'SKU明细'!$AE$9:$AE$1592,0)),INDEX('SKU明细'!$H$9:$H$1592,MATCH("[6574,""2302153-ND-S-Z-8.5""]",'SKU明细'!$AE$9:$AE$1592,0)),INDEX('SKU明细'!$H$9:$H$1592,MATCH("[6574,""2302153-ND-S-Z-9""]",'SKU明细'!$AE$9:$AE$1592,0)),INDEX('SKU明细'!$H$9:$H$1592,MATCH("[6574,""2302153-ND-S-Z-9.5""]",'SKU明细'!$AE$9:$AE$1592,0)))=0,"待核",SUM(INDEX('SKU明细'!$H$9:$H$1592,MATCH("[6574,""2302153-ND-S-Z-10""]",'SKU明细'!$AE$9:$AE$1592,0)),INDEX('SKU明细'!$H$9:$H$1592,MATCH("[6574,""2302153-ND-S-Z-6""]",'SKU明细'!$AE$9:$AE$1592,0)),INDEX('SKU明细'!$H$9:$H$1592,MATCH("[6574,""2302153-ND-S-Z-6.5""]",'SKU明细'!$AE$9:$AE$1592,0)),INDEX('SKU明细'!$H$9:$H$1592,MATCH("[6574,""2302153-ND-S-Z-7""]",'SKU明细'!$AE$9:$AE$1592,0)),INDEX('SKU明细'!$H$9:$H$1592,MATCH("[6574,""2302153-ND-S-Z-11""]",'SKU明细'!$AE$9:$AE$1592,0)),INDEX('SKU明细'!$H$9:$H$1592,MATCH("[6574,""2302153-ND-S-Z-7.5""]",'SKU明细'!$AE$9:$AE$1592,0)),INDEX('SKU明细'!$H$9:$H$1592,MATCH("[6574,""2302153-ND-S-Z-8""]",'SKU明细'!$AE$9:$AE$1592,0)),INDEX('SKU明细'!$H$9:$H$1592,MATCH("[6574,""2302153-ND-S-Z-8.5""]",'SKU明细'!$AE$9:$AE$1592,0)),INDEX('SKU明细'!$H$9:$H$1592,MATCH("[6574,""2302153-ND-S-Z-9""]",'SKU明细'!$AE$9:$AE$1592,0)),INDEX('SKU明细'!$H$9:$H$1592,MATCH("[6574,""2302153-ND-S-Z-9.5""]",'SKU明细'!$AE$9:$AE$1592,0))))</x:f>
        <x:v>329</x:v>
      </x:c>
      <x:c r="X115" s="19" t="str">
        <x:f>IF(COUNTIFS('SKU明细'!$AH$9:$AH$1592,"[""2302153"",""2302153-ND-S-Z"",""ND"",""裸色""]",'SKU明细'!$E$9:$E$1592,"促销")&gt;0,"促销 ","")&amp;IF(COUNTIFS('SKU明细'!$AH$9:$AH$1592,"[""2302153"",""2302153-ND-S-Z"",""ND"",""裸色""]",'SKU明细'!$E$9:$E$1592,"红线促销")&gt;0,"红线促销 ","")&amp;IF(COUNTIFS('SKU明细'!$AH$9:$AH$1592,"[""2302153"",""2302153-ND-S-Z"",""ND"",""裸色""]",'SKU明细'!$E$9:$E$1592,"考虑清仓")&gt;0,"考虑清仓 ","")&amp;IF(COUNTIFS('SKU明细'!$AH$9:$AH$1592,"[""2302153"",""2302153-ND-S-Z"",""ND"",""裸色""]",'SKU明细'!$E$9:$E$1592,"断货")&gt;0,"断货 ","")&amp;IF(COUNTIFS('SKU明细'!$AH$9:$AH$1592,"[""2302153"",""2302153-ND-S-Z"",""ND"",""裸色""]",'SKU明细'!$E$9:$E$1592,"零日销待复核")&gt;0,"零日销待复核 ","")&amp;IF(COUNTIFS('SKU明细'!$AH$9:$AH$1592,"[""2302153"",""2302153-ND-S-Z"",""ND"",""裸色""]",'SKU明细'!$E$9:$E$1592,"数据待核")&gt;0,"数据待核 ","")&amp;IF(COUNTIFS('SKU明细'!$AH$9:$AH$1592,"[""2302153"",""2302153-ND-S-Z"",""ND"",""裸色""]",'SKU明细'!$E$9:$E$1592,"正常库存")&gt;0,"正常库存 ","")&amp;IF(COUNTIFS('SKU明细'!$AH$9:$AH$1592,"[""2302153"",""2302153-ND-S-Z"",""ND"",""裸色""]",'SKU明细'!$E$9:$E$1592,"补货提醒")&gt;0,"补货提醒 ","")</x:f>
        <x:v>断货 补货提醒 </x:v>
      </x:c>
      <x:c r="Y115" s="19" t="str">
        <x:f>IF(NOT(ISNUMBER(U115)),"覆盖待核／无可比基准","完整可比")</x:f>
        <x:v>完整可比</x:v>
      </x:c>
      <x:c r="Z115" s="19" t="str">
        <x:v>在售</x:v>
      </x:c>
      <x:c r="AA115" s="19" t="n">
        <x:f>IF(SUMIFS('SKU明细'!$AF$9:$AF$1592,'SKU明细'!$D$9:$D$1592,A115,'SKU明细'!$Z$9:$Z$1592,"&lt;&gt;移出")=0,"待核",SUMIFS('SKU明细'!$H$9:$H$1592,'SKU明细'!$D$9:$D$1592,A115,'SKU明细'!$Z$9:$Z$1592,"&lt;&gt;移出"))</x:f>
        <x:v>1112</x:v>
      </x:c>
    </x:row>
    <x:row r="116" ht="54" customHeight="1">
      <x:c r="A116" s="15" t="str">
        <x:v>2302153</x:v>
      </x:c>
      <x:c r="B116" s="15" t="str">
        <x:v>徐新怡</x:v>
      </x:c>
      <x:c r="C116" s="15" t="str">
        <x:v>藏青色</x:v>
      </x:c>
      <x:c r="D116" s="15" t="str">
        <x:v>NY</x:v>
      </x:c>
      <x:c r="E116" s="15" t="str">
        <x:v>2302153-NY</x:v>
      </x:c>
      <x:c r="F116" s="15"/>
      <x:c r="G116" s="16" t="str">
        <x:f>"—"</x:f>
        <x:v>—</x:v>
      </x:c>
      <x:c r="H116" s="16" t="n">
        <x:f>IF(AND(COUNT(INDEX('SKU明细'!$H$9:$H$1592,MATCH("[6574,""2302153-NY-37""]",'SKU明细'!$AE$9:$AE$1592,0)))=1,COUNT(INDEX('SKU明细'!$G$9:$G$1592,MATCH("[6574,""2302153-NY-37""]",'SKU明细'!$AE$9:$AE$1592,0)))=1,SUM(INDEX('SKU明细'!$G$9:$G$1592,MATCH("[6574,""2302153-NY-37""]",'SKU明细'!$AE$9:$AE$1592,0)))&gt;0),SUM(INDEX('SKU明细'!$H$9:$H$1592,MATCH("[6574,""2302153-NY-37""]",'SKU明细'!$AE$9:$AE$1592,0)))/SUM(INDEX('SKU明细'!$G$9:$G$1592,MATCH("[6574,""2302153-NY-37""]",'SKU明细'!$AE$9:$AE$1592,0))),"待核")</x:f>
        <x:v>13.725490196078432</x:v>
      </x:c>
      <x:c r="I116" s="16" t="n">
        <x:f>IF(AND(COUNT(INDEX('SKU明细'!$H$9:$H$1592,MATCH("[6574,""2302153-NY-37.5""]",'SKU明细'!$AE$9:$AE$1592,0)))=1,COUNT(INDEX('SKU明细'!$G$9:$G$1592,MATCH("[6574,""2302153-NY-37.5""]",'SKU明细'!$AE$9:$AE$1592,0)))=1,SUM(INDEX('SKU明细'!$G$9:$G$1592,MATCH("[6574,""2302153-NY-37.5""]",'SKU明细'!$AE$9:$AE$1592,0)))&gt;0),SUM(INDEX('SKU明细'!$H$9:$H$1592,MATCH("[6574,""2302153-NY-37.5""]",'SKU明细'!$AE$9:$AE$1592,0)))/SUM(INDEX('SKU明细'!$G$9:$G$1592,MATCH("[6574,""2302153-NY-37.5""]",'SKU明细'!$AE$9:$AE$1592,0))),"待核")</x:f>
        <x:v>0</x:v>
      </x:c>
      <x:c r="J116" s="16" t="n">
        <x:f>IF(AND(COUNT(INDEX('SKU明细'!$H$9:$H$1592,MATCH("[6574,""2302153-NY-38""]",'SKU明细'!$AE$9:$AE$1592,0)))=1,COUNT(INDEX('SKU明细'!$G$9:$G$1592,MATCH("[6574,""2302153-NY-38""]",'SKU明细'!$AE$9:$AE$1592,0)))=1,SUM(INDEX('SKU明细'!$G$9:$G$1592,MATCH("[6574,""2302153-NY-38""]",'SKU明细'!$AE$9:$AE$1592,0)))&gt;0),SUM(INDEX('SKU明细'!$H$9:$H$1592,MATCH("[6574,""2302153-NY-38""]",'SKU明细'!$AE$9:$AE$1592,0)))/SUM(INDEX('SKU明细'!$G$9:$G$1592,MATCH("[6574,""2302153-NY-38""]",'SKU明细'!$AE$9:$AE$1592,0))),"待核")</x:f>
        <x:v>2.678571428571429</x:v>
      </x:c>
      <x:c r="K116" s="16" t="n">
        <x:f>IF(AND(COUNT(INDEX('SKU明细'!$H$9:$H$1592,MATCH("[6574,""2302153-NY-38.5""]",'SKU明细'!$AE$9:$AE$1592,0)))=1,COUNT(INDEX('SKU明细'!$G$9:$G$1592,MATCH("[6574,""2302153-NY-38.5""]",'SKU明细'!$AE$9:$AE$1592,0)))=1,SUM(INDEX('SKU明细'!$G$9:$G$1592,MATCH("[6574,""2302153-NY-38.5""]",'SKU明细'!$AE$9:$AE$1592,0)))&gt;0),SUM(INDEX('SKU明细'!$H$9:$H$1592,MATCH("[6574,""2302153-NY-38.5""]",'SKU明细'!$AE$9:$AE$1592,0)))/SUM(INDEX('SKU明细'!$G$9:$G$1592,MATCH("[6574,""2302153-NY-38.5""]",'SKU明细'!$AE$9:$AE$1592,0))),"待核")</x:f>
        <x:v>18.502202643171806</x:v>
      </x:c>
      <x:c r="L116" s="16" t="n">
        <x:f>IF(AND(COUNT(INDEX('SKU明细'!$H$9:$H$1592,MATCH("[6574,""2302153-NY-39""]",'SKU明细'!$AE$9:$AE$1592,0)))=1,COUNT(INDEX('SKU明细'!$G$9:$G$1592,MATCH("[6574,""2302153-NY-39""]",'SKU明细'!$AE$9:$AE$1592,0)))=1,SUM(INDEX('SKU明细'!$G$9:$G$1592,MATCH("[6574,""2302153-NY-39""]",'SKU明细'!$AE$9:$AE$1592,0)))&gt;0),SUM(INDEX('SKU明细'!$H$9:$H$1592,MATCH("[6574,""2302153-NY-39""]",'SKU明细'!$AE$9:$AE$1592,0)))/SUM(INDEX('SKU明细'!$G$9:$G$1592,MATCH("[6574,""2302153-NY-39""]",'SKU明细'!$AE$9:$AE$1592,0))),"待核")</x:f>
        <x:v>1.9830028328611895</x:v>
      </x:c>
      <x:c r="M116" s="16" t="n">
        <x:f>IF(AND(COUNT(INDEX('SKU明细'!$H$9:$H$1592,MATCH("[6574,""2302153-NY-39.5""]",'SKU明细'!$AE$9:$AE$1592,0)))=1,COUNT(INDEX('SKU明细'!$G$9:$G$1592,MATCH("[6574,""2302153-NY-39.5""]",'SKU明细'!$AE$9:$AE$1592,0)))=1,SUM(INDEX('SKU明细'!$G$9:$G$1592,MATCH("[6574,""2302153-NY-39.5""]",'SKU明细'!$AE$9:$AE$1592,0)))&gt;0),SUM(INDEX('SKU明细'!$H$9:$H$1592,MATCH("[6574,""2302153-NY-39.5""]",'SKU明细'!$AE$9:$AE$1592,0)))/SUM(INDEX('SKU明细'!$G$9:$G$1592,MATCH("[6574,""2302153-NY-39.5""]",'SKU明细'!$AE$9:$AE$1592,0))),"待核")</x:f>
        <x:v>0</x:v>
      </x:c>
      <x:c r="N116" s="16" t="n">
        <x:f>IF(AND(COUNT(INDEX('SKU明细'!$H$9:$H$1592,MATCH("[6574,""2302153-NY-40""]",'SKU明细'!$AE$9:$AE$1592,0)))=1,COUNT(INDEX('SKU明细'!$G$9:$G$1592,MATCH("[6574,""2302153-NY-40""]",'SKU明细'!$AE$9:$AE$1592,0)))=1,SUM(INDEX('SKU明细'!$G$9:$G$1592,MATCH("[6574,""2302153-NY-40""]",'SKU明细'!$AE$9:$AE$1592,0)))&gt;0),SUM(INDEX('SKU明细'!$H$9:$H$1592,MATCH("[6574,""2302153-NY-40""]",'SKU明细'!$AE$9:$AE$1592,0)))/SUM(INDEX('SKU明细'!$G$9:$G$1592,MATCH("[6574,""2302153-NY-40""]",'SKU明细'!$AE$9:$AE$1592,0))),"待核")</x:f>
        <x:v>46.55775962660444</x:v>
      </x:c>
      <x:c r="O116" s="16" t="n">
        <x:f>IF(AND(COUNT(INDEX('SKU明细'!$H$9:$H$1592,MATCH("[6574,""2302153-NY-40.5""]",'SKU明细'!$AE$9:$AE$1592,0)))=1,COUNT(INDEX('SKU明细'!$G$9:$G$1592,MATCH("[6574,""2302153-NY-40.5""]",'SKU明细'!$AE$9:$AE$1592,0)))=1,SUM(INDEX('SKU明细'!$G$9:$G$1592,MATCH("[6574,""2302153-NY-40.5""]",'SKU明细'!$AE$9:$AE$1592,0)))&gt;0),SUM(INDEX('SKU明细'!$H$9:$H$1592,MATCH("[6574,""2302153-NY-40.5""]",'SKU明细'!$AE$9:$AE$1592,0)))/SUM(INDEX('SKU明细'!$G$9:$G$1592,MATCH("[6574,""2302153-NY-40.5""]",'SKU明细'!$AE$9:$AE$1592,0))),"待核")</x:f>
        <x:v>43.86422976501306</x:v>
      </x:c>
      <x:c r="P116" s="16" t="n">
        <x:f>IF(AND(COUNT(INDEX('SKU明细'!$H$9:$H$1592,MATCH("[6574,""2302153-NY-41""]",'SKU明细'!$AE$9:$AE$1592,0)))=1,COUNT(INDEX('SKU明细'!$G$9:$G$1592,MATCH("[6574,""2302153-NY-41""]",'SKU明细'!$AE$9:$AE$1592,0)))=1,SUM(INDEX('SKU明细'!$G$9:$G$1592,MATCH("[6574,""2302153-NY-41""]",'SKU明细'!$AE$9:$AE$1592,0)))&gt;0),SUM(INDEX('SKU明细'!$H$9:$H$1592,MATCH("[6574,""2302153-NY-41""]",'SKU明细'!$AE$9:$AE$1592,0)))/SUM(INDEX('SKU明细'!$G$9:$G$1592,MATCH("[6574,""2302153-NY-41""]",'SKU明细'!$AE$9:$AE$1592,0))),"待核")</x:f>
        <x:v>0</x:v>
      </x:c>
      <x:c r="Q116" s="16" t="str">
        <x:f>"—"</x:f>
        <x:v>—</x:v>
      </x:c>
      <x:c r="R116" s="16" t="n">
        <x:f>IF(AND(COUNT(INDEX('SKU明细'!$H$9:$H$1592,MATCH("[6574,""2302153-NY-42""]",'SKU明细'!$AE$9:$AE$1592,0)))=1,COUNT(INDEX('SKU明细'!$G$9:$G$1592,MATCH("[6574,""2302153-NY-42""]",'SKU明细'!$AE$9:$AE$1592,0)))=1,SUM(INDEX('SKU明细'!$G$9:$G$1592,MATCH("[6574,""2302153-NY-42""]",'SKU明细'!$AE$9:$AE$1592,0)))&gt;0),SUM(INDEX('SKU明细'!$H$9:$H$1592,MATCH("[6574,""2302153-NY-42""]",'SKU明细'!$AE$9:$AE$1592,0)))/SUM(INDEX('SKU明细'!$G$9:$G$1592,MATCH("[6574,""2302153-NY-42""]",'SKU明细'!$AE$9:$AE$1592,0))),"待核")</x:f>
        <x:v>0</x:v>
      </x:c>
      <x:c r="S116" s="16" t="n">
        <x:f>IF(AND(COUNT(INDEX('SKU明细'!$H$9:$H$1592,MATCH("[6574,""2302153-NY-37.5""]",'SKU明细'!$AE$9:$AE$1592,0)),INDEX('SKU明细'!$H$9:$H$1592,MATCH("[6574,""2302153-NY-39.5""]",'SKU明细'!$AE$9:$AE$1592,0)),INDEX('SKU明细'!$H$9:$H$1592,MATCH("[6574,""2302153-NY-41""]",'SKU明细'!$AE$9:$AE$1592,0)),INDEX('SKU明细'!$H$9:$H$1592,MATCH("[6574,""2302153-NY-42""]",'SKU明细'!$AE$9:$AE$1592,0)),INDEX('SKU明细'!$H$9:$H$1592,MATCH("[6574,""2302153-NY-37""]",'SKU明细'!$AE$9:$AE$1592,0)),INDEX('SKU明细'!$H$9:$H$1592,MATCH("[6574,""2302153-NY-38""]",'SKU明细'!$AE$9:$AE$1592,0)),INDEX('SKU明细'!$H$9:$H$1592,MATCH("[6574,""2302153-NY-38.5""]",'SKU明细'!$AE$9:$AE$1592,0)),INDEX('SKU明细'!$H$9:$H$1592,MATCH("[6574,""2302153-NY-39""]",'SKU明细'!$AE$9:$AE$1592,0)),INDEX('SKU明细'!$H$9:$H$1592,MATCH("[6574,""2302153-NY-40""]",'SKU明细'!$AE$9:$AE$1592,0)),INDEX('SKU明细'!$H$9:$H$1592,MATCH("[6574,""2302153-NY-40.5""]",'SKU明细'!$AE$9:$AE$1592,0)))=10,COUNT(INDEX('SKU明细'!$G$9:$G$1592,MATCH("[6574,""2302153-NY-37.5""]",'SKU明细'!$AE$9:$AE$1592,0)),INDEX('SKU明细'!$G$9:$G$1592,MATCH("[6574,""2302153-NY-39.5""]",'SKU明细'!$AE$9:$AE$1592,0)),INDEX('SKU明细'!$G$9:$G$1592,MATCH("[6574,""2302153-NY-41""]",'SKU明细'!$AE$9:$AE$1592,0)),INDEX('SKU明细'!$G$9:$G$1592,MATCH("[6574,""2302153-NY-42""]",'SKU明细'!$AE$9:$AE$1592,0)),INDEX('SKU明细'!$G$9:$G$1592,MATCH("[6574,""2302153-NY-37""]",'SKU明细'!$AE$9:$AE$1592,0)),INDEX('SKU明细'!$G$9:$G$1592,MATCH("[6574,""2302153-NY-38""]",'SKU明细'!$AE$9:$AE$1592,0)),INDEX('SKU明细'!$G$9:$G$1592,MATCH("[6574,""2302153-NY-38.5""]",'SKU明细'!$AE$9:$AE$1592,0)),INDEX('SKU明细'!$G$9:$G$1592,MATCH("[6574,""2302153-NY-39""]",'SKU明细'!$AE$9:$AE$1592,0)),INDEX('SKU明细'!$G$9:$G$1592,MATCH("[6574,""2302153-NY-40""]",'SKU明细'!$AE$9:$AE$1592,0)),INDEX('SKU明细'!$G$9:$G$1592,MATCH("[6574,""2302153-NY-40.5""]",'SKU明细'!$AE$9:$AE$1592,0)))=10,SUM(INDEX('SKU明细'!$G$9:$G$1592,MATCH("[6574,""2302153-NY-37.5""]",'SKU明细'!$AE$9:$AE$1592,0)),INDEX('SKU明细'!$G$9:$G$1592,MATCH("[6574,""2302153-NY-39.5""]",'SKU明细'!$AE$9:$AE$1592,0)),INDEX('SKU明细'!$G$9:$G$1592,MATCH("[6574,""2302153-NY-41""]",'SKU明细'!$AE$9:$AE$1592,0)),INDEX('SKU明细'!$G$9:$G$1592,MATCH("[6574,""2302153-NY-42""]",'SKU明细'!$AE$9:$AE$1592,0)),INDEX('SKU明细'!$G$9:$G$1592,MATCH("[6574,""2302153-NY-37""]",'SKU明细'!$AE$9:$AE$1592,0)),INDEX('SKU明细'!$G$9:$G$1592,MATCH("[6574,""2302153-NY-38""]",'SKU明细'!$AE$9:$AE$1592,0)),INDEX('SKU明细'!$G$9:$G$1592,MATCH("[6574,""2302153-NY-38.5""]",'SKU明细'!$AE$9:$AE$1592,0)),INDEX('SKU明细'!$G$9:$G$1592,MATCH("[6574,""2302153-NY-39""]",'SKU明细'!$AE$9:$AE$1592,0)),INDEX('SKU明细'!$G$9:$G$1592,MATCH("[6574,""2302153-NY-40""]",'SKU明细'!$AE$9:$AE$1592,0)),INDEX('SKU明细'!$G$9:$G$1592,MATCH("[6574,""2302153-NY-40.5""]",'SKU明细'!$AE$9:$AE$1592,0)))&gt;0),SUM(INDEX('SKU明细'!$H$9:$H$1592,MATCH("[6574,""2302153-NY-37.5""]",'SKU明细'!$AE$9:$AE$1592,0)),INDEX('SKU明细'!$H$9:$H$1592,MATCH("[6574,""2302153-NY-39.5""]",'SKU明细'!$AE$9:$AE$1592,0)),INDEX('SKU明细'!$H$9:$H$1592,MATCH("[6574,""2302153-NY-41""]",'SKU明细'!$AE$9:$AE$1592,0)),INDEX('SKU明细'!$H$9:$H$1592,MATCH("[6574,""2302153-NY-42""]",'SKU明细'!$AE$9:$AE$1592,0)),INDEX('SKU明细'!$H$9:$H$1592,MATCH("[6574,""2302153-NY-37""]",'SKU明细'!$AE$9:$AE$1592,0)),INDEX('SKU明细'!$H$9:$H$1592,MATCH("[6574,""2302153-NY-38""]",'SKU明细'!$AE$9:$AE$1592,0)),INDEX('SKU明细'!$H$9:$H$1592,MATCH("[6574,""2302153-NY-38.5""]",'SKU明细'!$AE$9:$AE$1592,0)),INDEX('SKU明细'!$H$9:$H$1592,MATCH("[6574,""2302153-NY-39""]",'SKU明细'!$AE$9:$AE$1592,0)),INDEX('SKU明细'!$H$9:$H$1592,MATCH("[6574,""2302153-NY-40""]",'SKU明细'!$AE$9:$AE$1592,0)),INDEX('SKU明细'!$H$9:$H$1592,MATCH("[6574,""2302153-NY-40.5""]",'SKU明细'!$AE$9:$AE$1592,0)))/SUM(INDEX('SKU明细'!$G$9:$G$1592,MATCH("[6574,""2302153-NY-37.5""]",'SKU明细'!$AE$9:$AE$1592,0)),INDEX('SKU明细'!$G$9:$G$1592,MATCH("[6574,""2302153-NY-39.5""]",'SKU明细'!$AE$9:$AE$1592,0)),INDEX('SKU明细'!$G$9:$G$1592,MATCH("[6574,""2302153-NY-41""]",'SKU明细'!$AE$9:$AE$1592,0)),INDEX('SKU明细'!$G$9:$G$1592,MATCH("[6574,""2302153-NY-42""]",'SKU明细'!$AE$9:$AE$1592,0)),INDEX('SKU明细'!$G$9:$G$1592,MATCH("[6574,""2302153-NY-37""]",'SKU明细'!$AE$9:$AE$1592,0)),INDEX('SKU明细'!$G$9:$G$1592,MATCH("[6574,""2302153-NY-38""]",'SKU明细'!$AE$9:$AE$1592,0)),INDEX('SKU明细'!$G$9:$G$1592,MATCH("[6574,""2302153-NY-38.5""]",'SKU明细'!$AE$9:$AE$1592,0)),INDEX('SKU明细'!$G$9:$G$1592,MATCH("[6574,""2302153-NY-39""]",'SKU明细'!$AE$9:$AE$1592,0)),INDEX('SKU明细'!$G$9:$G$1592,MATCH("[6574,""2302153-NY-40""]",'SKU明细'!$AE$9:$AE$1592,0)),INDEX('SKU明细'!$G$9:$G$1592,MATCH("[6574,""2302153-NY-40.5""]",'SKU明细'!$AE$9:$AE$1592,0))),"待核")</x:f>
        <x:v>13.920454545454547</x:v>
      </x:c>
      <x:c r="T116" s="16" t="n">
        <x:f>IF(AND(COUNT(INDEX('SKU明细'!$I$9:$I$1592,MATCH("[6574,""2302153-NY-37.5""]",'SKU明细'!$AE$9:$AE$1592,0)),INDEX('SKU明细'!$I$9:$I$1592,MATCH("[6574,""2302153-NY-39.5""]",'SKU明细'!$AE$9:$AE$1592,0)),INDEX('SKU明细'!$I$9:$I$1592,MATCH("[6574,""2302153-NY-41""]",'SKU明细'!$AE$9:$AE$1592,0)),INDEX('SKU明细'!$I$9:$I$1592,MATCH("[6574,""2302153-NY-42""]",'SKU明细'!$AE$9:$AE$1592,0)),INDEX('SKU明细'!$I$9:$I$1592,MATCH("[6574,""2302153-NY-37""]",'SKU明细'!$AE$9:$AE$1592,0)),INDEX('SKU明细'!$I$9:$I$1592,MATCH("[6574,""2302153-NY-38""]",'SKU明细'!$AE$9:$AE$1592,0)),INDEX('SKU明细'!$I$9:$I$1592,MATCH("[6574,""2302153-NY-38.5""]",'SKU明细'!$AE$9:$AE$1592,0)),INDEX('SKU明细'!$I$9:$I$1592,MATCH("[6574,""2302153-NY-39""]",'SKU明细'!$AE$9:$AE$1592,0)),INDEX('SKU明细'!$I$9:$I$1592,MATCH("[6574,""2302153-NY-40""]",'SKU明细'!$AE$9:$AE$1592,0)),INDEX('SKU明细'!$I$9:$I$1592,MATCH("[6574,""2302153-NY-40.5""]",'SKU明细'!$AE$9:$AE$1592,0)))=10,COUNT(INDEX('SKU明细'!$AD$9:$AD$1592,MATCH("[6574,""2302153-NY-37.5""]",'SKU明细'!$AE$9:$AE$1592,0)),INDEX('SKU明细'!$AD$9:$AD$1592,MATCH("[6574,""2302153-NY-39.5""]",'SKU明细'!$AE$9:$AE$1592,0)),INDEX('SKU明细'!$AD$9:$AD$1592,MATCH("[6574,""2302153-NY-41""]",'SKU明细'!$AE$9:$AE$1592,0)),INDEX('SKU明细'!$AD$9:$AD$1592,MATCH("[6574,""2302153-NY-42""]",'SKU明细'!$AE$9:$AE$1592,0)),INDEX('SKU明细'!$AD$9:$AD$1592,MATCH("[6574,""2302153-NY-37""]",'SKU明细'!$AE$9:$AE$1592,0)),INDEX('SKU明细'!$AD$9:$AD$1592,MATCH("[6574,""2302153-NY-38""]",'SKU明细'!$AE$9:$AE$1592,0)),INDEX('SKU明细'!$AD$9:$AD$1592,MATCH("[6574,""2302153-NY-38.5""]",'SKU明细'!$AE$9:$AE$1592,0)),INDEX('SKU明细'!$AD$9:$AD$1592,MATCH("[6574,""2302153-NY-39""]",'SKU明细'!$AE$9:$AE$1592,0)),INDEX('SKU明细'!$AD$9:$AD$1592,MATCH("[6574,""2302153-NY-40""]",'SKU明细'!$AE$9:$AE$1592,0)),INDEX('SKU明细'!$AD$9:$AD$1592,MATCH("[6574,""2302153-NY-40.5""]",'SKU明细'!$AE$9:$AE$1592,0)))=10,SUM(INDEX('SKU明细'!$AD$9:$AD$1592,MATCH("[6574,""2302153-NY-37.5""]",'SKU明细'!$AE$9:$AE$1592,0)),INDEX('SKU明细'!$AD$9:$AD$1592,MATCH("[6574,""2302153-NY-39.5""]",'SKU明细'!$AE$9:$AE$1592,0)),INDEX('SKU明细'!$AD$9:$AD$1592,MATCH("[6574,""2302153-NY-41""]",'SKU明细'!$AE$9:$AE$1592,0)),INDEX('SKU明细'!$AD$9:$AD$1592,MATCH("[6574,""2302153-NY-42""]",'SKU明细'!$AE$9:$AE$1592,0)),INDEX('SKU明细'!$AD$9:$AD$1592,MATCH("[6574,""2302153-NY-37""]",'SKU明细'!$AE$9:$AE$1592,0)),INDEX('SKU明细'!$AD$9:$AD$1592,MATCH("[6574,""2302153-NY-38""]",'SKU明细'!$AE$9:$AE$1592,0)),INDEX('SKU明细'!$AD$9:$AD$1592,MATCH("[6574,""2302153-NY-38.5""]",'SKU明细'!$AE$9:$AE$1592,0)),INDEX('SKU明细'!$AD$9:$AD$1592,MATCH("[6574,""2302153-NY-39""]",'SKU明细'!$AE$9:$AE$1592,0)),INDEX('SKU明细'!$AD$9:$AD$1592,MATCH("[6574,""2302153-NY-40""]",'SKU明细'!$AE$9:$AE$1592,0)),INDEX('SKU明细'!$AD$9:$AD$1592,MATCH("[6574,""2302153-NY-40.5""]",'SKU明细'!$AE$9:$AE$1592,0)))&gt;0),SUM(INDEX('SKU明细'!$I$9:$I$1592,MATCH("[6574,""2302153-NY-37.5""]",'SKU明细'!$AE$9:$AE$1592,0)),INDEX('SKU明细'!$I$9:$I$1592,MATCH("[6574,""2302153-NY-39.5""]",'SKU明细'!$AE$9:$AE$1592,0)),INDEX('SKU明细'!$I$9:$I$1592,MATCH("[6574,""2302153-NY-41""]",'SKU明细'!$AE$9:$AE$1592,0)),INDEX('SKU明细'!$I$9:$I$1592,MATCH("[6574,""2302153-NY-42""]",'SKU明细'!$AE$9:$AE$1592,0)),INDEX('SKU明细'!$I$9:$I$1592,MATCH("[6574,""2302153-NY-37""]",'SKU明细'!$AE$9:$AE$1592,0)),INDEX('SKU明细'!$I$9:$I$1592,MATCH("[6574,""2302153-NY-38""]",'SKU明细'!$AE$9:$AE$1592,0)),INDEX('SKU明细'!$I$9:$I$1592,MATCH("[6574,""2302153-NY-38.5""]",'SKU明细'!$AE$9:$AE$1592,0)),INDEX('SKU明细'!$I$9:$I$1592,MATCH("[6574,""2302153-NY-39""]",'SKU明细'!$AE$9:$AE$1592,0)),INDEX('SKU明细'!$I$9:$I$1592,MATCH("[6574,""2302153-NY-40""]",'SKU明细'!$AE$9:$AE$1592,0)),INDEX('SKU明细'!$I$9:$I$1592,MATCH("[6574,""2302153-NY-40.5""]",'SKU明细'!$AE$9:$AE$1592,0)))/SUM(INDEX('SKU明细'!$AD$9:$AD$1592,MATCH("[6574,""2302153-NY-37.5""]",'SKU明细'!$AE$9:$AE$1592,0)),INDEX('SKU明细'!$AD$9:$AD$1592,MATCH("[6574,""2302153-NY-39.5""]",'SKU明细'!$AE$9:$AE$1592,0)),INDEX('SKU明细'!$AD$9:$AD$1592,MATCH("[6574,""2302153-NY-41""]",'SKU明细'!$AE$9:$AE$1592,0)),INDEX('SKU明细'!$AD$9:$AD$1592,MATCH("[6574,""2302153-NY-42""]",'SKU明细'!$AE$9:$AE$1592,0)),INDEX('SKU明细'!$AD$9:$AD$1592,MATCH("[6574,""2302153-NY-37""]",'SKU明细'!$AE$9:$AE$1592,0)),INDEX('SKU明细'!$AD$9:$AD$1592,MATCH("[6574,""2302153-NY-38""]",'SKU明细'!$AE$9:$AE$1592,0)),INDEX('SKU明细'!$AD$9:$AD$1592,MATCH("[6574,""2302153-NY-38.5""]",'SKU明细'!$AE$9:$AE$1592,0)),INDEX('SKU明细'!$AD$9:$AD$1592,MATCH("[6574,""2302153-NY-39""]",'SKU明细'!$AE$9:$AE$1592,0)),INDEX('SKU明细'!$AD$9:$AD$1592,MATCH("[6574,""2302153-NY-40""]",'SKU明细'!$AE$9:$AE$1592,0)),INDEX('SKU明细'!$AD$9:$AD$1592,MATCH("[6574,""2302153-NY-40.5""]",'SKU明细'!$AE$9:$AE$1592,0))),"待核")</x:f>
        <x:v>8.201183431952662</x:v>
      </x:c>
      <x:c r="U116" s="16" t="n">
        <x:f>IF(COUNT(S116:T116)=2,S116-T116,"待核")</x:f>
        <x:v>5.719271113501884</x:v>
      </x:c>
      <x:c r="V116" s="17" t="n">
        <x:f>IF(AND(ISNUMBER(U116),ISNUMBER(T116),T116&lt;&gt;0),U116/T116,"")</x:f>
        <x:v>0.6973714416896237</x:v>
      </x:c>
      <x:c r="W116" s="18" t="n">
        <x:f>IF(COUNT(INDEX('SKU明细'!$H$9:$H$1592,MATCH("[6574,""2302153-NY-37.5""]",'SKU明细'!$AE$9:$AE$1592,0)),INDEX('SKU明细'!$H$9:$H$1592,MATCH("[6574,""2302153-NY-39.5""]",'SKU明细'!$AE$9:$AE$1592,0)),INDEX('SKU明细'!$H$9:$H$1592,MATCH("[6574,""2302153-NY-41""]",'SKU明细'!$AE$9:$AE$1592,0)),INDEX('SKU明细'!$H$9:$H$1592,MATCH("[6574,""2302153-NY-42""]",'SKU明细'!$AE$9:$AE$1592,0)),INDEX('SKU明细'!$H$9:$H$1592,MATCH("[6574,""2302153-NY-37""]",'SKU明细'!$AE$9:$AE$1592,0)),INDEX('SKU明细'!$H$9:$H$1592,MATCH("[6574,""2302153-NY-38""]",'SKU明细'!$AE$9:$AE$1592,0)),INDEX('SKU明细'!$H$9:$H$1592,MATCH("[6574,""2302153-NY-38.5""]",'SKU明细'!$AE$9:$AE$1592,0)),INDEX('SKU明细'!$H$9:$H$1592,MATCH("[6574,""2302153-NY-39""]",'SKU明细'!$AE$9:$AE$1592,0)),INDEX('SKU明细'!$H$9:$H$1592,MATCH("[6574,""2302153-NY-40""]",'SKU明细'!$AE$9:$AE$1592,0)),INDEX('SKU明细'!$H$9:$H$1592,MATCH("[6574,""2302153-NY-40.5""]",'SKU明细'!$AE$9:$AE$1592,0)))=0,"待核",SUM(INDEX('SKU明细'!$H$9:$H$1592,MATCH("[6574,""2302153-NY-37.5""]",'SKU明细'!$AE$9:$AE$1592,0)),INDEX('SKU明细'!$H$9:$H$1592,MATCH("[6574,""2302153-NY-39.5""]",'SKU明细'!$AE$9:$AE$1592,0)),INDEX('SKU明细'!$H$9:$H$1592,MATCH("[6574,""2302153-NY-41""]",'SKU明细'!$AE$9:$AE$1592,0)),INDEX('SKU明细'!$H$9:$H$1592,MATCH("[6574,""2302153-NY-42""]",'SKU明细'!$AE$9:$AE$1592,0)),INDEX('SKU明细'!$H$9:$H$1592,MATCH("[6574,""2302153-NY-37""]",'SKU明细'!$AE$9:$AE$1592,0)),INDEX('SKU明细'!$H$9:$H$1592,MATCH("[6574,""2302153-NY-38""]",'SKU明细'!$AE$9:$AE$1592,0)),INDEX('SKU明细'!$H$9:$H$1592,MATCH("[6574,""2302153-NY-38.5""]",'SKU明细'!$AE$9:$AE$1592,0)),INDEX('SKU明细'!$H$9:$H$1592,MATCH("[6574,""2302153-NY-39""]",'SKU明细'!$AE$9:$AE$1592,0)),INDEX('SKU明细'!$H$9:$H$1592,MATCH("[6574,""2302153-NY-40""]",'SKU明细'!$AE$9:$AE$1592,0)),INDEX('SKU明细'!$H$9:$H$1592,MATCH("[6574,""2302153-NY-40.5""]",'SKU明细'!$AE$9:$AE$1592,0))))</x:f>
        <x:v>42</x:v>
      </x:c>
      <x:c r="X116" s="19" t="str">
        <x:f>IF(COUNTIFS('SKU明细'!$AH$9:$AH$1592,"[""2302153"",""2302153-NY"",""NY"",""藏青色""]",'SKU明细'!$E$9:$E$1592,"促销")&gt;0,"促销 ","")&amp;IF(COUNTIFS('SKU明细'!$AH$9:$AH$1592,"[""2302153"",""2302153-NY"",""NY"",""藏青色""]",'SKU明细'!$E$9:$E$1592,"红线促销")&gt;0,"红线促销 ","")&amp;IF(COUNTIFS('SKU明细'!$AH$9:$AH$1592,"[""2302153"",""2302153-NY"",""NY"",""藏青色""]",'SKU明细'!$E$9:$E$1592,"考虑清仓")&gt;0,"考虑清仓 ","")&amp;IF(COUNTIFS('SKU明细'!$AH$9:$AH$1592,"[""2302153"",""2302153-NY"",""NY"",""藏青色""]",'SKU明细'!$E$9:$E$1592,"断货")&gt;0,"断货 ","")&amp;IF(COUNTIFS('SKU明细'!$AH$9:$AH$1592,"[""2302153"",""2302153-NY"",""NY"",""藏青色""]",'SKU明细'!$E$9:$E$1592,"零日销待复核")&gt;0,"零日销待复核 ","")&amp;IF(COUNTIFS('SKU明细'!$AH$9:$AH$1592,"[""2302153"",""2302153-NY"",""NY"",""藏青色""]",'SKU明细'!$E$9:$E$1592,"数据待核")&gt;0,"数据待核 ","")&amp;IF(COUNTIFS('SKU明细'!$AH$9:$AH$1592,"[""2302153"",""2302153-NY"",""NY"",""藏青色""]",'SKU明细'!$E$9:$E$1592,"正常库存")&gt;0,"正常库存 ","")&amp;IF(COUNTIFS('SKU明细'!$AH$9:$AH$1592,"[""2302153"",""2302153-NY"",""NY"",""藏青色""]",'SKU明细'!$E$9:$E$1592,"补货提醒")&gt;0,"补货提醒 ","")</x:f>
        <x:v>断货 补货提醒 </x:v>
      </x:c>
      <x:c r="Y116" s="19" t="str">
        <x:f>IF(NOT(ISNUMBER(U116)),"覆盖待核／无可比基准","完整可比")</x:f>
        <x:v>完整可比</x:v>
      </x:c>
      <x:c r="Z116" s="19" t="str">
        <x:v>在售</x:v>
      </x:c>
      <x:c r="AA116" s="19" t="n">
        <x:f>IF(SUMIFS('SKU明细'!$AF$9:$AF$1592,'SKU明细'!$D$9:$D$1592,A116,'SKU明细'!$Z$9:$Z$1592,"&lt;&gt;移出")=0,"待核",SUMIFS('SKU明细'!$H$9:$H$1592,'SKU明细'!$D$9:$D$1592,A116,'SKU明细'!$Z$9:$Z$1592,"&lt;&gt;移出"))</x:f>
        <x:v>1112</x:v>
      </x:c>
    </x:row>
    <x:row r="117" ht="54" customHeight="1">
      <x:c r="A117" s="15" t="str">
        <x:v>2302153</x:v>
      </x:c>
      <x:c r="B117" s="15" t="str">
        <x:v>徐新怡</x:v>
      </x:c>
      <x:c r="C117" s="15" t="str">
        <x:v>红色</x:v>
      </x:c>
      <x:c r="D117" s="15" t="str">
        <x:v>RD</x:v>
      </x:c>
      <x:c r="E117" s="15" t="str">
        <x:v>2302153-RD-S-Z</x:v>
      </x:c>
      <x:c r="F117" s="15"/>
      <x:c r="G117" s="16" t="str">
        <x:f>"—"</x:f>
        <x:v>—</x:v>
      </x:c>
      <x:c r="H117" s="16" t="n">
        <x:f>IF(AND(COUNT(INDEX('SKU明细'!$H$9:$H$1592,MATCH("[6574,""2302153-RD-S-Z-6""]",'SKU明细'!$AE$9:$AE$1592,0)))=1,COUNT(INDEX('SKU明细'!$G$9:$G$1592,MATCH("[6574,""2302153-RD-S-Z-6""]",'SKU明细'!$AE$9:$AE$1592,0)))=1,SUM(INDEX('SKU明细'!$G$9:$G$1592,MATCH("[6574,""2302153-RD-S-Z-6""]",'SKU明细'!$AE$9:$AE$1592,0)))&gt;0),SUM(INDEX('SKU明细'!$H$9:$H$1592,MATCH("[6574,""2302153-RD-S-Z-6""]",'SKU明细'!$AE$9:$AE$1592,0)))/SUM(INDEX('SKU明细'!$G$9:$G$1592,MATCH("[6574,""2302153-RD-S-Z-6""]",'SKU明细'!$AE$9:$AE$1592,0))),"待核")</x:f>
        <x:v>0</x:v>
      </x:c>
      <x:c r="I117" s="16" t="str">
        <x:f>IF(AND(COUNT(INDEX('SKU明细'!$H$9:$H$1592,MATCH("[6574,""2302153-RD-S-Z-6.5""]",'SKU明细'!$AE$9:$AE$1592,0)))=1,COUNT(INDEX('SKU明细'!$G$9:$G$1592,MATCH("[6574,""2302153-RD-S-Z-6.5""]",'SKU明细'!$AE$9:$AE$1592,0)))=1,SUM(INDEX('SKU明细'!$G$9:$G$1592,MATCH("[6574,""2302153-RD-S-Z-6.5""]",'SKU明细'!$AE$9:$AE$1592,0)))&gt;0),SUM(INDEX('SKU明细'!$H$9:$H$1592,MATCH("[6574,""2302153-RD-S-Z-6.5""]",'SKU明细'!$AE$9:$AE$1592,0)))/SUM(INDEX('SKU明细'!$G$9:$G$1592,MATCH("[6574,""2302153-RD-S-Z-6.5""]",'SKU明细'!$AE$9:$AE$1592,0))),"待核")</x:f>
        <x:v>待核</x:v>
      </x:c>
      <x:c r="J117" s="16" t="n">
        <x:f>IF(AND(COUNT(INDEX('SKU明细'!$H$9:$H$1592,MATCH("[6574,""2302153-RD-S-Z-7""]",'SKU明细'!$AE$9:$AE$1592,0)))=1,COUNT(INDEX('SKU明细'!$G$9:$G$1592,MATCH("[6574,""2302153-RD-S-Z-7""]",'SKU明细'!$AE$9:$AE$1592,0)))=1,SUM(INDEX('SKU明细'!$G$9:$G$1592,MATCH("[6574,""2302153-RD-S-Z-7""]",'SKU明细'!$AE$9:$AE$1592,0)))&gt;0),SUM(INDEX('SKU明细'!$H$9:$H$1592,MATCH("[6574,""2302153-RD-S-Z-7""]",'SKU明细'!$AE$9:$AE$1592,0)))/SUM(INDEX('SKU明细'!$G$9:$G$1592,MATCH("[6574,""2302153-RD-S-Z-7""]",'SKU明细'!$AE$9:$AE$1592,0))),"待核")</x:f>
        <x:v>0</x:v>
      </x:c>
      <x:c r="K117" s="16" t="str">
        <x:f>IF(AND(COUNT(INDEX('SKU明细'!$H$9:$H$1592,MATCH("[6574,""2302153-RD-S-Z-7.5""]",'SKU明细'!$AE$9:$AE$1592,0)))=1,COUNT(INDEX('SKU明细'!$G$9:$G$1592,MATCH("[6574,""2302153-RD-S-Z-7.5""]",'SKU明细'!$AE$9:$AE$1592,0)))=1,SUM(INDEX('SKU明细'!$G$9:$G$1592,MATCH("[6574,""2302153-RD-S-Z-7.5""]",'SKU明细'!$AE$9:$AE$1592,0)))&gt;0),SUM(INDEX('SKU明细'!$H$9:$H$1592,MATCH("[6574,""2302153-RD-S-Z-7.5""]",'SKU明细'!$AE$9:$AE$1592,0)))/SUM(INDEX('SKU明细'!$G$9:$G$1592,MATCH("[6574,""2302153-RD-S-Z-7.5""]",'SKU明细'!$AE$9:$AE$1592,0))),"待核")</x:f>
        <x:v>待核</x:v>
      </x:c>
      <x:c r="L117" s="16" t="str">
        <x:f>"—"</x:f>
        <x:v>—</x:v>
      </x:c>
      <x:c r="M117" s="16" t="str">
        <x:f>"—"</x:f>
        <x:v>—</x:v>
      </x:c>
      <x:c r="N117" s="16" t="str">
        <x:f>"—"</x:f>
        <x:v>—</x:v>
      </x:c>
      <x:c r="O117" s="16" t="n">
        <x:f>IF(AND(COUNT(INDEX('SKU明细'!$H$9:$H$1592,MATCH("[6574,""2302153-RD-S-Z-9.5""]",'SKU明细'!$AE$9:$AE$1592,0)))=1,COUNT(INDEX('SKU明细'!$G$9:$G$1592,MATCH("[6574,""2302153-RD-S-Z-9.5""]",'SKU明细'!$AE$9:$AE$1592,0)))=1,SUM(INDEX('SKU明细'!$G$9:$G$1592,MATCH("[6574,""2302153-RD-S-Z-9.5""]",'SKU明细'!$AE$9:$AE$1592,0)))&gt;0),SUM(INDEX('SKU明细'!$H$9:$H$1592,MATCH("[6574,""2302153-RD-S-Z-9.5""]",'SKU明细'!$AE$9:$AE$1592,0)))/SUM(INDEX('SKU明细'!$G$9:$G$1592,MATCH("[6574,""2302153-RD-S-Z-9.5""]",'SKU明细'!$AE$9:$AE$1592,0))),"待核")</x:f>
        <x:v>8.860759493670887</x:v>
      </x:c>
      <x:c r="P117" s="16" t="str">
        <x:f>"—"</x:f>
        <x:v>—</x:v>
      </x:c>
      <x:c r="Q117" s="16" t="n">
        <x:f>IF(AND(COUNT(INDEX('SKU明细'!$H$9:$H$1592,MATCH("[6574,""2302153-RD-S-Z-10.5""]",'SKU明细'!$AE$9:$AE$1592,0)))=1,COUNT(INDEX('SKU明细'!$G$9:$G$1592,MATCH("[6574,""2302153-RD-S-Z-10.5""]",'SKU明细'!$AE$9:$AE$1592,0)))=1,SUM(INDEX('SKU明细'!$G$9:$G$1592,MATCH("[6574,""2302153-RD-S-Z-10.5""]",'SKU明细'!$AE$9:$AE$1592,0)))&gt;0),SUM(INDEX('SKU明细'!$H$9:$H$1592,MATCH("[6574,""2302153-RD-S-Z-10.5""]",'SKU明细'!$AE$9:$AE$1592,0)))/SUM(INDEX('SKU明细'!$G$9:$G$1592,MATCH("[6574,""2302153-RD-S-Z-10.5""]",'SKU明细'!$AE$9:$AE$1592,0))),"待核")</x:f>
        <x:v>7.094594594594596</x:v>
      </x:c>
      <x:c r="R117" s="16" t="n">
        <x:f>IF(AND(COUNT(INDEX('SKU明细'!$H$9:$H$1592,MATCH("[6574,""2302153-RD-S-Z-11""]",'SKU明细'!$AE$9:$AE$1592,0)))=1,COUNT(INDEX('SKU明细'!$G$9:$G$1592,MATCH("[6574,""2302153-RD-S-Z-11""]",'SKU明细'!$AE$9:$AE$1592,0)))=1,SUM(INDEX('SKU明细'!$G$9:$G$1592,MATCH("[6574,""2302153-RD-S-Z-11""]",'SKU明细'!$AE$9:$AE$1592,0)))&gt;0),SUM(INDEX('SKU明细'!$H$9:$H$1592,MATCH("[6574,""2302153-RD-S-Z-11""]",'SKU明细'!$AE$9:$AE$1592,0)))/SUM(INDEX('SKU明细'!$G$9:$G$1592,MATCH("[6574,""2302153-RD-S-Z-11""]",'SKU明细'!$AE$9:$AE$1592,0))),"待核")</x:f>
        <x:v>52.12765957446808</x:v>
      </x:c>
      <x:c r="S117" s="16" t="n">
        <x:f>IF(AND(COUNT(INDEX('SKU明细'!$H$9:$H$1592,MATCH("[6574,""2302153-RD-S-Z-6""]",'SKU明细'!$AE$9:$AE$1592,0)),INDEX('SKU明细'!$H$9:$H$1592,MATCH("[6574,""2302153-RD-S-Z-6.5""]",'SKU明细'!$AE$9:$AE$1592,0)),INDEX('SKU明细'!$H$9:$H$1592,MATCH("[6574,""2302153-RD-S-Z-7""]",'SKU明细'!$AE$9:$AE$1592,0)),INDEX('SKU明细'!$H$9:$H$1592,MATCH("[6574,""2302153-RD-S-Z-7.5""]",'SKU明细'!$AE$9:$AE$1592,0)),INDEX('SKU明细'!$H$9:$H$1592,MATCH("[6574,""2302153-RD-S-Z-10.5""]",'SKU明细'!$AE$9:$AE$1592,0)),INDEX('SKU明细'!$H$9:$H$1592,MATCH("[6574,""2302153-RD-S-Z-11""]",'SKU明细'!$AE$9:$AE$1592,0)),INDEX('SKU明细'!$H$9:$H$1592,MATCH("[6574,""2302153-RD-S-Z-9.5""]",'SKU明细'!$AE$9:$AE$1592,0)))=7,COUNT(INDEX('SKU明细'!$G$9:$G$1592,MATCH("[6574,""2302153-RD-S-Z-6""]",'SKU明细'!$AE$9:$AE$1592,0)),INDEX('SKU明细'!$G$9:$G$1592,MATCH("[6574,""2302153-RD-S-Z-6.5""]",'SKU明细'!$AE$9:$AE$1592,0)),INDEX('SKU明细'!$G$9:$G$1592,MATCH("[6574,""2302153-RD-S-Z-7""]",'SKU明细'!$AE$9:$AE$1592,0)),INDEX('SKU明细'!$G$9:$G$1592,MATCH("[6574,""2302153-RD-S-Z-7.5""]",'SKU明细'!$AE$9:$AE$1592,0)),INDEX('SKU明细'!$G$9:$G$1592,MATCH("[6574,""2302153-RD-S-Z-10.5""]",'SKU明细'!$AE$9:$AE$1592,0)),INDEX('SKU明细'!$G$9:$G$1592,MATCH("[6574,""2302153-RD-S-Z-11""]",'SKU明细'!$AE$9:$AE$1592,0)),INDEX('SKU明细'!$G$9:$G$1592,MATCH("[6574,""2302153-RD-S-Z-9.5""]",'SKU明细'!$AE$9:$AE$1592,0)))=7,SUM(INDEX('SKU明细'!$G$9:$G$1592,MATCH("[6574,""2302153-RD-S-Z-6""]",'SKU明细'!$AE$9:$AE$1592,0)),INDEX('SKU明细'!$G$9:$G$1592,MATCH("[6574,""2302153-RD-S-Z-6.5""]",'SKU明细'!$AE$9:$AE$1592,0)),INDEX('SKU明细'!$G$9:$G$1592,MATCH("[6574,""2302153-RD-S-Z-7""]",'SKU明细'!$AE$9:$AE$1592,0)),INDEX('SKU明细'!$G$9:$G$1592,MATCH("[6574,""2302153-RD-S-Z-7.5""]",'SKU明细'!$AE$9:$AE$1592,0)),INDEX('SKU明细'!$G$9:$G$1592,MATCH("[6574,""2302153-RD-S-Z-10.5""]",'SKU明细'!$AE$9:$AE$1592,0)),INDEX('SKU明细'!$G$9:$G$1592,MATCH("[6574,""2302153-RD-S-Z-11""]",'SKU明细'!$AE$9:$AE$1592,0)),INDEX('SKU明细'!$G$9:$G$1592,MATCH("[6574,""2302153-RD-S-Z-9.5""]",'SKU明细'!$AE$9:$AE$1592,0)))&gt;0),SUM(INDEX('SKU明细'!$H$9:$H$1592,MATCH("[6574,""2302153-RD-S-Z-6""]",'SKU明细'!$AE$9:$AE$1592,0)),INDEX('SKU明细'!$H$9:$H$1592,MATCH("[6574,""2302153-RD-S-Z-6.5""]",'SKU明细'!$AE$9:$AE$1592,0)),INDEX('SKU明细'!$H$9:$H$1592,MATCH("[6574,""2302153-RD-S-Z-7""]",'SKU明细'!$AE$9:$AE$1592,0)),INDEX('SKU明细'!$H$9:$H$1592,MATCH("[6574,""2302153-RD-S-Z-7.5""]",'SKU明细'!$AE$9:$AE$1592,0)),INDEX('SKU明细'!$H$9:$H$1592,MATCH("[6574,""2302153-RD-S-Z-10.5""]",'SKU明细'!$AE$9:$AE$1592,0)),INDEX('SKU明细'!$H$9:$H$1592,MATCH("[6574,""2302153-RD-S-Z-11""]",'SKU明细'!$AE$9:$AE$1592,0)),INDEX('SKU明细'!$H$9:$H$1592,MATCH("[6574,""2302153-RD-S-Z-9.5""]",'SKU明细'!$AE$9:$AE$1592,0)))/SUM(INDEX('SKU明细'!$G$9:$G$1592,MATCH("[6574,""2302153-RD-S-Z-6""]",'SKU明细'!$AE$9:$AE$1592,0)),INDEX('SKU明细'!$G$9:$G$1592,MATCH("[6574,""2302153-RD-S-Z-6.5""]",'SKU明细'!$AE$9:$AE$1592,0)),INDEX('SKU明细'!$G$9:$G$1592,MATCH("[6574,""2302153-RD-S-Z-7""]",'SKU明细'!$AE$9:$AE$1592,0)),INDEX('SKU明细'!$G$9:$G$1592,MATCH("[6574,""2302153-RD-S-Z-7.5""]",'SKU明细'!$AE$9:$AE$1592,0)),INDEX('SKU明细'!$G$9:$G$1592,MATCH("[6574,""2302153-RD-S-Z-10.5""]",'SKU明细'!$AE$9:$AE$1592,0)),INDEX('SKU明细'!$G$9:$G$1592,MATCH("[6574,""2302153-RD-S-Z-11""]",'SKU明细'!$AE$9:$AE$1592,0)),INDEX('SKU明细'!$G$9:$G$1592,MATCH("[6574,""2302153-RD-S-Z-9.5""]",'SKU明细'!$AE$9:$AE$1592,0))),"待核")</x:f>
        <x:v>27.339300244100897</x:v>
      </x:c>
      <x:c r="T117" s="16" t="str">
        <x:f>IF(AND(COUNT(INDEX('SKU明细'!$I$9:$I$1592,MATCH("[6574,""2302153-RD-S-Z-6""]",'SKU明细'!$AE$9:$AE$1592,0)),INDEX('SKU明细'!$I$9:$I$1592,MATCH("[6574,""2302153-RD-S-Z-6.5""]",'SKU明细'!$AE$9:$AE$1592,0)),INDEX('SKU明细'!$I$9:$I$1592,MATCH("[6574,""2302153-RD-S-Z-7""]",'SKU明细'!$AE$9:$AE$1592,0)),INDEX('SKU明细'!$I$9:$I$1592,MATCH("[6574,""2302153-RD-S-Z-7.5""]",'SKU明细'!$AE$9:$AE$1592,0)),INDEX('SKU明细'!$I$9:$I$1592,MATCH("[6574,""2302153-RD-S-Z-10.5""]",'SKU明细'!$AE$9:$AE$1592,0)),INDEX('SKU明细'!$I$9:$I$1592,MATCH("[6574,""2302153-RD-S-Z-11""]",'SKU明细'!$AE$9:$AE$1592,0)),INDEX('SKU明细'!$I$9:$I$1592,MATCH("[6574,""2302153-RD-S-Z-9.5""]",'SKU明细'!$AE$9:$AE$1592,0)))=7,COUNT(INDEX('SKU明细'!$AD$9:$AD$1592,MATCH("[6574,""2302153-RD-S-Z-6""]",'SKU明细'!$AE$9:$AE$1592,0)),INDEX('SKU明细'!$AD$9:$AD$1592,MATCH("[6574,""2302153-RD-S-Z-6.5""]",'SKU明细'!$AE$9:$AE$1592,0)),INDEX('SKU明细'!$AD$9:$AD$1592,MATCH("[6574,""2302153-RD-S-Z-7""]",'SKU明细'!$AE$9:$AE$1592,0)),INDEX('SKU明细'!$AD$9:$AD$1592,MATCH("[6574,""2302153-RD-S-Z-7.5""]",'SKU明细'!$AE$9:$AE$1592,0)),INDEX('SKU明细'!$AD$9:$AD$1592,MATCH("[6574,""2302153-RD-S-Z-10.5""]",'SKU明细'!$AE$9:$AE$1592,0)),INDEX('SKU明细'!$AD$9:$AD$1592,MATCH("[6574,""2302153-RD-S-Z-11""]",'SKU明细'!$AE$9:$AE$1592,0)),INDEX('SKU明细'!$AD$9:$AD$1592,MATCH("[6574,""2302153-RD-S-Z-9.5""]",'SKU明细'!$AE$9:$AE$1592,0)))=7,SUM(INDEX('SKU明细'!$AD$9:$AD$1592,MATCH("[6574,""2302153-RD-S-Z-6""]",'SKU明细'!$AE$9:$AE$1592,0)),INDEX('SKU明细'!$AD$9:$AD$1592,MATCH("[6574,""2302153-RD-S-Z-6.5""]",'SKU明细'!$AE$9:$AE$1592,0)),INDEX('SKU明细'!$AD$9:$AD$1592,MATCH("[6574,""2302153-RD-S-Z-7""]",'SKU明细'!$AE$9:$AE$1592,0)),INDEX('SKU明细'!$AD$9:$AD$1592,MATCH("[6574,""2302153-RD-S-Z-7.5""]",'SKU明细'!$AE$9:$AE$1592,0)),INDEX('SKU明细'!$AD$9:$AD$1592,MATCH("[6574,""2302153-RD-S-Z-10.5""]",'SKU明细'!$AE$9:$AE$1592,0)),INDEX('SKU明细'!$AD$9:$AD$1592,MATCH("[6574,""2302153-RD-S-Z-11""]",'SKU明细'!$AE$9:$AE$1592,0)),INDEX('SKU明细'!$AD$9:$AD$1592,MATCH("[6574,""2302153-RD-S-Z-9.5""]",'SKU明细'!$AE$9:$AE$1592,0)))&gt;0),SUM(INDEX('SKU明细'!$I$9:$I$1592,MATCH("[6574,""2302153-RD-S-Z-6""]",'SKU明细'!$AE$9:$AE$1592,0)),INDEX('SKU明细'!$I$9:$I$1592,MATCH("[6574,""2302153-RD-S-Z-6.5""]",'SKU明细'!$AE$9:$AE$1592,0)),INDEX('SKU明细'!$I$9:$I$1592,MATCH("[6574,""2302153-RD-S-Z-7""]",'SKU明细'!$AE$9:$AE$1592,0)),INDEX('SKU明细'!$I$9:$I$1592,MATCH("[6574,""2302153-RD-S-Z-7.5""]",'SKU明细'!$AE$9:$AE$1592,0)),INDEX('SKU明细'!$I$9:$I$1592,MATCH("[6574,""2302153-RD-S-Z-10.5""]",'SKU明细'!$AE$9:$AE$1592,0)),INDEX('SKU明细'!$I$9:$I$1592,MATCH("[6574,""2302153-RD-S-Z-11""]",'SKU明细'!$AE$9:$AE$1592,0)),INDEX('SKU明细'!$I$9:$I$1592,MATCH("[6574,""2302153-RD-S-Z-9.5""]",'SKU明细'!$AE$9:$AE$1592,0)))/SUM(INDEX('SKU明细'!$AD$9:$AD$1592,MATCH("[6574,""2302153-RD-S-Z-6""]",'SKU明细'!$AE$9:$AE$1592,0)),INDEX('SKU明细'!$AD$9:$AD$1592,MATCH("[6574,""2302153-RD-S-Z-6.5""]",'SKU明细'!$AE$9:$AE$1592,0)),INDEX('SKU明细'!$AD$9:$AD$1592,MATCH("[6574,""2302153-RD-S-Z-7""]",'SKU明细'!$AE$9:$AE$1592,0)),INDEX('SKU明细'!$AD$9:$AD$1592,MATCH("[6574,""2302153-RD-S-Z-7.5""]",'SKU明细'!$AE$9:$AE$1592,0)),INDEX('SKU明细'!$AD$9:$AD$1592,MATCH("[6574,""2302153-RD-S-Z-10.5""]",'SKU明细'!$AE$9:$AE$1592,0)),INDEX('SKU明细'!$AD$9:$AD$1592,MATCH("[6574,""2302153-RD-S-Z-11""]",'SKU明细'!$AE$9:$AE$1592,0)),INDEX('SKU明细'!$AD$9:$AD$1592,MATCH("[6574,""2302153-RD-S-Z-9.5""]",'SKU明细'!$AE$9:$AE$1592,0))),"待核")</x:f>
        <x:v>待核</x:v>
      </x:c>
      <x:c r="U117" s="16" t="str">
        <x:f>IF(COUNT(S117:T117)=2,S117-T117,"待核")</x:f>
        <x:v>待核</x:v>
      </x:c>
      <x:c r="V117" s="17" t="str">
        <x:f>IF(AND(ISNUMBER(U117),ISNUMBER(T117),T117&lt;&gt;0),U117/T117,"")</x:f>
      </x:c>
      <x:c r="W117" s="18" t="n">
        <x:f>IF(COUNT(INDEX('SKU明细'!$H$9:$H$1592,MATCH("[6574,""2302153-RD-S-Z-6""]",'SKU明细'!$AE$9:$AE$1592,0)),INDEX('SKU明细'!$H$9:$H$1592,MATCH("[6574,""2302153-RD-S-Z-6.5""]",'SKU明细'!$AE$9:$AE$1592,0)),INDEX('SKU明细'!$H$9:$H$1592,MATCH("[6574,""2302153-RD-S-Z-7""]",'SKU明细'!$AE$9:$AE$1592,0)),INDEX('SKU明细'!$H$9:$H$1592,MATCH("[6574,""2302153-RD-S-Z-7.5""]",'SKU明细'!$AE$9:$AE$1592,0)),INDEX('SKU明细'!$H$9:$H$1592,MATCH("[6574,""2302153-RD-S-Z-10.5""]",'SKU明细'!$AE$9:$AE$1592,0)),INDEX('SKU明细'!$H$9:$H$1592,MATCH("[6574,""2302153-RD-S-Z-11""]",'SKU明细'!$AE$9:$AE$1592,0)),INDEX('SKU明细'!$H$9:$H$1592,MATCH("[6574,""2302153-RD-S-Z-9.5""]",'SKU明细'!$AE$9:$AE$1592,0)))=0,"待核",SUM(INDEX('SKU明细'!$H$9:$H$1592,MATCH("[6574,""2302153-RD-S-Z-6""]",'SKU明细'!$AE$9:$AE$1592,0)),INDEX('SKU明细'!$H$9:$H$1592,MATCH("[6574,""2302153-RD-S-Z-6.5""]",'SKU明细'!$AE$9:$AE$1592,0)),INDEX('SKU明细'!$H$9:$H$1592,MATCH("[6574,""2302153-RD-S-Z-7""]",'SKU明细'!$AE$9:$AE$1592,0)),INDEX('SKU明细'!$H$9:$H$1592,MATCH("[6574,""2302153-RD-S-Z-7.5""]",'SKU明细'!$AE$9:$AE$1592,0)),INDEX('SKU明细'!$H$9:$H$1592,MATCH("[6574,""2302153-RD-S-Z-10.5""]",'SKU明细'!$AE$9:$AE$1592,0)),INDEX('SKU明细'!$H$9:$H$1592,MATCH("[6574,""2302153-RD-S-Z-11""]",'SKU明细'!$AE$9:$AE$1592,0)),INDEX('SKU明细'!$H$9:$H$1592,MATCH("[6574,""2302153-RD-S-Z-9.5""]",'SKU明细'!$AE$9:$AE$1592,0))))</x:f>
        <x:v>16</x:v>
      </x:c>
      <x:c r="X117" s="19" t="str">
        <x:f>IF(COUNTIFS('SKU明细'!$AH$9:$AH$1592,"[""2302153"",""2302153-RD-S-Z"",""RD"",""红色""]",'SKU明细'!$E$9:$E$1592,"促销")&gt;0,"促销 ","")&amp;IF(COUNTIFS('SKU明细'!$AH$9:$AH$1592,"[""2302153"",""2302153-RD-S-Z"",""RD"",""红色""]",'SKU明细'!$E$9:$E$1592,"红线促销")&gt;0,"红线促销 ","")&amp;IF(COUNTIFS('SKU明细'!$AH$9:$AH$1592,"[""2302153"",""2302153-RD-S-Z"",""RD"",""红色""]",'SKU明细'!$E$9:$E$1592,"考虑清仓")&gt;0,"考虑清仓 ","")&amp;IF(COUNTIFS('SKU明细'!$AH$9:$AH$1592,"[""2302153"",""2302153-RD-S-Z"",""RD"",""红色""]",'SKU明细'!$E$9:$E$1592,"断货")&gt;0,"断货 ","")&amp;IF(COUNTIFS('SKU明细'!$AH$9:$AH$1592,"[""2302153"",""2302153-RD-S-Z"",""RD"",""红色""]",'SKU明细'!$E$9:$E$1592,"零日销待复核")&gt;0,"零日销待复核 ","")&amp;IF(COUNTIFS('SKU明细'!$AH$9:$AH$1592,"[""2302153"",""2302153-RD-S-Z"",""RD"",""红色""]",'SKU明细'!$E$9:$E$1592,"数据待核")&gt;0,"数据待核 ","")&amp;IF(COUNTIFS('SKU明细'!$AH$9:$AH$1592,"[""2302153"",""2302153-RD-S-Z"",""RD"",""红色""]",'SKU明细'!$E$9:$E$1592,"正常库存")&gt;0,"正常库存 ","")&amp;IF(COUNTIFS('SKU明细'!$AH$9:$AH$1592,"[""2302153"",""2302153-RD-S-Z"",""RD"",""红色""]",'SKU明细'!$E$9:$E$1592,"补货提醒")&gt;0,"补货提醒 ","")</x:f>
        <x:v>断货 补货提醒 </x:v>
      </x:c>
      <x:c r="Y117" s="19" t="str">
        <x:f>IF(NOT(ISNUMBER(U117)),"覆盖待核／无可比基准","完整可比")</x:f>
        <x:v>覆盖待核／无可比基准</x:v>
      </x:c>
      <x:c r="Z117" s="19" t="str">
        <x:v>停售、在售</x:v>
      </x:c>
      <x:c r="AA117" s="19" t="n">
        <x:f>IF(SUMIFS('SKU明细'!$AF$9:$AF$1592,'SKU明细'!$D$9:$D$1592,A117,'SKU明细'!$Z$9:$Z$1592,"&lt;&gt;移出")=0,"待核",SUMIFS('SKU明细'!$H$9:$H$1592,'SKU明细'!$D$9:$D$1592,A117,'SKU明细'!$Z$9:$Z$1592,"&lt;&gt;移出"))</x:f>
        <x:v>1112</x:v>
      </x:c>
    </x:row>
    <x:row r="118" ht="54" customHeight="1">
      <x:c r="A118" s="20" t="str">
        <x:v>60516</x:v>
      </x:c>
      <x:c r="B118" s="20" t="str">
        <x:v>徐新怡</x:v>
      </x:c>
      <x:c r="C118" s="20" t="str">
        <x:v>黑色</x:v>
      </x:c>
      <x:c r="D118" s="20" t="str">
        <x:v>BK</x:v>
      </x:c>
      <x:c r="E118" s="20" t="str">
        <x:v>60516-BK-S-K</x:v>
      </x:c>
      <x:c r="F118" s="20"/>
      <x:c r="G118" s="21" t="str">
        <x:f>"—"</x:f>
        <x:v>—</x:v>
      </x:c>
      <x:c r="H118" s="21" t="n">
        <x:f>IF(AND(COUNT(INDEX('SKU明细'!$H$9:$H$1592,MATCH("[6574,""60516-BK-S-K-6""]",'SKU明细'!$AE$9:$AE$1592,0)))=1,COUNT(INDEX('SKU明细'!$G$9:$G$1592,MATCH("[6574,""60516-BK-S-K-6""]",'SKU明细'!$AE$9:$AE$1592,0)))=1,SUM(INDEX('SKU明细'!$G$9:$G$1592,MATCH("[6574,""60516-BK-S-K-6""]",'SKU明细'!$AE$9:$AE$1592,0)))&gt;0),SUM(INDEX('SKU明细'!$H$9:$H$1592,MATCH("[6574,""60516-BK-S-K-6""]",'SKU明细'!$AE$9:$AE$1592,0)))/SUM(INDEX('SKU明细'!$G$9:$G$1592,MATCH("[6574,""60516-BK-S-K-6""]",'SKU明细'!$AE$9:$AE$1592,0))),"待核")</x:f>
        <x:v>731.8181818181818</x:v>
      </x:c>
      <x:c r="I118" s="21" t="n">
        <x:f>IF(AND(COUNT(INDEX('SKU明细'!$H$9:$H$1592,MATCH("[6574,""60516-BK-S-K-6.5""]",'SKU明细'!$AE$9:$AE$1592,0)))=1,COUNT(INDEX('SKU明细'!$G$9:$G$1592,MATCH("[6574,""60516-BK-S-K-6.5""]",'SKU明细'!$AE$9:$AE$1592,0)))=1,SUM(INDEX('SKU明细'!$G$9:$G$1592,MATCH("[6574,""60516-BK-S-K-6.5""]",'SKU明细'!$AE$9:$AE$1592,0)))&gt;0),SUM(INDEX('SKU明细'!$H$9:$H$1592,MATCH("[6574,""60516-BK-S-K-6.5""]",'SKU明细'!$AE$9:$AE$1592,0)))/SUM(INDEX('SKU明细'!$G$9:$G$1592,MATCH("[6574,""60516-BK-S-K-6.5""]",'SKU明细'!$AE$9:$AE$1592,0))),"待核")</x:f>
        <x:v>3.2761310452418093</x:v>
      </x:c>
      <x:c r="J118" s="21" t="n">
        <x:f>IF(AND(COUNT(INDEX('SKU明细'!$H$9:$H$1592,MATCH("[6574,""60516-BK-S-K-7""]",'SKU明细'!$AE$9:$AE$1592,0)))=1,COUNT(INDEX('SKU明细'!$G$9:$G$1592,MATCH("[6574,""60516-BK-S-K-7""]",'SKU明细'!$AE$9:$AE$1592,0)))=1,SUM(INDEX('SKU明细'!$G$9:$G$1592,MATCH("[6574,""60516-BK-S-K-7""]",'SKU明细'!$AE$9:$AE$1592,0)))&gt;0),SUM(INDEX('SKU明细'!$H$9:$H$1592,MATCH("[6574,""60516-BK-S-K-7""]",'SKU明细'!$AE$9:$AE$1592,0)))/SUM(INDEX('SKU明细'!$G$9:$G$1592,MATCH("[6574,""60516-BK-S-K-7""]",'SKU明细'!$AE$9:$AE$1592,0))),"待核")</x:f>
        <x:v>89.47826086956523</x:v>
      </x:c>
      <x:c r="K118" s="21" t="n">
        <x:f>IF(AND(COUNT(INDEX('SKU明细'!$H$9:$H$1592,MATCH("[6574,""60516-BK-S-K-7.5""]",'SKU明细'!$AE$9:$AE$1592,0)))=1,COUNT(INDEX('SKU明细'!$G$9:$G$1592,MATCH("[6574,""60516-BK-S-K-7.5""]",'SKU明细'!$AE$9:$AE$1592,0)))=1,SUM(INDEX('SKU明细'!$G$9:$G$1592,MATCH("[6574,""60516-BK-S-K-7.5""]",'SKU明细'!$AE$9:$AE$1592,0)))&gt;0),SUM(INDEX('SKU明细'!$H$9:$H$1592,MATCH("[6574,""60516-BK-S-K-7.5""]",'SKU明细'!$AE$9:$AE$1592,0)))/SUM(INDEX('SKU明细'!$G$9:$G$1592,MATCH("[6574,""60516-BK-S-K-7.5""]",'SKU明细'!$AE$9:$AE$1592,0))),"待核")</x:f>
        <x:v>55.33980582524272</x:v>
      </x:c>
      <x:c r="L118" s="21" t="n">
        <x:f>IF(AND(COUNT(INDEX('SKU明细'!$H$9:$H$1592,MATCH("[6574,""60516-BK-S-K-8""]",'SKU明细'!$AE$9:$AE$1592,0)))=1,COUNT(INDEX('SKU明细'!$G$9:$G$1592,MATCH("[6574,""60516-BK-S-K-8""]",'SKU明细'!$AE$9:$AE$1592,0)))=1,SUM(INDEX('SKU明细'!$G$9:$G$1592,MATCH("[6574,""60516-BK-S-K-8""]",'SKU明细'!$AE$9:$AE$1592,0)))&gt;0),SUM(INDEX('SKU明细'!$H$9:$H$1592,MATCH("[6574,""60516-BK-S-K-8""]",'SKU明细'!$AE$9:$AE$1592,0)))/SUM(INDEX('SKU明细'!$G$9:$G$1592,MATCH("[6574,""60516-BK-S-K-8""]",'SKU明细'!$AE$9:$AE$1592,0))),"待核")</x:f>
        <x:v>63.60397047594808</x:v>
      </x:c>
      <x:c r="M118" s="21" t="str">
        <x:f>IF(AND(COUNT(INDEX('SKU明细'!$H$9:$H$1592,MATCH("[6574,""60516-BK-S-K-8.5""]",'SKU明细'!$AE$9:$AE$1592,0)))=1,COUNT(INDEX('SKU明细'!$G$9:$G$1592,MATCH("[6574,""60516-BK-S-K-8.5""]",'SKU明细'!$AE$9:$AE$1592,0)))=1,SUM(INDEX('SKU明细'!$G$9:$G$1592,MATCH("[6574,""60516-BK-S-K-8.5""]",'SKU明细'!$AE$9:$AE$1592,0)))&gt;0),SUM(INDEX('SKU明细'!$H$9:$H$1592,MATCH("[6574,""60516-BK-S-K-8.5""]",'SKU明细'!$AE$9:$AE$1592,0)))/SUM(INDEX('SKU明细'!$G$9:$G$1592,MATCH("[6574,""60516-BK-S-K-8.5""]",'SKU明细'!$AE$9:$AE$1592,0))),"待核")</x:f>
        <x:v>待核</x:v>
      </x:c>
      <x:c r="N118" s="21" t="n">
        <x:f>IF(AND(COUNT(INDEX('SKU明细'!$H$9:$H$1592,MATCH("[6574,""60516-BK-S-K-9""]",'SKU明细'!$AE$9:$AE$1592,0)))=1,COUNT(INDEX('SKU明细'!$G$9:$G$1592,MATCH("[6574,""60516-BK-S-K-9""]",'SKU明细'!$AE$9:$AE$1592,0)))=1,SUM(INDEX('SKU明细'!$G$9:$G$1592,MATCH("[6574,""60516-BK-S-K-9""]",'SKU明细'!$AE$9:$AE$1592,0)))&gt;0),SUM(INDEX('SKU明细'!$H$9:$H$1592,MATCH("[6574,""60516-BK-S-K-9""]",'SKU明细'!$AE$9:$AE$1592,0)))/SUM(INDEX('SKU明细'!$G$9:$G$1592,MATCH("[6574,""60516-BK-S-K-9""]",'SKU明细'!$AE$9:$AE$1592,0))),"待核")</x:f>
        <x:v>23.29385222786238</x:v>
      </x:c>
      <x:c r="O118" s="21" t="str">
        <x:f>IF(AND(COUNT(INDEX('SKU明细'!$H$9:$H$1592,MATCH("[6574,""60516-BK-S-K-9.5""]",'SKU明细'!$AE$9:$AE$1592,0)))=1,COUNT(INDEX('SKU明细'!$G$9:$G$1592,MATCH("[6574,""60516-BK-S-K-9.5""]",'SKU明细'!$AE$9:$AE$1592,0)))=1,SUM(INDEX('SKU明细'!$G$9:$G$1592,MATCH("[6574,""60516-BK-S-K-9.5""]",'SKU明细'!$AE$9:$AE$1592,0)))&gt;0),SUM(INDEX('SKU明细'!$H$9:$H$1592,MATCH("[6574,""60516-BK-S-K-9.5""]",'SKU明细'!$AE$9:$AE$1592,0)))/SUM(INDEX('SKU明细'!$G$9:$G$1592,MATCH("[6574,""60516-BK-S-K-9.5""]",'SKU明细'!$AE$9:$AE$1592,0))),"待核")</x:f>
        <x:v>待核</x:v>
      </x:c>
      <x:c r="P118" s="21" t="n">
        <x:f>IF(AND(COUNT(INDEX('SKU明细'!$H$9:$H$1592,MATCH("[6574,""60516-BK-S-K-10""]",'SKU明细'!$AE$9:$AE$1592,0)))=1,COUNT(INDEX('SKU明细'!$G$9:$G$1592,MATCH("[6574,""60516-BK-S-K-10""]",'SKU明细'!$AE$9:$AE$1592,0)))=1,SUM(INDEX('SKU明细'!$G$9:$G$1592,MATCH("[6574,""60516-BK-S-K-10""]",'SKU明细'!$AE$9:$AE$1592,0)))&gt;0),SUM(INDEX('SKU明细'!$H$9:$H$1592,MATCH("[6574,""60516-BK-S-K-10""]",'SKU明细'!$AE$9:$AE$1592,0)))/SUM(INDEX('SKU明细'!$G$9:$G$1592,MATCH("[6574,""60516-BK-S-K-10""]",'SKU明细'!$AE$9:$AE$1592,0))),"待核")</x:f>
        <x:v>37.63147643163226</x:v>
      </x:c>
      <x:c r="Q118" s="21" t="str">
        <x:f>IF(AND(COUNT(INDEX('SKU明细'!$H$9:$H$1592,MATCH("[6574,""60516-BK-S-K-10.5""]",'SKU明细'!$AE$9:$AE$1592,0)))=1,COUNT(INDEX('SKU明细'!$G$9:$G$1592,MATCH("[6574,""60516-BK-S-K-10.5""]",'SKU明细'!$AE$9:$AE$1592,0)))=1,SUM(INDEX('SKU明细'!$G$9:$G$1592,MATCH("[6574,""60516-BK-S-K-10.5""]",'SKU明细'!$AE$9:$AE$1592,0)))&gt;0),SUM(INDEX('SKU明细'!$H$9:$H$1592,MATCH("[6574,""60516-BK-S-K-10.5""]",'SKU明细'!$AE$9:$AE$1592,0)))/SUM(INDEX('SKU明细'!$G$9:$G$1592,MATCH("[6574,""60516-BK-S-K-10.5""]",'SKU明细'!$AE$9:$AE$1592,0))),"待核")</x:f>
        <x:v>待核</x:v>
      </x:c>
      <x:c r="R118" s="21" t="n">
        <x:f>IF(AND(COUNT(INDEX('SKU明细'!$H$9:$H$1592,MATCH("[6574,""60516-BK-S-K-11""]",'SKU明细'!$AE$9:$AE$1592,0)))=1,COUNT(INDEX('SKU明细'!$G$9:$G$1592,MATCH("[6574,""60516-BK-S-K-11""]",'SKU明细'!$AE$9:$AE$1592,0)))=1,SUM(INDEX('SKU明细'!$G$9:$G$1592,MATCH("[6574,""60516-BK-S-K-11""]",'SKU明细'!$AE$9:$AE$1592,0)))&gt;0),SUM(INDEX('SKU明细'!$H$9:$H$1592,MATCH("[6574,""60516-BK-S-K-11""]",'SKU明细'!$AE$9:$AE$1592,0)))/SUM(INDEX('SKU明细'!$G$9:$G$1592,MATCH("[6574,""60516-BK-S-K-11""]",'SKU明细'!$AE$9:$AE$1592,0))),"待核")</x:f>
        <x:v>0</x:v>
      </x:c>
      <x:c r="S118" s="21" t="n">
        <x:f>IF(AND(COUNT(INDEX('SKU明细'!$H$9:$H$1592,MATCH("[6574,""60516-BK-S-K-6""]",'SKU明细'!$AE$9:$AE$1592,0)),INDEX('SKU明细'!$H$9:$H$1592,MATCH("[6574,""60516-BK-S-K-11""]",'SKU明细'!$AE$9:$AE$1592,0)),INDEX('SKU明细'!$H$9:$H$1592,MATCH("[6574,""60516-BK-S-K-7""]",'SKU明细'!$AE$9:$AE$1592,0)),INDEX('SKU明细'!$H$9:$H$1592,MATCH("[6574,""60516-BK-S-K-8""]",'SKU明细'!$AE$9:$AE$1592,0)),INDEX('SKU明细'!$H$9:$H$1592,MATCH("[6574,""60516-BK-S-K-10""]",'SKU明细'!$AE$9:$AE$1592,0)),INDEX('SKU明细'!$H$9:$H$1592,MATCH("[6574,""60516-BK-S-K-6.5""]",'SKU明细'!$AE$9:$AE$1592,0)),INDEX('SKU明细'!$H$9:$H$1592,MATCH("[6574,""60516-BK-S-K-7.5""]",'SKU明细'!$AE$9:$AE$1592,0)),INDEX('SKU明细'!$H$9:$H$1592,MATCH("[6574,""60516-BK-S-K-9""]",'SKU明细'!$AE$9:$AE$1592,0)))=8,COUNT(INDEX('SKU明细'!$G$9:$G$1592,MATCH("[6574,""60516-BK-S-K-6""]",'SKU明细'!$AE$9:$AE$1592,0)),INDEX('SKU明细'!$G$9:$G$1592,MATCH("[6574,""60516-BK-S-K-11""]",'SKU明细'!$AE$9:$AE$1592,0)),INDEX('SKU明细'!$G$9:$G$1592,MATCH("[6574,""60516-BK-S-K-7""]",'SKU明细'!$AE$9:$AE$1592,0)),INDEX('SKU明细'!$G$9:$G$1592,MATCH("[6574,""60516-BK-S-K-8""]",'SKU明细'!$AE$9:$AE$1592,0)),INDEX('SKU明细'!$G$9:$G$1592,MATCH("[6574,""60516-BK-S-K-10""]",'SKU明细'!$AE$9:$AE$1592,0)),INDEX('SKU明细'!$G$9:$G$1592,MATCH("[6574,""60516-BK-S-K-6.5""]",'SKU明细'!$AE$9:$AE$1592,0)),INDEX('SKU明细'!$G$9:$G$1592,MATCH("[6574,""60516-BK-S-K-7.5""]",'SKU明细'!$AE$9:$AE$1592,0)),INDEX('SKU明细'!$G$9:$G$1592,MATCH("[6574,""60516-BK-S-K-9""]",'SKU明细'!$AE$9:$AE$1592,0)))=8,SUM(INDEX('SKU明细'!$G$9:$G$1592,MATCH("[6574,""60516-BK-S-K-6""]",'SKU明细'!$AE$9:$AE$1592,0)),INDEX('SKU明细'!$G$9:$G$1592,MATCH("[6574,""60516-BK-S-K-11""]",'SKU明细'!$AE$9:$AE$1592,0)),INDEX('SKU明细'!$G$9:$G$1592,MATCH("[6574,""60516-BK-S-K-7""]",'SKU明细'!$AE$9:$AE$1592,0)),INDEX('SKU明细'!$G$9:$G$1592,MATCH("[6574,""60516-BK-S-K-8""]",'SKU明细'!$AE$9:$AE$1592,0)),INDEX('SKU明细'!$G$9:$G$1592,MATCH("[6574,""60516-BK-S-K-10""]",'SKU明细'!$AE$9:$AE$1592,0)),INDEX('SKU明细'!$G$9:$G$1592,MATCH("[6574,""60516-BK-S-K-6.5""]",'SKU明细'!$AE$9:$AE$1592,0)),INDEX('SKU明细'!$G$9:$G$1592,MATCH("[6574,""60516-BK-S-K-7.5""]",'SKU明细'!$AE$9:$AE$1592,0)),INDEX('SKU明细'!$G$9:$G$1592,MATCH("[6574,""60516-BK-S-K-9""]",'SKU明细'!$AE$9:$AE$1592,0)))&gt;0),SUM(INDEX('SKU明细'!$H$9:$H$1592,MATCH("[6574,""60516-BK-S-K-6""]",'SKU明细'!$AE$9:$AE$1592,0)),INDEX('SKU明细'!$H$9:$H$1592,MATCH("[6574,""60516-BK-S-K-11""]",'SKU明细'!$AE$9:$AE$1592,0)),INDEX('SKU明细'!$H$9:$H$1592,MATCH("[6574,""60516-BK-S-K-7""]",'SKU明细'!$AE$9:$AE$1592,0)),INDEX('SKU明细'!$H$9:$H$1592,MATCH("[6574,""60516-BK-S-K-8""]",'SKU明细'!$AE$9:$AE$1592,0)),INDEX('SKU明细'!$H$9:$H$1592,MATCH("[6574,""60516-BK-S-K-10""]",'SKU明细'!$AE$9:$AE$1592,0)),INDEX('SKU明细'!$H$9:$H$1592,MATCH("[6574,""60516-BK-S-K-6.5""]",'SKU明细'!$AE$9:$AE$1592,0)),INDEX('SKU明细'!$H$9:$H$1592,MATCH("[6574,""60516-BK-S-K-7.5""]",'SKU明细'!$AE$9:$AE$1592,0)),INDEX('SKU明细'!$H$9:$H$1592,MATCH("[6574,""60516-BK-S-K-9""]",'SKU明细'!$AE$9:$AE$1592,0)))/SUM(INDEX('SKU明细'!$G$9:$G$1592,MATCH("[6574,""60516-BK-S-K-6""]",'SKU明细'!$AE$9:$AE$1592,0)),INDEX('SKU明细'!$G$9:$G$1592,MATCH("[6574,""60516-BK-S-K-11""]",'SKU明细'!$AE$9:$AE$1592,0)),INDEX('SKU明细'!$G$9:$G$1592,MATCH("[6574,""60516-BK-S-K-7""]",'SKU明细'!$AE$9:$AE$1592,0)),INDEX('SKU明细'!$G$9:$G$1592,MATCH("[6574,""60516-BK-S-K-8""]",'SKU明细'!$AE$9:$AE$1592,0)),INDEX('SKU明细'!$G$9:$G$1592,MATCH("[6574,""60516-BK-S-K-10""]",'SKU明细'!$AE$9:$AE$1592,0)),INDEX('SKU明细'!$G$9:$G$1592,MATCH("[6574,""60516-BK-S-K-6.5""]",'SKU明细'!$AE$9:$AE$1592,0)),INDEX('SKU明细'!$G$9:$G$1592,MATCH("[6574,""60516-BK-S-K-7.5""]",'SKU明细'!$AE$9:$AE$1592,0)),INDEX('SKU明细'!$G$9:$G$1592,MATCH("[6574,""60516-BK-S-K-9""]",'SKU明细'!$AE$9:$AE$1592,0))),"待核")</x:f>
        <x:v>47.67884322678844</x:v>
      </x:c>
      <x:c r="T118" s="21" t="n">
        <x:f>IF(AND(COUNT(INDEX('SKU明细'!$I$9:$I$1592,MATCH("[6574,""60516-BK-S-K-6""]",'SKU明细'!$AE$9:$AE$1592,0)),INDEX('SKU明细'!$I$9:$I$1592,MATCH("[6574,""60516-BK-S-K-11""]",'SKU明细'!$AE$9:$AE$1592,0)),INDEX('SKU明细'!$I$9:$I$1592,MATCH("[6574,""60516-BK-S-K-7""]",'SKU明细'!$AE$9:$AE$1592,0)),INDEX('SKU明细'!$I$9:$I$1592,MATCH("[6574,""60516-BK-S-K-8""]",'SKU明细'!$AE$9:$AE$1592,0)),INDEX('SKU明细'!$I$9:$I$1592,MATCH("[6574,""60516-BK-S-K-10""]",'SKU明细'!$AE$9:$AE$1592,0)),INDEX('SKU明细'!$I$9:$I$1592,MATCH("[6574,""60516-BK-S-K-6.5""]",'SKU明细'!$AE$9:$AE$1592,0)),INDEX('SKU明细'!$I$9:$I$1592,MATCH("[6574,""60516-BK-S-K-7.5""]",'SKU明细'!$AE$9:$AE$1592,0)),INDEX('SKU明细'!$I$9:$I$1592,MATCH("[6574,""60516-BK-S-K-9""]",'SKU明细'!$AE$9:$AE$1592,0)))=8,COUNT(INDEX('SKU明细'!$AD$9:$AD$1592,MATCH("[6574,""60516-BK-S-K-6""]",'SKU明细'!$AE$9:$AE$1592,0)),INDEX('SKU明细'!$AD$9:$AD$1592,MATCH("[6574,""60516-BK-S-K-11""]",'SKU明细'!$AE$9:$AE$1592,0)),INDEX('SKU明细'!$AD$9:$AD$1592,MATCH("[6574,""60516-BK-S-K-7""]",'SKU明细'!$AE$9:$AE$1592,0)),INDEX('SKU明细'!$AD$9:$AD$1592,MATCH("[6574,""60516-BK-S-K-8""]",'SKU明细'!$AE$9:$AE$1592,0)),INDEX('SKU明细'!$AD$9:$AD$1592,MATCH("[6574,""60516-BK-S-K-10""]",'SKU明细'!$AE$9:$AE$1592,0)),INDEX('SKU明细'!$AD$9:$AD$1592,MATCH("[6574,""60516-BK-S-K-6.5""]",'SKU明细'!$AE$9:$AE$1592,0)),INDEX('SKU明细'!$AD$9:$AD$1592,MATCH("[6574,""60516-BK-S-K-7.5""]",'SKU明细'!$AE$9:$AE$1592,0)),INDEX('SKU明细'!$AD$9:$AD$1592,MATCH("[6574,""60516-BK-S-K-9""]",'SKU明细'!$AE$9:$AE$1592,0)))=8,SUM(INDEX('SKU明细'!$AD$9:$AD$1592,MATCH("[6574,""60516-BK-S-K-6""]",'SKU明细'!$AE$9:$AE$1592,0)),INDEX('SKU明细'!$AD$9:$AD$1592,MATCH("[6574,""60516-BK-S-K-11""]",'SKU明细'!$AE$9:$AE$1592,0)),INDEX('SKU明细'!$AD$9:$AD$1592,MATCH("[6574,""60516-BK-S-K-7""]",'SKU明细'!$AE$9:$AE$1592,0)),INDEX('SKU明细'!$AD$9:$AD$1592,MATCH("[6574,""60516-BK-S-K-8""]",'SKU明细'!$AE$9:$AE$1592,0)),INDEX('SKU明细'!$AD$9:$AD$1592,MATCH("[6574,""60516-BK-S-K-10""]",'SKU明细'!$AE$9:$AE$1592,0)),INDEX('SKU明细'!$AD$9:$AD$1592,MATCH("[6574,""60516-BK-S-K-6.5""]",'SKU明细'!$AE$9:$AE$1592,0)),INDEX('SKU明细'!$AD$9:$AD$1592,MATCH("[6574,""60516-BK-S-K-7.5""]",'SKU明细'!$AE$9:$AE$1592,0)),INDEX('SKU明细'!$AD$9:$AD$1592,MATCH("[6574,""60516-BK-S-K-9""]",'SKU明细'!$AE$9:$AE$1592,0)))&gt;0),SUM(INDEX('SKU明细'!$I$9:$I$1592,MATCH("[6574,""60516-BK-S-K-6""]",'SKU明细'!$AE$9:$AE$1592,0)),INDEX('SKU明细'!$I$9:$I$1592,MATCH("[6574,""60516-BK-S-K-11""]",'SKU明细'!$AE$9:$AE$1592,0)),INDEX('SKU明细'!$I$9:$I$1592,MATCH("[6574,""60516-BK-S-K-7""]",'SKU明细'!$AE$9:$AE$1592,0)),INDEX('SKU明细'!$I$9:$I$1592,MATCH("[6574,""60516-BK-S-K-8""]",'SKU明细'!$AE$9:$AE$1592,0)),INDEX('SKU明细'!$I$9:$I$1592,MATCH("[6574,""60516-BK-S-K-10""]",'SKU明细'!$AE$9:$AE$1592,0)),INDEX('SKU明细'!$I$9:$I$1592,MATCH("[6574,""60516-BK-S-K-6.5""]",'SKU明细'!$AE$9:$AE$1592,0)),INDEX('SKU明细'!$I$9:$I$1592,MATCH("[6574,""60516-BK-S-K-7.5""]",'SKU明细'!$AE$9:$AE$1592,0)),INDEX('SKU明细'!$I$9:$I$1592,MATCH("[6574,""60516-BK-S-K-9""]",'SKU明细'!$AE$9:$AE$1592,0)))/SUM(INDEX('SKU明细'!$AD$9:$AD$1592,MATCH("[6574,""60516-BK-S-K-6""]",'SKU明细'!$AE$9:$AE$1592,0)),INDEX('SKU明细'!$AD$9:$AD$1592,MATCH("[6574,""60516-BK-S-K-11""]",'SKU明细'!$AE$9:$AE$1592,0)),INDEX('SKU明细'!$AD$9:$AD$1592,MATCH("[6574,""60516-BK-S-K-7""]",'SKU明细'!$AE$9:$AE$1592,0)),INDEX('SKU明细'!$AD$9:$AD$1592,MATCH("[6574,""60516-BK-S-K-8""]",'SKU明细'!$AE$9:$AE$1592,0)),INDEX('SKU明细'!$AD$9:$AD$1592,MATCH("[6574,""60516-BK-S-K-10""]",'SKU明细'!$AE$9:$AE$1592,0)),INDEX('SKU明细'!$AD$9:$AD$1592,MATCH("[6574,""60516-BK-S-K-6.5""]",'SKU明细'!$AE$9:$AE$1592,0)),INDEX('SKU明细'!$AD$9:$AD$1592,MATCH("[6574,""60516-BK-S-K-7.5""]",'SKU明细'!$AE$9:$AE$1592,0)),INDEX('SKU明细'!$AD$9:$AD$1592,MATCH("[6574,""60516-BK-S-K-9""]",'SKU明细'!$AE$9:$AE$1592,0))),"待核")</x:f>
        <x:v>78.5707415600654</x:v>
      </x:c>
      <x:c r="U118" s="21" t="n">
        <x:f>IF(COUNT(S118:T118)=2,S118-T118,"待核")</x:f>
        <x:v>-30.891898333276963</x:v>
      </x:c>
      <x:c r="V118" s="22" t="n">
        <x:f>IF(AND(ISNUMBER(U118),ISNUMBER(T118),T118&lt;&gt;0),U118/T118,"")</x:f>
        <x:v>-0.3931730529698624</x:v>
      </x:c>
      <x:c r="W118" s="23" t="n">
        <x:f>IF(COUNT(INDEX('SKU明细'!$H$9:$H$1592,MATCH("[6574,""60516-BK-S-K-6""]",'SKU明细'!$AE$9:$AE$1592,0)),INDEX('SKU明细'!$H$9:$H$1592,MATCH("[6574,""60516-BK-S-K-10.5""]",'SKU明细'!$AE$9:$AE$1592,0)),INDEX('SKU明细'!$H$9:$H$1592,MATCH("[6574,""60516-BK-S-K-11""]",'SKU明细'!$AE$9:$AE$1592,0)),INDEX('SKU明细'!$H$9:$H$1592,MATCH("[6574,""60516-BK-S-K-8.5""]",'SKU明细'!$AE$9:$AE$1592,0)),INDEX('SKU明细'!$H$9:$H$1592,MATCH("[6574,""60516-BK-S-K-9.5""]",'SKU明细'!$AE$9:$AE$1592,0)),INDEX('SKU明细'!$H$9:$H$1592,MATCH("[6574,""60516-BK-S-K-7""]",'SKU明细'!$AE$9:$AE$1592,0)),INDEX('SKU明细'!$H$9:$H$1592,MATCH("[6574,""60516-BK-S-K-8""]",'SKU明细'!$AE$9:$AE$1592,0)),INDEX('SKU明细'!$H$9:$H$1592,MATCH("[6574,""60516-BK-S-K-10""]",'SKU明细'!$AE$9:$AE$1592,0)),INDEX('SKU明细'!$H$9:$H$1592,MATCH("[6574,""60516-BK-S-K-6.5""]",'SKU明细'!$AE$9:$AE$1592,0)),INDEX('SKU明细'!$H$9:$H$1592,MATCH("[6574,""60516-BK-S-K-7.5""]",'SKU明细'!$AE$9:$AE$1592,0)),INDEX('SKU明细'!$H$9:$H$1592,MATCH("[6574,""60516-BK-S-K-9""]",'SKU明细'!$AE$9:$AE$1592,0)))=0,"待核",SUM(INDEX('SKU明细'!$H$9:$H$1592,MATCH("[6574,""60516-BK-S-K-6""]",'SKU明细'!$AE$9:$AE$1592,0)),INDEX('SKU明细'!$H$9:$H$1592,MATCH("[6574,""60516-BK-S-K-10.5""]",'SKU明细'!$AE$9:$AE$1592,0)),INDEX('SKU明细'!$H$9:$H$1592,MATCH("[6574,""60516-BK-S-K-11""]",'SKU明细'!$AE$9:$AE$1592,0)),INDEX('SKU明细'!$H$9:$H$1592,MATCH("[6574,""60516-BK-S-K-8.5""]",'SKU明细'!$AE$9:$AE$1592,0)),INDEX('SKU明细'!$H$9:$H$1592,MATCH("[6574,""60516-BK-S-K-9.5""]",'SKU明细'!$AE$9:$AE$1592,0)),INDEX('SKU明细'!$H$9:$H$1592,MATCH("[6574,""60516-BK-S-K-7""]",'SKU明细'!$AE$9:$AE$1592,0)),INDEX('SKU明细'!$H$9:$H$1592,MATCH("[6574,""60516-BK-S-K-8""]",'SKU明细'!$AE$9:$AE$1592,0)),INDEX('SKU明细'!$H$9:$H$1592,MATCH("[6574,""60516-BK-S-K-10""]",'SKU明细'!$AE$9:$AE$1592,0)),INDEX('SKU明细'!$H$9:$H$1592,MATCH("[6574,""60516-BK-S-K-6.5""]",'SKU明细'!$AE$9:$AE$1592,0)),INDEX('SKU明细'!$H$9:$H$1592,MATCH("[6574,""60516-BK-S-K-7.5""]",'SKU明细'!$AE$9:$AE$1592,0)),INDEX('SKU明细'!$H$9:$H$1592,MATCH("[6574,""60516-BK-S-K-9""]",'SKU明细'!$AE$9:$AE$1592,0))))</x:f>
        <x:v>358</x:v>
      </x:c>
      <x:c r="X118" s="24" t="str">
        <x:f>IF(COUNTIFS('SKU明细'!$AH$9:$AH$1592,"[""60516"",""60516-BK-S-K"",""BK"",""黑色""]",'SKU明细'!$E$9:$E$1592,"促销")&gt;0,"促销 ","")&amp;IF(COUNTIFS('SKU明细'!$AH$9:$AH$1592,"[""60516"",""60516-BK-S-K"",""BK"",""黑色""]",'SKU明细'!$E$9:$E$1592,"红线促销")&gt;0,"红线促销 ","")&amp;IF(COUNTIFS('SKU明细'!$AH$9:$AH$1592,"[""60516"",""60516-BK-S-K"",""BK"",""黑色""]",'SKU明细'!$E$9:$E$1592,"考虑清仓")&gt;0,"考虑清仓 ","")&amp;IF(COUNTIFS('SKU明细'!$AH$9:$AH$1592,"[""60516"",""60516-BK-S-K"",""BK"",""黑色""]",'SKU明细'!$E$9:$E$1592,"断货")&gt;0,"断货 ","")&amp;IF(COUNTIFS('SKU明细'!$AH$9:$AH$1592,"[""60516"",""60516-BK-S-K"",""BK"",""黑色""]",'SKU明细'!$E$9:$E$1592,"零日销待复核")&gt;0,"零日销待复核 ","")&amp;IF(COUNTIFS('SKU明细'!$AH$9:$AH$1592,"[""60516"",""60516-BK-S-K"",""BK"",""黑色""]",'SKU明细'!$E$9:$E$1592,"数据待核")&gt;0,"数据待核 ","")&amp;IF(COUNTIFS('SKU明细'!$AH$9:$AH$1592,"[""60516"",""60516-BK-S-K"",""BK"",""黑色""]",'SKU明细'!$E$9:$E$1592,"正常库存")&gt;0,"正常库存 ","")&amp;IF(COUNTIFS('SKU明细'!$AH$9:$AH$1592,"[""60516"",""60516-BK-S-K"",""BK"",""黑色""]",'SKU明细'!$E$9:$E$1592,"补货提醒")&gt;0,"补货提醒 ","")</x:f>
        <x:v>考虑清仓 断货 正常库存 补货提醒 </x:v>
      </x:c>
      <x:c r="Y118" s="24" t="str">
        <x:f>IF(NOT(ISNUMBER(U118)),"覆盖待核／无可比基准","仅共同SKU")</x:f>
        <x:v>仅共同SKU</x:v>
      </x:c>
      <x:c r="Z118" s="24" t="str">
        <x:v>在售、停售</x:v>
      </x:c>
      <x:c r="AA118" s="24" t="n">
        <x:f>IF(SUMIFS('SKU明细'!$AF$9:$AF$1592,'SKU明细'!$D$9:$D$1592,A118,'SKU明细'!$Z$9:$Z$1592,"&lt;&gt;移出")=0,"待核",SUMIFS('SKU明细'!$H$9:$H$1592,'SKU明细'!$D$9:$D$1592,A118,'SKU明细'!$Z$9:$Z$1592,"&lt;&gt;移出"))</x:f>
        <x:v>886</x:v>
      </x:c>
    </x:row>
    <x:row r="119" ht="54" customHeight="1">
      <x:c r="A119" s="20" t="str">
        <x:v>60516</x:v>
      </x:c>
      <x:c r="B119" s="20" t="str">
        <x:v>徐新怡</x:v>
      </x:c>
      <x:c r="C119" s="20" t="str">
        <x:v>豹纹</x:v>
      </x:c>
      <x:c r="D119" s="20" t="str">
        <x:v>LP</x:v>
      </x:c>
      <x:c r="E119" s="20" t="str">
        <x:v>60516-LP-S-K</x:v>
      </x:c>
      <x:c r="F119" s="20"/>
      <x:c r="G119" s="21" t="str">
        <x:f>"—"</x:f>
        <x:v>—</x:v>
      </x:c>
      <x:c r="H119" s="21" t="n">
        <x:f>IF(AND(COUNT(INDEX('SKU明细'!$H$9:$H$1592,MATCH("[6574,""60516-LP-S-K-6""]",'SKU明细'!$AE$9:$AE$1592,0)))=1,COUNT(INDEX('SKU明细'!$G$9:$G$1592,MATCH("[6574,""60516-LP-S-K-6""]",'SKU明细'!$AE$9:$AE$1592,0)))=1,SUM(INDEX('SKU明细'!$G$9:$G$1592,MATCH("[6574,""60516-LP-S-K-6""]",'SKU明细'!$AE$9:$AE$1592,0)))&gt;0),SUM(INDEX('SKU明细'!$H$9:$H$1592,MATCH("[6574,""60516-LP-S-K-6""]",'SKU明细'!$AE$9:$AE$1592,0)))/SUM(INDEX('SKU明细'!$G$9:$G$1592,MATCH("[6574,""60516-LP-S-K-6""]",'SKU明细'!$AE$9:$AE$1592,0))),"待核")</x:f>
        <x:v>110.99365750528543</x:v>
      </x:c>
      <x:c r="I119" s="21" t="str">
        <x:f>IF(AND(COUNT(INDEX('SKU明细'!$H$9:$H$1592,MATCH("[6574,""60516-LP-S-K-6.5""]",'SKU明细'!$AE$9:$AE$1592,0)))=1,COUNT(INDEX('SKU明细'!$G$9:$G$1592,MATCH("[6574,""60516-LP-S-K-6.5""]",'SKU明细'!$AE$9:$AE$1592,0)))=1,SUM(INDEX('SKU明细'!$G$9:$G$1592,MATCH("[6574,""60516-LP-S-K-6.5""]",'SKU明细'!$AE$9:$AE$1592,0)))&gt;0),SUM(INDEX('SKU明细'!$H$9:$H$1592,MATCH("[6574,""60516-LP-S-K-6.5""]",'SKU明细'!$AE$9:$AE$1592,0)))/SUM(INDEX('SKU明细'!$G$9:$G$1592,MATCH("[6574,""60516-LP-S-K-6.5""]",'SKU明细'!$AE$9:$AE$1592,0))),"待核")</x:f>
        <x:v>待核</x:v>
      </x:c>
      <x:c r="J119" s="21" t="n">
        <x:f>IF(AND(COUNT(INDEX('SKU明细'!$H$9:$H$1592,MATCH("[6574,""60516-LP-S-K-7""]",'SKU明细'!$AE$9:$AE$1592,0)))=1,COUNT(INDEX('SKU明细'!$G$9:$G$1592,MATCH("[6574,""60516-LP-S-K-7""]",'SKU明细'!$AE$9:$AE$1592,0)))=1,SUM(INDEX('SKU明细'!$G$9:$G$1592,MATCH("[6574,""60516-LP-S-K-7""]",'SKU明细'!$AE$9:$AE$1592,0)))&gt;0),SUM(INDEX('SKU明细'!$H$9:$H$1592,MATCH("[6574,""60516-LP-S-K-7""]",'SKU明细'!$AE$9:$AE$1592,0)))/SUM(INDEX('SKU明细'!$G$9:$G$1592,MATCH("[6574,""60516-LP-S-K-7""]",'SKU明细'!$AE$9:$AE$1592,0))),"待核")</x:f>
        <x:v>70.8433734939759</x:v>
      </x:c>
      <x:c r="K119" s="21" t="n">
        <x:f>IF(AND(COUNT(INDEX('SKU明细'!$H$9:$H$1592,MATCH("[6574,""60516-LP-S-K-7.5""]",'SKU明细'!$AE$9:$AE$1592,0)))=1,COUNT(INDEX('SKU明细'!$G$9:$G$1592,MATCH("[6574,""60516-LP-S-K-7.5""]",'SKU明细'!$AE$9:$AE$1592,0)))=1,SUM(INDEX('SKU明细'!$G$9:$G$1592,MATCH("[6574,""60516-LP-S-K-7.5""]",'SKU明细'!$AE$9:$AE$1592,0)))&gt;0),SUM(INDEX('SKU明细'!$H$9:$H$1592,MATCH("[6574,""60516-LP-S-K-7.5""]",'SKU明细'!$AE$9:$AE$1592,0)))/SUM(INDEX('SKU明细'!$G$9:$G$1592,MATCH("[6574,""60516-LP-S-K-7.5""]",'SKU明细'!$AE$9:$AE$1592,0))),"待核")</x:f>
        <x:v>0</x:v>
      </x:c>
      <x:c r="L119" s="21" t="n">
        <x:f>IF(AND(COUNT(INDEX('SKU明细'!$H$9:$H$1592,MATCH("[6574,""60516-LP-S-K-8""]",'SKU明细'!$AE$9:$AE$1592,0)))=1,COUNT(INDEX('SKU明细'!$G$9:$G$1592,MATCH("[6574,""60516-LP-S-K-8""]",'SKU明细'!$AE$9:$AE$1592,0)))=1,SUM(INDEX('SKU明细'!$G$9:$G$1592,MATCH("[6574,""60516-LP-S-K-8""]",'SKU明细'!$AE$9:$AE$1592,0)))&gt;0),SUM(INDEX('SKU明细'!$H$9:$H$1592,MATCH("[6574,""60516-LP-S-K-8""]",'SKU明细'!$AE$9:$AE$1592,0)))/SUM(INDEX('SKU明细'!$G$9:$G$1592,MATCH("[6574,""60516-LP-S-K-8""]",'SKU明细'!$AE$9:$AE$1592,0))),"待核")</x:f>
        <x:v>14.606741573033709</x:v>
      </x:c>
      <x:c r="M119" s="21" t="str">
        <x:f>IF(AND(COUNT(INDEX('SKU明细'!$H$9:$H$1592,MATCH("[6574,""60516-LP-S-K-8.5""]",'SKU明细'!$AE$9:$AE$1592,0)))=1,COUNT(INDEX('SKU明细'!$G$9:$G$1592,MATCH("[6574,""60516-LP-S-K-8.5""]",'SKU明细'!$AE$9:$AE$1592,0)))=1,SUM(INDEX('SKU明细'!$G$9:$G$1592,MATCH("[6574,""60516-LP-S-K-8.5""]",'SKU明细'!$AE$9:$AE$1592,0)))&gt;0),SUM(INDEX('SKU明细'!$H$9:$H$1592,MATCH("[6574,""60516-LP-S-K-8.5""]",'SKU明细'!$AE$9:$AE$1592,0)))/SUM(INDEX('SKU明细'!$G$9:$G$1592,MATCH("[6574,""60516-LP-S-K-8.5""]",'SKU明细'!$AE$9:$AE$1592,0))),"待核")</x:f>
        <x:v>待核</x:v>
      </x:c>
      <x:c r="N119" s="21" t="n">
        <x:f>IF(AND(COUNT(INDEX('SKU明细'!$H$9:$H$1592,MATCH("[6574,""60516-LP-S-K-9""]",'SKU明细'!$AE$9:$AE$1592,0)))=1,COUNT(INDEX('SKU明细'!$G$9:$G$1592,MATCH("[6574,""60516-LP-S-K-9""]",'SKU明细'!$AE$9:$AE$1592,0)))=1,SUM(INDEX('SKU明细'!$G$9:$G$1592,MATCH("[6574,""60516-LP-S-K-9""]",'SKU明细'!$AE$9:$AE$1592,0)))&gt;0),SUM(INDEX('SKU明细'!$H$9:$H$1592,MATCH("[6574,""60516-LP-S-K-9""]",'SKU明细'!$AE$9:$AE$1592,0)))/SUM(INDEX('SKU明细'!$G$9:$G$1592,MATCH("[6574,""60516-LP-S-K-9""]",'SKU明细'!$AE$9:$AE$1592,0))),"待核")</x:f>
        <x:v>9.46656649135988</x:v>
      </x:c>
      <x:c r="O119" s="21" t="n">
        <x:f>IF(AND(COUNT(INDEX('SKU明细'!$H$9:$H$1592,MATCH("[6574,""60516-LP-S-K-9.5""]",'SKU明细'!$AE$9:$AE$1592,0)))=1,COUNT(INDEX('SKU明细'!$G$9:$G$1592,MATCH("[6574,""60516-LP-S-K-9.5""]",'SKU明细'!$AE$9:$AE$1592,0)))=1,SUM(INDEX('SKU明细'!$G$9:$G$1592,MATCH("[6574,""60516-LP-S-K-9.5""]",'SKU明细'!$AE$9:$AE$1592,0)))&gt;0),SUM(INDEX('SKU明细'!$H$9:$H$1592,MATCH("[6574,""60516-LP-S-K-9.5""]",'SKU明细'!$AE$9:$AE$1592,0)))/SUM(INDEX('SKU明细'!$G$9:$G$1592,MATCH("[6574,""60516-LP-S-K-9.5""]",'SKU明细'!$AE$9:$AE$1592,0))),"待核")</x:f>
        <x:v>88.57142857142858</x:v>
      </x:c>
      <x:c r="P119" s="21" t="n">
        <x:f>IF(AND(COUNT(INDEX('SKU明细'!$H$9:$H$1592,MATCH("[6574,""60516-LP-S-K-10""]",'SKU明细'!$AE$9:$AE$1592,0)))=1,COUNT(INDEX('SKU明细'!$G$9:$G$1592,MATCH("[6574,""60516-LP-S-K-10""]",'SKU明细'!$AE$9:$AE$1592,0)))=1,SUM(INDEX('SKU明细'!$G$9:$G$1592,MATCH("[6574,""60516-LP-S-K-10""]",'SKU明细'!$AE$9:$AE$1592,0)))&gt;0),SUM(INDEX('SKU明细'!$H$9:$H$1592,MATCH("[6574,""60516-LP-S-K-10""]",'SKU明细'!$AE$9:$AE$1592,0)))/SUM(INDEX('SKU明细'!$G$9:$G$1592,MATCH("[6574,""60516-LP-S-K-10""]",'SKU明细'!$AE$9:$AE$1592,0))),"待核")</x:f>
        <x:v>5.498821681068343</x:v>
      </x:c>
      <x:c r="Q119" s="21" t="n">
        <x:f>IF(AND(COUNT(INDEX('SKU明细'!$H$9:$H$1592,MATCH("[6574,""60516-LP-S-K-10.5""]",'SKU明细'!$AE$9:$AE$1592,0)))=1,COUNT(INDEX('SKU明细'!$G$9:$G$1592,MATCH("[6574,""60516-LP-S-K-10.5""]",'SKU明细'!$AE$9:$AE$1592,0)))=1,SUM(INDEX('SKU明细'!$G$9:$G$1592,MATCH("[6574,""60516-LP-S-K-10.5""]",'SKU明细'!$AE$9:$AE$1592,0)))&gt;0),SUM(INDEX('SKU明细'!$H$9:$H$1592,MATCH("[6574,""60516-LP-S-K-10.5""]",'SKU明细'!$AE$9:$AE$1592,0)))/SUM(INDEX('SKU明细'!$G$9:$G$1592,MATCH("[6574,""60516-LP-S-K-10.5""]",'SKU明细'!$AE$9:$AE$1592,0))),"待核")</x:f>
        <x:v>62.376237623762385</x:v>
      </x:c>
      <x:c r="R119" s="21" t="n">
        <x:f>IF(AND(COUNT(INDEX('SKU明细'!$H$9:$H$1592,MATCH("[6574,""60516-LP-S-K-11""]",'SKU明细'!$AE$9:$AE$1592,0)))=1,COUNT(INDEX('SKU明细'!$G$9:$G$1592,MATCH("[6574,""60516-LP-S-K-11""]",'SKU明细'!$AE$9:$AE$1592,0)))=1,SUM(INDEX('SKU明细'!$G$9:$G$1592,MATCH("[6574,""60516-LP-S-K-11""]",'SKU明细'!$AE$9:$AE$1592,0)))&gt;0),SUM(INDEX('SKU明细'!$H$9:$H$1592,MATCH("[6574,""60516-LP-S-K-11""]",'SKU明细'!$AE$9:$AE$1592,0)))/SUM(INDEX('SKU明细'!$G$9:$G$1592,MATCH("[6574,""60516-LP-S-K-11""]",'SKU明细'!$AE$9:$AE$1592,0))),"待核")</x:f>
        <x:v>12.138728323699421</x:v>
      </x:c>
      <x:c r="S119" s="21" t="n">
        <x:f>IF(AND(COUNT(INDEX('SKU明细'!$H$9:$H$1592,MATCH("[6574,""60516-LP-S-K-6""]",'SKU明细'!$AE$9:$AE$1592,0)),INDEX('SKU明细'!$H$9:$H$1592,MATCH("[6574,""60516-LP-S-K-7.5""]",'SKU明细'!$AE$9:$AE$1592,0)),INDEX('SKU明细'!$H$9:$H$1592,MATCH("[6574,""60516-LP-S-K-8.5""]",'SKU明细'!$AE$9:$AE$1592,0)),INDEX('SKU明细'!$H$9:$H$1592,MATCH("[6574,""60516-LP-S-K-7""]",'SKU明细'!$AE$9:$AE$1592,0)),INDEX('SKU明细'!$H$9:$H$1592,MATCH("[6574,""60516-LP-S-K-10""]",'SKU明细'!$AE$9:$AE$1592,0)),INDEX('SKU明细'!$H$9:$H$1592,MATCH("[6574,""60516-LP-S-K-11""]",'SKU明细'!$AE$9:$AE$1592,0)),INDEX('SKU明细'!$H$9:$H$1592,MATCH("[6574,""60516-LP-S-K-8""]",'SKU明细'!$AE$9:$AE$1592,0)),INDEX('SKU明细'!$H$9:$H$1592,MATCH("[6574,""60516-LP-S-K-9""]",'SKU明细'!$AE$9:$AE$1592,0)))=8,COUNT(INDEX('SKU明细'!$G$9:$G$1592,MATCH("[6574,""60516-LP-S-K-6""]",'SKU明细'!$AE$9:$AE$1592,0)),INDEX('SKU明细'!$G$9:$G$1592,MATCH("[6574,""60516-LP-S-K-7.5""]",'SKU明细'!$AE$9:$AE$1592,0)),INDEX('SKU明细'!$G$9:$G$1592,MATCH("[6574,""60516-LP-S-K-8.5""]",'SKU明细'!$AE$9:$AE$1592,0)),INDEX('SKU明细'!$G$9:$G$1592,MATCH("[6574,""60516-LP-S-K-7""]",'SKU明细'!$AE$9:$AE$1592,0)),INDEX('SKU明细'!$G$9:$G$1592,MATCH("[6574,""60516-LP-S-K-10""]",'SKU明细'!$AE$9:$AE$1592,0)),INDEX('SKU明细'!$G$9:$G$1592,MATCH("[6574,""60516-LP-S-K-11""]",'SKU明细'!$AE$9:$AE$1592,0)),INDEX('SKU明细'!$G$9:$G$1592,MATCH("[6574,""60516-LP-S-K-8""]",'SKU明细'!$AE$9:$AE$1592,0)),INDEX('SKU明细'!$G$9:$G$1592,MATCH("[6574,""60516-LP-S-K-9""]",'SKU明细'!$AE$9:$AE$1592,0)))=8,SUM(INDEX('SKU明细'!$G$9:$G$1592,MATCH("[6574,""60516-LP-S-K-6""]",'SKU明细'!$AE$9:$AE$1592,0)),INDEX('SKU明细'!$G$9:$G$1592,MATCH("[6574,""60516-LP-S-K-7.5""]",'SKU明细'!$AE$9:$AE$1592,0)),INDEX('SKU明细'!$G$9:$G$1592,MATCH("[6574,""60516-LP-S-K-8.5""]",'SKU明细'!$AE$9:$AE$1592,0)),INDEX('SKU明细'!$G$9:$G$1592,MATCH("[6574,""60516-LP-S-K-7""]",'SKU明细'!$AE$9:$AE$1592,0)),INDEX('SKU明细'!$G$9:$G$1592,MATCH("[6574,""60516-LP-S-K-10""]",'SKU明细'!$AE$9:$AE$1592,0)),INDEX('SKU明细'!$G$9:$G$1592,MATCH("[6574,""60516-LP-S-K-11""]",'SKU明细'!$AE$9:$AE$1592,0)),INDEX('SKU明细'!$G$9:$G$1592,MATCH("[6574,""60516-LP-S-K-8""]",'SKU明细'!$AE$9:$AE$1592,0)),INDEX('SKU明细'!$G$9:$G$1592,MATCH("[6574,""60516-LP-S-K-9""]",'SKU明细'!$AE$9:$AE$1592,0)))&gt;0),SUM(INDEX('SKU明细'!$H$9:$H$1592,MATCH("[6574,""60516-LP-S-K-6""]",'SKU明细'!$AE$9:$AE$1592,0)),INDEX('SKU明细'!$H$9:$H$1592,MATCH("[6574,""60516-LP-S-K-7.5""]",'SKU明细'!$AE$9:$AE$1592,0)),INDEX('SKU明细'!$H$9:$H$1592,MATCH("[6574,""60516-LP-S-K-8.5""]",'SKU明细'!$AE$9:$AE$1592,0)),INDEX('SKU明细'!$H$9:$H$1592,MATCH("[6574,""60516-LP-S-K-7""]",'SKU明细'!$AE$9:$AE$1592,0)),INDEX('SKU明细'!$H$9:$H$1592,MATCH("[6574,""60516-LP-S-K-10""]",'SKU明细'!$AE$9:$AE$1592,0)),INDEX('SKU明细'!$H$9:$H$1592,MATCH("[6574,""60516-LP-S-K-11""]",'SKU明细'!$AE$9:$AE$1592,0)),INDEX('SKU明细'!$H$9:$H$1592,MATCH("[6574,""60516-LP-S-K-8""]",'SKU明细'!$AE$9:$AE$1592,0)),INDEX('SKU明细'!$H$9:$H$1592,MATCH("[6574,""60516-LP-S-K-9""]",'SKU明细'!$AE$9:$AE$1592,0)))/SUM(INDEX('SKU明细'!$G$9:$G$1592,MATCH("[6574,""60516-LP-S-K-6""]",'SKU明细'!$AE$9:$AE$1592,0)),INDEX('SKU明细'!$G$9:$G$1592,MATCH("[6574,""60516-LP-S-K-7.5""]",'SKU明细'!$AE$9:$AE$1592,0)),INDEX('SKU明细'!$G$9:$G$1592,MATCH("[6574,""60516-LP-S-K-8.5""]",'SKU明细'!$AE$9:$AE$1592,0)),INDEX('SKU明细'!$G$9:$G$1592,MATCH("[6574,""60516-LP-S-K-7""]",'SKU明细'!$AE$9:$AE$1592,0)),INDEX('SKU明细'!$G$9:$G$1592,MATCH("[6574,""60516-LP-S-K-10""]",'SKU明细'!$AE$9:$AE$1592,0)),INDEX('SKU明细'!$G$9:$G$1592,MATCH("[6574,""60516-LP-S-K-11""]",'SKU明细'!$AE$9:$AE$1592,0)),INDEX('SKU明细'!$G$9:$G$1592,MATCH("[6574,""60516-LP-S-K-8""]",'SKU明细'!$AE$9:$AE$1592,0)),INDEX('SKU明细'!$G$9:$G$1592,MATCH("[6574,""60516-LP-S-K-9""]",'SKU明细'!$AE$9:$AE$1592,0))),"待核")</x:f>
        <x:v>16.73927148021133</x:v>
      </x:c>
      <x:c r="T119" s="21" t="n">
        <x:f>IF(AND(COUNT(INDEX('SKU明细'!$I$9:$I$1592,MATCH("[6574,""60516-LP-S-K-6""]",'SKU明细'!$AE$9:$AE$1592,0)),INDEX('SKU明细'!$I$9:$I$1592,MATCH("[6574,""60516-LP-S-K-7.5""]",'SKU明细'!$AE$9:$AE$1592,0)),INDEX('SKU明细'!$I$9:$I$1592,MATCH("[6574,""60516-LP-S-K-8.5""]",'SKU明细'!$AE$9:$AE$1592,0)),INDEX('SKU明细'!$I$9:$I$1592,MATCH("[6574,""60516-LP-S-K-7""]",'SKU明细'!$AE$9:$AE$1592,0)),INDEX('SKU明细'!$I$9:$I$1592,MATCH("[6574,""60516-LP-S-K-10""]",'SKU明细'!$AE$9:$AE$1592,0)),INDEX('SKU明细'!$I$9:$I$1592,MATCH("[6574,""60516-LP-S-K-11""]",'SKU明细'!$AE$9:$AE$1592,0)),INDEX('SKU明细'!$I$9:$I$1592,MATCH("[6574,""60516-LP-S-K-8""]",'SKU明细'!$AE$9:$AE$1592,0)),INDEX('SKU明细'!$I$9:$I$1592,MATCH("[6574,""60516-LP-S-K-9""]",'SKU明细'!$AE$9:$AE$1592,0)))=8,COUNT(INDEX('SKU明细'!$AD$9:$AD$1592,MATCH("[6574,""60516-LP-S-K-6""]",'SKU明细'!$AE$9:$AE$1592,0)),INDEX('SKU明细'!$AD$9:$AD$1592,MATCH("[6574,""60516-LP-S-K-7.5""]",'SKU明细'!$AE$9:$AE$1592,0)),INDEX('SKU明细'!$AD$9:$AD$1592,MATCH("[6574,""60516-LP-S-K-8.5""]",'SKU明细'!$AE$9:$AE$1592,0)),INDEX('SKU明细'!$AD$9:$AD$1592,MATCH("[6574,""60516-LP-S-K-7""]",'SKU明细'!$AE$9:$AE$1592,0)),INDEX('SKU明细'!$AD$9:$AD$1592,MATCH("[6574,""60516-LP-S-K-10""]",'SKU明细'!$AE$9:$AE$1592,0)),INDEX('SKU明细'!$AD$9:$AD$1592,MATCH("[6574,""60516-LP-S-K-11""]",'SKU明细'!$AE$9:$AE$1592,0)),INDEX('SKU明细'!$AD$9:$AD$1592,MATCH("[6574,""60516-LP-S-K-8""]",'SKU明细'!$AE$9:$AE$1592,0)),INDEX('SKU明细'!$AD$9:$AD$1592,MATCH("[6574,""60516-LP-S-K-9""]",'SKU明细'!$AE$9:$AE$1592,0)))=8,SUM(INDEX('SKU明细'!$AD$9:$AD$1592,MATCH("[6574,""60516-LP-S-K-6""]",'SKU明细'!$AE$9:$AE$1592,0)),INDEX('SKU明细'!$AD$9:$AD$1592,MATCH("[6574,""60516-LP-S-K-7.5""]",'SKU明细'!$AE$9:$AE$1592,0)),INDEX('SKU明细'!$AD$9:$AD$1592,MATCH("[6574,""60516-LP-S-K-8.5""]",'SKU明细'!$AE$9:$AE$1592,0)),INDEX('SKU明细'!$AD$9:$AD$1592,MATCH("[6574,""60516-LP-S-K-7""]",'SKU明细'!$AE$9:$AE$1592,0)),INDEX('SKU明细'!$AD$9:$AD$1592,MATCH("[6574,""60516-LP-S-K-10""]",'SKU明细'!$AE$9:$AE$1592,0)),INDEX('SKU明细'!$AD$9:$AD$1592,MATCH("[6574,""60516-LP-S-K-11""]",'SKU明细'!$AE$9:$AE$1592,0)),INDEX('SKU明细'!$AD$9:$AD$1592,MATCH("[6574,""60516-LP-S-K-8""]",'SKU明细'!$AE$9:$AE$1592,0)),INDEX('SKU明细'!$AD$9:$AD$1592,MATCH("[6574,""60516-LP-S-K-9""]",'SKU明细'!$AE$9:$AE$1592,0)))&gt;0),SUM(INDEX('SKU明细'!$I$9:$I$1592,MATCH("[6574,""60516-LP-S-K-6""]",'SKU明细'!$AE$9:$AE$1592,0)),INDEX('SKU明细'!$I$9:$I$1592,MATCH("[6574,""60516-LP-S-K-7.5""]",'SKU明细'!$AE$9:$AE$1592,0)),INDEX('SKU明细'!$I$9:$I$1592,MATCH("[6574,""60516-LP-S-K-8.5""]",'SKU明细'!$AE$9:$AE$1592,0)),INDEX('SKU明细'!$I$9:$I$1592,MATCH("[6574,""60516-LP-S-K-7""]",'SKU明细'!$AE$9:$AE$1592,0)),INDEX('SKU明细'!$I$9:$I$1592,MATCH("[6574,""60516-LP-S-K-10""]",'SKU明细'!$AE$9:$AE$1592,0)),INDEX('SKU明细'!$I$9:$I$1592,MATCH("[6574,""60516-LP-S-K-11""]",'SKU明细'!$AE$9:$AE$1592,0)),INDEX('SKU明细'!$I$9:$I$1592,MATCH("[6574,""60516-LP-S-K-8""]",'SKU明细'!$AE$9:$AE$1592,0)),INDEX('SKU明细'!$I$9:$I$1592,MATCH("[6574,""60516-LP-S-K-9""]",'SKU明细'!$AE$9:$AE$1592,0)))/SUM(INDEX('SKU明细'!$AD$9:$AD$1592,MATCH("[6574,""60516-LP-S-K-6""]",'SKU明细'!$AE$9:$AE$1592,0)),INDEX('SKU明细'!$AD$9:$AD$1592,MATCH("[6574,""60516-LP-S-K-7.5""]",'SKU明细'!$AE$9:$AE$1592,0)),INDEX('SKU明细'!$AD$9:$AD$1592,MATCH("[6574,""60516-LP-S-K-8.5""]",'SKU明细'!$AE$9:$AE$1592,0)),INDEX('SKU明细'!$AD$9:$AD$1592,MATCH("[6574,""60516-LP-S-K-7""]",'SKU明细'!$AE$9:$AE$1592,0)),INDEX('SKU明细'!$AD$9:$AD$1592,MATCH("[6574,""60516-LP-S-K-10""]",'SKU明细'!$AE$9:$AE$1592,0)),INDEX('SKU明细'!$AD$9:$AD$1592,MATCH("[6574,""60516-LP-S-K-11""]",'SKU明细'!$AE$9:$AE$1592,0)),INDEX('SKU明细'!$AD$9:$AD$1592,MATCH("[6574,""60516-LP-S-K-8""]",'SKU明细'!$AE$9:$AE$1592,0)),INDEX('SKU明细'!$AD$9:$AD$1592,MATCH("[6574,""60516-LP-S-K-9""]",'SKU明细'!$AE$9:$AE$1592,0))),"待核")</x:f>
        <x:v>61.63780452010566</x:v>
      </x:c>
      <x:c r="U119" s="21" t="n">
        <x:f>IF(COUNT(S119:T119)=2,S119-T119,"待核")</x:f>
        <x:v>-44.89853303989433</x:v>
      </x:c>
      <x:c r="V119" s="22" t="n">
        <x:f>IF(AND(ISNUMBER(U119),ISNUMBER(T119),T119&lt;&gt;0),U119/T119,"")</x:f>
        <x:v>-0.7284252479377142</x:v>
      </x:c>
      <x:c r="W119" s="23" t="n">
        <x:f>IF(COUNT(INDEX('SKU明细'!$H$9:$H$1592,MATCH("[6574,""60516-LP-S-K-6""]",'SKU明细'!$AE$9:$AE$1592,0)),INDEX('SKU明细'!$H$9:$H$1592,MATCH("[6574,""60516-LP-S-K-6.5""]",'SKU明细'!$AE$9:$AE$1592,0)),INDEX('SKU明细'!$H$9:$H$1592,MATCH("[6574,""60516-LP-S-K-7.5""]",'SKU明细'!$AE$9:$AE$1592,0)),INDEX('SKU明细'!$H$9:$H$1592,MATCH("[6574,""60516-LP-S-K-8.5""]",'SKU明细'!$AE$9:$AE$1592,0)),INDEX('SKU明细'!$H$9:$H$1592,MATCH("[6574,""60516-LP-S-K-10.5""]",'SKU明细'!$AE$9:$AE$1592,0)),INDEX('SKU明细'!$H$9:$H$1592,MATCH("[6574,""60516-LP-S-K-7""]",'SKU明细'!$AE$9:$AE$1592,0)),INDEX('SKU明细'!$H$9:$H$1592,MATCH("[6574,""60516-LP-S-K-9.5""]",'SKU明细'!$AE$9:$AE$1592,0)),INDEX('SKU明细'!$H$9:$H$1592,MATCH("[6574,""60516-LP-S-K-10""]",'SKU明细'!$AE$9:$AE$1592,0)),INDEX('SKU明细'!$H$9:$H$1592,MATCH("[6574,""60516-LP-S-K-11""]",'SKU明细'!$AE$9:$AE$1592,0)),INDEX('SKU明细'!$H$9:$H$1592,MATCH("[6574,""60516-LP-S-K-8""]",'SKU明细'!$AE$9:$AE$1592,0)),INDEX('SKU明细'!$H$9:$H$1592,MATCH("[6574,""60516-LP-S-K-9""]",'SKU明细'!$AE$9:$AE$1592,0)))=0,"待核",SUM(INDEX('SKU明细'!$H$9:$H$1592,MATCH("[6574,""60516-LP-S-K-6""]",'SKU明细'!$AE$9:$AE$1592,0)),INDEX('SKU明细'!$H$9:$H$1592,MATCH("[6574,""60516-LP-S-K-6.5""]",'SKU明细'!$AE$9:$AE$1592,0)),INDEX('SKU明细'!$H$9:$H$1592,MATCH("[6574,""60516-LP-S-K-7.5""]",'SKU明细'!$AE$9:$AE$1592,0)),INDEX('SKU明细'!$H$9:$H$1592,MATCH("[6574,""60516-LP-S-K-8.5""]",'SKU明细'!$AE$9:$AE$1592,0)),INDEX('SKU明细'!$H$9:$H$1592,MATCH("[6574,""60516-LP-S-K-10.5""]",'SKU明细'!$AE$9:$AE$1592,0)),INDEX('SKU明细'!$H$9:$H$1592,MATCH("[6574,""60516-LP-S-K-7""]",'SKU明细'!$AE$9:$AE$1592,0)),INDEX('SKU明细'!$H$9:$H$1592,MATCH("[6574,""60516-LP-S-K-9.5""]",'SKU明细'!$AE$9:$AE$1592,0)),INDEX('SKU明细'!$H$9:$H$1592,MATCH("[6574,""60516-LP-S-K-10""]",'SKU明细'!$AE$9:$AE$1592,0)),INDEX('SKU明细'!$H$9:$H$1592,MATCH("[6574,""60516-LP-S-K-11""]",'SKU明细'!$AE$9:$AE$1592,0)),INDEX('SKU明细'!$H$9:$H$1592,MATCH("[6574,""60516-LP-S-K-8""]",'SKU明细'!$AE$9:$AE$1592,0)),INDEX('SKU明细'!$H$9:$H$1592,MATCH("[6574,""60516-LP-S-K-9""]",'SKU明细'!$AE$9:$AE$1592,0))))</x:f>
        <x:v>221</x:v>
      </x:c>
      <x:c r="X119" s="24" t="str">
        <x:f>IF(COUNTIFS('SKU明细'!$AH$9:$AH$1592,"[""60516"",""60516-LP-S-K"",""LP"",""豹纹""]",'SKU明细'!$E$9:$E$1592,"促销")&gt;0,"促销 ","")&amp;IF(COUNTIFS('SKU明细'!$AH$9:$AH$1592,"[""60516"",""60516-LP-S-K"",""LP"",""豹纹""]",'SKU明细'!$E$9:$E$1592,"红线促销")&gt;0,"红线促销 ","")&amp;IF(COUNTIFS('SKU明细'!$AH$9:$AH$1592,"[""60516"",""60516-LP-S-K"",""LP"",""豹纹""]",'SKU明细'!$E$9:$E$1592,"考虑清仓")&gt;0,"考虑清仓 ","")&amp;IF(COUNTIFS('SKU明细'!$AH$9:$AH$1592,"[""60516"",""60516-LP-S-K"",""LP"",""豹纹""]",'SKU明细'!$E$9:$E$1592,"断货")&gt;0,"断货 ","")&amp;IF(COUNTIFS('SKU明细'!$AH$9:$AH$1592,"[""60516"",""60516-LP-S-K"",""LP"",""豹纹""]",'SKU明细'!$E$9:$E$1592,"零日销待复核")&gt;0,"零日销待复核 ","")&amp;IF(COUNTIFS('SKU明细'!$AH$9:$AH$1592,"[""60516"",""60516-LP-S-K"",""LP"",""豹纹""]",'SKU明细'!$E$9:$E$1592,"数据待核")&gt;0,"数据待核 ","")&amp;IF(COUNTIFS('SKU明细'!$AH$9:$AH$1592,"[""60516"",""60516-LP-S-K"",""LP"",""豹纹""]",'SKU明细'!$E$9:$E$1592,"正常库存")&gt;0,"正常库存 ","")&amp;IF(COUNTIFS('SKU明细'!$AH$9:$AH$1592,"[""60516"",""60516-LP-S-K"",""LP"",""豹纹""]",'SKU明细'!$E$9:$E$1592,"补货提醒")&gt;0,"补货提醒 ","")</x:f>
        <x:v>促销 断货 正常库存 补货提醒 </x:v>
      </x:c>
      <x:c r="Y119" s="24" t="str">
        <x:f>IF(NOT(ISNUMBER(U119)),"覆盖待核／无可比基准","仅共同SKU")</x:f>
        <x:v>仅共同SKU</x:v>
      </x:c>
      <x:c r="Z119" s="24" t="str">
        <x:v>在售、停售</x:v>
      </x:c>
      <x:c r="AA119" s="24" t="n">
        <x:f>IF(SUMIFS('SKU明细'!$AF$9:$AF$1592,'SKU明细'!$D$9:$D$1592,A119,'SKU明细'!$Z$9:$Z$1592,"&lt;&gt;移出")=0,"待核",SUMIFS('SKU明细'!$H$9:$H$1592,'SKU明细'!$D$9:$D$1592,A119,'SKU明细'!$Z$9:$Z$1592,"&lt;&gt;移出"))</x:f>
        <x:v>886</x:v>
      </x:c>
    </x:row>
    <x:row r="120" ht="54" customHeight="1">
      <x:c r="A120" s="20" t="str">
        <x:v>60516</x:v>
      </x:c>
      <x:c r="B120" s="20" t="str">
        <x:v>徐新怡</x:v>
      </x:c>
      <x:c r="C120" s="20" t="str">
        <x:v>裸色</x:v>
      </x:c>
      <x:c r="D120" s="20" t="str">
        <x:v>ND</x:v>
      </x:c>
      <x:c r="E120" s="20" t="str">
        <x:v>60516-ND-S-K</x:v>
      </x:c>
      <x:c r="F120" s="20"/>
      <x:c r="G120" s="21" t="str">
        <x:f>"—"</x:f>
        <x:v>—</x:v>
      </x:c>
      <x:c r="H120" s="21" t="n">
        <x:f>IF(AND(COUNT(INDEX('SKU明细'!$H$9:$H$1592,MATCH("[6574,""60516-ND-S-K-6""]",'SKU明细'!$AE$9:$AE$1592,0)))=1,COUNT(INDEX('SKU明细'!$G$9:$G$1592,MATCH("[6574,""60516-ND-S-K-6""]",'SKU明细'!$AE$9:$AE$1592,0)))=1,SUM(INDEX('SKU明细'!$G$9:$G$1592,MATCH("[6574,""60516-ND-S-K-6""]",'SKU明细'!$AE$9:$AE$1592,0)))&gt;0),SUM(INDEX('SKU明细'!$H$9:$H$1592,MATCH("[6574,""60516-ND-S-K-6""]",'SKU明细'!$AE$9:$AE$1592,0)))/SUM(INDEX('SKU明细'!$G$9:$G$1592,MATCH("[6574,""60516-ND-S-K-6""]",'SKU明细'!$AE$9:$AE$1592,0))),"待核")</x:f>
        <x:v>215.95744680851064</x:v>
      </x:c>
      <x:c r="I120" s="21" t="n">
        <x:f>IF(AND(COUNT(INDEX('SKU明细'!$H$9:$H$1592,MATCH("[6574,""60516-ND-S-K-6.5""]",'SKU明细'!$AE$9:$AE$1592,0)))=1,COUNT(INDEX('SKU明细'!$G$9:$G$1592,MATCH("[6574,""60516-ND-S-K-6.5""]",'SKU明细'!$AE$9:$AE$1592,0)))=1,SUM(INDEX('SKU明细'!$G$9:$G$1592,MATCH("[6574,""60516-ND-S-K-6.5""]",'SKU明细'!$AE$9:$AE$1592,0)))&gt;0),SUM(INDEX('SKU明细'!$H$9:$H$1592,MATCH("[6574,""60516-ND-S-K-6.5""]",'SKU明细'!$AE$9:$AE$1592,0)))/SUM(INDEX('SKU明细'!$G$9:$G$1592,MATCH("[6574,""60516-ND-S-K-6.5""]",'SKU明细'!$AE$9:$AE$1592,0))),"待核")</x:f>
        <x:v>79.00990099009901</x:v>
      </x:c>
      <x:c r="J120" s="21" t="n">
        <x:f>IF(AND(COUNT(INDEX('SKU明细'!$H$9:$H$1592,MATCH("[6574,""60516-ND-S-K-7""]",'SKU明细'!$AE$9:$AE$1592,0)))=1,COUNT(INDEX('SKU明细'!$G$9:$G$1592,MATCH("[6574,""60516-ND-S-K-7""]",'SKU明细'!$AE$9:$AE$1592,0)))=1,SUM(INDEX('SKU明细'!$G$9:$G$1592,MATCH("[6574,""60516-ND-S-K-7""]",'SKU明细'!$AE$9:$AE$1592,0)))&gt;0),SUM(INDEX('SKU明细'!$H$9:$H$1592,MATCH("[6574,""60516-ND-S-K-7""]",'SKU明细'!$AE$9:$AE$1592,0)))/SUM(INDEX('SKU明细'!$G$9:$G$1592,MATCH("[6574,""60516-ND-S-K-7""]",'SKU明细'!$AE$9:$AE$1592,0))),"待核")</x:f>
        <x:v>240.5825242718447</x:v>
      </x:c>
      <x:c r="K120" s="21" t="n">
        <x:f>IF(AND(COUNT(INDEX('SKU明细'!$H$9:$H$1592,MATCH("[6574,""60516-ND-S-K-7.5""]",'SKU明细'!$AE$9:$AE$1592,0)))=1,COUNT(INDEX('SKU明细'!$G$9:$G$1592,MATCH("[6574,""60516-ND-S-K-7.5""]",'SKU明细'!$AE$9:$AE$1592,0)))=1,SUM(INDEX('SKU明细'!$G$9:$G$1592,MATCH("[6574,""60516-ND-S-K-7.5""]",'SKU明细'!$AE$9:$AE$1592,0)))&gt;0),SUM(INDEX('SKU明细'!$H$9:$H$1592,MATCH("[6574,""60516-ND-S-K-7.5""]",'SKU明细'!$AE$9:$AE$1592,0)))/SUM(INDEX('SKU明细'!$G$9:$G$1592,MATCH("[6574,""60516-ND-S-K-7.5""]",'SKU明细'!$AE$9:$AE$1592,0))),"待核")</x:f>
        <x:v>122.42152466367713</x:v>
      </x:c>
      <x:c r="L120" s="21" t="n">
        <x:f>IF(AND(COUNT(INDEX('SKU明细'!$H$9:$H$1592,MATCH("[6574,""60516-ND-S-K-8""]",'SKU明细'!$AE$9:$AE$1592,0)))=1,COUNT(INDEX('SKU明细'!$G$9:$G$1592,MATCH("[6574,""60516-ND-S-K-8""]",'SKU明细'!$AE$9:$AE$1592,0)))=1,SUM(INDEX('SKU明细'!$G$9:$G$1592,MATCH("[6574,""60516-ND-S-K-8""]",'SKU明细'!$AE$9:$AE$1592,0)))&gt;0),SUM(INDEX('SKU明细'!$H$9:$H$1592,MATCH("[6574,""60516-ND-S-K-8""]",'SKU明细'!$AE$9:$AE$1592,0)))/SUM(INDEX('SKU明细'!$G$9:$G$1592,MATCH("[6574,""60516-ND-S-K-8""]",'SKU明细'!$AE$9:$AE$1592,0))),"待核")</x:f>
        <x:v>105.17529215358934</x:v>
      </x:c>
      <x:c r="M120" s="21" t="str">
        <x:f>IF(AND(COUNT(INDEX('SKU明细'!$H$9:$H$1592,MATCH("[6574,""60516-ND-S-K-8.5""]",'SKU明细'!$AE$9:$AE$1592,0)))=1,COUNT(INDEX('SKU明细'!$G$9:$G$1592,MATCH("[6574,""60516-ND-S-K-8.5""]",'SKU明细'!$AE$9:$AE$1592,0)))=1,SUM(INDEX('SKU明细'!$G$9:$G$1592,MATCH("[6574,""60516-ND-S-K-8.5""]",'SKU明细'!$AE$9:$AE$1592,0)))&gt;0),SUM(INDEX('SKU明细'!$H$9:$H$1592,MATCH("[6574,""60516-ND-S-K-8.5""]",'SKU明细'!$AE$9:$AE$1592,0)))/SUM(INDEX('SKU明细'!$G$9:$G$1592,MATCH("[6574,""60516-ND-S-K-8.5""]",'SKU明细'!$AE$9:$AE$1592,0))),"待核")</x:f>
        <x:v>待核</x:v>
      </x:c>
      <x:c r="N120" s="21" t="n">
        <x:f>IF(AND(COUNT(INDEX('SKU明细'!$H$9:$H$1592,MATCH("[6574,""60516-ND-S-K-9""]",'SKU明细'!$AE$9:$AE$1592,0)))=1,COUNT(INDEX('SKU明细'!$G$9:$G$1592,MATCH("[6574,""60516-ND-S-K-9""]",'SKU明细'!$AE$9:$AE$1592,0)))=1,SUM(INDEX('SKU明细'!$G$9:$G$1592,MATCH("[6574,""60516-ND-S-K-9""]",'SKU明细'!$AE$9:$AE$1592,0)))&gt;0),SUM(INDEX('SKU明细'!$H$9:$H$1592,MATCH("[6574,""60516-ND-S-K-9""]",'SKU明细'!$AE$9:$AE$1592,0)))/SUM(INDEX('SKU明细'!$G$9:$G$1592,MATCH("[6574,""60516-ND-S-K-9""]",'SKU明细'!$AE$9:$AE$1592,0))),"待核")</x:f>
        <x:v>203.4883720930233</x:v>
      </x:c>
      <x:c r="O120" s="21" t="str">
        <x:f>IF(AND(COUNT(INDEX('SKU明细'!$H$9:$H$1592,MATCH("[6574,""60516-ND-S-K-9.5""]",'SKU明细'!$AE$9:$AE$1592,0)))=1,COUNT(INDEX('SKU明细'!$G$9:$G$1592,MATCH("[6574,""60516-ND-S-K-9.5""]",'SKU明细'!$AE$9:$AE$1592,0)))=1,SUM(INDEX('SKU明细'!$G$9:$G$1592,MATCH("[6574,""60516-ND-S-K-9.5""]",'SKU明细'!$AE$9:$AE$1592,0)))&gt;0),SUM(INDEX('SKU明细'!$H$9:$H$1592,MATCH("[6574,""60516-ND-S-K-9.5""]",'SKU明细'!$AE$9:$AE$1592,0)))/SUM(INDEX('SKU明细'!$G$9:$G$1592,MATCH("[6574,""60516-ND-S-K-9.5""]",'SKU明细'!$AE$9:$AE$1592,0))),"待核")</x:f>
        <x:v>待核</x:v>
      </x:c>
      <x:c r="P120" s="21" t="str">
        <x:f>IF(AND(COUNT(INDEX('SKU明细'!$H$9:$H$1592,MATCH("[6574,""60516-ND-S-K-10""]",'SKU明细'!$AE$9:$AE$1592,0)))=1,COUNT(INDEX('SKU明细'!$G$9:$G$1592,MATCH("[6574,""60516-ND-S-K-10""]",'SKU明细'!$AE$9:$AE$1592,0)))=1,SUM(INDEX('SKU明细'!$G$9:$G$1592,MATCH("[6574,""60516-ND-S-K-10""]",'SKU明细'!$AE$9:$AE$1592,0)))&gt;0),SUM(INDEX('SKU明细'!$H$9:$H$1592,MATCH("[6574,""60516-ND-S-K-10""]",'SKU明细'!$AE$9:$AE$1592,0)))/SUM(INDEX('SKU明细'!$G$9:$G$1592,MATCH("[6574,""60516-ND-S-K-10""]",'SKU明细'!$AE$9:$AE$1592,0))),"待核")</x:f>
        <x:v>待核</x:v>
      </x:c>
      <x:c r="Q120" s="21" t="str">
        <x:f>IF(AND(COUNT(INDEX('SKU明细'!$H$9:$H$1592,MATCH("[6574,""60516-ND-S-K-10.5""]",'SKU明细'!$AE$9:$AE$1592,0)))=1,COUNT(INDEX('SKU明细'!$G$9:$G$1592,MATCH("[6574,""60516-ND-S-K-10.5""]",'SKU明细'!$AE$9:$AE$1592,0)))=1,SUM(INDEX('SKU明细'!$G$9:$G$1592,MATCH("[6574,""60516-ND-S-K-10.5""]",'SKU明细'!$AE$9:$AE$1592,0)))&gt;0),SUM(INDEX('SKU明细'!$H$9:$H$1592,MATCH("[6574,""60516-ND-S-K-10.5""]",'SKU明细'!$AE$9:$AE$1592,0)))/SUM(INDEX('SKU明细'!$G$9:$G$1592,MATCH("[6574,""60516-ND-S-K-10.5""]",'SKU明细'!$AE$9:$AE$1592,0))),"待核")</x:f>
        <x:v>待核</x:v>
      </x:c>
      <x:c r="R120" s="21" t="str">
        <x:f>IF(AND(COUNT(INDEX('SKU明细'!$H$9:$H$1592,MATCH("[6574,""60516-ND-S-K-11""]",'SKU明细'!$AE$9:$AE$1592,0)))=1,COUNT(INDEX('SKU明细'!$G$9:$G$1592,MATCH("[6574,""60516-ND-S-K-11""]",'SKU明细'!$AE$9:$AE$1592,0)))=1,SUM(INDEX('SKU明细'!$G$9:$G$1592,MATCH("[6574,""60516-ND-S-K-11""]",'SKU明细'!$AE$9:$AE$1592,0)))&gt;0),SUM(INDEX('SKU明细'!$H$9:$H$1592,MATCH("[6574,""60516-ND-S-K-11""]",'SKU明细'!$AE$9:$AE$1592,0)))/SUM(INDEX('SKU明细'!$G$9:$G$1592,MATCH("[6574,""60516-ND-S-K-11""]",'SKU明细'!$AE$9:$AE$1592,0))),"待核")</x:f>
        <x:v>待核</x:v>
      </x:c>
      <x:c r="S120" s="21" t="n">
        <x:f>IF(AND(COUNT(INDEX('SKU明细'!$H$9:$H$1592,MATCH("[6574,""60516-ND-S-K-6""]",'SKU明细'!$AE$9:$AE$1592,0)),INDEX('SKU明细'!$H$9:$H$1592,MATCH("[6574,""60516-ND-S-K-7""]",'SKU明细'!$AE$9:$AE$1592,0)),INDEX('SKU明细'!$H$9:$H$1592,MATCH("[6574,""60516-ND-S-K-9""]",'SKU明细'!$AE$9:$AE$1592,0)),INDEX('SKU明细'!$H$9:$H$1592,MATCH("[6574,""60516-ND-S-K-8""]",'SKU明细'!$AE$9:$AE$1592,0)),INDEX('SKU明细'!$H$9:$H$1592,MATCH("[6574,""60516-ND-S-K-10""]",'SKU明细'!$AE$9:$AE$1592,0)),INDEX('SKU明细'!$H$9:$H$1592,MATCH("[6574,""60516-ND-S-K-11""]",'SKU明细'!$AE$9:$AE$1592,0)))=6,COUNT(INDEX('SKU明细'!$G$9:$G$1592,MATCH("[6574,""60516-ND-S-K-6""]",'SKU明细'!$AE$9:$AE$1592,0)),INDEX('SKU明细'!$G$9:$G$1592,MATCH("[6574,""60516-ND-S-K-7""]",'SKU明细'!$AE$9:$AE$1592,0)),INDEX('SKU明细'!$G$9:$G$1592,MATCH("[6574,""60516-ND-S-K-9""]",'SKU明细'!$AE$9:$AE$1592,0)),INDEX('SKU明细'!$G$9:$G$1592,MATCH("[6574,""60516-ND-S-K-8""]",'SKU明细'!$AE$9:$AE$1592,0)),INDEX('SKU明细'!$G$9:$G$1592,MATCH("[6574,""60516-ND-S-K-10""]",'SKU明细'!$AE$9:$AE$1592,0)),INDEX('SKU明细'!$G$9:$G$1592,MATCH("[6574,""60516-ND-S-K-11""]",'SKU明细'!$AE$9:$AE$1592,0)))=6,SUM(INDEX('SKU明细'!$G$9:$G$1592,MATCH("[6574,""60516-ND-S-K-6""]",'SKU明细'!$AE$9:$AE$1592,0)),INDEX('SKU明细'!$G$9:$G$1592,MATCH("[6574,""60516-ND-S-K-7""]",'SKU明细'!$AE$9:$AE$1592,0)),INDEX('SKU明细'!$G$9:$G$1592,MATCH("[6574,""60516-ND-S-K-9""]",'SKU明细'!$AE$9:$AE$1592,0)),INDEX('SKU明细'!$G$9:$G$1592,MATCH("[6574,""60516-ND-S-K-8""]",'SKU明细'!$AE$9:$AE$1592,0)),INDEX('SKU明细'!$G$9:$G$1592,MATCH("[6574,""60516-ND-S-K-10""]",'SKU明细'!$AE$9:$AE$1592,0)),INDEX('SKU明细'!$G$9:$G$1592,MATCH("[6574,""60516-ND-S-K-11""]",'SKU明细'!$AE$9:$AE$1592,0)))&gt;0),SUM(INDEX('SKU明细'!$H$9:$H$1592,MATCH("[6574,""60516-ND-S-K-6""]",'SKU明细'!$AE$9:$AE$1592,0)),INDEX('SKU明细'!$H$9:$H$1592,MATCH("[6574,""60516-ND-S-K-7""]",'SKU明细'!$AE$9:$AE$1592,0)),INDEX('SKU明细'!$H$9:$H$1592,MATCH("[6574,""60516-ND-S-K-9""]",'SKU明细'!$AE$9:$AE$1592,0)),INDEX('SKU明细'!$H$9:$H$1592,MATCH("[6574,""60516-ND-S-K-8""]",'SKU明细'!$AE$9:$AE$1592,0)),INDEX('SKU明细'!$H$9:$H$1592,MATCH("[6574,""60516-ND-S-K-10""]",'SKU明细'!$AE$9:$AE$1592,0)),INDEX('SKU明细'!$H$9:$H$1592,MATCH("[6574,""60516-ND-S-K-11""]",'SKU明细'!$AE$9:$AE$1592,0)))/SUM(INDEX('SKU明细'!$G$9:$G$1592,MATCH("[6574,""60516-ND-S-K-6""]",'SKU明细'!$AE$9:$AE$1592,0)),INDEX('SKU明细'!$G$9:$G$1592,MATCH("[6574,""60516-ND-S-K-7""]",'SKU明细'!$AE$9:$AE$1592,0)),INDEX('SKU明细'!$G$9:$G$1592,MATCH("[6574,""60516-ND-S-K-9""]",'SKU明细'!$AE$9:$AE$1592,0)),INDEX('SKU明细'!$G$9:$G$1592,MATCH("[6574,""60516-ND-S-K-8""]",'SKU明细'!$AE$9:$AE$1592,0)),INDEX('SKU明细'!$G$9:$G$1592,MATCH("[6574,""60516-ND-S-K-10""]",'SKU明细'!$AE$9:$AE$1592,0)),INDEX('SKU明细'!$G$9:$G$1592,MATCH("[6574,""60516-ND-S-K-11""]",'SKU明细'!$AE$9:$AE$1592,0))),"待核")</x:f>
        <x:v>165.5913978494624</x:v>
      </x:c>
      <x:c r="T120" s="21" t="n">
        <x:f>IF(AND(COUNT(INDEX('SKU明细'!$I$9:$I$1592,MATCH("[6574,""60516-ND-S-K-6""]",'SKU明细'!$AE$9:$AE$1592,0)),INDEX('SKU明细'!$I$9:$I$1592,MATCH("[6574,""60516-ND-S-K-7""]",'SKU明细'!$AE$9:$AE$1592,0)),INDEX('SKU明细'!$I$9:$I$1592,MATCH("[6574,""60516-ND-S-K-9""]",'SKU明细'!$AE$9:$AE$1592,0)),INDEX('SKU明细'!$I$9:$I$1592,MATCH("[6574,""60516-ND-S-K-8""]",'SKU明细'!$AE$9:$AE$1592,0)),INDEX('SKU明细'!$I$9:$I$1592,MATCH("[6574,""60516-ND-S-K-10""]",'SKU明细'!$AE$9:$AE$1592,0)),INDEX('SKU明细'!$I$9:$I$1592,MATCH("[6574,""60516-ND-S-K-11""]",'SKU明细'!$AE$9:$AE$1592,0)))=6,COUNT(INDEX('SKU明细'!$AD$9:$AD$1592,MATCH("[6574,""60516-ND-S-K-6""]",'SKU明细'!$AE$9:$AE$1592,0)),INDEX('SKU明细'!$AD$9:$AD$1592,MATCH("[6574,""60516-ND-S-K-7""]",'SKU明细'!$AE$9:$AE$1592,0)),INDEX('SKU明细'!$AD$9:$AD$1592,MATCH("[6574,""60516-ND-S-K-9""]",'SKU明细'!$AE$9:$AE$1592,0)),INDEX('SKU明细'!$AD$9:$AD$1592,MATCH("[6574,""60516-ND-S-K-8""]",'SKU明细'!$AE$9:$AE$1592,0)),INDEX('SKU明细'!$AD$9:$AD$1592,MATCH("[6574,""60516-ND-S-K-10""]",'SKU明细'!$AE$9:$AE$1592,0)),INDEX('SKU明细'!$AD$9:$AD$1592,MATCH("[6574,""60516-ND-S-K-11""]",'SKU明细'!$AE$9:$AE$1592,0)))=6,SUM(INDEX('SKU明细'!$AD$9:$AD$1592,MATCH("[6574,""60516-ND-S-K-6""]",'SKU明细'!$AE$9:$AE$1592,0)),INDEX('SKU明细'!$AD$9:$AD$1592,MATCH("[6574,""60516-ND-S-K-7""]",'SKU明细'!$AE$9:$AE$1592,0)),INDEX('SKU明细'!$AD$9:$AD$1592,MATCH("[6574,""60516-ND-S-K-9""]",'SKU明细'!$AE$9:$AE$1592,0)),INDEX('SKU明细'!$AD$9:$AD$1592,MATCH("[6574,""60516-ND-S-K-8""]",'SKU明细'!$AE$9:$AE$1592,0)),INDEX('SKU明细'!$AD$9:$AD$1592,MATCH("[6574,""60516-ND-S-K-10""]",'SKU明细'!$AE$9:$AE$1592,0)),INDEX('SKU明细'!$AD$9:$AD$1592,MATCH("[6574,""60516-ND-S-K-11""]",'SKU明细'!$AE$9:$AE$1592,0)))&gt;0),SUM(INDEX('SKU明细'!$I$9:$I$1592,MATCH("[6574,""60516-ND-S-K-6""]",'SKU明细'!$AE$9:$AE$1592,0)),INDEX('SKU明细'!$I$9:$I$1592,MATCH("[6574,""60516-ND-S-K-7""]",'SKU明细'!$AE$9:$AE$1592,0)),INDEX('SKU明细'!$I$9:$I$1592,MATCH("[6574,""60516-ND-S-K-9""]",'SKU明细'!$AE$9:$AE$1592,0)),INDEX('SKU明细'!$I$9:$I$1592,MATCH("[6574,""60516-ND-S-K-8""]",'SKU明细'!$AE$9:$AE$1592,0)),INDEX('SKU明细'!$I$9:$I$1592,MATCH("[6574,""60516-ND-S-K-10""]",'SKU明细'!$AE$9:$AE$1592,0)),INDEX('SKU明细'!$I$9:$I$1592,MATCH("[6574,""60516-ND-S-K-11""]",'SKU明细'!$AE$9:$AE$1592,0)))/SUM(INDEX('SKU明细'!$AD$9:$AD$1592,MATCH("[6574,""60516-ND-S-K-6""]",'SKU明细'!$AE$9:$AE$1592,0)),INDEX('SKU明细'!$AD$9:$AD$1592,MATCH("[6574,""60516-ND-S-K-7""]",'SKU明细'!$AE$9:$AE$1592,0)),INDEX('SKU明细'!$AD$9:$AD$1592,MATCH("[6574,""60516-ND-S-K-9""]",'SKU明细'!$AE$9:$AE$1592,0)),INDEX('SKU明细'!$AD$9:$AD$1592,MATCH("[6574,""60516-ND-S-K-8""]",'SKU明细'!$AE$9:$AE$1592,0)),INDEX('SKU明细'!$AD$9:$AD$1592,MATCH("[6574,""60516-ND-S-K-10""]",'SKU明细'!$AE$9:$AE$1592,0)),INDEX('SKU明细'!$AD$9:$AD$1592,MATCH("[6574,""60516-ND-S-K-11""]",'SKU明细'!$AE$9:$AE$1592,0))),"待核")</x:f>
        <x:v>135.50478542760112</x:v>
      </x:c>
      <x:c r="U120" s="21" t="n">
        <x:f>IF(COUNT(S120:T120)=2,S120-T120,"待核")</x:f>
        <x:v>30.086612421861275</x:v>
      </x:c>
      <x:c r="V120" s="22" t="n">
        <x:f>IF(AND(ISNUMBER(U120),ISNUMBER(T120),T120&lt;&gt;0),U120/T120,"")</x:f>
        <x:v>0.22203357857008127</x:v>
      </x:c>
      <x:c r="W120" s="23" t="n">
        <x:f>IF(COUNT(INDEX('SKU明细'!$H$9:$H$1592,MATCH("[6574,""60516-ND-S-K-6""]",'SKU明细'!$AE$9:$AE$1592,0)),INDEX('SKU明细'!$H$9:$H$1592,MATCH("[6574,""60516-ND-S-K-7""]",'SKU明细'!$AE$9:$AE$1592,0)),INDEX('SKU明细'!$H$9:$H$1592,MATCH("[6574,""60516-ND-S-K-9""]",'SKU明细'!$AE$9:$AE$1592,0)),INDEX('SKU明细'!$H$9:$H$1592,MATCH("[6574,""60516-ND-S-K-7.5""]",'SKU明细'!$AE$9:$AE$1592,0)),INDEX('SKU明细'!$H$9:$H$1592,MATCH("[6574,""60516-ND-S-K-8""]",'SKU明细'!$AE$9:$AE$1592,0)),INDEX('SKU明细'!$H$9:$H$1592,MATCH("[6574,""60516-ND-S-K-10""]",'SKU明细'!$AE$9:$AE$1592,0)),INDEX('SKU明细'!$H$9:$H$1592,MATCH("[6574,""60516-ND-S-K-10.5""]",'SKU明细'!$AE$9:$AE$1592,0)),INDEX('SKU明细'!$H$9:$H$1592,MATCH("[6574,""60516-ND-S-K-11""]",'SKU明细'!$AE$9:$AE$1592,0)),INDEX('SKU明细'!$H$9:$H$1592,MATCH("[6574,""60516-ND-S-K-8.5""]",'SKU明细'!$AE$9:$AE$1592,0)),INDEX('SKU明细'!$H$9:$H$1592,MATCH("[6574,""60516-ND-S-K-9.5""]",'SKU明细'!$AE$9:$AE$1592,0)),INDEX('SKU明细'!$H$9:$H$1592,MATCH("[6574,""60516-ND-S-K-6.5""]",'SKU明细'!$AE$9:$AE$1592,0)))=0,"待核",SUM(INDEX('SKU明细'!$H$9:$H$1592,MATCH("[6574,""60516-ND-S-K-6""]",'SKU明细'!$AE$9:$AE$1592,0)),INDEX('SKU明细'!$H$9:$H$1592,MATCH("[6574,""60516-ND-S-K-7""]",'SKU明细'!$AE$9:$AE$1592,0)),INDEX('SKU明细'!$H$9:$H$1592,MATCH("[6574,""60516-ND-S-K-9""]",'SKU明细'!$AE$9:$AE$1592,0)),INDEX('SKU明细'!$H$9:$H$1592,MATCH("[6574,""60516-ND-S-K-7.5""]",'SKU明细'!$AE$9:$AE$1592,0)),INDEX('SKU明细'!$H$9:$H$1592,MATCH("[6574,""60516-ND-S-K-8""]",'SKU明细'!$AE$9:$AE$1592,0)),INDEX('SKU明细'!$H$9:$H$1592,MATCH("[6574,""60516-ND-S-K-10""]",'SKU明细'!$AE$9:$AE$1592,0)),INDEX('SKU明细'!$H$9:$H$1592,MATCH("[6574,""60516-ND-S-K-10.5""]",'SKU明细'!$AE$9:$AE$1592,0)),INDEX('SKU明细'!$H$9:$H$1592,MATCH("[6574,""60516-ND-S-K-11""]",'SKU明细'!$AE$9:$AE$1592,0)),INDEX('SKU明细'!$H$9:$H$1592,MATCH("[6574,""60516-ND-S-K-8.5""]",'SKU明细'!$AE$9:$AE$1592,0)),INDEX('SKU明细'!$H$9:$H$1592,MATCH("[6574,""60516-ND-S-K-9.5""]",'SKU明细'!$AE$9:$AE$1592,0)),INDEX('SKU明细'!$H$9:$H$1592,MATCH("[6574,""60516-ND-S-K-6.5""]",'SKU明细'!$AE$9:$AE$1592,0))))</x:f>
        <x:v>230</x:v>
      </x:c>
      <x:c r="X120" s="24" t="str">
        <x:f>IF(COUNTIFS('SKU明细'!$AH$9:$AH$1592,"[""60516"",""60516-ND-S-K"",""ND"",""裸色""]",'SKU明细'!$E$9:$E$1592,"促销")&gt;0,"促销 ","")&amp;IF(COUNTIFS('SKU明细'!$AH$9:$AH$1592,"[""60516"",""60516-ND-S-K"",""ND"",""裸色""]",'SKU明细'!$E$9:$E$1592,"红线促销")&gt;0,"红线促销 ","")&amp;IF(COUNTIFS('SKU明细'!$AH$9:$AH$1592,"[""60516"",""60516-ND-S-K"",""ND"",""裸色""]",'SKU明细'!$E$9:$E$1592,"考虑清仓")&gt;0,"考虑清仓 ","")&amp;IF(COUNTIFS('SKU明细'!$AH$9:$AH$1592,"[""60516"",""60516-ND-S-K"",""ND"",""裸色""]",'SKU明细'!$E$9:$E$1592,"断货")&gt;0,"断货 ","")&amp;IF(COUNTIFS('SKU明细'!$AH$9:$AH$1592,"[""60516"",""60516-ND-S-K"",""ND"",""裸色""]",'SKU明细'!$E$9:$E$1592,"零日销待复核")&gt;0,"零日销待复核 ","")&amp;IF(COUNTIFS('SKU明细'!$AH$9:$AH$1592,"[""60516"",""60516-ND-S-K"",""ND"",""裸色""]",'SKU明细'!$E$9:$E$1592,"数据待核")&gt;0,"数据待核 ","")&amp;IF(COUNTIFS('SKU明细'!$AH$9:$AH$1592,"[""60516"",""60516-ND-S-K"",""ND"",""裸色""]",'SKU明细'!$E$9:$E$1592,"正常库存")&gt;0,"正常库存 ","")&amp;IF(COUNTIFS('SKU明细'!$AH$9:$AH$1592,"[""60516"",""60516-ND-S-K"",""ND"",""裸色""]",'SKU明细'!$E$9:$E$1592,"补货提醒")&gt;0,"补货提醒 ","")</x:f>
        <x:v>促销 红线促销 断货 正常库存 </x:v>
      </x:c>
      <x:c r="Y120" s="24" t="str">
        <x:f>IF(NOT(ISNUMBER(U120)),"覆盖待核／无可比基准","仅共同SKU")</x:f>
        <x:v>仅共同SKU</x:v>
      </x:c>
      <x:c r="Z120" s="24" t="str">
        <x:v>在售、停售</x:v>
      </x:c>
      <x:c r="AA120" s="24" t="n">
        <x:f>IF(SUMIFS('SKU明细'!$AF$9:$AF$1592,'SKU明细'!$D$9:$D$1592,A120,'SKU明细'!$Z$9:$Z$1592,"&lt;&gt;移出")=0,"待核",SUMIFS('SKU明细'!$H$9:$H$1592,'SKU明细'!$D$9:$D$1592,A120,'SKU明细'!$Z$9:$Z$1592,"&lt;&gt;移出"))</x:f>
        <x:v>886</x:v>
      </x:c>
    </x:row>
    <x:row r="121" ht="54" customHeight="1">
      <x:c r="A121" s="20" t="str">
        <x:v>60516</x:v>
      </x:c>
      <x:c r="B121" s="20" t="str">
        <x:v>徐新怡</x:v>
      </x:c>
      <x:c r="C121" s="20" t="str">
        <x:v>藏青色</x:v>
      </x:c>
      <x:c r="D121" s="20" t="str">
        <x:v>NY</x:v>
      </x:c>
      <x:c r="E121" s="20" t="str">
        <x:v>60516-NY-S-K</x:v>
      </x:c>
      <x:c r="F121" s="20"/>
      <x:c r="G121" s="21" t="str">
        <x:f>"—"</x:f>
        <x:v>—</x:v>
      </x:c>
      <x:c r="H121" s="21" t="str">
        <x:f>IF(AND(COUNT(INDEX('SKU明细'!$H$9:$H$1592,MATCH("[6574,""60516-NY-S-K-6""]",'SKU明细'!$AE$9:$AE$1592,0)))=1,COUNT(INDEX('SKU明细'!$G$9:$G$1592,MATCH("[6574,""60516-NY-S-K-6""]",'SKU明细'!$AE$9:$AE$1592,0)))=1,SUM(INDEX('SKU明细'!$G$9:$G$1592,MATCH("[6574,""60516-NY-S-K-6""]",'SKU明细'!$AE$9:$AE$1592,0)))&gt;0),SUM(INDEX('SKU明细'!$H$9:$H$1592,MATCH("[6574,""60516-NY-S-K-6""]",'SKU明细'!$AE$9:$AE$1592,0)))/SUM(INDEX('SKU明细'!$G$9:$G$1592,MATCH("[6574,""60516-NY-S-K-6""]",'SKU明细'!$AE$9:$AE$1592,0))),"待核")</x:f>
        <x:v>待核</x:v>
      </x:c>
      <x:c r="I121" s="21" t="str">
        <x:f>IF(AND(COUNT(INDEX('SKU明细'!$H$9:$H$1592,MATCH("[6574,""60516-NY-S-K-6.5""]",'SKU明细'!$AE$9:$AE$1592,0)))=1,COUNT(INDEX('SKU明细'!$G$9:$G$1592,MATCH("[6574,""60516-NY-S-K-6.5""]",'SKU明细'!$AE$9:$AE$1592,0)))=1,SUM(INDEX('SKU明细'!$G$9:$G$1592,MATCH("[6574,""60516-NY-S-K-6.5""]",'SKU明细'!$AE$9:$AE$1592,0)))&gt;0),SUM(INDEX('SKU明细'!$H$9:$H$1592,MATCH("[6574,""60516-NY-S-K-6.5""]",'SKU明细'!$AE$9:$AE$1592,0)))/SUM(INDEX('SKU明细'!$G$9:$G$1592,MATCH("[6574,""60516-NY-S-K-6.5""]",'SKU明细'!$AE$9:$AE$1592,0))),"待核")</x:f>
        <x:v>待核</x:v>
      </x:c>
      <x:c r="J121" s="21" t="str">
        <x:f>IF(AND(COUNT(INDEX('SKU明细'!$H$9:$H$1592,MATCH("[6574,""60516-NY-S-K-7""]",'SKU明细'!$AE$9:$AE$1592,0)))=1,COUNT(INDEX('SKU明细'!$G$9:$G$1592,MATCH("[6574,""60516-NY-S-K-7""]",'SKU明细'!$AE$9:$AE$1592,0)))=1,SUM(INDEX('SKU明细'!$G$9:$G$1592,MATCH("[6574,""60516-NY-S-K-7""]",'SKU明细'!$AE$9:$AE$1592,0)))&gt;0),SUM(INDEX('SKU明细'!$H$9:$H$1592,MATCH("[6574,""60516-NY-S-K-7""]",'SKU明细'!$AE$9:$AE$1592,0)))/SUM(INDEX('SKU明细'!$G$9:$G$1592,MATCH("[6574,""60516-NY-S-K-7""]",'SKU明细'!$AE$9:$AE$1592,0))),"待核")</x:f>
        <x:v>待核</x:v>
      </x:c>
      <x:c r="K121" s="21" t="str">
        <x:f>IF(AND(COUNT(INDEX('SKU明细'!$H$9:$H$1592,MATCH("[6574,""60516-NY-S-K-7.5""]",'SKU明细'!$AE$9:$AE$1592,0)))=1,COUNT(INDEX('SKU明细'!$G$9:$G$1592,MATCH("[6574,""60516-NY-S-K-7.5""]",'SKU明细'!$AE$9:$AE$1592,0)))=1,SUM(INDEX('SKU明细'!$G$9:$G$1592,MATCH("[6574,""60516-NY-S-K-7.5""]",'SKU明细'!$AE$9:$AE$1592,0)))&gt;0),SUM(INDEX('SKU明细'!$H$9:$H$1592,MATCH("[6574,""60516-NY-S-K-7.5""]",'SKU明细'!$AE$9:$AE$1592,0)))/SUM(INDEX('SKU明细'!$G$9:$G$1592,MATCH("[6574,""60516-NY-S-K-7.5""]",'SKU明细'!$AE$9:$AE$1592,0))),"待核")</x:f>
        <x:v>待核</x:v>
      </x:c>
      <x:c r="L121" s="21" t="n">
        <x:f>IF(AND(COUNT(INDEX('SKU明细'!$H$9:$H$1592,MATCH("[6574,""60516-NY-S-K-8""]",'SKU明细'!$AE$9:$AE$1592,0)))=1,COUNT(INDEX('SKU明细'!$G$9:$G$1592,MATCH("[6574,""60516-NY-S-K-8""]",'SKU明细'!$AE$9:$AE$1592,0)))=1,SUM(INDEX('SKU明细'!$G$9:$G$1592,MATCH("[6574,""60516-NY-S-K-8""]",'SKU明细'!$AE$9:$AE$1592,0)))&gt;0),SUM(INDEX('SKU明细'!$H$9:$H$1592,MATCH("[6574,""60516-NY-S-K-8""]",'SKU明细'!$AE$9:$AE$1592,0)))/SUM(INDEX('SKU明细'!$G$9:$G$1592,MATCH("[6574,""60516-NY-S-K-8""]",'SKU明细'!$AE$9:$AE$1592,0))),"待核")</x:f>
        <x:v>38.764044943820224</x:v>
      </x:c>
      <x:c r="M121" s="21" t="str">
        <x:f>IF(AND(COUNT(INDEX('SKU明细'!$H$9:$H$1592,MATCH("[6574,""60516-NY-S-K-8.5""]",'SKU明细'!$AE$9:$AE$1592,0)))=1,COUNT(INDEX('SKU明细'!$G$9:$G$1592,MATCH("[6574,""60516-NY-S-K-8.5""]",'SKU明细'!$AE$9:$AE$1592,0)))=1,SUM(INDEX('SKU明细'!$G$9:$G$1592,MATCH("[6574,""60516-NY-S-K-8.5""]",'SKU明细'!$AE$9:$AE$1592,0)))&gt;0),SUM(INDEX('SKU明细'!$H$9:$H$1592,MATCH("[6574,""60516-NY-S-K-8.5""]",'SKU明细'!$AE$9:$AE$1592,0)))/SUM(INDEX('SKU明细'!$G$9:$G$1592,MATCH("[6574,""60516-NY-S-K-8.5""]",'SKU明细'!$AE$9:$AE$1592,0))),"待核")</x:f>
        <x:v>待核</x:v>
      </x:c>
      <x:c r="N121" s="21" t="n">
        <x:f>IF(AND(COUNT(INDEX('SKU明细'!$H$9:$H$1592,MATCH("[6574,""60516-NY-S-K-9""]",'SKU明细'!$AE$9:$AE$1592,0)))=1,COUNT(INDEX('SKU明细'!$G$9:$G$1592,MATCH("[6574,""60516-NY-S-K-9""]",'SKU明细'!$AE$9:$AE$1592,0)))=1,SUM(INDEX('SKU明细'!$G$9:$G$1592,MATCH("[6574,""60516-NY-S-K-9""]",'SKU明细'!$AE$9:$AE$1592,0)))&gt;0),SUM(INDEX('SKU明细'!$H$9:$H$1592,MATCH("[6574,""60516-NY-S-K-9""]",'SKU明细'!$AE$9:$AE$1592,0)))/SUM(INDEX('SKU明细'!$G$9:$G$1592,MATCH("[6574,""60516-NY-S-K-9""]",'SKU明细'!$AE$9:$AE$1592,0))),"待核")</x:f>
        <x:v>39.965397923875436</x:v>
      </x:c>
      <x:c r="O121" s="21" t="str">
        <x:f>IF(AND(COUNT(INDEX('SKU明细'!$H$9:$H$1592,MATCH("[6574,""60516-NY-S-K-9.5""]",'SKU明细'!$AE$9:$AE$1592,0)))=1,COUNT(INDEX('SKU明细'!$G$9:$G$1592,MATCH("[6574,""60516-NY-S-K-9.5""]",'SKU明细'!$AE$9:$AE$1592,0)))=1,SUM(INDEX('SKU明细'!$G$9:$G$1592,MATCH("[6574,""60516-NY-S-K-9.5""]",'SKU明细'!$AE$9:$AE$1592,0)))&gt;0),SUM(INDEX('SKU明细'!$H$9:$H$1592,MATCH("[6574,""60516-NY-S-K-9.5""]",'SKU明细'!$AE$9:$AE$1592,0)))/SUM(INDEX('SKU明细'!$G$9:$G$1592,MATCH("[6574,""60516-NY-S-K-9.5""]",'SKU明细'!$AE$9:$AE$1592,0))),"待核")</x:f>
        <x:v>待核</x:v>
      </x:c>
      <x:c r="P121" s="21" t="n">
        <x:f>IF(AND(COUNT(INDEX('SKU明细'!$H$9:$H$1592,MATCH("[6574,""60516-NY-S-K-10""]",'SKU明细'!$AE$9:$AE$1592,0)))=1,COUNT(INDEX('SKU明细'!$G$9:$G$1592,MATCH("[6574,""60516-NY-S-K-10""]",'SKU明细'!$AE$9:$AE$1592,0)))=1,SUM(INDEX('SKU明细'!$G$9:$G$1592,MATCH("[6574,""60516-NY-S-K-10""]",'SKU明细'!$AE$9:$AE$1592,0)))&gt;0),SUM(INDEX('SKU明细'!$H$9:$H$1592,MATCH("[6574,""60516-NY-S-K-10""]",'SKU明细'!$AE$9:$AE$1592,0)))/SUM(INDEX('SKU明细'!$G$9:$G$1592,MATCH("[6574,""60516-NY-S-K-10""]",'SKU明细'!$AE$9:$AE$1592,0))),"待核")</x:f>
        <x:v>0</x:v>
      </x:c>
      <x:c r="Q121" s="21" t="str">
        <x:f>IF(AND(COUNT(INDEX('SKU明细'!$H$9:$H$1592,MATCH("[6574,""60516-NY-S-K-10.5""]",'SKU明细'!$AE$9:$AE$1592,0)))=1,COUNT(INDEX('SKU明细'!$G$9:$G$1592,MATCH("[6574,""60516-NY-S-K-10.5""]",'SKU明细'!$AE$9:$AE$1592,0)))=1,SUM(INDEX('SKU明细'!$G$9:$G$1592,MATCH("[6574,""60516-NY-S-K-10.5""]",'SKU明细'!$AE$9:$AE$1592,0)))&gt;0),SUM(INDEX('SKU明细'!$H$9:$H$1592,MATCH("[6574,""60516-NY-S-K-10.5""]",'SKU明细'!$AE$9:$AE$1592,0)))/SUM(INDEX('SKU明细'!$G$9:$G$1592,MATCH("[6574,""60516-NY-S-K-10.5""]",'SKU明细'!$AE$9:$AE$1592,0))),"待核")</x:f>
        <x:v>待核</x:v>
      </x:c>
      <x:c r="R121" s="21" t="str">
        <x:f>IF(AND(COUNT(INDEX('SKU明细'!$H$9:$H$1592,MATCH("[6574,""60516-NY-S-K-11""]",'SKU明细'!$AE$9:$AE$1592,0)))=1,COUNT(INDEX('SKU明细'!$G$9:$G$1592,MATCH("[6574,""60516-NY-S-K-11""]",'SKU明细'!$AE$9:$AE$1592,0)))=1,SUM(INDEX('SKU明细'!$G$9:$G$1592,MATCH("[6574,""60516-NY-S-K-11""]",'SKU明细'!$AE$9:$AE$1592,0)))&gt;0),SUM(INDEX('SKU明细'!$H$9:$H$1592,MATCH("[6574,""60516-NY-S-K-11""]",'SKU明细'!$AE$9:$AE$1592,0)))/SUM(INDEX('SKU明细'!$G$9:$G$1592,MATCH("[6574,""60516-NY-S-K-11""]",'SKU明细'!$AE$9:$AE$1592,0))),"待核")</x:f>
        <x:v>待核</x:v>
      </x:c>
      <x:c r="S121" s="21" t="n">
        <x:f>IF(AND(COUNT(INDEX('SKU明细'!$H$9:$H$1592,MATCH("[6574,""60516-NY-S-K-10""]",'SKU明细'!$AE$9:$AE$1592,0)),INDEX('SKU明细'!$H$9:$H$1592,MATCH("[6574,""60516-NY-S-K-11""]",'SKU明细'!$AE$9:$AE$1592,0)),INDEX('SKU明细'!$H$9:$H$1592,MATCH("[6574,""60516-NY-S-K-6""]",'SKU明细'!$AE$9:$AE$1592,0)),INDEX('SKU明细'!$H$9:$H$1592,MATCH("[6574,""60516-NY-S-K-7""]",'SKU明细'!$AE$9:$AE$1592,0)),INDEX('SKU明细'!$H$9:$H$1592,MATCH("[6574,""60516-NY-S-K-8""]",'SKU明细'!$AE$9:$AE$1592,0)),INDEX('SKU明细'!$H$9:$H$1592,MATCH("[6574,""60516-NY-S-K-9""]",'SKU明细'!$AE$9:$AE$1592,0)))=6,COUNT(INDEX('SKU明细'!$G$9:$G$1592,MATCH("[6574,""60516-NY-S-K-10""]",'SKU明细'!$AE$9:$AE$1592,0)),INDEX('SKU明细'!$G$9:$G$1592,MATCH("[6574,""60516-NY-S-K-11""]",'SKU明细'!$AE$9:$AE$1592,0)),INDEX('SKU明细'!$G$9:$G$1592,MATCH("[6574,""60516-NY-S-K-6""]",'SKU明细'!$AE$9:$AE$1592,0)),INDEX('SKU明细'!$G$9:$G$1592,MATCH("[6574,""60516-NY-S-K-7""]",'SKU明细'!$AE$9:$AE$1592,0)),INDEX('SKU明细'!$G$9:$G$1592,MATCH("[6574,""60516-NY-S-K-8""]",'SKU明细'!$AE$9:$AE$1592,0)),INDEX('SKU明细'!$G$9:$G$1592,MATCH("[6574,""60516-NY-S-K-9""]",'SKU明细'!$AE$9:$AE$1592,0)))=6,SUM(INDEX('SKU明细'!$G$9:$G$1592,MATCH("[6574,""60516-NY-S-K-10""]",'SKU明细'!$AE$9:$AE$1592,0)),INDEX('SKU明细'!$G$9:$G$1592,MATCH("[6574,""60516-NY-S-K-11""]",'SKU明细'!$AE$9:$AE$1592,0)),INDEX('SKU明细'!$G$9:$G$1592,MATCH("[6574,""60516-NY-S-K-6""]",'SKU明细'!$AE$9:$AE$1592,0)),INDEX('SKU明细'!$G$9:$G$1592,MATCH("[6574,""60516-NY-S-K-7""]",'SKU明细'!$AE$9:$AE$1592,0)),INDEX('SKU明细'!$G$9:$G$1592,MATCH("[6574,""60516-NY-S-K-8""]",'SKU明细'!$AE$9:$AE$1592,0)),INDEX('SKU明细'!$G$9:$G$1592,MATCH("[6574,""60516-NY-S-K-9""]",'SKU明细'!$AE$9:$AE$1592,0)))&gt;0),SUM(INDEX('SKU明细'!$H$9:$H$1592,MATCH("[6574,""60516-NY-S-K-10""]",'SKU明细'!$AE$9:$AE$1592,0)),INDEX('SKU明细'!$H$9:$H$1592,MATCH("[6574,""60516-NY-S-K-11""]",'SKU明细'!$AE$9:$AE$1592,0)),INDEX('SKU明细'!$H$9:$H$1592,MATCH("[6574,""60516-NY-S-K-6""]",'SKU明细'!$AE$9:$AE$1592,0)),INDEX('SKU明细'!$H$9:$H$1592,MATCH("[6574,""60516-NY-S-K-7""]",'SKU明细'!$AE$9:$AE$1592,0)),INDEX('SKU明细'!$H$9:$H$1592,MATCH("[6574,""60516-NY-S-K-8""]",'SKU明细'!$AE$9:$AE$1592,0)),INDEX('SKU明细'!$H$9:$H$1592,MATCH("[6574,""60516-NY-S-K-9""]",'SKU明细'!$AE$9:$AE$1592,0)))/SUM(INDEX('SKU明细'!$G$9:$G$1592,MATCH("[6574,""60516-NY-S-K-10""]",'SKU明细'!$AE$9:$AE$1592,0)),INDEX('SKU明细'!$G$9:$G$1592,MATCH("[6574,""60516-NY-S-K-11""]",'SKU明细'!$AE$9:$AE$1592,0)),INDEX('SKU明细'!$G$9:$G$1592,MATCH("[6574,""60516-NY-S-K-6""]",'SKU明细'!$AE$9:$AE$1592,0)),INDEX('SKU明细'!$G$9:$G$1592,MATCH("[6574,""60516-NY-S-K-7""]",'SKU明细'!$AE$9:$AE$1592,0)),INDEX('SKU明细'!$G$9:$G$1592,MATCH("[6574,""60516-NY-S-K-8""]",'SKU明细'!$AE$9:$AE$1592,0)),INDEX('SKU明细'!$G$9:$G$1592,MATCH("[6574,""60516-NY-S-K-9""]",'SKU明细'!$AE$9:$AE$1592,0))),"待核")</x:f>
        <x:v>31.453744493392072</x:v>
      </x:c>
      <x:c r="T121" s="21" t="str">
        <x:f>IF(AND(COUNT(INDEX('SKU明细'!$I$9:$I$1592,MATCH("[6574,""60516-NY-S-K-10""]",'SKU明细'!$AE$9:$AE$1592,0)),INDEX('SKU明细'!$I$9:$I$1592,MATCH("[6574,""60516-NY-S-K-11""]",'SKU明细'!$AE$9:$AE$1592,0)),INDEX('SKU明细'!$I$9:$I$1592,MATCH("[6574,""60516-NY-S-K-6""]",'SKU明细'!$AE$9:$AE$1592,0)),INDEX('SKU明细'!$I$9:$I$1592,MATCH("[6574,""60516-NY-S-K-7""]",'SKU明细'!$AE$9:$AE$1592,0)),INDEX('SKU明细'!$I$9:$I$1592,MATCH("[6574,""60516-NY-S-K-8""]",'SKU明细'!$AE$9:$AE$1592,0)),INDEX('SKU明细'!$I$9:$I$1592,MATCH("[6574,""60516-NY-S-K-9""]",'SKU明细'!$AE$9:$AE$1592,0)))=6,COUNT(INDEX('SKU明细'!$AD$9:$AD$1592,MATCH("[6574,""60516-NY-S-K-10""]",'SKU明细'!$AE$9:$AE$1592,0)),INDEX('SKU明细'!$AD$9:$AD$1592,MATCH("[6574,""60516-NY-S-K-11""]",'SKU明细'!$AE$9:$AE$1592,0)),INDEX('SKU明细'!$AD$9:$AD$1592,MATCH("[6574,""60516-NY-S-K-6""]",'SKU明细'!$AE$9:$AE$1592,0)),INDEX('SKU明细'!$AD$9:$AD$1592,MATCH("[6574,""60516-NY-S-K-7""]",'SKU明细'!$AE$9:$AE$1592,0)),INDEX('SKU明细'!$AD$9:$AD$1592,MATCH("[6574,""60516-NY-S-K-8""]",'SKU明细'!$AE$9:$AE$1592,0)),INDEX('SKU明细'!$AD$9:$AD$1592,MATCH("[6574,""60516-NY-S-K-9""]",'SKU明细'!$AE$9:$AE$1592,0)))=6,SUM(INDEX('SKU明细'!$AD$9:$AD$1592,MATCH("[6574,""60516-NY-S-K-10""]",'SKU明细'!$AE$9:$AE$1592,0)),INDEX('SKU明细'!$AD$9:$AD$1592,MATCH("[6574,""60516-NY-S-K-11""]",'SKU明细'!$AE$9:$AE$1592,0)),INDEX('SKU明细'!$AD$9:$AD$1592,MATCH("[6574,""60516-NY-S-K-6""]",'SKU明细'!$AE$9:$AE$1592,0)),INDEX('SKU明细'!$AD$9:$AD$1592,MATCH("[6574,""60516-NY-S-K-7""]",'SKU明细'!$AE$9:$AE$1592,0)),INDEX('SKU明细'!$AD$9:$AD$1592,MATCH("[6574,""60516-NY-S-K-8""]",'SKU明细'!$AE$9:$AE$1592,0)),INDEX('SKU明细'!$AD$9:$AD$1592,MATCH("[6574,""60516-NY-S-K-9""]",'SKU明细'!$AE$9:$AE$1592,0)))&gt;0),SUM(INDEX('SKU明细'!$I$9:$I$1592,MATCH("[6574,""60516-NY-S-K-10""]",'SKU明细'!$AE$9:$AE$1592,0)),INDEX('SKU明细'!$I$9:$I$1592,MATCH("[6574,""60516-NY-S-K-11""]",'SKU明细'!$AE$9:$AE$1592,0)),INDEX('SKU明细'!$I$9:$I$1592,MATCH("[6574,""60516-NY-S-K-6""]",'SKU明细'!$AE$9:$AE$1592,0)),INDEX('SKU明细'!$I$9:$I$1592,MATCH("[6574,""60516-NY-S-K-7""]",'SKU明细'!$AE$9:$AE$1592,0)),INDEX('SKU明细'!$I$9:$I$1592,MATCH("[6574,""60516-NY-S-K-8""]",'SKU明细'!$AE$9:$AE$1592,0)),INDEX('SKU明细'!$I$9:$I$1592,MATCH("[6574,""60516-NY-S-K-9""]",'SKU明细'!$AE$9:$AE$1592,0)))/SUM(INDEX('SKU明细'!$AD$9:$AD$1592,MATCH("[6574,""60516-NY-S-K-10""]",'SKU明细'!$AE$9:$AE$1592,0)),INDEX('SKU明细'!$AD$9:$AD$1592,MATCH("[6574,""60516-NY-S-K-11""]",'SKU明细'!$AE$9:$AE$1592,0)),INDEX('SKU明细'!$AD$9:$AD$1592,MATCH("[6574,""60516-NY-S-K-6""]",'SKU明细'!$AE$9:$AE$1592,0)),INDEX('SKU明细'!$AD$9:$AD$1592,MATCH("[6574,""60516-NY-S-K-7""]",'SKU明细'!$AE$9:$AE$1592,0)),INDEX('SKU明细'!$AD$9:$AD$1592,MATCH("[6574,""60516-NY-S-K-8""]",'SKU明细'!$AE$9:$AE$1592,0)),INDEX('SKU明细'!$AD$9:$AD$1592,MATCH("[6574,""60516-NY-S-K-9""]",'SKU明细'!$AE$9:$AE$1592,0))),"待核")</x:f>
        <x:v>待核</x:v>
      </x:c>
      <x:c r="U121" s="21" t="str">
        <x:f>IF(COUNT(S121:T121)=2,S121-T121,"待核")</x:f>
        <x:v>待核</x:v>
      </x:c>
      <x:c r="V121" s="22" t="str">
        <x:f>IF(AND(ISNUMBER(U121),ISNUMBER(T121),T121&lt;&gt;0),U121/T121,"")</x:f>
      </x:c>
      <x:c r="W121" s="23" t="n">
        <x:f>IF(COUNT(INDEX('SKU明细'!$H$9:$H$1592,MATCH("[6574,""60516-NY-S-K-10""]",'SKU明细'!$AE$9:$AE$1592,0)),INDEX('SKU明细'!$H$9:$H$1592,MATCH("[6574,""60516-NY-S-K-10.5""]",'SKU明细'!$AE$9:$AE$1592,0)),INDEX('SKU明细'!$H$9:$H$1592,MATCH("[6574,""60516-NY-S-K-11""]",'SKU明细'!$AE$9:$AE$1592,0)),INDEX('SKU明细'!$H$9:$H$1592,MATCH("[6574,""60516-NY-S-K-6""]",'SKU明细'!$AE$9:$AE$1592,0)),INDEX('SKU明细'!$H$9:$H$1592,MATCH("[6574,""60516-NY-S-K-6.5""]",'SKU明细'!$AE$9:$AE$1592,0)),INDEX('SKU明细'!$H$9:$H$1592,MATCH("[6574,""60516-NY-S-K-7""]",'SKU明细'!$AE$9:$AE$1592,0)),INDEX('SKU明细'!$H$9:$H$1592,MATCH("[6574,""60516-NY-S-K-7.5""]",'SKU明细'!$AE$9:$AE$1592,0)),INDEX('SKU明细'!$H$9:$H$1592,MATCH("[6574,""60516-NY-S-K-8.5""]",'SKU明细'!$AE$9:$AE$1592,0)),INDEX('SKU明细'!$H$9:$H$1592,MATCH("[6574,""60516-NY-S-K-9.5""]",'SKU明细'!$AE$9:$AE$1592,0)),INDEX('SKU明细'!$H$9:$H$1592,MATCH("[6574,""60516-NY-S-K-8""]",'SKU明细'!$AE$9:$AE$1592,0)),INDEX('SKU明细'!$H$9:$H$1592,MATCH("[6574,""60516-NY-S-K-9""]",'SKU明细'!$AE$9:$AE$1592,0)))=0,"待核",SUM(INDEX('SKU明细'!$H$9:$H$1592,MATCH("[6574,""60516-NY-S-K-10""]",'SKU明细'!$AE$9:$AE$1592,0)),INDEX('SKU明细'!$H$9:$H$1592,MATCH("[6574,""60516-NY-S-K-10.5""]",'SKU明细'!$AE$9:$AE$1592,0)),INDEX('SKU明细'!$H$9:$H$1592,MATCH("[6574,""60516-NY-S-K-11""]",'SKU明细'!$AE$9:$AE$1592,0)),INDEX('SKU明细'!$H$9:$H$1592,MATCH("[6574,""60516-NY-S-K-6""]",'SKU明细'!$AE$9:$AE$1592,0)),INDEX('SKU明细'!$H$9:$H$1592,MATCH("[6574,""60516-NY-S-K-6.5""]",'SKU明细'!$AE$9:$AE$1592,0)),INDEX('SKU明细'!$H$9:$H$1592,MATCH("[6574,""60516-NY-S-K-7""]",'SKU明细'!$AE$9:$AE$1592,0)),INDEX('SKU明细'!$H$9:$H$1592,MATCH("[6574,""60516-NY-S-K-7.5""]",'SKU明细'!$AE$9:$AE$1592,0)),INDEX('SKU明细'!$H$9:$H$1592,MATCH("[6574,""60516-NY-S-K-8.5""]",'SKU明细'!$AE$9:$AE$1592,0)),INDEX('SKU明细'!$H$9:$H$1592,MATCH("[6574,""60516-NY-S-K-9.5""]",'SKU明细'!$AE$9:$AE$1592,0)),INDEX('SKU明细'!$H$9:$H$1592,MATCH("[6574,""60516-NY-S-K-8""]",'SKU明细'!$AE$9:$AE$1592,0)),INDEX('SKU明细'!$H$9:$H$1592,MATCH("[6574,""60516-NY-S-K-9""]",'SKU明细'!$AE$9:$AE$1592,0))))</x:f>
        <x:v>34</x:v>
      </x:c>
      <x:c r="X121" s="24" t="str">
        <x:f>IF(COUNTIFS('SKU明细'!$AH$9:$AH$1592,"[""60516"",""60516-NY-S-K"",""NY"",""藏青色""]",'SKU明细'!$E$9:$E$1592,"促销")&gt;0,"促销 ","")&amp;IF(COUNTIFS('SKU明细'!$AH$9:$AH$1592,"[""60516"",""60516-NY-S-K"",""NY"",""藏青色""]",'SKU明细'!$E$9:$E$1592,"红线促销")&gt;0,"红线促销 ","")&amp;IF(COUNTIFS('SKU明细'!$AH$9:$AH$1592,"[""60516"",""60516-NY-S-K"",""NY"",""藏青色""]",'SKU明细'!$E$9:$E$1592,"考虑清仓")&gt;0,"考虑清仓 ","")&amp;IF(COUNTIFS('SKU明细'!$AH$9:$AH$1592,"[""60516"",""60516-NY-S-K"",""NY"",""藏青色""]",'SKU明细'!$E$9:$E$1592,"断货")&gt;0,"断货 ","")&amp;IF(COUNTIFS('SKU明细'!$AH$9:$AH$1592,"[""60516"",""60516-NY-S-K"",""NY"",""藏青色""]",'SKU明细'!$E$9:$E$1592,"零日销待复核")&gt;0,"零日销待复核 ","")&amp;IF(COUNTIFS('SKU明细'!$AH$9:$AH$1592,"[""60516"",""60516-NY-S-K"",""NY"",""藏青色""]",'SKU明细'!$E$9:$E$1592,"数据待核")&gt;0,"数据待核 ","")&amp;IF(COUNTIFS('SKU明细'!$AH$9:$AH$1592,"[""60516"",""60516-NY-S-K"",""NY"",""藏青色""]",'SKU明细'!$E$9:$E$1592,"正常库存")&gt;0,"正常库存 ","")&amp;IF(COUNTIFS('SKU明细'!$AH$9:$AH$1592,"[""60516"",""60516-NY-S-K"",""NY"",""藏青色""]",'SKU明细'!$E$9:$E$1592,"补货提醒")&gt;0,"补货提醒 ","")</x:f>
        <x:v>断货 补货提醒 </x:v>
      </x:c>
      <x:c r="Y121" s="24" t="str">
        <x:f>IF(NOT(ISNUMBER(U121)),"覆盖待核／无可比基准","仅共同SKU")</x:f>
        <x:v>覆盖待核／无可比基准</x:v>
      </x:c>
      <x:c r="Z121" s="24" t="str">
        <x:v>在售、停售</x:v>
      </x:c>
      <x:c r="AA121" s="24" t="n">
        <x:f>IF(SUMIFS('SKU明细'!$AF$9:$AF$1592,'SKU明细'!$D$9:$D$1592,A121,'SKU明细'!$Z$9:$Z$1592,"&lt;&gt;移出")=0,"待核",SUMIFS('SKU明细'!$H$9:$H$1592,'SKU明细'!$D$9:$D$1592,A121,'SKU明细'!$Z$9:$Z$1592,"&lt;&gt;移出"))</x:f>
        <x:v>886</x:v>
      </x:c>
    </x:row>
    <x:row r="122" ht="54" customHeight="1">
      <x:c r="A122" s="20" t="str">
        <x:v>60516</x:v>
      </x:c>
      <x:c r="B122" s="20" t="str">
        <x:v>徐新怡</x:v>
      </x:c>
      <x:c r="C122" s="20" t="str">
        <x:v>红色</x:v>
      </x:c>
      <x:c r="D122" s="20" t="str">
        <x:v>RD</x:v>
      </x:c>
      <x:c r="E122" s="20" t="str">
        <x:v>60516-RD-S-K</x:v>
      </x:c>
      <x:c r="F122" s="20"/>
      <x:c r="G122" s="21" t="str">
        <x:f>"—"</x:f>
        <x:v>—</x:v>
      </x:c>
      <x:c r="H122" s="21" t="n">
        <x:f>IF(AND(COUNT(INDEX('SKU明细'!$H$9:$H$1592,MATCH("[6574,""60516-RD-S-K-6""]",'SKU明细'!$AE$9:$AE$1592,0)))=1,COUNT(INDEX('SKU明细'!$G$9:$G$1592,MATCH("[6574,""60516-RD-S-K-6""]",'SKU明细'!$AE$9:$AE$1592,0)))=1,SUM(INDEX('SKU明细'!$G$9:$G$1592,MATCH("[6574,""60516-RD-S-K-6""]",'SKU明细'!$AE$9:$AE$1592,0)))&gt;0),SUM(INDEX('SKU明细'!$H$9:$H$1592,MATCH("[6574,""60516-RD-S-K-6""]",'SKU明细'!$AE$9:$AE$1592,0)))/SUM(INDEX('SKU明细'!$G$9:$G$1592,MATCH("[6574,""60516-RD-S-K-6""]",'SKU明细'!$AE$9:$AE$1592,0))),"待核")</x:f>
        <x:v>349.99999999999994</x:v>
      </x:c>
      <x:c r="I122" s="21" t="str">
        <x:f>IF(AND(COUNT(INDEX('SKU明细'!$H$9:$H$1592,MATCH("[6574,""60516-RD-S-K-6.5""]",'SKU明细'!$AE$9:$AE$1592,0)))=1,COUNT(INDEX('SKU明细'!$G$9:$G$1592,MATCH("[6574,""60516-RD-S-K-6.5""]",'SKU明细'!$AE$9:$AE$1592,0)))=1,SUM(INDEX('SKU明细'!$G$9:$G$1592,MATCH("[6574,""60516-RD-S-K-6.5""]",'SKU明细'!$AE$9:$AE$1592,0)))&gt;0),SUM(INDEX('SKU明细'!$H$9:$H$1592,MATCH("[6574,""60516-RD-S-K-6.5""]",'SKU明细'!$AE$9:$AE$1592,0)))/SUM(INDEX('SKU明细'!$G$9:$G$1592,MATCH("[6574,""60516-RD-S-K-6.5""]",'SKU明细'!$AE$9:$AE$1592,0))),"待核")</x:f>
        <x:v>待核</x:v>
      </x:c>
      <x:c r="J122" s="21" t="n">
        <x:f>IF(AND(COUNT(INDEX('SKU明细'!$H$9:$H$1592,MATCH("[6574,""60516-RD-S-K-7""]",'SKU明细'!$AE$9:$AE$1592,0)))=1,COUNT(INDEX('SKU明细'!$G$9:$G$1592,MATCH("[6574,""60516-RD-S-K-7""]",'SKU明细'!$AE$9:$AE$1592,0)))=1,SUM(INDEX('SKU明细'!$G$9:$G$1592,MATCH("[6574,""60516-RD-S-K-7""]",'SKU明细'!$AE$9:$AE$1592,0)))&gt;0),SUM(INDEX('SKU明细'!$H$9:$H$1592,MATCH("[6574,""60516-RD-S-K-7""]",'SKU明细'!$AE$9:$AE$1592,0)))/SUM(INDEX('SKU明细'!$G$9:$G$1592,MATCH("[6574,""60516-RD-S-K-7""]",'SKU明细'!$AE$9:$AE$1592,0))),"待核")</x:f>
        <x:v>32.95964125560538</x:v>
      </x:c>
      <x:c r="K122" s="21" t="str">
        <x:f>IF(AND(COUNT(INDEX('SKU明细'!$H$9:$H$1592,MATCH("[6574,""60516-RD-S-K-7.5""]",'SKU明细'!$AE$9:$AE$1592,0)))=1,COUNT(INDEX('SKU明细'!$G$9:$G$1592,MATCH("[6574,""60516-RD-S-K-7.5""]",'SKU明细'!$AE$9:$AE$1592,0)))=1,SUM(INDEX('SKU明细'!$G$9:$G$1592,MATCH("[6574,""60516-RD-S-K-7.5""]",'SKU明细'!$AE$9:$AE$1592,0)))&gt;0),SUM(INDEX('SKU明细'!$H$9:$H$1592,MATCH("[6574,""60516-RD-S-K-7.5""]",'SKU明细'!$AE$9:$AE$1592,0)))/SUM(INDEX('SKU明细'!$G$9:$G$1592,MATCH("[6574,""60516-RD-S-K-7.5""]",'SKU明细'!$AE$9:$AE$1592,0))),"待核")</x:f>
        <x:v>待核</x:v>
      </x:c>
      <x:c r="L122" s="21" t="n">
        <x:f>IF(AND(COUNT(INDEX('SKU明细'!$H$9:$H$1592,MATCH("[6574,""60516-RD-S-K-8""]",'SKU明细'!$AE$9:$AE$1592,0)))=1,COUNT(INDEX('SKU明细'!$G$9:$G$1592,MATCH("[6574,""60516-RD-S-K-8""]",'SKU明细'!$AE$9:$AE$1592,0)))=1,SUM(INDEX('SKU明细'!$G$9:$G$1592,MATCH("[6574,""60516-RD-S-K-8""]",'SKU明细'!$AE$9:$AE$1592,0)))&gt;0),SUM(INDEX('SKU明细'!$H$9:$H$1592,MATCH("[6574,""60516-RD-S-K-8""]",'SKU明细'!$AE$9:$AE$1592,0)))/SUM(INDEX('SKU明细'!$G$9:$G$1592,MATCH("[6574,""60516-RD-S-K-8""]",'SKU明细'!$AE$9:$AE$1592,0))),"待核")</x:f>
        <x:v>98.37067209775968</x:v>
      </x:c>
      <x:c r="M122" s="21" t="str">
        <x:f>IF(AND(COUNT(INDEX('SKU明细'!$H$9:$H$1592,MATCH("[6574,""60516-RD-S-K-8.5""]",'SKU明细'!$AE$9:$AE$1592,0)))=1,COUNT(INDEX('SKU明细'!$G$9:$G$1592,MATCH("[6574,""60516-RD-S-K-8.5""]",'SKU明细'!$AE$9:$AE$1592,0)))=1,SUM(INDEX('SKU明细'!$G$9:$G$1592,MATCH("[6574,""60516-RD-S-K-8.5""]",'SKU明细'!$AE$9:$AE$1592,0)))&gt;0),SUM(INDEX('SKU明细'!$H$9:$H$1592,MATCH("[6574,""60516-RD-S-K-8.5""]",'SKU明细'!$AE$9:$AE$1592,0)))/SUM(INDEX('SKU明细'!$G$9:$G$1592,MATCH("[6574,""60516-RD-S-K-8.5""]",'SKU明细'!$AE$9:$AE$1592,0))),"待核")</x:f>
        <x:v>待核</x:v>
      </x:c>
      <x:c r="N122" s="21" t="n">
        <x:f>IF(AND(COUNT(INDEX('SKU明细'!$H$9:$H$1592,MATCH("[6574,""60516-RD-S-K-9""]",'SKU明细'!$AE$9:$AE$1592,0)))=1,COUNT(INDEX('SKU明细'!$G$9:$G$1592,MATCH("[6574,""60516-RD-S-K-9""]",'SKU明细'!$AE$9:$AE$1592,0)))=1,SUM(INDEX('SKU明细'!$G$9:$G$1592,MATCH("[6574,""60516-RD-S-K-9""]",'SKU明细'!$AE$9:$AE$1592,0)))&gt;0),SUM(INDEX('SKU明细'!$H$9:$H$1592,MATCH("[6574,""60516-RD-S-K-9""]",'SKU明细'!$AE$9:$AE$1592,0)))/SUM(INDEX('SKU明细'!$G$9:$G$1592,MATCH("[6574,""60516-RD-S-K-9""]",'SKU明细'!$AE$9:$AE$1592,0))),"待核")</x:f>
        <x:v>0</x:v>
      </x:c>
      <x:c r="O122" s="21" t="str">
        <x:f>IF(AND(COUNT(INDEX('SKU明细'!$H$9:$H$1592,MATCH("[6574,""60516-RD-S-K-9.5""]",'SKU明细'!$AE$9:$AE$1592,0)))=1,COUNT(INDEX('SKU明细'!$G$9:$G$1592,MATCH("[6574,""60516-RD-S-K-9.5""]",'SKU明细'!$AE$9:$AE$1592,0)))=1,SUM(INDEX('SKU明细'!$G$9:$G$1592,MATCH("[6574,""60516-RD-S-K-9.5""]",'SKU明细'!$AE$9:$AE$1592,0)))&gt;0),SUM(INDEX('SKU明细'!$H$9:$H$1592,MATCH("[6574,""60516-RD-S-K-9.5""]",'SKU明细'!$AE$9:$AE$1592,0)))/SUM(INDEX('SKU明细'!$G$9:$G$1592,MATCH("[6574,""60516-RD-S-K-9.5""]",'SKU明细'!$AE$9:$AE$1592,0))),"待核")</x:f>
        <x:v>待核</x:v>
      </x:c>
      <x:c r="P122" s="21" t="n">
        <x:f>IF(AND(COUNT(INDEX('SKU明细'!$H$9:$H$1592,MATCH("[6574,""60516-RD-S-K-10""]",'SKU明细'!$AE$9:$AE$1592,0)))=1,COUNT(INDEX('SKU明细'!$G$9:$G$1592,MATCH("[6574,""60516-RD-S-K-10""]",'SKU明细'!$AE$9:$AE$1592,0)))=1,SUM(INDEX('SKU明细'!$G$9:$G$1592,MATCH("[6574,""60516-RD-S-K-10""]",'SKU明细'!$AE$9:$AE$1592,0)))&gt;0),SUM(INDEX('SKU明细'!$H$9:$H$1592,MATCH("[6574,""60516-RD-S-K-10""]",'SKU明细'!$AE$9:$AE$1592,0)))/SUM(INDEX('SKU明细'!$G$9:$G$1592,MATCH("[6574,""60516-RD-S-K-10""]",'SKU明细'!$AE$9:$AE$1592,0))),"待核")</x:f>
        <x:v>36.950146627565985</x:v>
      </x:c>
      <x:c r="Q122" s="21" t="n">
        <x:f>IF(AND(COUNT(INDEX('SKU明细'!$H$9:$H$1592,MATCH("[6574,""60516-RD-S-K-10.5""]",'SKU明细'!$AE$9:$AE$1592,0)))=1,COUNT(INDEX('SKU明细'!$G$9:$G$1592,MATCH("[6574,""60516-RD-S-K-10.5""]",'SKU明细'!$AE$9:$AE$1592,0)))=1,SUM(INDEX('SKU明细'!$G$9:$G$1592,MATCH("[6574,""60516-RD-S-K-10.5""]",'SKU明细'!$AE$9:$AE$1592,0)))&gt;0),SUM(INDEX('SKU明细'!$H$9:$H$1592,MATCH("[6574,""60516-RD-S-K-10.5""]",'SKU明细'!$AE$9:$AE$1592,0)))/SUM(INDEX('SKU明细'!$G$9:$G$1592,MATCH("[6574,""60516-RD-S-K-10.5""]",'SKU明细'!$AE$9:$AE$1592,0))),"待核")</x:f>
        <x:v>0</x:v>
      </x:c>
      <x:c r="R122" s="21" t="str">
        <x:f>IF(AND(COUNT(INDEX('SKU明细'!$H$9:$H$1592,MATCH("[6574,""60516-RD-S-K-11""]",'SKU明细'!$AE$9:$AE$1592,0)))=1,COUNT(INDEX('SKU明细'!$G$9:$G$1592,MATCH("[6574,""60516-RD-S-K-11""]",'SKU明细'!$AE$9:$AE$1592,0)))=1,SUM(INDEX('SKU明细'!$G$9:$G$1592,MATCH("[6574,""60516-RD-S-K-11""]",'SKU明细'!$AE$9:$AE$1592,0)))&gt;0),SUM(INDEX('SKU明细'!$H$9:$H$1592,MATCH("[6574,""60516-RD-S-K-11""]",'SKU明细'!$AE$9:$AE$1592,0)))/SUM(INDEX('SKU明细'!$G$9:$G$1592,MATCH("[6574,""60516-RD-S-K-11""]",'SKU明细'!$AE$9:$AE$1592,0))),"待核")</x:f>
        <x:v>待核</x:v>
      </x:c>
      <x:c r="S122" s="21" t="n">
        <x:f>IF(AND(COUNT(INDEX('SKU明细'!$H$9:$H$1592,MATCH("[6574,""60516-RD-S-K-6""]",'SKU明细'!$AE$9:$AE$1592,0)),INDEX('SKU明细'!$H$9:$H$1592,MATCH("[6574,""60516-RD-S-K-8""]",'SKU明细'!$AE$9:$AE$1592,0)),INDEX('SKU明细'!$H$9:$H$1592,MATCH("[6574,""60516-RD-S-K-11""]",'SKU明细'!$AE$9:$AE$1592,0)),INDEX('SKU明细'!$H$9:$H$1592,MATCH("[6574,""60516-RD-S-K-7.5""]",'SKU明细'!$AE$9:$AE$1592,0)),INDEX('SKU明细'!$H$9:$H$1592,MATCH("[6574,""60516-RD-S-K-8.5""]",'SKU明细'!$AE$9:$AE$1592,0)),INDEX('SKU明细'!$H$9:$H$1592,MATCH("[6574,""60516-RD-S-K-9""]",'SKU明细'!$AE$9:$AE$1592,0)),INDEX('SKU明细'!$H$9:$H$1592,MATCH("[6574,""60516-RD-S-K-10""]",'SKU明细'!$AE$9:$AE$1592,0)),INDEX('SKU明细'!$H$9:$H$1592,MATCH("[6574,""60516-RD-S-K-7""]",'SKU明细'!$AE$9:$AE$1592,0)))=8,COUNT(INDEX('SKU明细'!$G$9:$G$1592,MATCH("[6574,""60516-RD-S-K-6""]",'SKU明细'!$AE$9:$AE$1592,0)),INDEX('SKU明细'!$G$9:$G$1592,MATCH("[6574,""60516-RD-S-K-8""]",'SKU明细'!$AE$9:$AE$1592,0)),INDEX('SKU明细'!$G$9:$G$1592,MATCH("[6574,""60516-RD-S-K-11""]",'SKU明细'!$AE$9:$AE$1592,0)),INDEX('SKU明细'!$G$9:$G$1592,MATCH("[6574,""60516-RD-S-K-7.5""]",'SKU明细'!$AE$9:$AE$1592,0)),INDEX('SKU明细'!$G$9:$G$1592,MATCH("[6574,""60516-RD-S-K-8.5""]",'SKU明细'!$AE$9:$AE$1592,0)),INDEX('SKU明细'!$G$9:$G$1592,MATCH("[6574,""60516-RD-S-K-9""]",'SKU明细'!$AE$9:$AE$1592,0)),INDEX('SKU明细'!$G$9:$G$1592,MATCH("[6574,""60516-RD-S-K-10""]",'SKU明细'!$AE$9:$AE$1592,0)),INDEX('SKU明细'!$G$9:$G$1592,MATCH("[6574,""60516-RD-S-K-7""]",'SKU明细'!$AE$9:$AE$1592,0)))=8,SUM(INDEX('SKU明细'!$G$9:$G$1592,MATCH("[6574,""60516-RD-S-K-6""]",'SKU明细'!$AE$9:$AE$1592,0)),INDEX('SKU明细'!$G$9:$G$1592,MATCH("[6574,""60516-RD-S-K-8""]",'SKU明细'!$AE$9:$AE$1592,0)),INDEX('SKU明细'!$G$9:$G$1592,MATCH("[6574,""60516-RD-S-K-11""]",'SKU明细'!$AE$9:$AE$1592,0)),INDEX('SKU明细'!$G$9:$G$1592,MATCH("[6574,""60516-RD-S-K-7.5""]",'SKU明细'!$AE$9:$AE$1592,0)),INDEX('SKU明细'!$G$9:$G$1592,MATCH("[6574,""60516-RD-S-K-8.5""]",'SKU明细'!$AE$9:$AE$1592,0)),INDEX('SKU明细'!$G$9:$G$1592,MATCH("[6574,""60516-RD-S-K-9""]",'SKU明细'!$AE$9:$AE$1592,0)),INDEX('SKU明细'!$G$9:$G$1592,MATCH("[6574,""60516-RD-S-K-10""]",'SKU明细'!$AE$9:$AE$1592,0)),INDEX('SKU明细'!$G$9:$G$1592,MATCH("[6574,""60516-RD-S-K-7""]",'SKU明细'!$AE$9:$AE$1592,0)))&gt;0),SUM(INDEX('SKU明细'!$H$9:$H$1592,MATCH("[6574,""60516-RD-S-K-6""]",'SKU明细'!$AE$9:$AE$1592,0)),INDEX('SKU明细'!$H$9:$H$1592,MATCH("[6574,""60516-RD-S-K-8""]",'SKU明细'!$AE$9:$AE$1592,0)),INDEX('SKU明细'!$H$9:$H$1592,MATCH("[6574,""60516-RD-S-K-11""]",'SKU明细'!$AE$9:$AE$1592,0)),INDEX('SKU明细'!$H$9:$H$1592,MATCH("[6574,""60516-RD-S-K-7.5""]",'SKU明细'!$AE$9:$AE$1592,0)),INDEX('SKU明细'!$H$9:$H$1592,MATCH("[6574,""60516-RD-S-K-8.5""]",'SKU明细'!$AE$9:$AE$1592,0)),INDEX('SKU明细'!$H$9:$H$1592,MATCH("[6574,""60516-RD-S-K-9""]",'SKU明细'!$AE$9:$AE$1592,0)),INDEX('SKU明细'!$H$9:$H$1592,MATCH("[6574,""60516-RD-S-K-10""]",'SKU明细'!$AE$9:$AE$1592,0)),INDEX('SKU明细'!$H$9:$H$1592,MATCH("[6574,""60516-RD-S-K-7""]",'SKU明细'!$AE$9:$AE$1592,0)))/SUM(INDEX('SKU明细'!$G$9:$G$1592,MATCH("[6574,""60516-RD-S-K-6""]",'SKU明细'!$AE$9:$AE$1592,0)),INDEX('SKU明细'!$G$9:$G$1592,MATCH("[6574,""60516-RD-S-K-8""]",'SKU明细'!$AE$9:$AE$1592,0)),INDEX('SKU明细'!$G$9:$G$1592,MATCH("[6574,""60516-RD-S-K-11""]",'SKU明细'!$AE$9:$AE$1592,0)),INDEX('SKU明细'!$G$9:$G$1592,MATCH("[6574,""60516-RD-S-K-7.5""]",'SKU明细'!$AE$9:$AE$1592,0)),INDEX('SKU明细'!$G$9:$G$1592,MATCH("[6574,""60516-RD-S-K-8.5""]",'SKU明细'!$AE$9:$AE$1592,0)),INDEX('SKU明细'!$G$9:$G$1592,MATCH("[6574,""60516-RD-S-K-9""]",'SKU明细'!$AE$9:$AE$1592,0)),INDEX('SKU明细'!$G$9:$G$1592,MATCH("[6574,""60516-RD-S-K-10""]",'SKU明细'!$AE$9:$AE$1592,0)),INDEX('SKU明细'!$G$9:$G$1592,MATCH("[6574,""60516-RD-S-K-7""]",'SKU明细'!$AE$9:$AE$1592,0))),"待核")</x:f>
        <x:v>55.87871287128713</x:v>
      </x:c>
      <x:c r="T122" s="21" t="str">
        <x:f>IF(AND(COUNT(INDEX('SKU明细'!$I$9:$I$1592,MATCH("[6574,""60516-RD-S-K-6""]",'SKU明细'!$AE$9:$AE$1592,0)),INDEX('SKU明细'!$I$9:$I$1592,MATCH("[6574,""60516-RD-S-K-8""]",'SKU明细'!$AE$9:$AE$1592,0)),INDEX('SKU明细'!$I$9:$I$1592,MATCH("[6574,""60516-RD-S-K-11""]",'SKU明细'!$AE$9:$AE$1592,0)),INDEX('SKU明细'!$I$9:$I$1592,MATCH("[6574,""60516-RD-S-K-7.5""]",'SKU明细'!$AE$9:$AE$1592,0)),INDEX('SKU明细'!$I$9:$I$1592,MATCH("[6574,""60516-RD-S-K-8.5""]",'SKU明细'!$AE$9:$AE$1592,0)),INDEX('SKU明细'!$I$9:$I$1592,MATCH("[6574,""60516-RD-S-K-9""]",'SKU明细'!$AE$9:$AE$1592,0)),INDEX('SKU明细'!$I$9:$I$1592,MATCH("[6574,""60516-RD-S-K-10""]",'SKU明细'!$AE$9:$AE$1592,0)),INDEX('SKU明细'!$I$9:$I$1592,MATCH("[6574,""60516-RD-S-K-7""]",'SKU明细'!$AE$9:$AE$1592,0)))=8,COUNT(INDEX('SKU明细'!$AD$9:$AD$1592,MATCH("[6574,""60516-RD-S-K-6""]",'SKU明细'!$AE$9:$AE$1592,0)),INDEX('SKU明细'!$AD$9:$AD$1592,MATCH("[6574,""60516-RD-S-K-8""]",'SKU明细'!$AE$9:$AE$1592,0)),INDEX('SKU明细'!$AD$9:$AD$1592,MATCH("[6574,""60516-RD-S-K-11""]",'SKU明细'!$AE$9:$AE$1592,0)),INDEX('SKU明细'!$AD$9:$AD$1592,MATCH("[6574,""60516-RD-S-K-7.5""]",'SKU明细'!$AE$9:$AE$1592,0)),INDEX('SKU明细'!$AD$9:$AD$1592,MATCH("[6574,""60516-RD-S-K-8.5""]",'SKU明细'!$AE$9:$AE$1592,0)),INDEX('SKU明细'!$AD$9:$AD$1592,MATCH("[6574,""60516-RD-S-K-9""]",'SKU明细'!$AE$9:$AE$1592,0)),INDEX('SKU明细'!$AD$9:$AD$1592,MATCH("[6574,""60516-RD-S-K-10""]",'SKU明细'!$AE$9:$AE$1592,0)),INDEX('SKU明细'!$AD$9:$AD$1592,MATCH("[6574,""60516-RD-S-K-7""]",'SKU明细'!$AE$9:$AE$1592,0)))=8,SUM(INDEX('SKU明细'!$AD$9:$AD$1592,MATCH("[6574,""60516-RD-S-K-6""]",'SKU明细'!$AE$9:$AE$1592,0)),INDEX('SKU明细'!$AD$9:$AD$1592,MATCH("[6574,""60516-RD-S-K-8""]",'SKU明细'!$AE$9:$AE$1592,0)),INDEX('SKU明细'!$AD$9:$AD$1592,MATCH("[6574,""60516-RD-S-K-11""]",'SKU明细'!$AE$9:$AE$1592,0)),INDEX('SKU明细'!$AD$9:$AD$1592,MATCH("[6574,""60516-RD-S-K-7.5""]",'SKU明细'!$AE$9:$AE$1592,0)),INDEX('SKU明细'!$AD$9:$AD$1592,MATCH("[6574,""60516-RD-S-K-8.5""]",'SKU明细'!$AE$9:$AE$1592,0)),INDEX('SKU明细'!$AD$9:$AD$1592,MATCH("[6574,""60516-RD-S-K-9""]",'SKU明细'!$AE$9:$AE$1592,0)),INDEX('SKU明细'!$AD$9:$AD$1592,MATCH("[6574,""60516-RD-S-K-10""]",'SKU明细'!$AE$9:$AE$1592,0)),INDEX('SKU明细'!$AD$9:$AD$1592,MATCH("[6574,""60516-RD-S-K-7""]",'SKU明细'!$AE$9:$AE$1592,0)))&gt;0),SUM(INDEX('SKU明细'!$I$9:$I$1592,MATCH("[6574,""60516-RD-S-K-6""]",'SKU明细'!$AE$9:$AE$1592,0)),INDEX('SKU明细'!$I$9:$I$1592,MATCH("[6574,""60516-RD-S-K-8""]",'SKU明细'!$AE$9:$AE$1592,0)),INDEX('SKU明细'!$I$9:$I$1592,MATCH("[6574,""60516-RD-S-K-11""]",'SKU明细'!$AE$9:$AE$1592,0)),INDEX('SKU明细'!$I$9:$I$1592,MATCH("[6574,""60516-RD-S-K-7.5""]",'SKU明细'!$AE$9:$AE$1592,0)),INDEX('SKU明细'!$I$9:$I$1592,MATCH("[6574,""60516-RD-S-K-8.5""]",'SKU明细'!$AE$9:$AE$1592,0)),INDEX('SKU明细'!$I$9:$I$1592,MATCH("[6574,""60516-RD-S-K-9""]",'SKU明细'!$AE$9:$AE$1592,0)),INDEX('SKU明细'!$I$9:$I$1592,MATCH("[6574,""60516-RD-S-K-10""]",'SKU明细'!$AE$9:$AE$1592,0)),INDEX('SKU明细'!$I$9:$I$1592,MATCH("[6574,""60516-RD-S-K-7""]",'SKU明细'!$AE$9:$AE$1592,0)))/SUM(INDEX('SKU明细'!$AD$9:$AD$1592,MATCH("[6574,""60516-RD-S-K-6""]",'SKU明细'!$AE$9:$AE$1592,0)),INDEX('SKU明细'!$AD$9:$AD$1592,MATCH("[6574,""60516-RD-S-K-8""]",'SKU明细'!$AE$9:$AE$1592,0)),INDEX('SKU明细'!$AD$9:$AD$1592,MATCH("[6574,""60516-RD-S-K-11""]",'SKU明细'!$AE$9:$AE$1592,0)),INDEX('SKU明细'!$AD$9:$AD$1592,MATCH("[6574,""60516-RD-S-K-7.5""]",'SKU明细'!$AE$9:$AE$1592,0)),INDEX('SKU明细'!$AD$9:$AD$1592,MATCH("[6574,""60516-RD-S-K-8.5""]",'SKU明细'!$AE$9:$AE$1592,0)),INDEX('SKU明细'!$AD$9:$AD$1592,MATCH("[6574,""60516-RD-S-K-9""]",'SKU明细'!$AE$9:$AE$1592,0)),INDEX('SKU明细'!$AD$9:$AD$1592,MATCH("[6574,""60516-RD-S-K-10""]",'SKU明细'!$AE$9:$AE$1592,0)),INDEX('SKU明细'!$AD$9:$AD$1592,MATCH("[6574,""60516-RD-S-K-7""]",'SKU明细'!$AE$9:$AE$1592,0))),"待核")</x:f>
        <x:v>待核</x:v>
      </x:c>
      <x:c r="U122" s="21" t="str">
        <x:f>IF(COUNT(S122:T122)=2,S122-T122,"待核")</x:f>
        <x:v>待核</x:v>
      </x:c>
      <x:c r="V122" s="22" t="str">
        <x:f>IF(AND(ISNUMBER(U122),ISNUMBER(T122),T122&lt;&gt;0),U122/T122,"")</x:f>
      </x:c>
      <x:c r="W122" s="23" t="n">
        <x:f>IF(COUNT(INDEX('SKU明细'!$H$9:$H$1592,MATCH("[6574,""60516-RD-S-K-6""]",'SKU明细'!$AE$9:$AE$1592,0)),INDEX('SKU明细'!$H$9:$H$1592,MATCH("[6574,""60516-RD-S-K-8""]",'SKU明细'!$AE$9:$AE$1592,0)),INDEX('SKU明细'!$H$9:$H$1592,MATCH("[6574,""60516-RD-S-K-10.5""]",'SKU明细'!$AE$9:$AE$1592,0)),INDEX('SKU明细'!$H$9:$H$1592,MATCH("[6574,""60516-RD-S-K-11""]",'SKU明细'!$AE$9:$AE$1592,0)),INDEX('SKU明细'!$H$9:$H$1592,MATCH("[6574,""60516-RD-S-K-6.5""]",'SKU明细'!$AE$9:$AE$1592,0)),INDEX('SKU明细'!$H$9:$H$1592,MATCH("[6574,""60516-RD-S-K-7.5""]",'SKU明细'!$AE$9:$AE$1592,0)),INDEX('SKU明细'!$H$9:$H$1592,MATCH("[6574,""60516-RD-S-K-8.5""]",'SKU明细'!$AE$9:$AE$1592,0)),INDEX('SKU明细'!$H$9:$H$1592,MATCH("[6574,""60516-RD-S-K-9""]",'SKU明细'!$AE$9:$AE$1592,0)),INDEX('SKU明细'!$H$9:$H$1592,MATCH("[6574,""60516-RD-S-K-9.5""]",'SKU明细'!$AE$9:$AE$1592,0)),INDEX('SKU明细'!$H$9:$H$1592,MATCH("[6574,""60516-RD-S-K-10""]",'SKU明细'!$AE$9:$AE$1592,0)),INDEX('SKU明细'!$H$9:$H$1592,MATCH("[6574,""60516-RD-S-K-7""]",'SKU明细'!$AE$9:$AE$1592,0)))=0,"待核",SUM(INDEX('SKU明细'!$H$9:$H$1592,MATCH("[6574,""60516-RD-S-K-6""]",'SKU明细'!$AE$9:$AE$1592,0)),INDEX('SKU明细'!$H$9:$H$1592,MATCH("[6574,""60516-RD-S-K-8""]",'SKU明细'!$AE$9:$AE$1592,0)),INDEX('SKU明细'!$H$9:$H$1592,MATCH("[6574,""60516-RD-S-K-10.5""]",'SKU明细'!$AE$9:$AE$1592,0)),INDEX('SKU明细'!$H$9:$H$1592,MATCH("[6574,""60516-RD-S-K-11""]",'SKU明细'!$AE$9:$AE$1592,0)),INDEX('SKU明细'!$H$9:$H$1592,MATCH("[6574,""60516-RD-S-K-6.5""]",'SKU明细'!$AE$9:$AE$1592,0)),INDEX('SKU明细'!$H$9:$H$1592,MATCH("[6574,""60516-RD-S-K-7.5""]",'SKU明细'!$AE$9:$AE$1592,0)),INDEX('SKU明细'!$H$9:$H$1592,MATCH("[6574,""60516-RD-S-K-8.5""]",'SKU明细'!$AE$9:$AE$1592,0)),INDEX('SKU明细'!$H$9:$H$1592,MATCH("[6574,""60516-RD-S-K-9""]",'SKU明细'!$AE$9:$AE$1592,0)),INDEX('SKU明细'!$H$9:$H$1592,MATCH("[6574,""60516-RD-S-K-9.5""]",'SKU明细'!$AE$9:$AE$1592,0)),INDEX('SKU明细'!$H$9:$H$1592,MATCH("[6574,""60516-RD-S-K-10""]",'SKU明细'!$AE$9:$AE$1592,0)),INDEX('SKU明细'!$H$9:$H$1592,MATCH("[6574,""60516-RD-S-K-7""]",'SKU明细'!$AE$9:$AE$1592,0))))</x:f>
        <x:v>43</x:v>
      </x:c>
      <x:c r="X122" s="24" t="str">
        <x:f>IF(COUNTIFS('SKU明细'!$AH$9:$AH$1592,"[""60516"",""60516-RD-S-K"",""RD"",""红色""]",'SKU明细'!$E$9:$E$1592,"促销")&gt;0,"促销 ","")&amp;IF(COUNTIFS('SKU明细'!$AH$9:$AH$1592,"[""60516"",""60516-RD-S-K"",""RD"",""红色""]",'SKU明细'!$E$9:$E$1592,"红线促销")&gt;0,"红线促销 ","")&amp;IF(COUNTIFS('SKU明细'!$AH$9:$AH$1592,"[""60516"",""60516-RD-S-K"",""RD"",""红色""]",'SKU明细'!$E$9:$E$1592,"考虑清仓")&gt;0,"考虑清仓 ","")&amp;IF(COUNTIFS('SKU明细'!$AH$9:$AH$1592,"[""60516"",""60516-RD-S-K"",""RD"",""红色""]",'SKU明细'!$E$9:$E$1592,"断货")&gt;0,"断货 ","")&amp;IF(COUNTIFS('SKU明细'!$AH$9:$AH$1592,"[""60516"",""60516-RD-S-K"",""RD"",""红色""]",'SKU明细'!$E$9:$E$1592,"零日销待复核")&gt;0,"零日销待复核 ","")&amp;IF(COUNTIFS('SKU明细'!$AH$9:$AH$1592,"[""60516"",""60516-RD-S-K"",""RD"",""红色""]",'SKU明细'!$E$9:$E$1592,"数据待核")&gt;0,"数据待核 ","")&amp;IF(COUNTIFS('SKU明细'!$AH$9:$AH$1592,"[""60516"",""60516-RD-S-K"",""RD"",""红色""]",'SKU明细'!$E$9:$E$1592,"正常库存")&gt;0,"正常库存 ","")&amp;IF(COUNTIFS('SKU明细'!$AH$9:$AH$1592,"[""60516"",""60516-RD-S-K"",""RD"",""红色""]",'SKU明细'!$E$9:$E$1592,"补货提醒")&gt;0,"补货提醒 ","")</x:f>
        <x:v>促销 红线促销 断货 补货提醒 </x:v>
      </x:c>
      <x:c r="Y122" s="24" t="str">
        <x:f>IF(NOT(ISNUMBER(U122)),"覆盖待核／无可比基准","仅共同SKU")</x:f>
        <x:v>覆盖待核／无可比基准</x:v>
      </x:c>
      <x:c r="Z122" s="24" t="str">
        <x:v>在售、停售</x:v>
      </x:c>
      <x:c r="AA122" s="24" t="n">
        <x:f>IF(SUMIFS('SKU明细'!$AF$9:$AF$1592,'SKU明细'!$D$9:$D$1592,A122,'SKU明细'!$Z$9:$Z$1592,"&lt;&gt;移出")=0,"待核",SUMIFS('SKU明细'!$H$9:$H$1592,'SKU明细'!$D$9:$D$1592,A122,'SKU明细'!$Z$9:$Z$1592,"&lt;&gt;移出"))</x:f>
        <x:v>886</x:v>
      </x:c>
    </x:row>
    <x:row r="123" ht="54" customHeight="1">
      <x:c r="A123" s="20" t="str">
        <x:v>60516</x:v>
      </x:c>
      <x:c r="B123" s="20" t="str">
        <x:v>徐新怡</x:v>
      </x:c>
      <x:c r="C123" s="20" t="str">
        <x:v>驼色</x:v>
      </x:c>
      <x:c r="D123" s="20" t="str">
        <x:v>TN</x:v>
      </x:c>
      <x:c r="E123" s="20" t="str">
        <x:v>60516-TN-S-K</x:v>
      </x:c>
      <x:c r="F123" s="20"/>
      <x:c r="G123" s="21" t="str">
        <x:f>"—"</x:f>
        <x:v>—</x:v>
      </x:c>
      <x:c r="H123" s="21" t="str">
        <x:f>IF(AND(COUNT(INDEX('SKU明细'!$H$9:$H$1592,MATCH("[6574,""60516-TN-S-K-6""]",'SKU明细'!$AE$9:$AE$1592,0)))=1,COUNT(INDEX('SKU明细'!$G$9:$G$1592,MATCH("[6574,""60516-TN-S-K-6""]",'SKU明细'!$AE$9:$AE$1592,0)))=1,SUM(INDEX('SKU明细'!$G$9:$G$1592,MATCH("[6574,""60516-TN-S-K-6""]",'SKU明细'!$AE$9:$AE$1592,0)))&gt;0),SUM(INDEX('SKU明细'!$H$9:$H$1592,MATCH("[6574,""60516-TN-S-K-6""]",'SKU明细'!$AE$9:$AE$1592,0)))/SUM(INDEX('SKU明细'!$G$9:$G$1592,MATCH("[6574,""60516-TN-S-K-6""]",'SKU明细'!$AE$9:$AE$1592,0))),"待核")</x:f>
        <x:v>待核</x:v>
      </x:c>
      <x:c r="I123" s="21" t="str">
        <x:f>IF(AND(COUNT(INDEX('SKU明细'!$H$9:$H$1592,MATCH("[6574,""60516-TN-S-K-6.5""]",'SKU明细'!$AE$9:$AE$1592,0)))=1,COUNT(INDEX('SKU明细'!$G$9:$G$1592,MATCH("[6574,""60516-TN-S-K-6.5""]",'SKU明细'!$AE$9:$AE$1592,0)))=1,SUM(INDEX('SKU明细'!$G$9:$G$1592,MATCH("[6574,""60516-TN-S-K-6.5""]",'SKU明细'!$AE$9:$AE$1592,0)))&gt;0),SUM(INDEX('SKU明细'!$H$9:$H$1592,MATCH("[6574,""60516-TN-S-K-6.5""]",'SKU明细'!$AE$9:$AE$1592,0)))/SUM(INDEX('SKU明细'!$G$9:$G$1592,MATCH("[6574,""60516-TN-S-K-6.5""]",'SKU明细'!$AE$9:$AE$1592,0))),"待核")</x:f>
        <x:v>待核</x:v>
      </x:c>
      <x:c r="J123" s="21" t="str">
        <x:f>IF(AND(COUNT(INDEX('SKU明细'!$H$9:$H$1592,MATCH("[6574,""60516-TN-S-K-7""]",'SKU明细'!$AE$9:$AE$1592,0)))=1,COUNT(INDEX('SKU明细'!$G$9:$G$1592,MATCH("[6574,""60516-TN-S-K-7""]",'SKU明细'!$AE$9:$AE$1592,0)))=1,SUM(INDEX('SKU明细'!$G$9:$G$1592,MATCH("[6574,""60516-TN-S-K-7""]",'SKU明细'!$AE$9:$AE$1592,0)))&gt;0),SUM(INDEX('SKU明细'!$H$9:$H$1592,MATCH("[6574,""60516-TN-S-K-7""]",'SKU明细'!$AE$9:$AE$1592,0)))/SUM(INDEX('SKU明细'!$G$9:$G$1592,MATCH("[6574,""60516-TN-S-K-7""]",'SKU明细'!$AE$9:$AE$1592,0))),"待核")</x:f>
        <x:v>待核</x:v>
      </x:c>
      <x:c r="K123" s="21" t="str">
        <x:f>IF(AND(COUNT(INDEX('SKU明细'!$H$9:$H$1592,MATCH("[6574,""60516-TN-S-K-7.5""]",'SKU明细'!$AE$9:$AE$1592,0)))=1,COUNT(INDEX('SKU明细'!$G$9:$G$1592,MATCH("[6574,""60516-TN-S-K-7.5""]",'SKU明细'!$AE$9:$AE$1592,0)))=1,SUM(INDEX('SKU明细'!$G$9:$G$1592,MATCH("[6574,""60516-TN-S-K-7.5""]",'SKU明细'!$AE$9:$AE$1592,0)))&gt;0),SUM(INDEX('SKU明细'!$H$9:$H$1592,MATCH("[6574,""60516-TN-S-K-7.5""]",'SKU明细'!$AE$9:$AE$1592,0)))/SUM(INDEX('SKU明细'!$G$9:$G$1592,MATCH("[6574,""60516-TN-S-K-7.5""]",'SKU明细'!$AE$9:$AE$1592,0))),"待核")</x:f>
        <x:v>待核</x:v>
      </x:c>
      <x:c r="L123" s="21" t="str">
        <x:f>IF(AND(COUNT(INDEX('SKU明细'!$H$9:$H$1592,MATCH("[6574,""60516-TN-S-K-8""]",'SKU明细'!$AE$9:$AE$1592,0)))=1,COUNT(INDEX('SKU明细'!$G$9:$G$1592,MATCH("[6574,""60516-TN-S-K-8""]",'SKU明细'!$AE$9:$AE$1592,0)))=1,SUM(INDEX('SKU明细'!$G$9:$G$1592,MATCH("[6574,""60516-TN-S-K-8""]",'SKU明细'!$AE$9:$AE$1592,0)))&gt;0),SUM(INDEX('SKU明细'!$H$9:$H$1592,MATCH("[6574,""60516-TN-S-K-8""]",'SKU明细'!$AE$9:$AE$1592,0)))/SUM(INDEX('SKU明细'!$G$9:$G$1592,MATCH("[6574,""60516-TN-S-K-8""]",'SKU明细'!$AE$9:$AE$1592,0))),"待核")</x:f>
        <x:v>待核</x:v>
      </x:c>
      <x:c r="M123" s="21" t="str">
        <x:f>IF(AND(COUNT(INDEX('SKU明细'!$H$9:$H$1592,MATCH("[6574,""60516-TN-S-K-8.5""]",'SKU明细'!$AE$9:$AE$1592,0)))=1,COUNT(INDEX('SKU明细'!$G$9:$G$1592,MATCH("[6574,""60516-TN-S-K-8.5""]",'SKU明细'!$AE$9:$AE$1592,0)))=1,SUM(INDEX('SKU明细'!$G$9:$G$1592,MATCH("[6574,""60516-TN-S-K-8.5""]",'SKU明细'!$AE$9:$AE$1592,0)))&gt;0),SUM(INDEX('SKU明细'!$H$9:$H$1592,MATCH("[6574,""60516-TN-S-K-8.5""]",'SKU明细'!$AE$9:$AE$1592,0)))/SUM(INDEX('SKU明细'!$G$9:$G$1592,MATCH("[6574,""60516-TN-S-K-8.5""]",'SKU明细'!$AE$9:$AE$1592,0))),"待核")</x:f>
        <x:v>待核</x:v>
      </x:c>
      <x:c r="N123" s="21" t="str">
        <x:f>IF(AND(COUNT(INDEX('SKU明细'!$H$9:$H$1592,MATCH("[6574,""60516-TN-S-K-9""]",'SKU明细'!$AE$9:$AE$1592,0)))=1,COUNT(INDEX('SKU明细'!$G$9:$G$1592,MATCH("[6574,""60516-TN-S-K-9""]",'SKU明细'!$AE$9:$AE$1592,0)))=1,SUM(INDEX('SKU明细'!$G$9:$G$1592,MATCH("[6574,""60516-TN-S-K-9""]",'SKU明细'!$AE$9:$AE$1592,0)))&gt;0),SUM(INDEX('SKU明细'!$H$9:$H$1592,MATCH("[6574,""60516-TN-S-K-9""]",'SKU明细'!$AE$9:$AE$1592,0)))/SUM(INDEX('SKU明细'!$G$9:$G$1592,MATCH("[6574,""60516-TN-S-K-9""]",'SKU明细'!$AE$9:$AE$1592,0))),"待核")</x:f>
        <x:v>待核</x:v>
      </x:c>
      <x:c r="O123" s="21" t="str">
        <x:f>IF(AND(COUNT(INDEX('SKU明细'!$H$9:$H$1592,MATCH("[6574,""60516-TN-S-K-9.5""]",'SKU明细'!$AE$9:$AE$1592,0)))=1,COUNT(INDEX('SKU明细'!$G$9:$G$1592,MATCH("[6574,""60516-TN-S-K-9.5""]",'SKU明细'!$AE$9:$AE$1592,0)))=1,SUM(INDEX('SKU明细'!$G$9:$G$1592,MATCH("[6574,""60516-TN-S-K-9.5""]",'SKU明细'!$AE$9:$AE$1592,0)))&gt;0),SUM(INDEX('SKU明细'!$H$9:$H$1592,MATCH("[6574,""60516-TN-S-K-9.5""]",'SKU明细'!$AE$9:$AE$1592,0)))/SUM(INDEX('SKU明细'!$G$9:$G$1592,MATCH("[6574,""60516-TN-S-K-9.5""]",'SKU明细'!$AE$9:$AE$1592,0))),"待核")</x:f>
        <x:v>待核</x:v>
      </x:c>
      <x:c r="P123" s="21" t="str">
        <x:f>IF(AND(COUNT(INDEX('SKU明细'!$H$9:$H$1592,MATCH("[6574,""60516-TN-S-K-10""]",'SKU明细'!$AE$9:$AE$1592,0)))=1,COUNT(INDEX('SKU明细'!$G$9:$G$1592,MATCH("[6574,""60516-TN-S-K-10""]",'SKU明细'!$AE$9:$AE$1592,0)))=1,SUM(INDEX('SKU明细'!$G$9:$G$1592,MATCH("[6574,""60516-TN-S-K-10""]",'SKU明细'!$AE$9:$AE$1592,0)))&gt;0),SUM(INDEX('SKU明细'!$H$9:$H$1592,MATCH("[6574,""60516-TN-S-K-10""]",'SKU明细'!$AE$9:$AE$1592,0)))/SUM(INDEX('SKU明细'!$G$9:$G$1592,MATCH("[6574,""60516-TN-S-K-10""]",'SKU明细'!$AE$9:$AE$1592,0))),"待核")</x:f>
        <x:v>待核</x:v>
      </x:c>
      <x:c r="Q123" s="21" t="str">
        <x:f>IF(AND(COUNT(INDEX('SKU明细'!$H$9:$H$1592,MATCH("[6574,""60516-TN-S-K-10.5""]",'SKU明细'!$AE$9:$AE$1592,0)))=1,COUNT(INDEX('SKU明细'!$G$9:$G$1592,MATCH("[6574,""60516-TN-S-K-10.5""]",'SKU明细'!$AE$9:$AE$1592,0)))=1,SUM(INDEX('SKU明细'!$G$9:$G$1592,MATCH("[6574,""60516-TN-S-K-10.5""]",'SKU明细'!$AE$9:$AE$1592,0)))&gt;0),SUM(INDEX('SKU明细'!$H$9:$H$1592,MATCH("[6574,""60516-TN-S-K-10.5""]",'SKU明细'!$AE$9:$AE$1592,0)))/SUM(INDEX('SKU明细'!$G$9:$G$1592,MATCH("[6574,""60516-TN-S-K-10.5""]",'SKU明细'!$AE$9:$AE$1592,0))),"待核")</x:f>
        <x:v>待核</x:v>
      </x:c>
      <x:c r="R123" s="21" t="str">
        <x:f>IF(AND(COUNT(INDEX('SKU明细'!$H$9:$H$1592,MATCH("[6574,""60516-TN-S-K-11""]",'SKU明细'!$AE$9:$AE$1592,0)))=1,COUNT(INDEX('SKU明细'!$G$9:$G$1592,MATCH("[6574,""60516-TN-S-K-11""]",'SKU明细'!$AE$9:$AE$1592,0)))=1,SUM(INDEX('SKU明细'!$G$9:$G$1592,MATCH("[6574,""60516-TN-S-K-11""]",'SKU明细'!$AE$9:$AE$1592,0)))&gt;0),SUM(INDEX('SKU明细'!$H$9:$H$1592,MATCH("[6574,""60516-TN-S-K-11""]",'SKU明细'!$AE$9:$AE$1592,0)))/SUM(INDEX('SKU明细'!$G$9:$G$1592,MATCH("[6574,""60516-TN-S-K-11""]",'SKU明细'!$AE$9:$AE$1592,0))),"待核")</x:f>
        <x:v>待核</x:v>
      </x:c>
      <x:c r="S123" s="21" t="str">
        <x:f>IF(AND(COUNT(INDEX('SKU明细'!$H$9:$H$1592,MATCH("[6574,""60516-TN-S-K-10""]",'SKU明细'!$AE$9:$AE$1592,0)),INDEX('SKU明细'!$H$9:$H$1592,MATCH("[6574,""60516-TN-S-K-11""]",'SKU明细'!$AE$9:$AE$1592,0)),INDEX('SKU明细'!$H$9:$H$1592,MATCH("[6574,""60516-TN-S-K-6""]",'SKU明细'!$AE$9:$AE$1592,0)),INDEX('SKU明细'!$H$9:$H$1592,MATCH("[6574,""60516-TN-S-K-7""]",'SKU明细'!$AE$9:$AE$1592,0)),INDEX('SKU明细'!$H$9:$H$1592,MATCH("[6574,""60516-TN-S-K-8""]",'SKU明细'!$AE$9:$AE$1592,0)),INDEX('SKU明细'!$H$9:$H$1592,MATCH("[6574,""60516-TN-S-K-9""]",'SKU明细'!$AE$9:$AE$1592,0)))=6,COUNT(INDEX('SKU明细'!$G$9:$G$1592,MATCH("[6574,""60516-TN-S-K-10""]",'SKU明细'!$AE$9:$AE$1592,0)),INDEX('SKU明细'!$G$9:$G$1592,MATCH("[6574,""60516-TN-S-K-11""]",'SKU明细'!$AE$9:$AE$1592,0)),INDEX('SKU明细'!$G$9:$G$1592,MATCH("[6574,""60516-TN-S-K-6""]",'SKU明细'!$AE$9:$AE$1592,0)),INDEX('SKU明细'!$G$9:$G$1592,MATCH("[6574,""60516-TN-S-K-7""]",'SKU明细'!$AE$9:$AE$1592,0)),INDEX('SKU明细'!$G$9:$G$1592,MATCH("[6574,""60516-TN-S-K-8""]",'SKU明细'!$AE$9:$AE$1592,0)),INDEX('SKU明细'!$G$9:$G$1592,MATCH("[6574,""60516-TN-S-K-9""]",'SKU明细'!$AE$9:$AE$1592,0)))=6,SUM(INDEX('SKU明细'!$G$9:$G$1592,MATCH("[6574,""60516-TN-S-K-10""]",'SKU明细'!$AE$9:$AE$1592,0)),INDEX('SKU明细'!$G$9:$G$1592,MATCH("[6574,""60516-TN-S-K-11""]",'SKU明细'!$AE$9:$AE$1592,0)),INDEX('SKU明细'!$G$9:$G$1592,MATCH("[6574,""60516-TN-S-K-6""]",'SKU明细'!$AE$9:$AE$1592,0)),INDEX('SKU明细'!$G$9:$G$1592,MATCH("[6574,""60516-TN-S-K-7""]",'SKU明细'!$AE$9:$AE$1592,0)),INDEX('SKU明细'!$G$9:$G$1592,MATCH("[6574,""60516-TN-S-K-8""]",'SKU明细'!$AE$9:$AE$1592,0)),INDEX('SKU明细'!$G$9:$G$1592,MATCH("[6574,""60516-TN-S-K-9""]",'SKU明细'!$AE$9:$AE$1592,0)))&gt;0),SUM(INDEX('SKU明细'!$H$9:$H$1592,MATCH("[6574,""60516-TN-S-K-10""]",'SKU明细'!$AE$9:$AE$1592,0)),INDEX('SKU明细'!$H$9:$H$1592,MATCH("[6574,""60516-TN-S-K-11""]",'SKU明细'!$AE$9:$AE$1592,0)),INDEX('SKU明细'!$H$9:$H$1592,MATCH("[6574,""60516-TN-S-K-6""]",'SKU明细'!$AE$9:$AE$1592,0)),INDEX('SKU明细'!$H$9:$H$1592,MATCH("[6574,""60516-TN-S-K-7""]",'SKU明细'!$AE$9:$AE$1592,0)),INDEX('SKU明细'!$H$9:$H$1592,MATCH("[6574,""60516-TN-S-K-8""]",'SKU明细'!$AE$9:$AE$1592,0)),INDEX('SKU明细'!$H$9:$H$1592,MATCH("[6574,""60516-TN-S-K-9""]",'SKU明细'!$AE$9:$AE$1592,0)))/SUM(INDEX('SKU明细'!$G$9:$G$1592,MATCH("[6574,""60516-TN-S-K-10""]",'SKU明细'!$AE$9:$AE$1592,0)),INDEX('SKU明细'!$G$9:$G$1592,MATCH("[6574,""60516-TN-S-K-11""]",'SKU明细'!$AE$9:$AE$1592,0)),INDEX('SKU明细'!$G$9:$G$1592,MATCH("[6574,""60516-TN-S-K-6""]",'SKU明细'!$AE$9:$AE$1592,0)),INDEX('SKU明细'!$G$9:$G$1592,MATCH("[6574,""60516-TN-S-K-7""]",'SKU明细'!$AE$9:$AE$1592,0)),INDEX('SKU明细'!$G$9:$G$1592,MATCH("[6574,""60516-TN-S-K-8""]",'SKU明细'!$AE$9:$AE$1592,0)),INDEX('SKU明细'!$G$9:$G$1592,MATCH("[6574,""60516-TN-S-K-9""]",'SKU明细'!$AE$9:$AE$1592,0))),"待核")</x:f>
        <x:v>待核</x:v>
      </x:c>
      <x:c r="T123" s="21" t="str">
        <x:f>IF(AND(COUNT(INDEX('SKU明细'!$I$9:$I$1592,MATCH("[6574,""60516-TN-S-K-10""]",'SKU明细'!$AE$9:$AE$1592,0)),INDEX('SKU明细'!$I$9:$I$1592,MATCH("[6574,""60516-TN-S-K-11""]",'SKU明细'!$AE$9:$AE$1592,0)),INDEX('SKU明细'!$I$9:$I$1592,MATCH("[6574,""60516-TN-S-K-6""]",'SKU明细'!$AE$9:$AE$1592,0)),INDEX('SKU明细'!$I$9:$I$1592,MATCH("[6574,""60516-TN-S-K-7""]",'SKU明细'!$AE$9:$AE$1592,0)),INDEX('SKU明细'!$I$9:$I$1592,MATCH("[6574,""60516-TN-S-K-8""]",'SKU明细'!$AE$9:$AE$1592,0)),INDEX('SKU明细'!$I$9:$I$1592,MATCH("[6574,""60516-TN-S-K-9""]",'SKU明细'!$AE$9:$AE$1592,0)))=6,COUNT(INDEX('SKU明细'!$AD$9:$AD$1592,MATCH("[6574,""60516-TN-S-K-10""]",'SKU明细'!$AE$9:$AE$1592,0)),INDEX('SKU明细'!$AD$9:$AD$1592,MATCH("[6574,""60516-TN-S-K-11""]",'SKU明细'!$AE$9:$AE$1592,0)),INDEX('SKU明细'!$AD$9:$AD$1592,MATCH("[6574,""60516-TN-S-K-6""]",'SKU明细'!$AE$9:$AE$1592,0)),INDEX('SKU明细'!$AD$9:$AD$1592,MATCH("[6574,""60516-TN-S-K-7""]",'SKU明细'!$AE$9:$AE$1592,0)),INDEX('SKU明细'!$AD$9:$AD$1592,MATCH("[6574,""60516-TN-S-K-8""]",'SKU明细'!$AE$9:$AE$1592,0)),INDEX('SKU明细'!$AD$9:$AD$1592,MATCH("[6574,""60516-TN-S-K-9""]",'SKU明细'!$AE$9:$AE$1592,0)))=6,SUM(INDEX('SKU明细'!$AD$9:$AD$1592,MATCH("[6574,""60516-TN-S-K-10""]",'SKU明细'!$AE$9:$AE$1592,0)),INDEX('SKU明细'!$AD$9:$AD$1592,MATCH("[6574,""60516-TN-S-K-11""]",'SKU明细'!$AE$9:$AE$1592,0)),INDEX('SKU明细'!$AD$9:$AD$1592,MATCH("[6574,""60516-TN-S-K-6""]",'SKU明细'!$AE$9:$AE$1592,0)),INDEX('SKU明细'!$AD$9:$AD$1592,MATCH("[6574,""60516-TN-S-K-7""]",'SKU明细'!$AE$9:$AE$1592,0)),INDEX('SKU明细'!$AD$9:$AD$1592,MATCH("[6574,""60516-TN-S-K-8""]",'SKU明细'!$AE$9:$AE$1592,0)),INDEX('SKU明细'!$AD$9:$AD$1592,MATCH("[6574,""60516-TN-S-K-9""]",'SKU明细'!$AE$9:$AE$1592,0)))&gt;0),SUM(INDEX('SKU明细'!$I$9:$I$1592,MATCH("[6574,""60516-TN-S-K-10""]",'SKU明细'!$AE$9:$AE$1592,0)),INDEX('SKU明细'!$I$9:$I$1592,MATCH("[6574,""60516-TN-S-K-11""]",'SKU明细'!$AE$9:$AE$1592,0)),INDEX('SKU明细'!$I$9:$I$1592,MATCH("[6574,""60516-TN-S-K-6""]",'SKU明细'!$AE$9:$AE$1592,0)),INDEX('SKU明细'!$I$9:$I$1592,MATCH("[6574,""60516-TN-S-K-7""]",'SKU明细'!$AE$9:$AE$1592,0)),INDEX('SKU明细'!$I$9:$I$1592,MATCH("[6574,""60516-TN-S-K-8""]",'SKU明细'!$AE$9:$AE$1592,0)),INDEX('SKU明细'!$I$9:$I$1592,MATCH("[6574,""60516-TN-S-K-9""]",'SKU明细'!$AE$9:$AE$1592,0)))/SUM(INDEX('SKU明细'!$AD$9:$AD$1592,MATCH("[6574,""60516-TN-S-K-10""]",'SKU明细'!$AE$9:$AE$1592,0)),INDEX('SKU明细'!$AD$9:$AD$1592,MATCH("[6574,""60516-TN-S-K-11""]",'SKU明细'!$AE$9:$AE$1592,0)),INDEX('SKU明细'!$AD$9:$AD$1592,MATCH("[6574,""60516-TN-S-K-6""]",'SKU明细'!$AE$9:$AE$1592,0)),INDEX('SKU明细'!$AD$9:$AD$1592,MATCH("[6574,""60516-TN-S-K-7""]",'SKU明细'!$AE$9:$AE$1592,0)),INDEX('SKU明细'!$AD$9:$AD$1592,MATCH("[6574,""60516-TN-S-K-8""]",'SKU明细'!$AE$9:$AE$1592,0)),INDEX('SKU明细'!$AD$9:$AD$1592,MATCH("[6574,""60516-TN-S-K-9""]",'SKU明细'!$AE$9:$AE$1592,0))),"待核")</x:f>
        <x:v>待核</x:v>
      </x:c>
      <x:c r="U123" s="21" t="str">
        <x:f>IF(COUNT(S123:T123)=2,S123-T123,"待核")</x:f>
        <x:v>待核</x:v>
      </x:c>
      <x:c r="V123" s="22" t="str">
        <x:f>IF(AND(ISNUMBER(U123),ISNUMBER(T123),T123&lt;&gt;0),U123/T123,"")</x:f>
      </x:c>
      <x:c r="W123" s="23" t="n">
        <x:f>IF(COUNT(INDEX('SKU明细'!$H$9:$H$1592,MATCH("[6574,""60516-TN-S-K-10""]",'SKU明细'!$AE$9:$AE$1592,0)),INDEX('SKU明细'!$H$9:$H$1592,MATCH("[6574,""60516-TN-S-K-10.5""]",'SKU明细'!$AE$9:$AE$1592,0)),INDEX('SKU明细'!$H$9:$H$1592,MATCH("[6574,""60516-TN-S-K-11""]",'SKU明细'!$AE$9:$AE$1592,0)),INDEX('SKU明细'!$H$9:$H$1592,MATCH("[6574,""60516-TN-S-K-6""]",'SKU明细'!$AE$9:$AE$1592,0)),INDEX('SKU明细'!$H$9:$H$1592,MATCH("[6574,""60516-TN-S-K-6.5""]",'SKU明细'!$AE$9:$AE$1592,0)),INDEX('SKU明细'!$H$9:$H$1592,MATCH("[6574,""60516-TN-S-K-7""]",'SKU明细'!$AE$9:$AE$1592,0)),INDEX('SKU明细'!$H$9:$H$1592,MATCH("[6574,""60516-TN-S-K-7.5""]",'SKU明细'!$AE$9:$AE$1592,0)),INDEX('SKU明细'!$H$9:$H$1592,MATCH("[6574,""60516-TN-S-K-8""]",'SKU明细'!$AE$9:$AE$1592,0)),INDEX('SKU明细'!$H$9:$H$1592,MATCH("[6574,""60516-TN-S-K-8.5""]",'SKU明细'!$AE$9:$AE$1592,0)),INDEX('SKU明细'!$H$9:$H$1592,MATCH("[6574,""60516-TN-S-K-9""]",'SKU明细'!$AE$9:$AE$1592,0)),INDEX('SKU明细'!$H$9:$H$1592,MATCH("[6574,""60516-TN-S-K-9.5""]",'SKU明细'!$AE$9:$AE$1592,0)))=0,"待核",SUM(INDEX('SKU明细'!$H$9:$H$1592,MATCH("[6574,""60516-TN-S-K-10""]",'SKU明细'!$AE$9:$AE$1592,0)),INDEX('SKU明细'!$H$9:$H$1592,MATCH("[6574,""60516-TN-S-K-10.5""]",'SKU明细'!$AE$9:$AE$1592,0)),INDEX('SKU明细'!$H$9:$H$1592,MATCH("[6574,""60516-TN-S-K-11""]",'SKU明细'!$AE$9:$AE$1592,0)),INDEX('SKU明细'!$H$9:$H$1592,MATCH("[6574,""60516-TN-S-K-6""]",'SKU明细'!$AE$9:$AE$1592,0)),INDEX('SKU明细'!$H$9:$H$1592,MATCH("[6574,""60516-TN-S-K-6.5""]",'SKU明细'!$AE$9:$AE$1592,0)),INDEX('SKU明细'!$H$9:$H$1592,MATCH("[6574,""60516-TN-S-K-7""]",'SKU明细'!$AE$9:$AE$1592,0)),INDEX('SKU明细'!$H$9:$H$1592,MATCH("[6574,""60516-TN-S-K-7.5""]",'SKU明细'!$AE$9:$AE$1592,0)),INDEX('SKU明细'!$H$9:$H$1592,MATCH("[6574,""60516-TN-S-K-8""]",'SKU明细'!$AE$9:$AE$1592,0)),INDEX('SKU明细'!$H$9:$H$1592,MATCH("[6574,""60516-TN-S-K-8.5""]",'SKU明细'!$AE$9:$AE$1592,0)),INDEX('SKU明细'!$H$9:$H$1592,MATCH("[6574,""60516-TN-S-K-9""]",'SKU明细'!$AE$9:$AE$1592,0)),INDEX('SKU明细'!$H$9:$H$1592,MATCH("[6574,""60516-TN-S-K-9.5""]",'SKU明细'!$AE$9:$AE$1592,0))))</x:f>
        <x:v>0</x:v>
      </x:c>
      <x:c r="X123" s="24" t="str">
        <x:f>IF(COUNTIFS('SKU明细'!$AH$9:$AH$1592,"[""60516"",""60516-TN-S-K"",""TN"",""驼色""]",'SKU明细'!$E$9:$E$1592,"促销")&gt;0,"促销 ","")&amp;IF(COUNTIFS('SKU明细'!$AH$9:$AH$1592,"[""60516"",""60516-TN-S-K"",""TN"",""驼色""]",'SKU明细'!$E$9:$E$1592,"红线促销")&gt;0,"红线促销 ","")&amp;IF(COUNTIFS('SKU明细'!$AH$9:$AH$1592,"[""60516"",""60516-TN-S-K"",""TN"",""驼色""]",'SKU明细'!$E$9:$E$1592,"考虑清仓")&gt;0,"考虑清仓 ","")&amp;IF(COUNTIFS('SKU明细'!$AH$9:$AH$1592,"[""60516"",""60516-TN-S-K"",""TN"",""驼色""]",'SKU明细'!$E$9:$E$1592,"断货")&gt;0,"断货 ","")&amp;IF(COUNTIFS('SKU明细'!$AH$9:$AH$1592,"[""60516"",""60516-TN-S-K"",""TN"",""驼色""]",'SKU明细'!$E$9:$E$1592,"零日销待复核")&gt;0,"零日销待复核 ","")&amp;IF(COUNTIFS('SKU明细'!$AH$9:$AH$1592,"[""60516"",""60516-TN-S-K"",""TN"",""驼色""]",'SKU明细'!$E$9:$E$1592,"数据待核")&gt;0,"数据待核 ","")&amp;IF(COUNTIFS('SKU明细'!$AH$9:$AH$1592,"[""60516"",""60516-TN-S-K"",""TN"",""驼色""]",'SKU明细'!$E$9:$E$1592,"正常库存")&gt;0,"正常库存 ","")&amp;IF(COUNTIFS('SKU明细'!$AH$9:$AH$1592,"[""60516"",""60516-TN-S-K"",""TN"",""驼色""]",'SKU明细'!$E$9:$E$1592,"补货提醒")&gt;0,"补货提醒 ","")</x:f>
        <x:v>断货 </x:v>
      </x:c>
      <x:c r="Y123" s="24" t="str">
        <x:f>IF(NOT(ISNUMBER(U123)),"覆盖待核／无可比基准","仅共同SKU")</x:f>
        <x:v>覆盖待核／无可比基准</x:v>
      </x:c>
      <x:c r="Z123" s="24" t="str">
        <x:v>停售</x:v>
      </x:c>
      <x:c r="AA123" s="24" t="n">
        <x:f>IF(SUMIFS('SKU明细'!$AF$9:$AF$1592,'SKU明细'!$D$9:$D$1592,A123,'SKU明细'!$Z$9:$Z$1592,"&lt;&gt;移出")=0,"待核",SUMIFS('SKU明细'!$H$9:$H$1592,'SKU明细'!$D$9:$D$1592,A123,'SKU明细'!$Z$9:$Z$1592,"&lt;&gt;移出"))</x:f>
        <x:v>886</x:v>
      </x:c>
    </x:row>
    <x:row r="124" ht="54" customHeight="1">
      <x:c r="A124" s="15" t="str">
        <x:v>B06b</x:v>
      </x:c>
      <x:c r="B124" s="15" t="str">
        <x:v>艾年</x:v>
      </x:c>
      <x:c r="C124" s="15" t="str">
        <x:v>黑色羊京绒</x:v>
      </x:c>
      <x:c r="D124" s="15" t="str">
        <x:v>BK</x:v>
      </x:c>
      <x:c r="E124" s="15" t="str">
        <x:v>B06b-BK</x:v>
      </x:c>
      <x:c r="F124" s="15"/>
      <x:c r="G124" s="16" t="str">
        <x:f>"—"</x:f>
        <x:v>—</x:v>
      </x:c>
      <x:c r="H124" s="16" t="n">
        <x:f>IF(AND(COUNT(INDEX('SKU明细'!$H$9:$H$1592,MATCH("[13120,""B06b-BK-37""]",'SKU明细'!$AE$9:$AE$1592,0)))=1,COUNT(INDEX('SKU明细'!$G$9:$G$1592,MATCH("[13120,""B06b-BK-37""]",'SKU明细'!$AE$9:$AE$1592,0)))=1,SUM(INDEX('SKU明细'!$G$9:$G$1592,MATCH("[13120,""B06b-BK-37""]",'SKU明细'!$AE$9:$AE$1592,0)))&gt;0),SUM(INDEX('SKU明细'!$H$9:$H$1592,MATCH("[13120,""B06b-BK-37""]",'SKU明细'!$AE$9:$AE$1592,0)))/SUM(INDEX('SKU明细'!$G$9:$G$1592,MATCH("[13120,""B06b-BK-37""]",'SKU明细'!$AE$9:$AE$1592,0))),"待核")</x:f>
        <x:v>20.477815699658702</x:v>
      </x:c>
      <x:c r="I124" s="16" t="n">
        <x:f>IF(AND(COUNT(INDEX('SKU明细'!$H$9:$H$1592,MATCH("[13120,""B06b-BK-37.5""]",'SKU明细'!$AE$9:$AE$1592,0)))=1,COUNT(INDEX('SKU明细'!$G$9:$G$1592,MATCH("[13120,""B06b-BK-37.5""]",'SKU明细'!$AE$9:$AE$1592,0)))=1,SUM(INDEX('SKU明细'!$G$9:$G$1592,MATCH("[13120,""B06b-BK-37.5""]",'SKU明细'!$AE$9:$AE$1592,0)))&gt;0),SUM(INDEX('SKU明细'!$H$9:$H$1592,MATCH("[13120,""B06b-BK-37.5""]",'SKU明细'!$AE$9:$AE$1592,0)))/SUM(INDEX('SKU明细'!$G$9:$G$1592,MATCH("[13120,""B06b-BK-37.5""]",'SKU明细'!$AE$9:$AE$1592,0))),"待核")</x:f>
        <x:v>0</x:v>
      </x:c>
      <x:c r="J124" s="16" t="n">
        <x:f>IF(AND(COUNT(INDEX('SKU明细'!$H$9:$H$1592,MATCH("[13120,""B06b-BK-38""]",'SKU明细'!$AE$9:$AE$1592,0)))=1,COUNT(INDEX('SKU明细'!$G$9:$G$1592,MATCH("[13120,""B06b-BK-38""]",'SKU明细'!$AE$9:$AE$1592,0)))=1,SUM(INDEX('SKU明细'!$G$9:$G$1592,MATCH("[13120,""B06b-BK-38""]",'SKU明细'!$AE$9:$AE$1592,0)))&gt;0),SUM(INDEX('SKU明细'!$H$9:$H$1592,MATCH("[13120,""B06b-BK-38""]",'SKU明细'!$AE$9:$AE$1592,0)))/SUM(INDEX('SKU明细'!$G$9:$G$1592,MATCH("[13120,""B06b-BK-38""]",'SKU明细'!$AE$9:$AE$1592,0))),"待核")</x:f>
        <x:v>3.1722054380664657</x:v>
      </x:c>
      <x:c r="K124" s="16" t="n">
        <x:f>IF(AND(COUNT(INDEX('SKU明细'!$H$9:$H$1592,MATCH("[13120,""B06b-BK-38.5""]",'SKU明细'!$AE$9:$AE$1592,0)))=1,COUNT(INDEX('SKU明细'!$G$9:$G$1592,MATCH("[13120,""B06b-BK-38.5""]",'SKU明细'!$AE$9:$AE$1592,0)))=1,SUM(INDEX('SKU明细'!$G$9:$G$1592,MATCH("[13120,""B06b-BK-38.5""]",'SKU明细'!$AE$9:$AE$1592,0)))&gt;0),SUM(INDEX('SKU明细'!$H$9:$H$1592,MATCH("[13120,""B06b-BK-38.5""]",'SKU明细'!$AE$9:$AE$1592,0)))/SUM(INDEX('SKU明细'!$G$9:$G$1592,MATCH("[13120,""B06b-BK-38.5""]",'SKU明细'!$AE$9:$AE$1592,0))),"待核")</x:f>
        <x:v>3.889917967716327</x:v>
      </x:c>
      <x:c r="L124" s="16" t="n">
        <x:f>IF(AND(COUNT(INDEX('SKU明细'!$H$9:$H$1592,MATCH("[13120,""B06b-BK-39""]",'SKU明细'!$AE$9:$AE$1592,0)))=1,COUNT(INDEX('SKU明细'!$G$9:$G$1592,MATCH("[13120,""B06b-BK-39""]",'SKU明细'!$AE$9:$AE$1592,0)))=1,SUM(INDEX('SKU明细'!$G$9:$G$1592,MATCH("[13120,""B06b-BK-39""]",'SKU明细'!$AE$9:$AE$1592,0)))&gt;0),SUM(INDEX('SKU明细'!$H$9:$H$1592,MATCH("[13120,""B06b-BK-39""]",'SKU明细'!$AE$9:$AE$1592,0)))/SUM(INDEX('SKU明细'!$G$9:$G$1592,MATCH("[13120,""B06b-BK-39""]",'SKU明细'!$AE$9:$AE$1592,0))),"待核")</x:f>
        <x:v>20.539906103286388</x:v>
      </x:c>
      <x:c r="M124" s="16" t="n">
        <x:f>IF(AND(COUNT(INDEX('SKU明细'!$H$9:$H$1592,MATCH("[13120,""B06b-BK-39.5""]",'SKU明细'!$AE$9:$AE$1592,0)))=1,COUNT(INDEX('SKU明细'!$G$9:$G$1592,MATCH("[13120,""B06b-BK-39.5""]",'SKU明细'!$AE$9:$AE$1592,0)))=1,SUM(INDEX('SKU明细'!$G$9:$G$1592,MATCH("[13120,""B06b-BK-39.5""]",'SKU明细'!$AE$9:$AE$1592,0)))&gt;0),SUM(INDEX('SKU明细'!$H$9:$H$1592,MATCH("[13120,""B06b-BK-39.5""]",'SKU明细'!$AE$9:$AE$1592,0)))/SUM(INDEX('SKU明细'!$G$9:$G$1592,MATCH("[13120,""B06b-BK-39.5""]",'SKU明细'!$AE$9:$AE$1592,0))),"待核")</x:f>
        <x:v>44.576627011896434</x:v>
      </x:c>
      <x:c r="N124" s="16" t="n">
        <x:f>IF(AND(COUNT(INDEX('SKU明细'!$H$9:$H$1592,MATCH("[13120,""B06b-BK-40""]",'SKU明细'!$AE$9:$AE$1592,0)))=1,COUNT(INDEX('SKU明细'!$G$9:$G$1592,MATCH("[13120,""B06b-BK-40""]",'SKU明细'!$AE$9:$AE$1592,0)))=1,SUM(INDEX('SKU明细'!$G$9:$G$1592,MATCH("[13120,""B06b-BK-40""]",'SKU明细'!$AE$9:$AE$1592,0)))&gt;0),SUM(INDEX('SKU明细'!$H$9:$H$1592,MATCH("[13120,""B06b-BK-40""]",'SKU明细'!$AE$9:$AE$1592,0)))/SUM(INDEX('SKU明细'!$G$9:$G$1592,MATCH("[13120,""B06b-BK-40""]",'SKU明细'!$AE$9:$AE$1592,0))),"待核")</x:f>
        <x:v>20.116822429906545</x:v>
      </x:c>
      <x:c r="O124" s="16" t="n">
        <x:f>IF(AND(COUNT(INDEX('SKU明细'!$H$9:$H$1592,MATCH("[13120,""B06b-BK-40.5""]",'SKU明细'!$AE$9:$AE$1592,0)))=1,COUNT(INDEX('SKU明细'!$G$9:$G$1592,MATCH("[13120,""B06b-BK-40.5""]",'SKU明细'!$AE$9:$AE$1592,0)))=1,SUM(INDEX('SKU明细'!$G$9:$G$1592,MATCH("[13120,""B06b-BK-40.5""]",'SKU明细'!$AE$9:$AE$1592,0)))&gt;0),SUM(INDEX('SKU明细'!$H$9:$H$1592,MATCH("[13120,""B06b-BK-40.5""]",'SKU明细'!$AE$9:$AE$1592,0)))/SUM(INDEX('SKU明细'!$G$9:$G$1592,MATCH("[13120,""B06b-BK-40.5""]",'SKU明细'!$AE$9:$AE$1592,0))),"待核")</x:f>
        <x:v>35.55555555555556</x:v>
      </x:c>
      <x:c r="P124" s="16" t="n">
        <x:f>IF(AND(COUNT(INDEX('SKU明细'!$H$9:$H$1592,MATCH("[13120,""B06b-BK-41""]",'SKU明细'!$AE$9:$AE$1592,0)))=1,COUNT(INDEX('SKU明细'!$G$9:$G$1592,MATCH("[13120,""B06b-BK-41""]",'SKU明细'!$AE$9:$AE$1592,0)))=1,SUM(INDEX('SKU明细'!$G$9:$G$1592,MATCH("[13120,""B06b-BK-41""]",'SKU明细'!$AE$9:$AE$1592,0)))&gt;0),SUM(INDEX('SKU明细'!$H$9:$H$1592,MATCH("[13120,""B06b-BK-41""]",'SKU明细'!$AE$9:$AE$1592,0)))/SUM(INDEX('SKU明细'!$G$9:$G$1592,MATCH("[13120,""B06b-BK-41""]",'SKU明细'!$AE$9:$AE$1592,0))),"待核")</x:f>
        <x:v>15.328467153284672</x:v>
      </x:c>
      <x:c r="Q124" s="16" t="str">
        <x:f>"—"</x:f>
        <x:v>—</x:v>
      </x:c>
      <x:c r="R124" s="16" t="str">
        <x:f>IF(AND(COUNT(INDEX('SKU明细'!$H$9:$H$1592,MATCH("[13120,""B06b-BK-42""]",'SKU明细'!$AE$9:$AE$1592,0)))=1,COUNT(INDEX('SKU明细'!$G$9:$G$1592,MATCH("[13120,""B06b-BK-42""]",'SKU明细'!$AE$9:$AE$1592,0)))=1,SUM(INDEX('SKU明细'!$G$9:$G$1592,MATCH("[13120,""B06b-BK-42""]",'SKU明细'!$AE$9:$AE$1592,0)))&gt;0),SUM(INDEX('SKU明细'!$H$9:$H$1592,MATCH("[13120,""B06b-BK-42""]",'SKU明细'!$AE$9:$AE$1592,0)))/SUM(INDEX('SKU明细'!$G$9:$G$1592,MATCH("[13120,""B06b-BK-42""]",'SKU明细'!$AE$9:$AE$1592,0))),"待核")</x:f>
        <x:v>待核</x:v>
      </x:c>
      <x:c r="S124" s="16" t="n">
        <x:f>IF(AND(COUNT(INDEX('SKU明细'!$H$9:$H$1592,MATCH("[13120,""B06b-BK-37.5""]",'SKU明细'!$AE$9:$AE$1592,0)),INDEX('SKU明细'!$H$9:$H$1592,MATCH("[13120,""B06b-BK-42""]",'SKU明细'!$AE$9:$AE$1592,0)),INDEX('SKU明细'!$H$9:$H$1592,MATCH("[13120,""B06b-BK-37""]",'SKU明细'!$AE$9:$AE$1592,0)),INDEX('SKU明细'!$H$9:$H$1592,MATCH("[13120,""B06b-BK-38""]",'SKU明细'!$AE$9:$AE$1592,0)),INDEX('SKU明细'!$H$9:$H$1592,MATCH("[13120,""B06b-BK-38.5""]",'SKU明细'!$AE$9:$AE$1592,0)),INDEX('SKU明细'!$H$9:$H$1592,MATCH("[13120,""B06b-BK-39""]",'SKU明细'!$AE$9:$AE$1592,0)),INDEX('SKU明细'!$H$9:$H$1592,MATCH("[13120,""B06b-BK-39.5""]",'SKU明细'!$AE$9:$AE$1592,0)),INDEX('SKU明细'!$H$9:$H$1592,MATCH("[13120,""B06b-BK-40""]",'SKU明细'!$AE$9:$AE$1592,0)),INDEX('SKU明细'!$H$9:$H$1592,MATCH("[13120,""B06b-BK-40.5""]",'SKU明细'!$AE$9:$AE$1592,0)),INDEX('SKU明细'!$H$9:$H$1592,MATCH("[13120,""B06b-BK-41""]",'SKU明细'!$AE$9:$AE$1592,0)))=10,COUNT(INDEX('SKU明细'!$G$9:$G$1592,MATCH("[13120,""B06b-BK-37.5""]",'SKU明细'!$AE$9:$AE$1592,0)),INDEX('SKU明细'!$G$9:$G$1592,MATCH("[13120,""B06b-BK-42""]",'SKU明细'!$AE$9:$AE$1592,0)),INDEX('SKU明细'!$G$9:$G$1592,MATCH("[13120,""B06b-BK-37""]",'SKU明细'!$AE$9:$AE$1592,0)),INDEX('SKU明细'!$G$9:$G$1592,MATCH("[13120,""B06b-BK-38""]",'SKU明细'!$AE$9:$AE$1592,0)),INDEX('SKU明细'!$G$9:$G$1592,MATCH("[13120,""B06b-BK-38.5""]",'SKU明细'!$AE$9:$AE$1592,0)),INDEX('SKU明细'!$G$9:$G$1592,MATCH("[13120,""B06b-BK-39""]",'SKU明细'!$AE$9:$AE$1592,0)),INDEX('SKU明细'!$G$9:$G$1592,MATCH("[13120,""B06b-BK-39.5""]",'SKU明细'!$AE$9:$AE$1592,0)),INDEX('SKU明细'!$G$9:$G$1592,MATCH("[13120,""B06b-BK-40""]",'SKU明细'!$AE$9:$AE$1592,0)),INDEX('SKU明细'!$G$9:$G$1592,MATCH("[13120,""B06b-BK-40.5""]",'SKU明细'!$AE$9:$AE$1592,0)),INDEX('SKU明细'!$G$9:$G$1592,MATCH("[13120,""B06b-BK-41""]",'SKU明细'!$AE$9:$AE$1592,0)))=10,SUM(INDEX('SKU明细'!$G$9:$G$1592,MATCH("[13120,""B06b-BK-37.5""]",'SKU明细'!$AE$9:$AE$1592,0)),INDEX('SKU明细'!$G$9:$G$1592,MATCH("[13120,""B06b-BK-42""]",'SKU明细'!$AE$9:$AE$1592,0)),INDEX('SKU明细'!$G$9:$G$1592,MATCH("[13120,""B06b-BK-37""]",'SKU明细'!$AE$9:$AE$1592,0)),INDEX('SKU明细'!$G$9:$G$1592,MATCH("[13120,""B06b-BK-38""]",'SKU明细'!$AE$9:$AE$1592,0)),INDEX('SKU明细'!$G$9:$G$1592,MATCH("[13120,""B06b-BK-38.5""]",'SKU明细'!$AE$9:$AE$1592,0)),INDEX('SKU明细'!$G$9:$G$1592,MATCH("[13120,""B06b-BK-39""]",'SKU明细'!$AE$9:$AE$1592,0)),INDEX('SKU明细'!$G$9:$G$1592,MATCH("[13120,""B06b-BK-39.5""]",'SKU明细'!$AE$9:$AE$1592,0)),INDEX('SKU明细'!$G$9:$G$1592,MATCH("[13120,""B06b-BK-40""]",'SKU明细'!$AE$9:$AE$1592,0)),INDEX('SKU明细'!$G$9:$G$1592,MATCH("[13120,""B06b-BK-40.5""]",'SKU明细'!$AE$9:$AE$1592,0)),INDEX('SKU明细'!$G$9:$G$1592,MATCH("[13120,""B06b-BK-41""]",'SKU明细'!$AE$9:$AE$1592,0)))&gt;0),SUM(INDEX('SKU明细'!$H$9:$H$1592,MATCH("[13120,""B06b-BK-37.5""]",'SKU明细'!$AE$9:$AE$1592,0)),INDEX('SKU明细'!$H$9:$H$1592,MATCH("[13120,""B06b-BK-42""]",'SKU明细'!$AE$9:$AE$1592,0)),INDEX('SKU明细'!$H$9:$H$1592,MATCH("[13120,""B06b-BK-37""]",'SKU明细'!$AE$9:$AE$1592,0)),INDEX('SKU明细'!$H$9:$H$1592,MATCH("[13120,""B06b-BK-38""]",'SKU明细'!$AE$9:$AE$1592,0)),INDEX('SKU明细'!$H$9:$H$1592,MATCH("[13120,""B06b-BK-38.5""]",'SKU明细'!$AE$9:$AE$1592,0)),INDEX('SKU明细'!$H$9:$H$1592,MATCH("[13120,""B06b-BK-39""]",'SKU明细'!$AE$9:$AE$1592,0)),INDEX('SKU明细'!$H$9:$H$1592,MATCH("[13120,""B06b-BK-39.5""]",'SKU明细'!$AE$9:$AE$1592,0)),INDEX('SKU明细'!$H$9:$H$1592,MATCH("[13120,""B06b-BK-40""]",'SKU明细'!$AE$9:$AE$1592,0)),INDEX('SKU明细'!$H$9:$H$1592,MATCH("[13120,""B06b-BK-40.5""]",'SKU明细'!$AE$9:$AE$1592,0)),INDEX('SKU明细'!$H$9:$H$1592,MATCH("[13120,""B06b-BK-41""]",'SKU明细'!$AE$9:$AE$1592,0)))/SUM(INDEX('SKU明细'!$G$9:$G$1592,MATCH("[13120,""B06b-BK-37.5""]",'SKU明细'!$AE$9:$AE$1592,0)),INDEX('SKU明细'!$G$9:$G$1592,MATCH("[13120,""B06b-BK-42""]",'SKU明细'!$AE$9:$AE$1592,0)),INDEX('SKU明细'!$G$9:$G$1592,MATCH("[13120,""B06b-BK-37""]",'SKU明细'!$AE$9:$AE$1592,0)),INDEX('SKU明细'!$G$9:$G$1592,MATCH("[13120,""B06b-BK-38""]",'SKU明细'!$AE$9:$AE$1592,0)),INDEX('SKU明细'!$G$9:$G$1592,MATCH("[13120,""B06b-BK-38.5""]",'SKU明细'!$AE$9:$AE$1592,0)),INDEX('SKU明细'!$G$9:$G$1592,MATCH("[13120,""B06b-BK-39""]",'SKU明细'!$AE$9:$AE$1592,0)),INDEX('SKU明细'!$G$9:$G$1592,MATCH("[13120,""B06b-BK-39.5""]",'SKU明细'!$AE$9:$AE$1592,0)),INDEX('SKU明细'!$G$9:$G$1592,MATCH("[13120,""B06b-BK-40""]",'SKU明细'!$AE$9:$AE$1592,0)),INDEX('SKU明细'!$G$9:$G$1592,MATCH("[13120,""B06b-BK-40.5""]",'SKU明细'!$AE$9:$AE$1592,0)),INDEX('SKU明细'!$G$9:$G$1592,MATCH("[13120,""B06b-BK-41""]",'SKU明细'!$AE$9:$AE$1592,0))),"待核")</x:f>
        <x:v>22.863409770687937</x:v>
      </x:c>
      <x:c r="T124" s="16" t="n">
        <x:f>IF(AND(COUNT(INDEX('SKU明细'!$I$9:$I$1592,MATCH("[13120,""B06b-BK-37.5""]",'SKU明细'!$AE$9:$AE$1592,0)),INDEX('SKU明细'!$I$9:$I$1592,MATCH("[13120,""B06b-BK-42""]",'SKU明细'!$AE$9:$AE$1592,0)),INDEX('SKU明细'!$I$9:$I$1592,MATCH("[13120,""B06b-BK-37""]",'SKU明细'!$AE$9:$AE$1592,0)),INDEX('SKU明细'!$I$9:$I$1592,MATCH("[13120,""B06b-BK-38""]",'SKU明细'!$AE$9:$AE$1592,0)),INDEX('SKU明细'!$I$9:$I$1592,MATCH("[13120,""B06b-BK-38.5""]",'SKU明细'!$AE$9:$AE$1592,0)),INDEX('SKU明细'!$I$9:$I$1592,MATCH("[13120,""B06b-BK-39""]",'SKU明细'!$AE$9:$AE$1592,0)),INDEX('SKU明细'!$I$9:$I$1592,MATCH("[13120,""B06b-BK-39.5""]",'SKU明细'!$AE$9:$AE$1592,0)),INDEX('SKU明细'!$I$9:$I$1592,MATCH("[13120,""B06b-BK-40""]",'SKU明细'!$AE$9:$AE$1592,0)),INDEX('SKU明细'!$I$9:$I$1592,MATCH("[13120,""B06b-BK-40.5""]",'SKU明细'!$AE$9:$AE$1592,0)),INDEX('SKU明细'!$I$9:$I$1592,MATCH("[13120,""B06b-BK-41""]",'SKU明细'!$AE$9:$AE$1592,0)))=10,COUNT(INDEX('SKU明细'!$AD$9:$AD$1592,MATCH("[13120,""B06b-BK-37.5""]",'SKU明细'!$AE$9:$AE$1592,0)),INDEX('SKU明细'!$AD$9:$AD$1592,MATCH("[13120,""B06b-BK-42""]",'SKU明细'!$AE$9:$AE$1592,0)),INDEX('SKU明细'!$AD$9:$AD$1592,MATCH("[13120,""B06b-BK-37""]",'SKU明细'!$AE$9:$AE$1592,0)),INDEX('SKU明细'!$AD$9:$AD$1592,MATCH("[13120,""B06b-BK-38""]",'SKU明细'!$AE$9:$AE$1592,0)),INDEX('SKU明细'!$AD$9:$AD$1592,MATCH("[13120,""B06b-BK-38.5""]",'SKU明细'!$AE$9:$AE$1592,0)),INDEX('SKU明细'!$AD$9:$AD$1592,MATCH("[13120,""B06b-BK-39""]",'SKU明细'!$AE$9:$AE$1592,0)),INDEX('SKU明细'!$AD$9:$AD$1592,MATCH("[13120,""B06b-BK-39.5""]",'SKU明细'!$AE$9:$AE$1592,0)),INDEX('SKU明细'!$AD$9:$AD$1592,MATCH("[13120,""B06b-BK-40""]",'SKU明细'!$AE$9:$AE$1592,0)),INDEX('SKU明细'!$AD$9:$AD$1592,MATCH("[13120,""B06b-BK-40.5""]",'SKU明细'!$AE$9:$AE$1592,0)),INDEX('SKU明细'!$AD$9:$AD$1592,MATCH("[13120,""B06b-BK-41""]",'SKU明细'!$AE$9:$AE$1592,0)))=10,SUM(INDEX('SKU明细'!$AD$9:$AD$1592,MATCH("[13120,""B06b-BK-37.5""]",'SKU明细'!$AE$9:$AE$1592,0)),INDEX('SKU明细'!$AD$9:$AD$1592,MATCH("[13120,""B06b-BK-42""]",'SKU明细'!$AE$9:$AE$1592,0)),INDEX('SKU明细'!$AD$9:$AD$1592,MATCH("[13120,""B06b-BK-37""]",'SKU明细'!$AE$9:$AE$1592,0)),INDEX('SKU明细'!$AD$9:$AD$1592,MATCH("[13120,""B06b-BK-38""]",'SKU明细'!$AE$9:$AE$1592,0)),INDEX('SKU明细'!$AD$9:$AD$1592,MATCH("[13120,""B06b-BK-38.5""]",'SKU明细'!$AE$9:$AE$1592,0)),INDEX('SKU明细'!$AD$9:$AD$1592,MATCH("[13120,""B06b-BK-39""]",'SKU明细'!$AE$9:$AE$1592,0)),INDEX('SKU明细'!$AD$9:$AD$1592,MATCH("[13120,""B06b-BK-39.5""]",'SKU明细'!$AE$9:$AE$1592,0)),INDEX('SKU明细'!$AD$9:$AD$1592,MATCH("[13120,""B06b-BK-40""]",'SKU明细'!$AE$9:$AE$1592,0)),INDEX('SKU明细'!$AD$9:$AD$1592,MATCH("[13120,""B06b-BK-40.5""]",'SKU明细'!$AE$9:$AE$1592,0)),INDEX('SKU明细'!$AD$9:$AD$1592,MATCH("[13120,""B06b-BK-41""]",'SKU明细'!$AE$9:$AE$1592,0)))&gt;0),SUM(INDEX('SKU明细'!$I$9:$I$1592,MATCH("[13120,""B06b-BK-37.5""]",'SKU明细'!$AE$9:$AE$1592,0)),INDEX('SKU明细'!$I$9:$I$1592,MATCH("[13120,""B06b-BK-42""]",'SKU明细'!$AE$9:$AE$1592,0)),INDEX('SKU明细'!$I$9:$I$1592,MATCH("[13120,""B06b-BK-37""]",'SKU明细'!$AE$9:$AE$1592,0)),INDEX('SKU明细'!$I$9:$I$1592,MATCH("[13120,""B06b-BK-38""]",'SKU明细'!$AE$9:$AE$1592,0)),INDEX('SKU明细'!$I$9:$I$1592,MATCH("[13120,""B06b-BK-38.5""]",'SKU明细'!$AE$9:$AE$1592,0)),INDEX('SKU明细'!$I$9:$I$1592,MATCH("[13120,""B06b-BK-39""]",'SKU明细'!$AE$9:$AE$1592,0)),INDEX('SKU明细'!$I$9:$I$1592,MATCH("[13120,""B06b-BK-39.5""]",'SKU明细'!$AE$9:$AE$1592,0)),INDEX('SKU明细'!$I$9:$I$1592,MATCH("[13120,""B06b-BK-40""]",'SKU明细'!$AE$9:$AE$1592,0)),INDEX('SKU明细'!$I$9:$I$1592,MATCH("[13120,""B06b-BK-40.5""]",'SKU明细'!$AE$9:$AE$1592,0)),INDEX('SKU明细'!$I$9:$I$1592,MATCH("[13120,""B06b-BK-41""]",'SKU明细'!$AE$9:$AE$1592,0)))/SUM(INDEX('SKU明细'!$AD$9:$AD$1592,MATCH("[13120,""B06b-BK-37.5""]",'SKU明细'!$AE$9:$AE$1592,0)),INDEX('SKU明细'!$AD$9:$AD$1592,MATCH("[13120,""B06b-BK-42""]",'SKU明细'!$AE$9:$AE$1592,0)),INDEX('SKU明细'!$AD$9:$AD$1592,MATCH("[13120,""B06b-BK-37""]",'SKU明细'!$AE$9:$AE$1592,0)),INDEX('SKU明细'!$AD$9:$AD$1592,MATCH("[13120,""B06b-BK-38""]",'SKU明细'!$AE$9:$AE$1592,0)),INDEX('SKU明细'!$AD$9:$AD$1592,MATCH("[13120,""B06b-BK-38.5""]",'SKU明细'!$AE$9:$AE$1592,0)),INDEX('SKU明细'!$AD$9:$AD$1592,MATCH("[13120,""B06b-BK-39""]",'SKU明细'!$AE$9:$AE$1592,0)),INDEX('SKU明细'!$AD$9:$AD$1592,MATCH("[13120,""B06b-BK-39.5""]",'SKU明细'!$AE$9:$AE$1592,0)),INDEX('SKU明细'!$AD$9:$AD$1592,MATCH("[13120,""B06b-BK-40""]",'SKU明细'!$AE$9:$AE$1592,0)),INDEX('SKU明细'!$AD$9:$AD$1592,MATCH("[13120,""B06b-BK-40.5""]",'SKU明细'!$AE$9:$AE$1592,0)),INDEX('SKU明细'!$AD$9:$AD$1592,MATCH("[13120,""B06b-BK-41""]",'SKU明细'!$AE$9:$AE$1592,0))),"待核")</x:f>
        <x:v>49.478769387236206</x:v>
      </x:c>
      <x:c r="U124" s="16" t="n">
        <x:f>IF(COUNT(S124:T124)=2,S124-T124,"待核")</x:f>
        <x:v>-26.615359616548268</x:v>
      </x:c>
      <x:c r="V124" s="17" t="n">
        <x:f>IF(AND(ISNUMBER(U124),ISNUMBER(T124),T124&lt;&gt;0),U124/T124,"")</x:f>
        <x:v>-0.537914744973712</x:v>
      </x:c>
      <x:c r="W124" s="18" t="n">
        <x:f>IF(COUNT(INDEX('SKU明细'!$H$9:$H$1592,MATCH("[13120,""B06b-BK-37.5""]",'SKU明细'!$AE$9:$AE$1592,0)),INDEX('SKU明细'!$H$9:$H$1592,MATCH("[13120,""B06b-BK-42""]",'SKU明细'!$AE$9:$AE$1592,0)),INDEX('SKU明细'!$H$9:$H$1592,MATCH("[13120,""B06b-BK-37""]",'SKU明细'!$AE$9:$AE$1592,0)),INDEX('SKU明细'!$H$9:$H$1592,MATCH("[13120,""B06b-BK-38""]",'SKU明细'!$AE$9:$AE$1592,0)),INDEX('SKU明细'!$H$9:$H$1592,MATCH("[13120,""B06b-BK-38.5""]",'SKU明细'!$AE$9:$AE$1592,0)),INDEX('SKU明细'!$H$9:$H$1592,MATCH("[13120,""B06b-BK-39""]",'SKU明细'!$AE$9:$AE$1592,0)),INDEX('SKU明细'!$H$9:$H$1592,MATCH("[13120,""B06b-BK-39.5""]",'SKU明细'!$AE$9:$AE$1592,0)),INDEX('SKU明细'!$H$9:$H$1592,MATCH("[13120,""B06b-BK-40""]",'SKU明细'!$AE$9:$AE$1592,0)),INDEX('SKU明细'!$H$9:$H$1592,MATCH("[13120,""B06b-BK-40.5""]",'SKU明细'!$AE$9:$AE$1592,0)),INDEX('SKU明细'!$H$9:$H$1592,MATCH("[13120,""B06b-BK-41""]",'SKU明细'!$AE$9:$AE$1592,0)))=0,"待核",SUM(INDEX('SKU明细'!$H$9:$H$1592,MATCH("[13120,""B06b-BK-37.5""]",'SKU明细'!$AE$9:$AE$1592,0)),INDEX('SKU明细'!$H$9:$H$1592,MATCH("[13120,""B06b-BK-42""]",'SKU明细'!$AE$9:$AE$1592,0)),INDEX('SKU明细'!$H$9:$H$1592,MATCH("[13120,""B06b-BK-37""]",'SKU明细'!$AE$9:$AE$1592,0)),INDEX('SKU明细'!$H$9:$H$1592,MATCH("[13120,""B06b-BK-38""]",'SKU明细'!$AE$9:$AE$1592,0)),INDEX('SKU明细'!$H$9:$H$1592,MATCH("[13120,""B06b-BK-38.5""]",'SKU明细'!$AE$9:$AE$1592,0)),INDEX('SKU明细'!$H$9:$H$1592,MATCH("[13120,""B06b-BK-39""]",'SKU明细'!$AE$9:$AE$1592,0)),INDEX('SKU明细'!$H$9:$H$1592,MATCH("[13120,""B06b-BK-39.5""]",'SKU明细'!$AE$9:$AE$1592,0)),INDEX('SKU明细'!$H$9:$H$1592,MATCH("[13120,""B06b-BK-40""]",'SKU明细'!$AE$9:$AE$1592,0)),INDEX('SKU明细'!$H$9:$H$1592,MATCH("[13120,""B06b-BK-40.5""]",'SKU明细'!$AE$9:$AE$1592,0)),INDEX('SKU明细'!$H$9:$H$1592,MATCH("[13120,""B06b-BK-41""]",'SKU明细'!$AE$9:$AE$1592,0))))</x:f>
        <x:v>273</x:v>
      </x:c>
      <x:c r="X124" s="19" t="str">
        <x:f>IF(COUNTIFS('SKU明细'!$AH$9:$AH$1592,"[""B06b"",""B06b-BK"",""BK"",""黑色羊京绒""]",'SKU明细'!$E$9:$E$1592,"促销")&gt;0,"促销 ","")&amp;IF(COUNTIFS('SKU明细'!$AH$9:$AH$1592,"[""B06b"",""B06b-BK"",""BK"",""黑色羊京绒""]",'SKU明细'!$E$9:$E$1592,"红线促销")&gt;0,"红线促销 ","")&amp;IF(COUNTIFS('SKU明细'!$AH$9:$AH$1592,"[""B06b"",""B06b-BK"",""BK"",""黑色羊京绒""]",'SKU明细'!$E$9:$E$1592,"考虑清仓")&gt;0,"考虑清仓 ","")&amp;IF(COUNTIFS('SKU明细'!$AH$9:$AH$1592,"[""B06b"",""B06b-BK"",""BK"",""黑色羊京绒""]",'SKU明细'!$E$9:$E$1592,"断货")&gt;0,"断货 ","")&amp;IF(COUNTIFS('SKU明细'!$AH$9:$AH$1592,"[""B06b"",""B06b-BK"",""BK"",""黑色羊京绒""]",'SKU明细'!$E$9:$E$1592,"零日销待复核")&gt;0,"零日销待复核 ","")&amp;IF(COUNTIFS('SKU明细'!$AH$9:$AH$1592,"[""B06b"",""B06b-BK"",""BK"",""黑色羊京绒""]",'SKU明细'!$E$9:$E$1592,"数据待核")&gt;0,"数据待核 ","")&amp;IF(COUNTIFS('SKU明细'!$AH$9:$AH$1592,"[""B06b"",""B06b-BK"",""BK"",""黑色羊京绒""]",'SKU明细'!$E$9:$E$1592,"正常库存")&gt;0,"正常库存 ","")&amp;IF(COUNTIFS('SKU明细'!$AH$9:$AH$1592,"[""B06b"",""B06b-BK"",""BK"",""黑色羊京绒""]",'SKU明细'!$E$9:$E$1592,"补货提醒")&gt;0,"补货提醒 ","")</x:f>
        <x:v>断货 补货提醒 </x:v>
      </x:c>
      <x:c r="Y124" s="19" t="str">
        <x:f>IF(NOT(ISNUMBER(U124)),"覆盖待核／无可比基准","完整可比")</x:f>
        <x:v>完整可比</x:v>
      </x:c>
      <x:c r="Z124" s="19" t="str">
        <x:v>停售、在售</x:v>
      </x:c>
      <x:c r="AA124" s="19" t="n">
        <x:f>IF(SUMIFS('SKU明细'!$AF$9:$AF$1592,'SKU明细'!$D$9:$D$1592,A124,'SKU明细'!$Z$9:$Z$1592,"&lt;&gt;移出")=0,"待核",SUMIFS('SKU明细'!$H$9:$H$1592,'SKU明细'!$D$9:$D$1592,A124,'SKU明细'!$Z$9:$Z$1592,"&lt;&gt;移出"))</x:f>
        <x:v>787</x:v>
      </x:c>
    </x:row>
    <x:row r="125" ht="54" customHeight="1">
      <x:c r="A125" s="15" t="str">
        <x:v>B06b</x:v>
      </x:c>
      <x:c r="B125" s="15" t="str">
        <x:v>艾年</x:v>
      </x:c>
      <x:c r="C125" s="15" t="str">
        <x:v>黑色PU</x:v>
      </x:c>
      <x:c r="D125" s="15" t="str">
        <x:v>BKP</x:v>
      </x:c>
      <x:c r="E125" s="15" t="str">
        <x:v>B06b-BKP</x:v>
      </x:c>
      <x:c r="F125" s="15"/>
      <x:c r="G125" s="16" t="str">
        <x:f>"—"</x:f>
        <x:v>—</x:v>
      </x:c>
      <x:c r="H125" s="16" t="n">
        <x:f>IF(AND(COUNT(INDEX('SKU明细'!$H$9:$H$1592,MATCH("[13120,""B06b-BKP-37""]",'SKU明细'!$AE$9:$AE$1592,0)))=1,COUNT(INDEX('SKU明细'!$G$9:$G$1592,MATCH("[13120,""B06b-BKP-37""]",'SKU明细'!$AE$9:$AE$1592,0)))=1,SUM(INDEX('SKU明细'!$G$9:$G$1592,MATCH("[13120,""B06b-BKP-37""]",'SKU明细'!$AE$9:$AE$1592,0)))&gt;0),SUM(INDEX('SKU明细'!$H$9:$H$1592,MATCH("[13120,""B06b-BKP-37""]",'SKU明细'!$AE$9:$AE$1592,0)))/SUM(INDEX('SKU明细'!$G$9:$G$1592,MATCH("[13120,""B06b-BKP-37""]",'SKU明细'!$AE$9:$AE$1592,0))),"待核")</x:f>
        <x:v>0</x:v>
      </x:c>
      <x:c r="I125" s="16" t="n">
        <x:f>IF(AND(COUNT(INDEX('SKU明细'!$H$9:$H$1592,MATCH("[13120,""B06b-BKP-37.5""]",'SKU明细'!$AE$9:$AE$1592,0)))=1,COUNT(INDEX('SKU明细'!$G$9:$G$1592,MATCH("[13120,""B06b-BKP-37.5""]",'SKU明细'!$AE$9:$AE$1592,0)))=1,SUM(INDEX('SKU明细'!$G$9:$G$1592,MATCH("[13120,""B06b-BKP-37.5""]",'SKU明细'!$AE$9:$AE$1592,0)))&gt;0),SUM(INDEX('SKU明细'!$H$9:$H$1592,MATCH("[13120,""B06b-BKP-37.5""]",'SKU明细'!$AE$9:$AE$1592,0)))/SUM(INDEX('SKU明细'!$G$9:$G$1592,MATCH("[13120,""B06b-BKP-37.5""]",'SKU明细'!$AE$9:$AE$1592,0))),"待核")</x:f>
        <x:v>0</x:v>
      </x:c>
      <x:c r="J125" s="16" t="n">
        <x:f>IF(AND(COUNT(INDEX('SKU明细'!$H$9:$H$1592,MATCH("[13120,""B06b-BKP-38""]",'SKU明细'!$AE$9:$AE$1592,0)))=1,COUNT(INDEX('SKU明细'!$G$9:$G$1592,MATCH("[13120,""B06b-BKP-38""]",'SKU明细'!$AE$9:$AE$1592,0)))=1,SUM(INDEX('SKU明细'!$G$9:$G$1592,MATCH("[13120,""B06b-BKP-38""]",'SKU明细'!$AE$9:$AE$1592,0)))&gt;0),SUM(INDEX('SKU明细'!$H$9:$H$1592,MATCH("[13120,""B06b-BKP-38""]",'SKU明细'!$AE$9:$AE$1592,0)))/SUM(INDEX('SKU明细'!$G$9:$G$1592,MATCH("[13120,""B06b-BKP-38""]",'SKU明细'!$AE$9:$AE$1592,0))),"待核")</x:f>
        <x:v>26.48367952522255</x:v>
      </x:c>
      <x:c r="K125" s="16" t="n">
        <x:f>IF(AND(COUNT(INDEX('SKU明细'!$H$9:$H$1592,MATCH("[13120,""B06b-BKP-38.5""]",'SKU明细'!$AE$9:$AE$1592,0)))=1,COUNT(INDEX('SKU明细'!$G$9:$G$1592,MATCH("[13120,""B06b-BKP-38.5""]",'SKU明细'!$AE$9:$AE$1592,0)))=1,SUM(INDEX('SKU明细'!$G$9:$G$1592,MATCH("[13120,""B06b-BKP-38.5""]",'SKU明细'!$AE$9:$AE$1592,0)))&gt;0),SUM(INDEX('SKU明细'!$H$9:$H$1592,MATCH("[13120,""B06b-BKP-38.5""]",'SKU明细'!$AE$9:$AE$1592,0)))/SUM(INDEX('SKU明细'!$G$9:$G$1592,MATCH("[13120,""B06b-BKP-38.5""]",'SKU明细'!$AE$9:$AE$1592,0))),"待核")</x:f>
        <x:v>54.83870967741935</x:v>
      </x:c>
      <x:c r="L125" s="16" t="n">
        <x:f>IF(AND(COUNT(INDEX('SKU明细'!$H$9:$H$1592,MATCH("[13120,""B06b-BKP-39""]",'SKU明细'!$AE$9:$AE$1592,0)))=1,COUNT(INDEX('SKU明细'!$G$9:$G$1592,MATCH("[13120,""B06b-BKP-39""]",'SKU明细'!$AE$9:$AE$1592,0)))=1,SUM(INDEX('SKU明细'!$G$9:$G$1592,MATCH("[13120,""B06b-BKP-39""]",'SKU明细'!$AE$9:$AE$1592,0)))&gt;0),SUM(INDEX('SKU明细'!$H$9:$H$1592,MATCH("[13120,""B06b-BKP-39""]",'SKU明细'!$AE$9:$AE$1592,0)))/SUM(INDEX('SKU明细'!$G$9:$G$1592,MATCH("[13120,""B06b-BKP-39""]",'SKU明细'!$AE$9:$AE$1592,0))),"待核")</x:f>
        <x:v>46.73157162726009</x:v>
      </x:c>
      <x:c r="M125" s="16" t="n">
        <x:f>IF(AND(COUNT(INDEX('SKU明细'!$H$9:$H$1592,MATCH("[13120,""B06b-BKP-39.5""]",'SKU明细'!$AE$9:$AE$1592,0)))=1,COUNT(INDEX('SKU明细'!$G$9:$G$1592,MATCH("[13120,""B06b-BKP-39.5""]",'SKU明细'!$AE$9:$AE$1592,0)))=1,SUM(INDEX('SKU明细'!$G$9:$G$1592,MATCH("[13120,""B06b-BKP-39.5""]",'SKU明细'!$AE$9:$AE$1592,0)))&gt;0),SUM(INDEX('SKU明细'!$H$9:$H$1592,MATCH("[13120,""B06b-BKP-39.5""]",'SKU明细'!$AE$9:$AE$1592,0)))/SUM(INDEX('SKU明细'!$G$9:$G$1592,MATCH("[13120,""B06b-BKP-39.5""]",'SKU明细'!$AE$9:$AE$1592,0))),"待核")</x:f>
        <x:v>32.59423503325942</x:v>
      </x:c>
      <x:c r="N125" s="16" t="n">
        <x:f>IF(AND(COUNT(INDEX('SKU明细'!$H$9:$H$1592,MATCH("[13120,""B06b-BKP-40""]",'SKU明细'!$AE$9:$AE$1592,0)))=1,COUNT(INDEX('SKU明细'!$G$9:$G$1592,MATCH("[13120,""B06b-BKP-40""]",'SKU明细'!$AE$9:$AE$1592,0)))=1,SUM(INDEX('SKU明细'!$G$9:$G$1592,MATCH("[13120,""B06b-BKP-40""]",'SKU明细'!$AE$9:$AE$1592,0)))&gt;0),SUM(INDEX('SKU明细'!$H$9:$H$1592,MATCH("[13120,""B06b-BKP-40""]",'SKU明细'!$AE$9:$AE$1592,0)))/SUM(INDEX('SKU明细'!$G$9:$G$1592,MATCH("[13120,""B06b-BKP-40""]",'SKU明细'!$AE$9:$AE$1592,0))),"待核")</x:f>
        <x:v>0</x:v>
      </x:c>
      <x:c r="O125" s="16" t="n">
        <x:f>IF(AND(COUNT(INDEX('SKU明细'!$H$9:$H$1592,MATCH("[13120,""B06b-BKP-40.5""]",'SKU明细'!$AE$9:$AE$1592,0)))=1,COUNT(INDEX('SKU明细'!$G$9:$G$1592,MATCH("[13120,""B06b-BKP-40.5""]",'SKU明细'!$AE$9:$AE$1592,0)))=1,SUM(INDEX('SKU明细'!$G$9:$G$1592,MATCH("[13120,""B06b-BKP-40.5""]",'SKU明细'!$AE$9:$AE$1592,0)))&gt;0),SUM(INDEX('SKU明细'!$H$9:$H$1592,MATCH("[13120,""B06b-BKP-40.5""]",'SKU明细'!$AE$9:$AE$1592,0)))/SUM(INDEX('SKU明细'!$G$9:$G$1592,MATCH("[13120,""B06b-BKP-40.5""]",'SKU明细'!$AE$9:$AE$1592,0))),"待核")</x:f>
        <x:v>0</x:v>
      </x:c>
      <x:c r="P125" s="16" t="n">
        <x:f>IF(AND(COUNT(INDEX('SKU明细'!$H$9:$H$1592,MATCH("[13120,""B06b-BKP-41""]",'SKU明细'!$AE$9:$AE$1592,0)))=1,COUNT(INDEX('SKU明细'!$G$9:$G$1592,MATCH("[13120,""B06b-BKP-41""]",'SKU明细'!$AE$9:$AE$1592,0)))=1,SUM(INDEX('SKU明细'!$G$9:$G$1592,MATCH("[13120,""B06b-BKP-41""]",'SKU明细'!$AE$9:$AE$1592,0)))&gt;0),SUM(INDEX('SKU明细'!$H$9:$H$1592,MATCH("[13120,""B06b-BKP-41""]",'SKU明细'!$AE$9:$AE$1592,0)))/SUM(INDEX('SKU明细'!$G$9:$G$1592,MATCH("[13120,""B06b-BKP-41""]",'SKU明细'!$AE$9:$AE$1592,0))),"待核")</x:f>
        <x:v>0</x:v>
      </x:c>
      <x:c r="Q125" s="16" t="str">
        <x:f>IF(AND(COUNT(INDEX('SKU明细'!$H$9:$H$1592,MATCH("[13120,""B06b-BKP-41.5""]",'SKU明细'!$AE$9:$AE$1592,0)))=1,COUNT(INDEX('SKU明细'!$G$9:$G$1592,MATCH("[13120,""B06b-BKP-41.5""]",'SKU明细'!$AE$9:$AE$1592,0)))=1,SUM(INDEX('SKU明细'!$G$9:$G$1592,MATCH("[13120,""B06b-BKP-41.5""]",'SKU明细'!$AE$9:$AE$1592,0)))&gt;0),SUM(INDEX('SKU明细'!$H$9:$H$1592,MATCH("[13120,""B06b-BKP-41.5""]",'SKU明细'!$AE$9:$AE$1592,0)))/SUM(INDEX('SKU明细'!$G$9:$G$1592,MATCH("[13120,""B06b-BKP-41.5""]",'SKU明细'!$AE$9:$AE$1592,0))),"待核")</x:f>
        <x:v>待核</x:v>
      </x:c>
      <x:c r="R125" s="16" t="str">
        <x:f>IF(AND(COUNT(INDEX('SKU明细'!$H$9:$H$1592,MATCH("[13120,""B06b-BKP-42""]",'SKU明细'!$AE$9:$AE$1592,0)))=1,COUNT(INDEX('SKU明细'!$G$9:$G$1592,MATCH("[13120,""B06b-BKP-42""]",'SKU明细'!$AE$9:$AE$1592,0)))=1,SUM(INDEX('SKU明细'!$G$9:$G$1592,MATCH("[13120,""B06b-BKP-42""]",'SKU明细'!$AE$9:$AE$1592,0)))&gt;0),SUM(INDEX('SKU明细'!$H$9:$H$1592,MATCH("[13120,""B06b-BKP-42""]",'SKU明细'!$AE$9:$AE$1592,0)))/SUM(INDEX('SKU明细'!$G$9:$G$1592,MATCH("[13120,""B06b-BKP-42""]",'SKU明细'!$AE$9:$AE$1592,0))),"待核")</x:f>
        <x:v>待核</x:v>
      </x:c>
      <x:c r="S125" s="16" t="n">
        <x:f>IF(AND(COUNT(INDEX('SKU明细'!$H$9:$H$1592,MATCH("[13120,""B06b-BKP-37""]",'SKU明细'!$AE$9:$AE$1592,0)),INDEX('SKU明细'!$H$9:$H$1592,MATCH("[13120,""B06b-BKP-37.5""]",'SKU明细'!$AE$9:$AE$1592,0)),INDEX('SKU明细'!$H$9:$H$1592,MATCH("[13120,""B06b-BKP-40""]",'SKU明细'!$AE$9:$AE$1592,0)),INDEX('SKU明细'!$H$9:$H$1592,MATCH("[13120,""B06b-BKP-40.5""]",'SKU明细'!$AE$9:$AE$1592,0)),INDEX('SKU明细'!$H$9:$H$1592,MATCH("[13120,""B06b-BKP-41""]",'SKU明细'!$AE$9:$AE$1592,0)),INDEX('SKU明细'!$H$9:$H$1592,MATCH("[13120,""B06b-BKP-41.5""]",'SKU明细'!$AE$9:$AE$1592,0)),INDEX('SKU明细'!$H$9:$H$1592,MATCH("[13120,""B06b-BKP-42""]",'SKU明细'!$AE$9:$AE$1592,0)),INDEX('SKU明细'!$H$9:$H$1592,MATCH("[13120,""B06b-BKP-38""]",'SKU明细'!$AE$9:$AE$1592,0)),INDEX('SKU明细'!$H$9:$H$1592,MATCH("[13120,""B06b-BKP-38.5""]",'SKU明细'!$AE$9:$AE$1592,0)),INDEX('SKU明细'!$H$9:$H$1592,MATCH("[13120,""B06b-BKP-39""]",'SKU明细'!$AE$9:$AE$1592,0)),INDEX('SKU明细'!$H$9:$H$1592,MATCH("[13120,""B06b-BKP-39.5""]",'SKU明细'!$AE$9:$AE$1592,0)))=11,COUNT(INDEX('SKU明细'!$G$9:$G$1592,MATCH("[13120,""B06b-BKP-37""]",'SKU明细'!$AE$9:$AE$1592,0)),INDEX('SKU明细'!$G$9:$G$1592,MATCH("[13120,""B06b-BKP-37.5""]",'SKU明细'!$AE$9:$AE$1592,0)),INDEX('SKU明细'!$G$9:$G$1592,MATCH("[13120,""B06b-BKP-40""]",'SKU明细'!$AE$9:$AE$1592,0)),INDEX('SKU明细'!$G$9:$G$1592,MATCH("[13120,""B06b-BKP-40.5""]",'SKU明细'!$AE$9:$AE$1592,0)),INDEX('SKU明细'!$G$9:$G$1592,MATCH("[13120,""B06b-BKP-41""]",'SKU明细'!$AE$9:$AE$1592,0)),INDEX('SKU明细'!$G$9:$G$1592,MATCH("[13120,""B06b-BKP-41.5""]",'SKU明细'!$AE$9:$AE$1592,0)),INDEX('SKU明细'!$G$9:$G$1592,MATCH("[13120,""B06b-BKP-42""]",'SKU明细'!$AE$9:$AE$1592,0)),INDEX('SKU明细'!$G$9:$G$1592,MATCH("[13120,""B06b-BKP-38""]",'SKU明细'!$AE$9:$AE$1592,0)),INDEX('SKU明细'!$G$9:$G$1592,MATCH("[13120,""B06b-BKP-38.5""]",'SKU明细'!$AE$9:$AE$1592,0)),INDEX('SKU明细'!$G$9:$G$1592,MATCH("[13120,""B06b-BKP-39""]",'SKU明细'!$AE$9:$AE$1592,0)),INDEX('SKU明细'!$G$9:$G$1592,MATCH("[13120,""B06b-BKP-39.5""]",'SKU明细'!$AE$9:$AE$1592,0)))=11,SUM(INDEX('SKU明细'!$G$9:$G$1592,MATCH("[13120,""B06b-BKP-37""]",'SKU明细'!$AE$9:$AE$1592,0)),INDEX('SKU明细'!$G$9:$G$1592,MATCH("[13120,""B06b-BKP-37.5""]",'SKU明细'!$AE$9:$AE$1592,0)),INDEX('SKU明细'!$G$9:$G$1592,MATCH("[13120,""B06b-BKP-40""]",'SKU明细'!$AE$9:$AE$1592,0)),INDEX('SKU明细'!$G$9:$G$1592,MATCH("[13120,""B06b-BKP-40.5""]",'SKU明细'!$AE$9:$AE$1592,0)),INDEX('SKU明细'!$G$9:$G$1592,MATCH("[13120,""B06b-BKP-41""]",'SKU明细'!$AE$9:$AE$1592,0)),INDEX('SKU明细'!$G$9:$G$1592,MATCH("[13120,""B06b-BKP-41.5""]",'SKU明细'!$AE$9:$AE$1592,0)),INDEX('SKU明细'!$G$9:$G$1592,MATCH("[13120,""B06b-BKP-42""]",'SKU明细'!$AE$9:$AE$1592,0)),INDEX('SKU明细'!$G$9:$G$1592,MATCH("[13120,""B06b-BKP-38""]",'SKU明细'!$AE$9:$AE$1592,0)),INDEX('SKU明细'!$G$9:$G$1592,MATCH("[13120,""B06b-BKP-38.5""]",'SKU明细'!$AE$9:$AE$1592,0)),INDEX('SKU明细'!$G$9:$G$1592,MATCH("[13120,""B06b-BKP-39""]",'SKU明细'!$AE$9:$AE$1592,0)),INDEX('SKU明细'!$G$9:$G$1592,MATCH("[13120,""B06b-BKP-39.5""]",'SKU明细'!$AE$9:$AE$1592,0)))&gt;0),SUM(INDEX('SKU明细'!$H$9:$H$1592,MATCH("[13120,""B06b-BKP-37""]",'SKU明细'!$AE$9:$AE$1592,0)),INDEX('SKU明细'!$H$9:$H$1592,MATCH("[13120,""B06b-BKP-37.5""]",'SKU明细'!$AE$9:$AE$1592,0)),INDEX('SKU明细'!$H$9:$H$1592,MATCH("[13120,""B06b-BKP-40""]",'SKU明细'!$AE$9:$AE$1592,0)),INDEX('SKU明细'!$H$9:$H$1592,MATCH("[13120,""B06b-BKP-40.5""]",'SKU明细'!$AE$9:$AE$1592,0)),INDEX('SKU明细'!$H$9:$H$1592,MATCH("[13120,""B06b-BKP-41""]",'SKU明细'!$AE$9:$AE$1592,0)),INDEX('SKU明细'!$H$9:$H$1592,MATCH("[13120,""B06b-BKP-41.5""]",'SKU明细'!$AE$9:$AE$1592,0)),INDEX('SKU明细'!$H$9:$H$1592,MATCH("[13120,""B06b-BKP-42""]",'SKU明细'!$AE$9:$AE$1592,0)),INDEX('SKU明细'!$H$9:$H$1592,MATCH("[13120,""B06b-BKP-38""]",'SKU明细'!$AE$9:$AE$1592,0)),INDEX('SKU明细'!$H$9:$H$1592,MATCH("[13120,""B06b-BKP-38.5""]",'SKU明细'!$AE$9:$AE$1592,0)),INDEX('SKU明细'!$H$9:$H$1592,MATCH("[13120,""B06b-BKP-39""]",'SKU明细'!$AE$9:$AE$1592,0)),INDEX('SKU明细'!$H$9:$H$1592,MATCH("[13120,""B06b-BKP-39.5""]",'SKU明细'!$AE$9:$AE$1592,0)))/SUM(INDEX('SKU明细'!$G$9:$G$1592,MATCH("[13120,""B06b-BKP-37""]",'SKU明细'!$AE$9:$AE$1592,0)),INDEX('SKU明细'!$G$9:$G$1592,MATCH("[13120,""B06b-BKP-37.5""]",'SKU明细'!$AE$9:$AE$1592,0)),INDEX('SKU明细'!$G$9:$G$1592,MATCH("[13120,""B06b-BKP-40""]",'SKU明细'!$AE$9:$AE$1592,0)),INDEX('SKU明细'!$G$9:$G$1592,MATCH("[13120,""B06b-BKP-40.5""]",'SKU明细'!$AE$9:$AE$1592,0)),INDEX('SKU明细'!$G$9:$G$1592,MATCH("[13120,""B06b-BKP-41""]",'SKU明细'!$AE$9:$AE$1592,0)),INDEX('SKU明细'!$G$9:$G$1592,MATCH("[13120,""B06b-BKP-41.5""]",'SKU明细'!$AE$9:$AE$1592,0)),INDEX('SKU明细'!$G$9:$G$1592,MATCH("[13120,""B06b-BKP-42""]",'SKU明细'!$AE$9:$AE$1592,0)),INDEX('SKU明细'!$G$9:$G$1592,MATCH("[13120,""B06b-BKP-38""]",'SKU明细'!$AE$9:$AE$1592,0)),INDEX('SKU明细'!$G$9:$G$1592,MATCH("[13120,""B06b-BKP-38.5""]",'SKU明细'!$AE$9:$AE$1592,0)),INDEX('SKU明细'!$G$9:$G$1592,MATCH("[13120,""B06b-BKP-39""]",'SKU明细'!$AE$9:$AE$1592,0)),INDEX('SKU明细'!$G$9:$G$1592,MATCH("[13120,""B06b-BKP-39.5""]",'SKU明细'!$AE$9:$AE$1592,0))),"待核")</x:f>
        <x:v>29.11107260440132</x:v>
      </x:c>
      <x:c r="T125" s="16" t="str">
        <x:f>IF(AND(COUNT(INDEX('SKU明细'!$I$9:$I$1592,MATCH("[13120,""B06b-BKP-37""]",'SKU明细'!$AE$9:$AE$1592,0)),INDEX('SKU明细'!$I$9:$I$1592,MATCH("[13120,""B06b-BKP-37.5""]",'SKU明细'!$AE$9:$AE$1592,0)),INDEX('SKU明细'!$I$9:$I$1592,MATCH("[13120,""B06b-BKP-40""]",'SKU明细'!$AE$9:$AE$1592,0)),INDEX('SKU明细'!$I$9:$I$1592,MATCH("[13120,""B06b-BKP-40.5""]",'SKU明细'!$AE$9:$AE$1592,0)),INDEX('SKU明细'!$I$9:$I$1592,MATCH("[13120,""B06b-BKP-41""]",'SKU明细'!$AE$9:$AE$1592,0)),INDEX('SKU明细'!$I$9:$I$1592,MATCH("[13120,""B06b-BKP-41.5""]",'SKU明细'!$AE$9:$AE$1592,0)),INDEX('SKU明细'!$I$9:$I$1592,MATCH("[13120,""B06b-BKP-42""]",'SKU明细'!$AE$9:$AE$1592,0)),INDEX('SKU明细'!$I$9:$I$1592,MATCH("[13120,""B06b-BKP-38""]",'SKU明细'!$AE$9:$AE$1592,0)),INDEX('SKU明细'!$I$9:$I$1592,MATCH("[13120,""B06b-BKP-38.5""]",'SKU明细'!$AE$9:$AE$1592,0)),INDEX('SKU明细'!$I$9:$I$1592,MATCH("[13120,""B06b-BKP-39""]",'SKU明细'!$AE$9:$AE$1592,0)),INDEX('SKU明细'!$I$9:$I$1592,MATCH("[13120,""B06b-BKP-39.5""]",'SKU明细'!$AE$9:$AE$1592,0)))=11,COUNT(INDEX('SKU明细'!$AD$9:$AD$1592,MATCH("[13120,""B06b-BKP-37""]",'SKU明细'!$AE$9:$AE$1592,0)),INDEX('SKU明细'!$AD$9:$AD$1592,MATCH("[13120,""B06b-BKP-37.5""]",'SKU明细'!$AE$9:$AE$1592,0)),INDEX('SKU明细'!$AD$9:$AD$1592,MATCH("[13120,""B06b-BKP-40""]",'SKU明细'!$AE$9:$AE$1592,0)),INDEX('SKU明细'!$AD$9:$AD$1592,MATCH("[13120,""B06b-BKP-40.5""]",'SKU明细'!$AE$9:$AE$1592,0)),INDEX('SKU明细'!$AD$9:$AD$1592,MATCH("[13120,""B06b-BKP-41""]",'SKU明细'!$AE$9:$AE$1592,0)),INDEX('SKU明细'!$AD$9:$AD$1592,MATCH("[13120,""B06b-BKP-41.5""]",'SKU明细'!$AE$9:$AE$1592,0)),INDEX('SKU明细'!$AD$9:$AD$1592,MATCH("[13120,""B06b-BKP-42""]",'SKU明细'!$AE$9:$AE$1592,0)),INDEX('SKU明细'!$AD$9:$AD$1592,MATCH("[13120,""B06b-BKP-38""]",'SKU明细'!$AE$9:$AE$1592,0)),INDEX('SKU明细'!$AD$9:$AD$1592,MATCH("[13120,""B06b-BKP-38.5""]",'SKU明细'!$AE$9:$AE$1592,0)),INDEX('SKU明细'!$AD$9:$AD$1592,MATCH("[13120,""B06b-BKP-39""]",'SKU明细'!$AE$9:$AE$1592,0)),INDEX('SKU明细'!$AD$9:$AD$1592,MATCH("[13120,""B06b-BKP-39.5""]",'SKU明细'!$AE$9:$AE$1592,0)))=11,SUM(INDEX('SKU明细'!$AD$9:$AD$1592,MATCH("[13120,""B06b-BKP-37""]",'SKU明细'!$AE$9:$AE$1592,0)),INDEX('SKU明细'!$AD$9:$AD$1592,MATCH("[13120,""B06b-BKP-37.5""]",'SKU明细'!$AE$9:$AE$1592,0)),INDEX('SKU明细'!$AD$9:$AD$1592,MATCH("[13120,""B06b-BKP-40""]",'SKU明细'!$AE$9:$AE$1592,0)),INDEX('SKU明细'!$AD$9:$AD$1592,MATCH("[13120,""B06b-BKP-40.5""]",'SKU明细'!$AE$9:$AE$1592,0)),INDEX('SKU明细'!$AD$9:$AD$1592,MATCH("[13120,""B06b-BKP-41""]",'SKU明细'!$AE$9:$AE$1592,0)),INDEX('SKU明细'!$AD$9:$AD$1592,MATCH("[13120,""B06b-BKP-41.5""]",'SKU明细'!$AE$9:$AE$1592,0)),INDEX('SKU明细'!$AD$9:$AD$1592,MATCH("[13120,""B06b-BKP-42""]",'SKU明细'!$AE$9:$AE$1592,0)),INDEX('SKU明细'!$AD$9:$AD$1592,MATCH("[13120,""B06b-BKP-38""]",'SKU明细'!$AE$9:$AE$1592,0)),INDEX('SKU明细'!$AD$9:$AD$1592,MATCH("[13120,""B06b-BKP-38.5""]",'SKU明细'!$AE$9:$AE$1592,0)),INDEX('SKU明细'!$AD$9:$AD$1592,MATCH("[13120,""B06b-BKP-39""]",'SKU明细'!$AE$9:$AE$1592,0)),INDEX('SKU明细'!$AD$9:$AD$1592,MATCH("[13120,""B06b-BKP-39.5""]",'SKU明细'!$AE$9:$AE$1592,0)))&gt;0),SUM(INDEX('SKU明细'!$I$9:$I$1592,MATCH("[13120,""B06b-BKP-37""]",'SKU明细'!$AE$9:$AE$1592,0)),INDEX('SKU明细'!$I$9:$I$1592,MATCH("[13120,""B06b-BKP-37.5""]",'SKU明细'!$AE$9:$AE$1592,0)),INDEX('SKU明细'!$I$9:$I$1592,MATCH("[13120,""B06b-BKP-40""]",'SKU明细'!$AE$9:$AE$1592,0)),INDEX('SKU明细'!$I$9:$I$1592,MATCH("[13120,""B06b-BKP-40.5""]",'SKU明细'!$AE$9:$AE$1592,0)),INDEX('SKU明细'!$I$9:$I$1592,MATCH("[13120,""B06b-BKP-41""]",'SKU明细'!$AE$9:$AE$1592,0)),INDEX('SKU明细'!$I$9:$I$1592,MATCH("[13120,""B06b-BKP-41.5""]",'SKU明细'!$AE$9:$AE$1592,0)),INDEX('SKU明细'!$I$9:$I$1592,MATCH("[13120,""B06b-BKP-42""]",'SKU明细'!$AE$9:$AE$1592,0)),INDEX('SKU明细'!$I$9:$I$1592,MATCH("[13120,""B06b-BKP-38""]",'SKU明细'!$AE$9:$AE$1592,0)),INDEX('SKU明细'!$I$9:$I$1592,MATCH("[13120,""B06b-BKP-38.5""]",'SKU明细'!$AE$9:$AE$1592,0)),INDEX('SKU明细'!$I$9:$I$1592,MATCH("[13120,""B06b-BKP-39""]",'SKU明细'!$AE$9:$AE$1592,0)),INDEX('SKU明细'!$I$9:$I$1592,MATCH("[13120,""B06b-BKP-39.5""]",'SKU明细'!$AE$9:$AE$1592,0)))/SUM(INDEX('SKU明细'!$AD$9:$AD$1592,MATCH("[13120,""B06b-BKP-37""]",'SKU明细'!$AE$9:$AE$1592,0)),INDEX('SKU明细'!$AD$9:$AD$1592,MATCH("[13120,""B06b-BKP-37.5""]",'SKU明细'!$AE$9:$AE$1592,0)),INDEX('SKU明细'!$AD$9:$AD$1592,MATCH("[13120,""B06b-BKP-40""]",'SKU明细'!$AE$9:$AE$1592,0)),INDEX('SKU明细'!$AD$9:$AD$1592,MATCH("[13120,""B06b-BKP-40.5""]",'SKU明细'!$AE$9:$AE$1592,0)),INDEX('SKU明细'!$AD$9:$AD$1592,MATCH("[13120,""B06b-BKP-41""]",'SKU明细'!$AE$9:$AE$1592,0)),INDEX('SKU明细'!$AD$9:$AD$1592,MATCH("[13120,""B06b-BKP-41.5""]",'SKU明细'!$AE$9:$AE$1592,0)),INDEX('SKU明细'!$AD$9:$AD$1592,MATCH("[13120,""B06b-BKP-42""]",'SKU明细'!$AE$9:$AE$1592,0)),INDEX('SKU明细'!$AD$9:$AD$1592,MATCH("[13120,""B06b-BKP-38""]",'SKU明细'!$AE$9:$AE$1592,0)),INDEX('SKU明细'!$AD$9:$AD$1592,MATCH("[13120,""B06b-BKP-38.5""]",'SKU明细'!$AE$9:$AE$1592,0)),INDEX('SKU明细'!$AD$9:$AD$1592,MATCH("[13120,""B06b-BKP-39""]",'SKU明细'!$AE$9:$AE$1592,0)),INDEX('SKU明细'!$AD$9:$AD$1592,MATCH("[13120,""B06b-BKP-39.5""]",'SKU明细'!$AE$9:$AE$1592,0))),"待核")</x:f>
        <x:v>待核</x:v>
      </x:c>
      <x:c r="U125" s="16" t="str">
        <x:f>IF(COUNT(S125:T125)=2,S125-T125,"待核")</x:f>
        <x:v>待核</x:v>
      </x:c>
      <x:c r="V125" s="17" t="str">
        <x:f>IF(AND(ISNUMBER(U125),ISNUMBER(T125),T125&lt;&gt;0),U125/T125,"")</x:f>
      </x:c>
      <x:c r="W125" s="18" t="n">
        <x:f>IF(COUNT(INDEX('SKU明细'!$H$9:$H$1592,MATCH("[13120,""B06b-BKP-37""]",'SKU明细'!$AE$9:$AE$1592,0)),INDEX('SKU明细'!$H$9:$H$1592,MATCH("[13120,""B06b-BKP-37.5""]",'SKU明细'!$AE$9:$AE$1592,0)),INDEX('SKU明细'!$H$9:$H$1592,MATCH("[13120,""B06b-BKP-40""]",'SKU明细'!$AE$9:$AE$1592,0)),INDEX('SKU明细'!$H$9:$H$1592,MATCH("[13120,""B06b-BKP-40.5""]",'SKU明细'!$AE$9:$AE$1592,0)),INDEX('SKU明细'!$H$9:$H$1592,MATCH("[13120,""B06b-BKP-41""]",'SKU明细'!$AE$9:$AE$1592,0)),INDEX('SKU明细'!$H$9:$H$1592,MATCH("[13120,""B06b-BKP-41.5""]",'SKU明细'!$AE$9:$AE$1592,0)),INDEX('SKU明细'!$H$9:$H$1592,MATCH("[13120,""B06b-BKP-42""]",'SKU明细'!$AE$9:$AE$1592,0)),INDEX('SKU明细'!$H$9:$H$1592,MATCH("[13120,""B06b-BKP-38""]",'SKU明细'!$AE$9:$AE$1592,0)),INDEX('SKU明细'!$H$9:$H$1592,MATCH("[13120,""B06b-BKP-38.5""]",'SKU明细'!$AE$9:$AE$1592,0)),INDEX('SKU明细'!$H$9:$H$1592,MATCH("[13120,""B06b-BKP-39""]",'SKU明细'!$AE$9:$AE$1592,0)),INDEX('SKU明细'!$H$9:$H$1592,MATCH("[13120,""B06b-BKP-39.5""]",'SKU明细'!$AE$9:$AE$1592,0)))=0,"待核",SUM(INDEX('SKU明细'!$H$9:$H$1592,MATCH("[13120,""B06b-BKP-37""]",'SKU明细'!$AE$9:$AE$1592,0)),INDEX('SKU明细'!$H$9:$H$1592,MATCH("[13120,""B06b-BKP-37.5""]",'SKU明细'!$AE$9:$AE$1592,0)),INDEX('SKU明细'!$H$9:$H$1592,MATCH("[13120,""B06b-BKP-40""]",'SKU明细'!$AE$9:$AE$1592,0)),INDEX('SKU明细'!$H$9:$H$1592,MATCH("[13120,""B06b-BKP-40.5""]",'SKU明细'!$AE$9:$AE$1592,0)),INDEX('SKU明细'!$H$9:$H$1592,MATCH("[13120,""B06b-BKP-41""]",'SKU明细'!$AE$9:$AE$1592,0)),INDEX('SKU明细'!$H$9:$H$1592,MATCH("[13120,""B06b-BKP-41.5""]",'SKU明细'!$AE$9:$AE$1592,0)),INDEX('SKU明细'!$H$9:$H$1592,MATCH("[13120,""B06b-BKP-42""]",'SKU明细'!$AE$9:$AE$1592,0)),INDEX('SKU明细'!$H$9:$H$1592,MATCH("[13120,""B06b-BKP-38""]",'SKU明细'!$AE$9:$AE$1592,0)),INDEX('SKU明细'!$H$9:$H$1592,MATCH("[13120,""B06b-BKP-38.5""]",'SKU明细'!$AE$9:$AE$1592,0)),INDEX('SKU明细'!$H$9:$H$1592,MATCH("[13120,""B06b-BKP-39""]",'SKU明细'!$AE$9:$AE$1592,0)),INDEX('SKU明细'!$H$9:$H$1592,MATCH("[13120,""B06b-BKP-39.5""]",'SKU明细'!$AE$9:$AE$1592,0))))</x:f>
        <x:v>80</x:v>
      </x:c>
      <x:c r="X125" s="19" t="str">
        <x:f>IF(COUNTIFS('SKU明细'!$AH$9:$AH$1592,"[""B06b"",""B06b-BKP"",""BKP"",""黑色PU""]",'SKU明细'!$E$9:$E$1592,"促销")&gt;0,"促销 ","")&amp;IF(COUNTIFS('SKU明细'!$AH$9:$AH$1592,"[""B06b"",""B06b-BKP"",""BKP"",""黑色PU""]",'SKU明细'!$E$9:$E$1592,"红线促销")&gt;0,"红线促销 ","")&amp;IF(COUNTIFS('SKU明细'!$AH$9:$AH$1592,"[""B06b"",""B06b-BKP"",""BKP"",""黑色PU""]",'SKU明细'!$E$9:$E$1592,"考虑清仓")&gt;0,"考虑清仓 ","")&amp;IF(COUNTIFS('SKU明细'!$AH$9:$AH$1592,"[""B06b"",""B06b-BKP"",""BKP"",""黑色PU""]",'SKU明细'!$E$9:$E$1592,"断货")&gt;0,"断货 ","")&amp;IF(COUNTIFS('SKU明细'!$AH$9:$AH$1592,"[""B06b"",""B06b-BKP"",""BKP"",""黑色PU""]",'SKU明细'!$E$9:$E$1592,"零日销待复核")&gt;0,"零日销待复核 ","")&amp;IF(COUNTIFS('SKU明细'!$AH$9:$AH$1592,"[""B06b"",""B06b-BKP"",""BKP"",""黑色PU""]",'SKU明细'!$E$9:$E$1592,"数据待核")&gt;0,"数据待核 ","")&amp;IF(COUNTIFS('SKU明细'!$AH$9:$AH$1592,"[""B06b"",""B06b-BKP"",""BKP"",""黑色PU""]",'SKU明细'!$E$9:$E$1592,"正常库存")&gt;0,"正常库存 ","")&amp;IF(COUNTIFS('SKU明细'!$AH$9:$AH$1592,"[""B06b"",""B06b-BKP"",""BKP"",""黑色PU""]",'SKU明细'!$E$9:$E$1592,"补货提醒")&gt;0,"补货提醒 ","")</x:f>
        <x:v>断货 补货提醒 </x:v>
      </x:c>
      <x:c r="Y125" s="19" t="str">
        <x:f>IF(NOT(ISNUMBER(U125)),"覆盖待核／无可比基准","完整可比")</x:f>
        <x:v>覆盖待核／无可比基准</x:v>
      </x:c>
      <x:c r="Z125" s="19" t="str">
        <x:v>停售、在售</x:v>
      </x:c>
      <x:c r="AA125" s="19" t="n">
        <x:f>IF(SUMIFS('SKU明细'!$AF$9:$AF$1592,'SKU明细'!$D$9:$D$1592,A125,'SKU明细'!$Z$9:$Z$1592,"&lt;&gt;移出")=0,"待核",SUMIFS('SKU明细'!$H$9:$H$1592,'SKU明细'!$D$9:$D$1592,A125,'SKU明细'!$Z$9:$Z$1592,"&lt;&gt;移出"))</x:f>
        <x:v>787</x:v>
      </x:c>
    </x:row>
    <x:row r="126" ht="54" customHeight="1">
      <x:c r="A126" s="15" t="str">
        <x:v>B06b</x:v>
      </x:c>
      <x:c r="B126" s="15" t="str">
        <x:v>艾年</x:v>
      </x:c>
      <x:c r="C126" s="15" t="str">
        <x:v>咖色PU</x:v>
      </x:c>
      <x:c r="D126" s="15" t="str">
        <x:v>CCP0</x:v>
      </x:c>
      <x:c r="E126" s="15" t="str">
        <x:v>B06b-CCP0</x:v>
      </x:c>
      <x:c r="F126" s="15"/>
      <x:c r="G126" s="16" t="str">
        <x:f>"—"</x:f>
        <x:v>—</x:v>
      </x:c>
      <x:c r="H126" s="16" t="str">
        <x:f>"—"</x:f>
        <x:v>—</x:v>
      </x:c>
      <x:c r="I126" s="16" t="n">
        <x:f>IF(AND(COUNT(INDEX('SKU明细'!$H$9:$H$1592,MATCH("[13120,""B06b-CCP0-6.5""]",'SKU明细'!$AE$9:$AE$1592,0)))=1,COUNT(INDEX('SKU明细'!$G$9:$G$1592,MATCH("[13120,""B06b-CCP0-6.5""]",'SKU明细'!$AE$9:$AE$1592,0)))=1,SUM(INDEX('SKU明细'!$G$9:$G$1592,MATCH("[13120,""B06b-CCP0-6.5""]",'SKU明细'!$AE$9:$AE$1592,0)))&gt;0),SUM(INDEX('SKU明细'!$H$9:$H$1592,MATCH("[13120,""B06b-CCP0-6.5""]",'SKU明细'!$AE$9:$AE$1592,0)))/SUM(INDEX('SKU明细'!$G$9:$G$1592,MATCH("[13120,""B06b-CCP0-6.5""]",'SKU明细'!$AE$9:$AE$1592,0))),"待核")</x:f>
        <x:v>64.12213740458016</x:v>
      </x:c>
      <x:c r="J126" s="16" t="n">
        <x:f>IF(AND(COUNT(INDEX('SKU明细'!$H$9:$H$1592,MATCH("[13120,""B06b-CCP0-7""]",'SKU明细'!$AE$9:$AE$1592,0)))=1,COUNT(INDEX('SKU明细'!$G$9:$G$1592,MATCH("[13120,""B06b-CCP0-7""]",'SKU明细'!$AE$9:$AE$1592,0)))=1,SUM(INDEX('SKU明细'!$G$9:$G$1592,MATCH("[13120,""B06b-CCP0-7""]",'SKU明细'!$AE$9:$AE$1592,0)))&gt;0),SUM(INDEX('SKU明细'!$H$9:$H$1592,MATCH("[13120,""B06b-CCP0-7""]",'SKU明细'!$AE$9:$AE$1592,0)))/SUM(INDEX('SKU明细'!$G$9:$G$1592,MATCH("[13120,""B06b-CCP0-7""]",'SKU明细'!$AE$9:$AE$1592,0))),"待核")</x:f>
        <x:v>0</x:v>
      </x:c>
      <x:c r="K126" s="16" t="n">
        <x:f>IF(AND(COUNT(INDEX('SKU明细'!$H$9:$H$1592,MATCH("[13120,""B06b-CCP0-7.5""]",'SKU明细'!$AE$9:$AE$1592,0)))=1,COUNT(INDEX('SKU明细'!$G$9:$G$1592,MATCH("[13120,""B06b-CCP0-7.5""]",'SKU明细'!$AE$9:$AE$1592,0)))=1,SUM(INDEX('SKU明细'!$G$9:$G$1592,MATCH("[13120,""B06b-CCP0-7.5""]",'SKU明细'!$AE$9:$AE$1592,0)))&gt;0),SUM(INDEX('SKU明细'!$H$9:$H$1592,MATCH("[13120,""B06b-CCP0-7.5""]",'SKU明细'!$AE$9:$AE$1592,0)))/SUM(INDEX('SKU明细'!$G$9:$G$1592,MATCH("[13120,""B06b-CCP0-7.5""]",'SKU明细'!$AE$9:$AE$1592,0))),"待核")</x:f>
        <x:v>7.167235494880546</x:v>
      </x:c>
      <x:c r="L126" s="16" t="n">
        <x:f>IF(AND(COUNT(INDEX('SKU明细'!$H$9:$H$1592,MATCH("[13120,""B06b-CCP0-8""]",'SKU明细'!$AE$9:$AE$1592,0)))=1,COUNT(INDEX('SKU明细'!$G$9:$G$1592,MATCH("[13120,""B06b-CCP0-8""]",'SKU明细'!$AE$9:$AE$1592,0)))=1,SUM(INDEX('SKU明细'!$G$9:$G$1592,MATCH("[13120,""B06b-CCP0-8""]",'SKU明细'!$AE$9:$AE$1592,0)))&gt;0),SUM(INDEX('SKU明细'!$H$9:$H$1592,MATCH("[13120,""B06b-CCP0-8""]",'SKU明细'!$AE$9:$AE$1592,0)))/SUM(INDEX('SKU明细'!$G$9:$G$1592,MATCH("[13120,""B06b-CCP0-8""]",'SKU明细'!$AE$9:$AE$1592,0))),"待核")</x:f>
        <x:v>22.95742232451093</x:v>
      </x:c>
      <x:c r="M126" s="16" t="str">
        <x:f>"—"</x:f>
        <x:v>—</x:v>
      </x:c>
      <x:c r="N126" s="16" t="n">
        <x:f>IF(AND(COUNT(INDEX('SKU明细'!$H$9:$H$1592,MATCH("[13120,""B06b-CCP0-9""]",'SKU明细'!$AE$9:$AE$1592,0)))=1,COUNT(INDEX('SKU明细'!$G$9:$G$1592,MATCH("[13120,""B06b-CCP0-9""]",'SKU明细'!$AE$9:$AE$1592,0)))=1,SUM(INDEX('SKU明细'!$G$9:$G$1592,MATCH("[13120,""B06b-CCP0-9""]",'SKU明细'!$AE$9:$AE$1592,0)))&gt;0),SUM(INDEX('SKU明细'!$H$9:$H$1592,MATCH("[13120,""B06b-CCP0-9""]",'SKU明细'!$AE$9:$AE$1592,0)))/SUM(INDEX('SKU明细'!$G$9:$G$1592,MATCH("[13120,""B06b-CCP0-9""]",'SKU明细'!$AE$9:$AE$1592,0))),"待核")</x:f>
        <x:v>9.699769053117784</x:v>
      </x:c>
      <x:c r="O126" s="16" t="str">
        <x:f>"—"</x:f>
        <x:v>—</x:v>
      </x:c>
      <x:c r="P126" s="16" t="n">
        <x:f>IF(AND(COUNT(INDEX('SKU明细'!$H$9:$H$1592,MATCH("[13120,""B06b-CCP0-10""]",'SKU明细'!$AE$9:$AE$1592,0)))=1,COUNT(INDEX('SKU明细'!$G$9:$G$1592,MATCH("[13120,""B06b-CCP0-10""]",'SKU明细'!$AE$9:$AE$1592,0)))=1,SUM(INDEX('SKU明细'!$G$9:$G$1592,MATCH("[13120,""B06b-CCP0-10""]",'SKU明细'!$AE$9:$AE$1592,0)))&gt;0),SUM(INDEX('SKU明细'!$H$9:$H$1592,MATCH("[13120,""B06b-CCP0-10""]",'SKU明细'!$AE$9:$AE$1592,0)))/SUM(INDEX('SKU明细'!$G$9:$G$1592,MATCH("[13120,""B06b-CCP0-10""]",'SKU明细'!$AE$9:$AE$1592,0))),"待核")</x:f>
        <x:v>0</x:v>
      </x:c>
      <x:c r="Q126" s="16" t="str">
        <x:f>IF(AND(COUNT(INDEX('SKU明细'!$H$9:$H$1592,MATCH("[13120,""B06b-CCP0-10.5""]",'SKU明细'!$AE$9:$AE$1592,0)))=1,COUNT(INDEX('SKU明细'!$G$9:$G$1592,MATCH("[13120,""B06b-CCP0-10.5""]",'SKU明细'!$AE$9:$AE$1592,0)))=1,SUM(INDEX('SKU明细'!$G$9:$G$1592,MATCH("[13120,""B06b-CCP0-10.5""]",'SKU明细'!$AE$9:$AE$1592,0)))&gt;0),SUM(INDEX('SKU明细'!$H$9:$H$1592,MATCH("[13120,""B06b-CCP0-10.5""]",'SKU明细'!$AE$9:$AE$1592,0)))/SUM(INDEX('SKU明细'!$G$9:$G$1592,MATCH("[13120,""B06b-CCP0-10.5""]",'SKU明细'!$AE$9:$AE$1592,0))),"待核")</x:f>
        <x:v>待核</x:v>
      </x:c>
      <x:c r="R126" s="16" t="n">
        <x:f>IF(AND(COUNT(INDEX('SKU明细'!$H$9:$H$1592,MATCH("[13120,""B06b-CCP0-11""]",'SKU明细'!$AE$9:$AE$1592,0)))=1,COUNT(INDEX('SKU明细'!$G$9:$G$1592,MATCH("[13120,""B06b-CCP0-11""]",'SKU明细'!$AE$9:$AE$1592,0)))=1,SUM(INDEX('SKU明细'!$G$9:$G$1592,MATCH("[13120,""B06b-CCP0-11""]",'SKU明细'!$AE$9:$AE$1592,0)))&gt;0),SUM(INDEX('SKU明细'!$H$9:$H$1592,MATCH("[13120,""B06b-CCP0-11""]",'SKU明细'!$AE$9:$AE$1592,0)))/SUM(INDEX('SKU明细'!$G$9:$G$1592,MATCH("[13120,""B06b-CCP0-11""]",'SKU明细'!$AE$9:$AE$1592,0))),"待核")</x:f>
        <x:v>0</x:v>
      </x:c>
      <x:c r="S126" s="16" t="n">
        <x:f>IF(AND(COUNT(INDEX('SKU明细'!$H$9:$H$1592,MATCH("[13120,""B06b-CCP0-10""]",'SKU明细'!$AE$9:$AE$1592,0)),INDEX('SKU明细'!$H$9:$H$1592,MATCH("[13120,""B06b-CCP0-10.5""]",'SKU明细'!$AE$9:$AE$1592,0)),INDEX('SKU明细'!$H$9:$H$1592,MATCH("[13120,""B06b-CCP0-11""]",'SKU明细'!$AE$9:$AE$1592,0)),INDEX('SKU明细'!$H$9:$H$1592,MATCH("[13120,""B06b-CCP0-7""]",'SKU明细'!$AE$9:$AE$1592,0)),INDEX('SKU明细'!$H$9:$H$1592,MATCH("[13120,""B06b-CCP0-6.5""]",'SKU明细'!$AE$9:$AE$1592,0)),INDEX('SKU明细'!$H$9:$H$1592,MATCH("[13120,""B06b-CCP0-7.5""]",'SKU明细'!$AE$9:$AE$1592,0)),INDEX('SKU明细'!$H$9:$H$1592,MATCH("[13120,""B06b-CCP0-8""]",'SKU明细'!$AE$9:$AE$1592,0)),INDEX('SKU明细'!$H$9:$H$1592,MATCH("[13120,""B06b-CCP0-9""]",'SKU明细'!$AE$9:$AE$1592,0)))=8,COUNT(INDEX('SKU明细'!$G$9:$G$1592,MATCH("[13120,""B06b-CCP0-10""]",'SKU明细'!$AE$9:$AE$1592,0)),INDEX('SKU明细'!$G$9:$G$1592,MATCH("[13120,""B06b-CCP0-10.5""]",'SKU明细'!$AE$9:$AE$1592,0)),INDEX('SKU明细'!$G$9:$G$1592,MATCH("[13120,""B06b-CCP0-11""]",'SKU明细'!$AE$9:$AE$1592,0)),INDEX('SKU明细'!$G$9:$G$1592,MATCH("[13120,""B06b-CCP0-7""]",'SKU明细'!$AE$9:$AE$1592,0)),INDEX('SKU明细'!$G$9:$G$1592,MATCH("[13120,""B06b-CCP0-6.5""]",'SKU明细'!$AE$9:$AE$1592,0)),INDEX('SKU明细'!$G$9:$G$1592,MATCH("[13120,""B06b-CCP0-7.5""]",'SKU明细'!$AE$9:$AE$1592,0)),INDEX('SKU明细'!$G$9:$G$1592,MATCH("[13120,""B06b-CCP0-8""]",'SKU明细'!$AE$9:$AE$1592,0)),INDEX('SKU明细'!$G$9:$G$1592,MATCH("[13120,""B06b-CCP0-9""]",'SKU明细'!$AE$9:$AE$1592,0)))=8,SUM(INDEX('SKU明细'!$G$9:$G$1592,MATCH("[13120,""B06b-CCP0-10""]",'SKU明细'!$AE$9:$AE$1592,0)),INDEX('SKU明细'!$G$9:$G$1592,MATCH("[13120,""B06b-CCP0-10.5""]",'SKU明细'!$AE$9:$AE$1592,0)),INDEX('SKU明细'!$G$9:$G$1592,MATCH("[13120,""B06b-CCP0-11""]",'SKU明细'!$AE$9:$AE$1592,0)),INDEX('SKU明细'!$G$9:$G$1592,MATCH("[13120,""B06b-CCP0-7""]",'SKU明细'!$AE$9:$AE$1592,0)),INDEX('SKU明细'!$G$9:$G$1592,MATCH("[13120,""B06b-CCP0-6.5""]",'SKU明细'!$AE$9:$AE$1592,0)),INDEX('SKU明细'!$G$9:$G$1592,MATCH("[13120,""B06b-CCP0-7.5""]",'SKU明细'!$AE$9:$AE$1592,0)),INDEX('SKU明细'!$G$9:$G$1592,MATCH("[13120,""B06b-CCP0-8""]",'SKU明细'!$AE$9:$AE$1592,0)),INDEX('SKU明细'!$G$9:$G$1592,MATCH("[13120,""B06b-CCP0-9""]",'SKU明细'!$AE$9:$AE$1592,0)))&gt;0),SUM(INDEX('SKU明细'!$H$9:$H$1592,MATCH("[13120,""B06b-CCP0-10""]",'SKU明细'!$AE$9:$AE$1592,0)),INDEX('SKU明细'!$H$9:$H$1592,MATCH("[13120,""B06b-CCP0-10.5""]",'SKU明细'!$AE$9:$AE$1592,0)),INDEX('SKU明细'!$H$9:$H$1592,MATCH("[13120,""B06b-CCP0-11""]",'SKU明细'!$AE$9:$AE$1592,0)),INDEX('SKU明细'!$H$9:$H$1592,MATCH("[13120,""B06b-CCP0-7""]",'SKU明细'!$AE$9:$AE$1592,0)),INDEX('SKU明细'!$H$9:$H$1592,MATCH("[13120,""B06b-CCP0-6.5""]",'SKU明细'!$AE$9:$AE$1592,0)),INDEX('SKU明细'!$H$9:$H$1592,MATCH("[13120,""B06b-CCP0-7.5""]",'SKU明细'!$AE$9:$AE$1592,0)),INDEX('SKU明细'!$H$9:$H$1592,MATCH("[13120,""B06b-CCP0-8""]",'SKU明细'!$AE$9:$AE$1592,0)),INDEX('SKU明细'!$H$9:$H$1592,MATCH("[13120,""B06b-CCP0-9""]",'SKU明细'!$AE$9:$AE$1592,0)))/SUM(INDEX('SKU明细'!$G$9:$G$1592,MATCH("[13120,""B06b-CCP0-10""]",'SKU明细'!$AE$9:$AE$1592,0)),INDEX('SKU明细'!$G$9:$G$1592,MATCH("[13120,""B06b-CCP0-10.5""]",'SKU明细'!$AE$9:$AE$1592,0)),INDEX('SKU明细'!$G$9:$G$1592,MATCH("[13120,""B06b-CCP0-11""]",'SKU明细'!$AE$9:$AE$1592,0)),INDEX('SKU明细'!$G$9:$G$1592,MATCH("[13120,""B06b-CCP0-7""]",'SKU明细'!$AE$9:$AE$1592,0)),INDEX('SKU明细'!$G$9:$G$1592,MATCH("[13120,""B06b-CCP0-6.5""]",'SKU明细'!$AE$9:$AE$1592,0)),INDEX('SKU明细'!$G$9:$G$1592,MATCH("[13120,""B06b-CCP0-7.5""]",'SKU明细'!$AE$9:$AE$1592,0)),INDEX('SKU明细'!$G$9:$G$1592,MATCH("[13120,""B06b-CCP0-8""]",'SKU明细'!$AE$9:$AE$1592,0)),INDEX('SKU明细'!$G$9:$G$1592,MATCH("[13120,""B06b-CCP0-9""]",'SKU明细'!$AE$9:$AE$1592,0))),"待核")</x:f>
        <x:v>20.095693779904302</x:v>
      </x:c>
      <x:c r="T126" s="16" t="str">
        <x:f>IF(AND(COUNT(INDEX('SKU明细'!$I$9:$I$1592,MATCH("[13120,""B06b-CCP0-10""]",'SKU明细'!$AE$9:$AE$1592,0)),INDEX('SKU明细'!$I$9:$I$1592,MATCH("[13120,""B06b-CCP0-10.5""]",'SKU明细'!$AE$9:$AE$1592,0)),INDEX('SKU明细'!$I$9:$I$1592,MATCH("[13120,""B06b-CCP0-11""]",'SKU明细'!$AE$9:$AE$1592,0)),INDEX('SKU明细'!$I$9:$I$1592,MATCH("[13120,""B06b-CCP0-7""]",'SKU明细'!$AE$9:$AE$1592,0)),INDEX('SKU明细'!$I$9:$I$1592,MATCH("[13120,""B06b-CCP0-6.5""]",'SKU明细'!$AE$9:$AE$1592,0)),INDEX('SKU明细'!$I$9:$I$1592,MATCH("[13120,""B06b-CCP0-7.5""]",'SKU明细'!$AE$9:$AE$1592,0)),INDEX('SKU明细'!$I$9:$I$1592,MATCH("[13120,""B06b-CCP0-8""]",'SKU明细'!$AE$9:$AE$1592,0)),INDEX('SKU明细'!$I$9:$I$1592,MATCH("[13120,""B06b-CCP0-9""]",'SKU明细'!$AE$9:$AE$1592,0)))=8,COUNT(INDEX('SKU明细'!$AD$9:$AD$1592,MATCH("[13120,""B06b-CCP0-10""]",'SKU明细'!$AE$9:$AE$1592,0)),INDEX('SKU明细'!$AD$9:$AD$1592,MATCH("[13120,""B06b-CCP0-10.5""]",'SKU明细'!$AE$9:$AE$1592,0)),INDEX('SKU明细'!$AD$9:$AD$1592,MATCH("[13120,""B06b-CCP0-11""]",'SKU明细'!$AE$9:$AE$1592,0)),INDEX('SKU明细'!$AD$9:$AD$1592,MATCH("[13120,""B06b-CCP0-7""]",'SKU明细'!$AE$9:$AE$1592,0)),INDEX('SKU明细'!$AD$9:$AD$1592,MATCH("[13120,""B06b-CCP0-6.5""]",'SKU明细'!$AE$9:$AE$1592,0)),INDEX('SKU明细'!$AD$9:$AD$1592,MATCH("[13120,""B06b-CCP0-7.5""]",'SKU明细'!$AE$9:$AE$1592,0)),INDEX('SKU明细'!$AD$9:$AD$1592,MATCH("[13120,""B06b-CCP0-8""]",'SKU明细'!$AE$9:$AE$1592,0)),INDEX('SKU明细'!$AD$9:$AD$1592,MATCH("[13120,""B06b-CCP0-9""]",'SKU明细'!$AE$9:$AE$1592,0)))=8,SUM(INDEX('SKU明细'!$AD$9:$AD$1592,MATCH("[13120,""B06b-CCP0-10""]",'SKU明细'!$AE$9:$AE$1592,0)),INDEX('SKU明细'!$AD$9:$AD$1592,MATCH("[13120,""B06b-CCP0-10.5""]",'SKU明细'!$AE$9:$AE$1592,0)),INDEX('SKU明细'!$AD$9:$AD$1592,MATCH("[13120,""B06b-CCP0-11""]",'SKU明细'!$AE$9:$AE$1592,0)),INDEX('SKU明细'!$AD$9:$AD$1592,MATCH("[13120,""B06b-CCP0-7""]",'SKU明细'!$AE$9:$AE$1592,0)),INDEX('SKU明细'!$AD$9:$AD$1592,MATCH("[13120,""B06b-CCP0-6.5""]",'SKU明细'!$AE$9:$AE$1592,0)),INDEX('SKU明细'!$AD$9:$AD$1592,MATCH("[13120,""B06b-CCP0-7.5""]",'SKU明细'!$AE$9:$AE$1592,0)),INDEX('SKU明细'!$AD$9:$AD$1592,MATCH("[13120,""B06b-CCP0-8""]",'SKU明细'!$AE$9:$AE$1592,0)),INDEX('SKU明细'!$AD$9:$AD$1592,MATCH("[13120,""B06b-CCP0-9""]",'SKU明细'!$AE$9:$AE$1592,0)))&gt;0),SUM(INDEX('SKU明细'!$I$9:$I$1592,MATCH("[13120,""B06b-CCP0-10""]",'SKU明细'!$AE$9:$AE$1592,0)),INDEX('SKU明细'!$I$9:$I$1592,MATCH("[13120,""B06b-CCP0-10.5""]",'SKU明细'!$AE$9:$AE$1592,0)),INDEX('SKU明细'!$I$9:$I$1592,MATCH("[13120,""B06b-CCP0-11""]",'SKU明细'!$AE$9:$AE$1592,0)),INDEX('SKU明细'!$I$9:$I$1592,MATCH("[13120,""B06b-CCP0-7""]",'SKU明细'!$AE$9:$AE$1592,0)),INDEX('SKU明细'!$I$9:$I$1592,MATCH("[13120,""B06b-CCP0-6.5""]",'SKU明细'!$AE$9:$AE$1592,0)),INDEX('SKU明细'!$I$9:$I$1592,MATCH("[13120,""B06b-CCP0-7.5""]",'SKU明细'!$AE$9:$AE$1592,0)),INDEX('SKU明细'!$I$9:$I$1592,MATCH("[13120,""B06b-CCP0-8""]",'SKU明细'!$AE$9:$AE$1592,0)),INDEX('SKU明细'!$I$9:$I$1592,MATCH("[13120,""B06b-CCP0-9""]",'SKU明细'!$AE$9:$AE$1592,0)))/SUM(INDEX('SKU明细'!$AD$9:$AD$1592,MATCH("[13120,""B06b-CCP0-10""]",'SKU明细'!$AE$9:$AE$1592,0)),INDEX('SKU明细'!$AD$9:$AD$1592,MATCH("[13120,""B06b-CCP0-10.5""]",'SKU明细'!$AE$9:$AE$1592,0)),INDEX('SKU明细'!$AD$9:$AD$1592,MATCH("[13120,""B06b-CCP0-11""]",'SKU明细'!$AE$9:$AE$1592,0)),INDEX('SKU明细'!$AD$9:$AD$1592,MATCH("[13120,""B06b-CCP0-7""]",'SKU明细'!$AE$9:$AE$1592,0)),INDEX('SKU明细'!$AD$9:$AD$1592,MATCH("[13120,""B06b-CCP0-6.5""]",'SKU明细'!$AE$9:$AE$1592,0)),INDEX('SKU明细'!$AD$9:$AD$1592,MATCH("[13120,""B06b-CCP0-7.5""]",'SKU明细'!$AE$9:$AE$1592,0)),INDEX('SKU明细'!$AD$9:$AD$1592,MATCH("[13120,""B06b-CCP0-8""]",'SKU明细'!$AE$9:$AE$1592,0)),INDEX('SKU明细'!$AD$9:$AD$1592,MATCH("[13120,""B06b-CCP0-9""]",'SKU明细'!$AE$9:$AE$1592,0))),"待核")</x:f>
        <x:v>待核</x:v>
      </x:c>
      <x:c r="U126" s="16" t="str">
        <x:f>IF(COUNT(S126:T126)=2,S126-T126,"待核")</x:f>
        <x:v>待核</x:v>
      </x:c>
      <x:c r="V126" s="17" t="str">
        <x:f>IF(AND(ISNUMBER(U126),ISNUMBER(T126),T126&lt;&gt;0),U126/T126,"")</x:f>
      </x:c>
      <x:c r="W126" s="18" t="n">
        <x:f>IF(COUNT(INDEX('SKU明细'!$H$9:$H$1592,MATCH("[13120,""B06b-CCP0-10""]",'SKU明细'!$AE$9:$AE$1592,0)),INDEX('SKU明细'!$H$9:$H$1592,MATCH("[13120,""B06b-CCP0-10.5""]",'SKU明细'!$AE$9:$AE$1592,0)),INDEX('SKU明细'!$H$9:$H$1592,MATCH("[13120,""B06b-CCP0-11""]",'SKU明细'!$AE$9:$AE$1592,0)),INDEX('SKU明细'!$H$9:$H$1592,MATCH("[13120,""B06b-CCP0-7""]",'SKU明细'!$AE$9:$AE$1592,0)),INDEX('SKU明细'!$H$9:$H$1592,MATCH("[13120,""B06b-CCP0-6.5""]",'SKU明细'!$AE$9:$AE$1592,0)),INDEX('SKU明细'!$H$9:$H$1592,MATCH("[13120,""B06b-CCP0-7.5""]",'SKU明细'!$AE$9:$AE$1592,0)),INDEX('SKU明细'!$H$9:$H$1592,MATCH("[13120,""B06b-CCP0-8""]",'SKU明细'!$AE$9:$AE$1592,0)),INDEX('SKU明细'!$H$9:$H$1592,MATCH("[13120,""B06b-CCP0-9""]",'SKU明细'!$AE$9:$AE$1592,0)))=0,"待核",SUM(INDEX('SKU明细'!$H$9:$H$1592,MATCH("[13120,""B06b-CCP0-10""]",'SKU明细'!$AE$9:$AE$1592,0)),INDEX('SKU明细'!$H$9:$H$1592,MATCH("[13120,""B06b-CCP0-10.5""]",'SKU明细'!$AE$9:$AE$1592,0)),INDEX('SKU明细'!$H$9:$H$1592,MATCH("[13120,""B06b-CCP0-11""]",'SKU明细'!$AE$9:$AE$1592,0)),INDEX('SKU明细'!$H$9:$H$1592,MATCH("[13120,""B06b-CCP0-7""]",'SKU明细'!$AE$9:$AE$1592,0)),INDEX('SKU明细'!$H$9:$H$1592,MATCH("[13120,""B06b-CCP0-6.5""]",'SKU明细'!$AE$9:$AE$1592,0)),INDEX('SKU明细'!$H$9:$H$1592,MATCH("[13120,""B06b-CCP0-7.5""]",'SKU明细'!$AE$9:$AE$1592,0)),INDEX('SKU明细'!$H$9:$H$1592,MATCH("[13120,""B06b-CCP0-8""]",'SKU明细'!$AE$9:$AE$1592,0)),INDEX('SKU明细'!$H$9:$H$1592,MATCH("[13120,""B06b-CCP0-9""]",'SKU明细'!$AE$9:$AE$1592,0))))</x:f>
        <x:v>46</x:v>
      </x:c>
      <x:c r="X126" s="19" t="str">
        <x:f>IF(COUNTIFS('SKU明细'!$AH$9:$AH$1592,"[""B06b"",""B06b-CCP0"",""CCP0"",""咖色PU""]",'SKU明细'!$E$9:$E$1592,"促销")&gt;0,"促销 ","")&amp;IF(COUNTIFS('SKU明细'!$AH$9:$AH$1592,"[""B06b"",""B06b-CCP0"",""CCP0"",""咖色PU""]",'SKU明细'!$E$9:$E$1592,"红线促销")&gt;0,"红线促销 ","")&amp;IF(COUNTIFS('SKU明细'!$AH$9:$AH$1592,"[""B06b"",""B06b-CCP0"",""CCP0"",""咖色PU""]",'SKU明细'!$E$9:$E$1592,"考虑清仓")&gt;0,"考虑清仓 ","")&amp;IF(COUNTIFS('SKU明细'!$AH$9:$AH$1592,"[""B06b"",""B06b-CCP0"",""CCP0"",""咖色PU""]",'SKU明细'!$E$9:$E$1592,"断货")&gt;0,"断货 ","")&amp;IF(COUNTIFS('SKU明细'!$AH$9:$AH$1592,"[""B06b"",""B06b-CCP0"",""CCP0"",""咖色PU""]",'SKU明细'!$E$9:$E$1592,"零日销待复核")&gt;0,"零日销待复核 ","")&amp;IF(COUNTIFS('SKU明细'!$AH$9:$AH$1592,"[""B06b"",""B06b-CCP0"",""CCP0"",""咖色PU""]",'SKU明细'!$E$9:$E$1592,"数据待核")&gt;0,"数据待核 ","")&amp;IF(COUNTIFS('SKU明细'!$AH$9:$AH$1592,"[""B06b"",""B06b-CCP0"",""CCP0"",""咖色PU""]",'SKU明细'!$E$9:$E$1592,"正常库存")&gt;0,"正常库存 ","")&amp;IF(COUNTIFS('SKU明细'!$AH$9:$AH$1592,"[""B06b"",""B06b-CCP0"",""CCP0"",""咖色PU""]",'SKU明细'!$E$9:$E$1592,"补货提醒")&gt;0,"补货提醒 ","")</x:f>
        <x:v>断货 正常库存 补货提醒 </x:v>
      </x:c>
      <x:c r="Y126" s="19" t="str">
        <x:f>IF(NOT(ISNUMBER(U126)),"覆盖待核／无可比基准","完整可比")</x:f>
        <x:v>覆盖待核／无可比基准</x:v>
      </x:c>
      <x:c r="Z126" s="19" t="str">
        <x:v>在售、停售</x:v>
      </x:c>
      <x:c r="AA126" s="19" t="n">
        <x:f>IF(SUMIFS('SKU明细'!$AF$9:$AF$1592,'SKU明细'!$D$9:$D$1592,A126,'SKU明细'!$Z$9:$Z$1592,"&lt;&gt;移出")=0,"待核",SUMIFS('SKU明细'!$H$9:$H$1592,'SKU明细'!$D$9:$D$1592,A126,'SKU明细'!$Z$9:$Z$1592,"&lt;&gt;移出"))</x:f>
        <x:v>787</x:v>
      </x:c>
    </x:row>
    <x:row r="127" ht="54" customHeight="1">
      <x:c r="A127" s="15" t="str">
        <x:v>B06b</x:v>
      </x:c>
      <x:c r="B127" s="15" t="str">
        <x:v>艾年</x:v>
      </x:c>
      <x:c r="C127" s="15" t="str">
        <x:v>灰色羊京绒</x:v>
      </x:c>
      <x:c r="D127" s="15" t="str">
        <x:v>GY</x:v>
      </x:c>
      <x:c r="E127" s="15" t="str">
        <x:v>B06b-GY</x:v>
      </x:c>
      <x:c r="F127" s="15"/>
      <x:c r="G127" s="16" t="str">
        <x:f>"—"</x:f>
        <x:v>—</x:v>
      </x:c>
      <x:c r="H127" s="16" t="str">
        <x:f>IF(AND(COUNT(INDEX('SKU明细'!$H$9:$H$1592,MATCH("[13120,""B06b-GY-37""]",'SKU明细'!$AE$9:$AE$1592,0)))=1,COUNT(INDEX('SKU明细'!$G$9:$G$1592,MATCH("[13120,""B06b-GY-37""]",'SKU明细'!$AE$9:$AE$1592,0)))=1,SUM(INDEX('SKU明细'!$G$9:$G$1592,MATCH("[13120,""B06b-GY-37""]",'SKU明细'!$AE$9:$AE$1592,0)))&gt;0),SUM(INDEX('SKU明细'!$H$9:$H$1592,MATCH("[13120,""B06b-GY-37""]",'SKU明细'!$AE$9:$AE$1592,0)))/SUM(INDEX('SKU明细'!$G$9:$G$1592,MATCH("[13120,""B06b-GY-37""]",'SKU明细'!$AE$9:$AE$1592,0))),"待核")</x:f>
        <x:v>待核</x:v>
      </x:c>
      <x:c r="I127" s="16" t="str">
        <x:f>IF(AND(COUNT(INDEX('SKU明细'!$H$9:$H$1592,MATCH("[13120,""B06b-GY-37.5""]",'SKU明细'!$AE$9:$AE$1592,0)))=1,COUNT(INDEX('SKU明细'!$G$9:$G$1592,MATCH("[13120,""B06b-GY-37.5""]",'SKU明细'!$AE$9:$AE$1592,0)))=1,SUM(INDEX('SKU明细'!$G$9:$G$1592,MATCH("[13120,""B06b-GY-37.5""]",'SKU明细'!$AE$9:$AE$1592,0)))&gt;0),SUM(INDEX('SKU明细'!$H$9:$H$1592,MATCH("[13120,""B06b-GY-37.5""]",'SKU明细'!$AE$9:$AE$1592,0)))/SUM(INDEX('SKU明细'!$G$9:$G$1592,MATCH("[13120,""B06b-GY-37.5""]",'SKU明细'!$AE$9:$AE$1592,0))),"待核")</x:f>
        <x:v>待核</x:v>
      </x:c>
      <x:c r="J127" s="16" t="str">
        <x:f>IF(AND(COUNT(INDEX('SKU明细'!$H$9:$H$1592,MATCH("[13120,""B06b-GY-38""]",'SKU明细'!$AE$9:$AE$1592,0)))=1,COUNT(INDEX('SKU明细'!$G$9:$G$1592,MATCH("[13120,""B06b-GY-38""]",'SKU明细'!$AE$9:$AE$1592,0)))=1,SUM(INDEX('SKU明细'!$G$9:$G$1592,MATCH("[13120,""B06b-GY-38""]",'SKU明细'!$AE$9:$AE$1592,0)))&gt;0),SUM(INDEX('SKU明细'!$H$9:$H$1592,MATCH("[13120,""B06b-GY-38""]",'SKU明细'!$AE$9:$AE$1592,0)))/SUM(INDEX('SKU明细'!$G$9:$G$1592,MATCH("[13120,""B06b-GY-38""]",'SKU明细'!$AE$9:$AE$1592,0))),"待核")</x:f>
        <x:v>待核</x:v>
      </x:c>
      <x:c r="K127" s="16" t="str">
        <x:f>"—"</x:f>
        <x:v>—</x:v>
      </x:c>
      <x:c r="L127" s="16" t="str">
        <x:f>IF(AND(COUNT(INDEX('SKU明细'!$H$9:$H$1592,MATCH("[13120,""B06b-GY-39""]",'SKU明细'!$AE$9:$AE$1592,0)))=1,COUNT(INDEX('SKU明细'!$G$9:$G$1592,MATCH("[13120,""B06b-GY-39""]",'SKU明细'!$AE$9:$AE$1592,0)))=1,SUM(INDEX('SKU明细'!$G$9:$G$1592,MATCH("[13120,""B06b-GY-39""]",'SKU明细'!$AE$9:$AE$1592,0)))&gt;0),SUM(INDEX('SKU明细'!$H$9:$H$1592,MATCH("[13120,""B06b-GY-39""]",'SKU明细'!$AE$9:$AE$1592,0)))/SUM(INDEX('SKU明细'!$G$9:$G$1592,MATCH("[13120,""B06b-GY-39""]",'SKU明细'!$AE$9:$AE$1592,0))),"待核")</x:f>
        <x:v>待核</x:v>
      </x:c>
      <x:c r="M127" s="16" t="str">
        <x:f>"—"</x:f>
        <x:v>—</x:v>
      </x:c>
      <x:c r="N127" s="16" t="str">
        <x:f>IF(AND(COUNT(INDEX('SKU明细'!$H$9:$H$1592,MATCH("[13120,""B06b-GY-40""]",'SKU明细'!$AE$9:$AE$1592,0)))=1,COUNT(INDEX('SKU明细'!$G$9:$G$1592,MATCH("[13120,""B06b-GY-40""]",'SKU明细'!$AE$9:$AE$1592,0)))=1,SUM(INDEX('SKU明细'!$G$9:$G$1592,MATCH("[13120,""B06b-GY-40""]",'SKU明细'!$AE$9:$AE$1592,0)))&gt;0),SUM(INDEX('SKU明细'!$H$9:$H$1592,MATCH("[13120,""B06b-GY-40""]",'SKU明细'!$AE$9:$AE$1592,0)))/SUM(INDEX('SKU明细'!$G$9:$G$1592,MATCH("[13120,""B06b-GY-40""]",'SKU明细'!$AE$9:$AE$1592,0))),"待核")</x:f>
        <x:v>待核</x:v>
      </x:c>
      <x:c r="O127" s="16" t="str">
        <x:f>"—"</x:f>
        <x:v>—</x:v>
      </x:c>
      <x:c r="P127" s="16" t="str">
        <x:f>"—"</x:f>
        <x:v>—</x:v>
      </x:c>
      <x:c r="Q127" s="16" t="str">
        <x:f>"—"</x:f>
        <x:v>—</x:v>
      </x:c>
      <x:c r="R127" s="16" t="str">
        <x:f>IF(AND(COUNT(INDEX('SKU明细'!$H$9:$H$1592,MATCH("[13120,""B06b-GY-42""]",'SKU明细'!$AE$9:$AE$1592,0)))=1,COUNT(INDEX('SKU明细'!$G$9:$G$1592,MATCH("[13120,""B06b-GY-42""]",'SKU明细'!$AE$9:$AE$1592,0)))=1,SUM(INDEX('SKU明细'!$G$9:$G$1592,MATCH("[13120,""B06b-GY-42""]",'SKU明细'!$AE$9:$AE$1592,0)))&gt;0),SUM(INDEX('SKU明细'!$H$9:$H$1592,MATCH("[13120,""B06b-GY-42""]",'SKU明细'!$AE$9:$AE$1592,0)))/SUM(INDEX('SKU明细'!$G$9:$G$1592,MATCH("[13120,""B06b-GY-42""]",'SKU明细'!$AE$9:$AE$1592,0))),"待核")</x:f>
        <x:v>待核</x:v>
      </x:c>
      <x:c r="S127" s="16" t="str">
        <x:f>"—"</x:f>
        <x:v>—</x:v>
      </x:c>
      <x:c r="T127" s="16" t="str">
        <x:f>"—"</x:f>
        <x:v>—</x:v>
      </x:c>
      <x:c r="U127" s="16" t="str">
        <x:f>IF(COUNT(S127:T127)=2,S127-T127,"待核")</x:f>
        <x:v>待核</x:v>
      </x:c>
      <x:c r="V127" s="17" t="str">
        <x:f>IF(AND(ISNUMBER(U127),ISNUMBER(T127),T127&lt;&gt;0),U127/T127,"")</x:f>
      </x:c>
      <x:c r="W127" s="18" t="n">
        <x:f>IF(COUNT(INDEX('SKU明细'!$H$9:$H$1592,MATCH("[13120,""B06b-GY-37""]",'SKU明细'!$AE$9:$AE$1592,0)),INDEX('SKU明细'!$H$9:$H$1592,MATCH("[13120,""B06b-GY-37.5""]",'SKU明细'!$AE$9:$AE$1592,0)),INDEX('SKU明细'!$H$9:$H$1592,MATCH("[13120,""B06b-GY-38""]",'SKU明细'!$AE$9:$AE$1592,0)),INDEX('SKU明细'!$H$9:$H$1592,MATCH("[13120,""B06b-GY-39""]",'SKU明细'!$AE$9:$AE$1592,0)),INDEX('SKU明细'!$H$9:$H$1592,MATCH("[13120,""B06b-GY-40""]",'SKU明细'!$AE$9:$AE$1592,0)),INDEX('SKU明细'!$H$9:$H$1592,MATCH("[13120,""B06b-GY-42""]",'SKU明细'!$AE$9:$AE$1592,0)))=0,"待核",SUM(INDEX('SKU明细'!$H$9:$H$1592,MATCH("[13120,""B06b-GY-37""]",'SKU明细'!$AE$9:$AE$1592,0)),INDEX('SKU明细'!$H$9:$H$1592,MATCH("[13120,""B06b-GY-37.5""]",'SKU明细'!$AE$9:$AE$1592,0)),INDEX('SKU明细'!$H$9:$H$1592,MATCH("[13120,""B06b-GY-38""]",'SKU明细'!$AE$9:$AE$1592,0)),INDEX('SKU明细'!$H$9:$H$1592,MATCH("[13120,""B06b-GY-39""]",'SKU明细'!$AE$9:$AE$1592,0)),INDEX('SKU明细'!$H$9:$H$1592,MATCH("[13120,""B06b-GY-40""]",'SKU明细'!$AE$9:$AE$1592,0)),INDEX('SKU明细'!$H$9:$H$1592,MATCH("[13120,""B06b-GY-42""]",'SKU明细'!$AE$9:$AE$1592,0))))</x:f>
        <x:v>0</x:v>
      </x:c>
      <x:c r="X127" s="19" t="str">
        <x:f>IF(COUNTIFS('SKU明细'!$AH$9:$AH$1592,"[""B06b"",""B06b-GY"",""GY"",""灰色羊京绒""]",'SKU明细'!$E$9:$E$1592,"促销")&gt;0,"促销 ","")&amp;IF(COUNTIFS('SKU明细'!$AH$9:$AH$1592,"[""B06b"",""B06b-GY"",""GY"",""灰色羊京绒""]",'SKU明细'!$E$9:$E$1592,"红线促销")&gt;0,"红线促销 ","")&amp;IF(COUNTIFS('SKU明细'!$AH$9:$AH$1592,"[""B06b"",""B06b-GY"",""GY"",""灰色羊京绒""]",'SKU明细'!$E$9:$E$1592,"考虑清仓")&gt;0,"考虑清仓 ","")&amp;IF(COUNTIFS('SKU明细'!$AH$9:$AH$1592,"[""B06b"",""B06b-GY"",""GY"",""灰色羊京绒""]",'SKU明细'!$E$9:$E$1592,"断货")&gt;0,"断货 ","")&amp;IF(COUNTIFS('SKU明细'!$AH$9:$AH$1592,"[""B06b"",""B06b-GY"",""GY"",""灰色羊京绒""]",'SKU明细'!$E$9:$E$1592,"零日销待复核")&gt;0,"零日销待复核 ","")&amp;IF(COUNTIFS('SKU明细'!$AH$9:$AH$1592,"[""B06b"",""B06b-GY"",""GY"",""灰色羊京绒""]",'SKU明细'!$E$9:$E$1592,"数据待核")&gt;0,"数据待核 ","")&amp;IF(COUNTIFS('SKU明细'!$AH$9:$AH$1592,"[""B06b"",""B06b-GY"",""GY"",""灰色羊京绒""]",'SKU明细'!$E$9:$E$1592,"正常库存")&gt;0,"正常库存 ","")&amp;IF(COUNTIFS('SKU明细'!$AH$9:$AH$1592,"[""B06b"",""B06b-GY"",""GY"",""灰色羊京绒""]",'SKU明细'!$E$9:$E$1592,"补货提醒")&gt;0,"补货提醒 ","")</x:f>
        <x:v>断货 </x:v>
      </x:c>
      <x:c r="Y127" s="19" t="str">
        <x:f>IF(NOT(ISNUMBER(U127)),"覆盖待核／无可比基准","仅共同SKU")</x:f>
        <x:v>覆盖待核／无可比基准</x:v>
      </x:c>
      <x:c r="Z127" s="19" t="str">
        <x:v>停售</x:v>
      </x:c>
      <x:c r="AA127" s="19" t="n">
        <x:f>IF(SUMIFS('SKU明细'!$AF$9:$AF$1592,'SKU明细'!$D$9:$D$1592,A127,'SKU明细'!$Z$9:$Z$1592,"&lt;&gt;移出")=0,"待核",SUMIFS('SKU明细'!$H$9:$H$1592,'SKU明细'!$D$9:$D$1592,A127,'SKU明细'!$Z$9:$Z$1592,"&lt;&gt;移出"))</x:f>
        <x:v>787</x:v>
      </x:c>
    </x:row>
    <x:row r="128" ht="54" customHeight="1">
      <x:c r="A128" s="15" t="str">
        <x:v>B06b</x:v>
      </x:c>
      <x:c r="B128" s="15" t="str">
        <x:v>艾年</x:v>
      </x:c>
      <x:c r="C128" s="15" t="str">
        <x:v>豹纹羊京绒</x:v>
      </x:c>
      <x:c r="D128" s="15" t="str">
        <x:v>LP</x:v>
      </x:c>
      <x:c r="E128" s="15" t="str">
        <x:v>B06b-LP</x:v>
      </x:c>
      <x:c r="F128" s="15"/>
      <x:c r="G128" s="16" t="str">
        <x:f>"—"</x:f>
        <x:v>—</x:v>
      </x:c>
      <x:c r="H128" s="16" t="n">
        <x:f>IF(AND(COUNT(INDEX('SKU明细'!$H$9:$H$1592,MATCH("[13120,""B06b-LP-37""]",'SKU明细'!$AE$9:$AE$1592,0)))=1,COUNT(INDEX('SKU明细'!$G$9:$G$1592,MATCH("[13120,""B06b-LP-37""]",'SKU明细'!$AE$9:$AE$1592,0)))=1,SUM(INDEX('SKU明细'!$G$9:$G$1592,MATCH("[13120,""B06b-LP-37""]",'SKU明细'!$AE$9:$AE$1592,0)))&gt;0),SUM(INDEX('SKU明细'!$H$9:$H$1592,MATCH("[13120,""B06b-LP-37""]",'SKU明细'!$AE$9:$AE$1592,0)))/SUM(INDEX('SKU明细'!$G$9:$G$1592,MATCH("[13120,""B06b-LP-37""]",'SKU明细'!$AE$9:$AE$1592,0))),"待核")</x:f>
        <x:v>83.64779874213836</x:v>
      </x:c>
      <x:c r="I128" s="16" t="str">
        <x:f>IF(AND(COUNT(INDEX('SKU明细'!$H$9:$H$1592,MATCH("[13120,""B06b-LP-37.5""]",'SKU明细'!$AE$9:$AE$1592,0)))=1,COUNT(INDEX('SKU明细'!$G$9:$G$1592,MATCH("[13120,""B06b-LP-37.5""]",'SKU明细'!$AE$9:$AE$1592,0)))=1,SUM(INDEX('SKU明细'!$G$9:$G$1592,MATCH("[13120,""B06b-LP-37.5""]",'SKU明细'!$AE$9:$AE$1592,0)))&gt;0),SUM(INDEX('SKU明细'!$H$9:$H$1592,MATCH("[13120,""B06b-LP-37.5""]",'SKU明细'!$AE$9:$AE$1592,0)))/SUM(INDEX('SKU明细'!$G$9:$G$1592,MATCH("[13120,""B06b-LP-37.5""]",'SKU明细'!$AE$9:$AE$1592,0))),"待核")</x:f>
        <x:v>待核</x:v>
      </x:c>
      <x:c r="J128" s="16" t="n">
        <x:f>IF(AND(COUNT(INDEX('SKU明细'!$H$9:$H$1592,MATCH("[13120,""B06b-LP-38""]",'SKU明细'!$AE$9:$AE$1592,0)))=1,COUNT(INDEX('SKU明细'!$G$9:$G$1592,MATCH("[13120,""B06b-LP-38""]",'SKU明细'!$AE$9:$AE$1592,0)))=1,SUM(INDEX('SKU明细'!$G$9:$G$1592,MATCH("[13120,""B06b-LP-38""]",'SKU明细'!$AE$9:$AE$1592,0)))&gt;0),SUM(INDEX('SKU明细'!$H$9:$H$1592,MATCH("[13120,""B06b-LP-38""]",'SKU明细'!$AE$9:$AE$1592,0)))/SUM(INDEX('SKU明细'!$G$9:$G$1592,MATCH("[13120,""B06b-LP-38""]",'SKU明细'!$AE$9:$AE$1592,0))),"待核")</x:f>
        <x:v>48.734177215189874</x:v>
      </x:c>
      <x:c r="K128" s="16" t="n">
        <x:f>IF(AND(COUNT(INDEX('SKU明细'!$H$9:$H$1592,MATCH("[13120,""B06b-LP-38.5""]",'SKU明细'!$AE$9:$AE$1592,0)))=1,COUNT(INDEX('SKU明细'!$G$9:$G$1592,MATCH("[13120,""B06b-LP-38.5""]",'SKU明细'!$AE$9:$AE$1592,0)))=1,SUM(INDEX('SKU明细'!$G$9:$G$1592,MATCH("[13120,""B06b-LP-38.5""]",'SKU明细'!$AE$9:$AE$1592,0)))&gt;0),SUM(INDEX('SKU明细'!$H$9:$H$1592,MATCH("[13120,""B06b-LP-38.5""]",'SKU明细'!$AE$9:$AE$1592,0)))/SUM(INDEX('SKU明细'!$G$9:$G$1592,MATCH("[13120,""B06b-LP-38.5""]",'SKU明细'!$AE$9:$AE$1592,0))),"待核")</x:f>
        <x:v>0</x:v>
      </x:c>
      <x:c r="L128" s="16" t="n">
        <x:f>IF(AND(COUNT(INDEX('SKU明细'!$H$9:$H$1592,MATCH("[13120,""B06b-LP-39""]",'SKU明细'!$AE$9:$AE$1592,0)))=1,COUNT(INDEX('SKU明细'!$G$9:$G$1592,MATCH("[13120,""B06b-LP-39""]",'SKU明细'!$AE$9:$AE$1592,0)))=1,SUM(INDEX('SKU明细'!$G$9:$G$1592,MATCH("[13120,""B06b-LP-39""]",'SKU明细'!$AE$9:$AE$1592,0)))&gt;0),SUM(INDEX('SKU明细'!$H$9:$H$1592,MATCH("[13120,""B06b-LP-39""]",'SKU明细'!$AE$9:$AE$1592,0)))/SUM(INDEX('SKU明细'!$G$9:$G$1592,MATCH("[13120,""B06b-LP-39""]",'SKU明细'!$AE$9:$AE$1592,0))),"待核")</x:f>
        <x:v>49.494949494949495</x:v>
      </x:c>
      <x:c r="M128" s="16" t="n">
        <x:f>IF(AND(COUNT(INDEX('SKU明细'!$H$9:$H$1592,MATCH("[13120,""B06b-LP-39.5""]",'SKU明细'!$AE$9:$AE$1592,0)))=1,COUNT(INDEX('SKU明细'!$G$9:$G$1592,MATCH("[13120,""B06b-LP-39.5""]",'SKU明细'!$AE$9:$AE$1592,0)))=1,SUM(INDEX('SKU明细'!$G$9:$G$1592,MATCH("[13120,""B06b-LP-39.5""]",'SKU明细'!$AE$9:$AE$1592,0)))&gt;0),SUM(INDEX('SKU明细'!$H$9:$H$1592,MATCH("[13120,""B06b-LP-39.5""]",'SKU明细'!$AE$9:$AE$1592,0)))/SUM(INDEX('SKU明细'!$G$9:$G$1592,MATCH("[13120,""B06b-LP-39.5""]",'SKU明细'!$AE$9:$AE$1592,0))),"待核")</x:f>
        <x:v>24.50928381962865</x:v>
      </x:c>
      <x:c r="N128" s="16" t="n">
        <x:f>IF(AND(COUNT(INDEX('SKU明细'!$H$9:$H$1592,MATCH("[13120,""B06b-LP-40""]",'SKU明细'!$AE$9:$AE$1592,0)))=1,COUNT(INDEX('SKU明细'!$G$9:$G$1592,MATCH("[13120,""B06b-LP-40""]",'SKU明细'!$AE$9:$AE$1592,0)))=1,SUM(INDEX('SKU明细'!$G$9:$G$1592,MATCH("[13120,""B06b-LP-40""]",'SKU明细'!$AE$9:$AE$1592,0)))&gt;0),SUM(INDEX('SKU明细'!$H$9:$H$1592,MATCH("[13120,""B06b-LP-40""]",'SKU明细'!$AE$9:$AE$1592,0)))/SUM(INDEX('SKU明细'!$G$9:$G$1592,MATCH("[13120,""B06b-LP-40""]",'SKU明细'!$AE$9:$AE$1592,0))),"待核")</x:f>
        <x:v>28.980891719745223</x:v>
      </x:c>
      <x:c r="O128" s="16" t="n">
        <x:f>IF(AND(COUNT(INDEX('SKU明细'!$H$9:$H$1592,MATCH("[13120,""B06b-LP-40.5""]",'SKU明细'!$AE$9:$AE$1592,0)))=1,COUNT(INDEX('SKU明细'!$G$9:$G$1592,MATCH("[13120,""B06b-LP-40.5""]",'SKU明细'!$AE$9:$AE$1592,0)))=1,SUM(INDEX('SKU明细'!$G$9:$G$1592,MATCH("[13120,""B06b-LP-40.5""]",'SKU明细'!$AE$9:$AE$1592,0)))&gt;0),SUM(INDEX('SKU明细'!$H$9:$H$1592,MATCH("[13120,""B06b-LP-40.5""]",'SKU明细'!$AE$9:$AE$1592,0)))/SUM(INDEX('SKU明细'!$G$9:$G$1592,MATCH("[13120,""B06b-LP-40.5""]",'SKU明细'!$AE$9:$AE$1592,0))),"待核")</x:f>
        <x:v>0</x:v>
      </x:c>
      <x:c r="P128" s="16" t="n">
        <x:f>IF(AND(COUNT(INDEX('SKU明细'!$H$9:$H$1592,MATCH("[13120,""B06b-LP-41""]",'SKU明细'!$AE$9:$AE$1592,0)))=1,COUNT(INDEX('SKU明细'!$G$9:$G$1592,MATCH("[13120,""B06b-LP-41""]",'SKU明细'!$AE$9:$AE$1592,0)))=1,SUM(INDEX('SKU明细'!$G$9:$G$1592,MATCH("[13120,""B06b-LP-41""]",'SKU明细'!$AE$9:$AE$1592,0)))&gt;0),SUM(INDEX('SKU明细'!$H$9:$H$1592,MATCH("[13120,""B06b-LP-41""]",'SKU明细'!$AE$9:$AE$1592,0)))/SUM(INDEX('SKU明细'!$G$9:$G$1592,MATCH("[13120,""B06b-LP-41""]",'SKU明细'!$AE$9:$AE$1592,0))),"待核")</x:f>
        <x:v>0</x:v>
      </x:c>
      <x:c r="Q128" s="16" t="n">
        <x:f>IF(AND(COUNT(INDEX('SKU明细'!$H$9:$H$1592,MATCH("[13120,""B06b-LP-41.5""]",'SKU明细'!$AE$9:$AE$1592,0)))=1,COUNT(INDEX('SKU明细'!$G$9:$G$1592,MATCH("[13120,""B06b-LP-41.5""]",'SKU明细'!$AE$9:$AE$1592,0)))=1,SUM(INDEX('SKU明细'!$G$9:$G$1592,MATCH("[13120,""B06b-LP-41.5""]",'SKU明细'!$AE$9:$AE$1592,0)))&gt;0),SUM(INDEX('SKU明细'!$H$9:$H$1592,MATCH("[13120,""B06b-LP-41.5""]",'SKU明细'!$AE$9:$AE$1592,0)))/SUM(INDEX('SKU明细'!$G$9:$G$1592,MATCH("[13120,""B06b-LP-41.5""]",'SKU明细'!$AE$9:$AE$1592,0))),"待核")</x:f>
        <x:v>10.344827586206895</x:v>
      </x:c>
      <x:c r="R128" s="16" t="n">
        <x:f>IF(AND(COUNT(INDEX('SKU明细'!$H$9:$H$1592,MATCH("[13120,""B06b-LP-42""]",'SKU明细'!$AE$9:$AE$1592,0)))=1,COUNT(INDEX('SKU明细'!$G$9:$G$1592,MATCH("[13120,""B06b-LP-42""]",'SKU明细'!$AE$9:$AE$1592,0)))=1,SUM(INDEX('SKU明细'!$G$9:$G$1592,MATCH("[13120,""B06b-LP-42""]",'SKU明细'!$AE$9:$AE$1592,0)))&gt;0),SUM(INDEX('SKU明细'!$H$9:$H$1592,MATCH("[13120,""B06b-LP-42""]",'SKU明细'!$AE$9:$AE$1592,0)))/SUM(INDEX('SKU明细'!$G$9:$G$1592,MATCH("[13120,""B06b-LP-42""]",'SKU明细'!$AE$9:$AE$1592,0))),"待核")</x:f>
        <x:v>0</x:v>
      </x:c>
      <x:c r="S128" s="16" t="n">
        <x:f>IF(AND(COUNT(INDEX('SKU明细'!$H$9:$H$1592,MATCH("[13120,""B06b-LP-37.5""]",'SKU明细'!$AE$9:$AE$1592,0)),INDEX('SKU明细'!$H$9:$H$1592,MATCH("[13120,""B06b-LP-38.5""]",'SKU明细'!$AE$9:$AE$1592,0)),INDEX('SKU明细'!$H$9:$H$1592,MATCH("[13120,""B06b-LP-40.5""]",'SKU明细'!$AE$9:$AE$1592,0)),INDEX('SKU明细'!$H$9:$H$1592,MATCH("[13120,""B06b-LP-41""]",'SKU明细'!$AE$9:$AE$1592,0)),INDEX('SKU明细'!$H$9:$H$1592,MATCH("[13120,""B06b-LP-42""]",'SKU明细'!$AE$9:$AE$1592,0)),INDEX('SKU明细'!$H$9:$H$1592,MATCH("[13120,""B06b-LP-37""]",'SKU明细'!$AE$9:$AE$1592,0)),INDEX('SKU明细'!$H$9:$H$1592,MATCH("[13120,""B06b-LP-38""]",'SKU明细'!$AE$9:$AE$1592,0)),INDEX('SKU明细'!$H$9:$H$1592,MATCH("[13120,""B06b-LP-39""]",'SKU明细'!$AE$9:$AE$1592,0)),INDEX('SKU明细'!$H$9:$H$1592,MATCH("[13120,""B06b-LP-39.5""]",'SKU明细'!$AE$9:$AE$1592,0)),INDEX('SKU明细'!$H$9:$H$1592,MATCH("[13120,""B06b-LP-40""]",'SKU明细'!$AE$9:$AE$1592,0)),INDEX('SKU明细'!$H$9:$H$1592,MATCH("[13120,""B06b-LP-41.5""]",'SKU明细'!$AE$9:$AE$1592,0)))=11,COUNT(INDEX('SKU明细'!$G$9:$G$1592,MATCH("[13120,""B06b-LP-37.5""]",'SKU明细'!$AE$9:$AE$1592,0)),INDEX('SKU明细'!$G$9:$G$1592,MATCH("[13120,""B06b-LP-38.5""]",'SKU明细'!$AE$9:$AE$1592,0)),INDEX('SKU明细'!$G$9:$G$1592,MATCH("[13120,""B06b-LP-40.5""]",'SKU明细'!$AE$9:$AE$1592,0)),INDEX('SKU明细'!$G$9:$G$1592,MATCH("[13120,""B06b-LP-41""]",'SKU明细'!$AE$9:$AE$1592,0)),INDEX('SKU明细'!$G$9:$G$1592,MATCH("[13120,""B06b-LP-42""]",'SKU明细'!$AE$9:$AE$1592,0)),INDEX('SKU明细'!$G$9:$G$1592,MATCH("[13120,""B06b-LP-37""]",'SKU明细'!$AE$9:$AE$1592,0)),INDEX('SKU明细'!$G$9:$G$1592,MATCH("[13120,""B06b-LP-38""]",'SKU明细'!$AE$9:$AE$1592,0)),INDEX('SKU明细'!$G$9:$G$1592,MATCH("[13120,""B06b-LP-39""]",'SKU明细'!$AE$9:$AE$1592,0)),INDEX('SKU明细'!$G$9:$G$1592,MATCH("[13120,""B06b-LP-39.5""]",'SKU明细'!$AE$9:$AE$1592,0)),INDEX('SKU明细'!$G$9:$G$1592,MATCH("[13120,""B06b-LP-40""]",'SKU明细'!$AE$9:$AE$1592,0)),INDEX('SKU明细'!$G$9:$G$1592,MATCH("[13120,""B06b-LP-41.5""]",'SKU明细'!$AE$9:$AE$1592,0)))=11,SUM(INDEX('SKU明细'!$G$9:$G$1592,MATCH("[13120,""B06b-LP-37.5""]",'SKU明细'!$AE$9:$AE$1592,0)),INDEX('SKU明细'!$G$9:$G$1592,MATCH("[13120,""B06b-LP-38.5""]",'SKU明细'!$AE$9:$AE$1592,0)),INDEX('SKU明细'!$G$9:$G$1592,MATCH("[13120,""B06b-LP-40.5""]",'SKU明细'!$AE$9:$AE$1592,0)),INDEX('SKU明细'!$G$9:$G$1592,MATCH("[13120,""B06b-LP-41""]",'SKU明细'!$AE$9:$AE$1592,0)),INDEX('SKU明细'!$G$9:$G$1592,MATCH("[13120,""B06b-LP-42""]",'SKU明细'!$AE$9:$AE$1592,0)),INDEX('SKU明细'!$G$9:$G$1592,MATCH("[13120,""B06b-LP-37""]",'SKU明细'!$AE$9:$AE$1592,0)),INDEX('SKU明细'!$G$9:$G$1592,MATCH("[13120,""B06b-LP-38""]",'SKU明细'!$AE$9:$AE$1592,0)),INDEX('SKU明细'!$G$9:$G$1592,MATCH("[13120,""B06b-LP-39""]",'SKU明细'!$AE$9:$AE$1592,0)),INDEX('SKU明细'!$G$9:$G$1592,MATCH("[13120,""B06b-LP-39.5""]",'SKU明细'!$AE$9:$AE$1592,0)),INDEX('SKU明细'!$G$9:$G$1592,MATCH("[13120,""B06b-LP-40""]",'SKU明细'!$AE$9:$AE$1592,0)),INDEX('SKU明细'!$G$9:$G$1592,MATCH("[13120,""B06b-LP-41.5""]",'SKU明细'!$AE$9:$AE$1592,0)))&gt;0),SUM(INDEX('SKU明细'!$H$9:$H$1592,MATCH("[13120,""B06b-LP-37.5""]",'SKU明细'!$AE$9:$AE$1592,0)),INDEX('SKU明细'!$H$9:$H$1592,MATCH("[13120,""B06b-LP-38.5""]",'SKU明细'!$AE$9:$AE$1592,0)),INDEX('SKU明细'!$H$9:$H$1592,MATCH("[13120,""B06b-LP-40.5""]",'SKU明细'!$AE$9:$AE$1592,0)),INDEX('SKU明细'!$H$9:$H$1592,MATCH("[13120,""B06b-LP-41""]",'SKU明细'!$AE$9:$AE$1592,0)),INDEX('SKU明细'!$H$9:$H$1592,MATCH("[13120,""B06b-LP-42""]",'SKU明细'!$AE$9:$AE$1592,0)),INDEX('SKU明细'!$H$9:$H$1592,MATCH("[13120,""B06b-LP-37""]",'SKU明细'!$AE$9:$AE$1592,0)),INDEX('SKU明细'!$H$9:$H$1592,MATCH("[13120,""B06b-LP-38""]",'SKU明细'!$AE$9:$AE$1592,0)),INDEX('SKU明细'!$H$9:$H$1592,MATCH("[13120,""B06b-LP-39""]",'SKU明细'!$AE$9:$AE$1592,0)),INDEX('SKU明细'!$H$9:$H$1592,MATCH("[13120,""B06b-LP-39.5""]",'SKU明细'!$AE$9:$AE$1592,0)),INDEX('SKU明细'!$H$9:$H$1592,MATCH("[13120,""B06b-LP-40""]",'SKU明细'!$AE$9:$AE$1592,0)),INDEX('SKU明细'!$H$9:$H$1592,MATCH("[13120,""B06b-LP-41.5""]",'SKU明细'!$AE$9:$AE$1592,0)))/SUM(INDEX('SKU明细'!$G$9:$G$1592,MATCH("[13120,""B06b-LP-37.5""]",'SKU明细'!$AE$9:$AE$1592,0)),INDEX('SKU明细'!$G$9:$G$1592,MATCH("[13120,""B06b-LP-38.5""]",'SKU明细'!$AE$9:$AE$1592,0)),INDEX('SKU明细'!$G$9:$G$1592,MATCH("[13120,""B06b-LP-40.5""]",'SKU明细'!$AE$9:$AE$1592,0)),INDEX('SKU明细'!$G$9:$G$1592,MATCH("[13120,""B06b-LP-41""]",'SKU明细'!$AE$9:$AE$1592,0)),INDEX('SKU明细'!$G$9:$G$1592,MATCH("[13120,""B06b-LP-42""]",'SKU明细'!$AE$9:$AE$1592,0)),INDEX('SKU明细'!$G$9:$G$1592,MATCH("[13120,""B06b-LP-37""]",'SKU明细'!$AE$9:$AE$1592,0)),INDEX('SKU明细'!$G$9:$G$1592,MATCH("[13120,""B06b-LP-38""]",'SKU明细'!$AE$9:$AE$1592,0)),INDEX('SKU明细'!$G$9:$G$1592,MATCH("[13120,""B06b-LP-39""]",'SKU明细'!$AE$9:$AE$1592,0)),INDEX('SKU明细'!$G$9:$G$1592,MATCH("[13120,""B06b-LP-39.5""]",'SKU明细'!$AE$9:$AE$1592,0)),INDEX('SKU明细'!$G$9:$G$1592,MATCH("[13120,""B06b-LP-40""]",'SKU明细'!$AE$9:$AE$1592,0)),INDEX('SKU明细'!$G$9:$G$1592,MATCH("[13120,""B06b-LP-41.5""]",'SKU明细'!$AE$9:$AE$1592,0))),"待核")</x:f>
        <x:v>28.82145555275749</x:v>
      </x:c>
      <x:c r="T128" s="16" t="n">
        <x:f>IF(AND(COUNT(INDEX('SKU明细'!$I$9:$I$1592,MATCH("[13120,""B06b-LP-37.5""]",'SKU明细'!$AE$9:$AE$1592,0)),INDEX('SKU明细'!$I$9:$I$1592,MATCH("[13120,""B06b-LP-38.5""]",'SKU明细'!$AE$9:$AE$1592,0)),INDEX('SKU明细'!$I$9:$I$1592,MATCH("[13120,""B06b-LP-40.5""]",'SKU明细'!$AE$9:$AE$1592,0)),INDEX('SKU明细'!$I$9:$I$1592,MATCH("[13120,""B06b-LP-41""]",'SKU明细'!$AE$9:$AE$1592,0)),INDEX('SKU明细'!$I$9:$I$1592,MATCH("[13120,""B06b-LP-42""]",'SKU明细'!$AE$9:$AE$1592,0)),INDEX('SKU明细'!$I$9:$I$1592,MATCH("[13120,""B06b-LP-37""]",'SKU明细'!$AE$9:$AE$1592,0)),INDEX('SKU明细'!$I$9:$I$1592,MATCH("[13120,""B06b-LP-38""]",'SKU明细'!$AE$9:$AE$1592,0)),INDEX('SKU明细'!$I$9:$I$1592,MATCH("[13120,""B06b-LP-39""]",'SKU明细'!$AE$9:$AE$1592,0)),INDEX('SKU明细'!$I$9:$I$1592,MATCH("[13120,""B06b-LP-39.5""]",'SKU明细'!$AE$9:$AE$1592,0)),INDEX('SKU明细'!$I$9:$I$1592,MATCH("[13120,""B06b-LP-40""]",'SKU明细'!$AE$9:$AE$1592,0)),INDEX('SKU明细'!$I$9:$I$1592,MATCH("[13120,""B06b-LP-41.5""]",'SKU明细'!$AE$9:$AE$1592,0)))=11,COUNT(INDEX('SKU明细'!$AD$9:$AD$1592,MATCH("[13120,""B06b-LP-37.5""]",'SKU明细'!$AE$9:$AE$1592,0)),INDEX('SKU明细'!$AD$9:$AD$1592,MATCH("[13120,""B06b-LP-38.5""]",'SKU明细'!$AE$9:$AE$1592,0)),INDEX('SKU明细'!$AD$9:$AD$1592,MATCH("[13120,""B06b-LP-40.5""]",'SKU明细'!$AE$9:$AE$1592,0)),INDEX('SKU明细'!$AD$9:$AD$1592,MATCH("[13120,""B06b-LP-41""]",'SKU明细'!$AE$9:$AE$1592,0)),INDEX('SKU明细'!$AD$9:$AD$1592,MATCH("[13120,""B06b-LP-42""]",'SKU明细'!$AE$9:$AE$1592,0)),INDEX('SKU明细'!$AD$9:$AD$1592,MATCH("[13120,""B06b-LP-37""]",'SKU明细'!$AE$9:$AE$1592,0)),INDEX('SKU明细'!$AD$9:$AD$1592,MATCH("[13120,""B06b-LP-38""]",'SKU明细'!$AE$9:$AE$1592,0)),INDEX('SKU明细'!$AD$9:$AD$1592,MATCH("[13120,""B06b-LP-39""]",'SKU明细'!$AE$9:$AE$1592,0)),INDEX('SKU明细'!$AD$9:$AD$1592,MATCH("[13120,""B06b-LP-39.5""]",'SKU明细'!$AE$9:$AE$1592,0)),INDEX('SKU明细'!$AD$9:$AD$1592,MATCH("[13120,""B06b-LP-40""]",'SKU明细'!$AE$9:$AE$1592,0)),INDEX('SKU明细'!$AD$9:$AD$1592,MATCH("[13120,""B06b-LP-41.5""]",'SKU明细'!$AE$9:$AE$1592,0)))=11,SUM(INDEX('SKU明细'!$AD$9:$AD$1592,MATCH("[13120,""B06b-LP-37.5""]",'SKU明细'!$AE$9:$AE$1592,0)),INDEX('SKU明细'!$AD$9:$AD$1592,MATCH("[13120,""B06b-LP-38.5""]",'SKU明细'!$AE$9:$AE$1592,0)),INDEX('SKU明细'!$AD$9:$AD$1592,MATCH("[13120,""B06b-LP-40.5""]",'SKU明细'!$AE$9:$AE$1592,0)),INDEX('SKU明细'!$AD$9:$AD$1592,MATCH("[13120,""B06b-LP-41""]",'SKU明细'!$AE$9:$AE$1592,0)),INDEX('SKU明细'!$AD$9:$AD$1592,MATCH("[13120,""B06b-LP-42""]",'SKU明细'!$AE$9:$AE$1592,0)),INDEX('SKU明细'!$AD$9:$AD$1592,MATCH("[13120,""B06b-LP-37""]",'SKU明细'!$AE$9:$AE$1592,0)),INDEX('SKU明细'!$AD$9:$AD$1592,MATCH("[13120,""B06b-LP-38""]",'SKU明细'!$AE$9:$AE$1592,0)),INDEX('SKU明细'!$AD$9:$AD$1592,MATCH("[13120,""B06b-LP-39""]",'SKU明细'!$AE$9:$AE$1592,0)),INDEX('SKU明细'!$AD$9:$AD$1592,MATCH("[13120,""B06b-LP-39.5""]",'SKU明细'!$AE$9:$AE$1592,0)),INDEX('SKU明细'!$AD$9:$AD$1592,MATCH("[13120,""B06b-LP-40""]",'SKU明细'!$AE$9:$AE$1592,0)),INDEX('SKU明细'!$AD$9:$AD$1592,MATCH("[13120,""B06b-LP-41.5""]",'SKU明细'!$AE$9:$AE$1592,0)))&gt;0),SUM(INDEX('SKU明细'!$I$9:$I$1592,MATCH("[13120,""B06b-LP-37.5""]",'SKU明细'!$AE$9:$AE$1592,0)),INDEX('SKU明细'!$I$9:$I$1592,MATCH("[13120,""B06b-LP-38.5""]",'SKU明细'!$AE$9:$AE$1592,0)),INDEX('SKU明细'!$I$9:$I$1592,MATCH("[13120,""B06b-LP-40.5""]",'SKU明细'!$AE$9:$AE$1592,0)),INDEX('SKU明细'!$I$9:$I$1592,MATCH("[13120,""B06b-LP-41""]",'SKU明细'!$AE$9:$AE$1592,0)),INDEX('SKU明细'!$I$9:$I$1592,MATCH("[13120,""B06b-LP-42""]",'SKU明细'!$AE$9:$AE$1592,0)),INDEX('SKU明细'!$I$9:$I$1592,MATCH("[13120,""B06b-LP-37""]",'SKU明细'!$AE$9:$AE$1592,0)),INDEX('SKU明细'!$I$9:$I$1592,MATCH("[13120,""B06b-LP-38""]",'SKU明细'!$AE$9:$AE$1592,0)),INDEX('SKU明细'!$I$9:$I$1592,MATCH("[13120,""B06b-LP-39""]",'SKU明细'!$AE$9:$AE$1592,0)),INDEX('SKU明细'!$I$9:$I$1592,MATCH("[13120,""B06b-LP-39.5""]",'SKU明细'!$AE$9:$AE$1592,0)),INDEX('SKU明细'!$I$9:$I$1592,MATCH("[13120,""B06b-LP-40""]",'SKU明细'!$AE$9:$AE$1592,0)),INDEX('SKU明细'!$I$9:$I$1592,MATCH("[13120,""B06b-LP-41.5""]",'SKU明细'!$AE$9:$AE$1592,0)))/SUM(INDEX('SKU明细'!$AD$9:$AD$1592,MATCH("[13120,""B06b-LP-37.5""]",'SKU明细'!$AE$9:$AE$1592,0)),INDEX('SKU明细'!$AD$9:$AD$1592,MATCH("[13120,""B06b-LP-38.5""]",'SKU明细'!$AE$9:$AE$1592,0)),INDEX('SKU明细'!$AD$9:$AD$1592,MATCH("[13120,""B06b-LP-40.5""]",'SKU明细'!$AE$9:$AE$1592,0)),INDEX('SKU明细'!$AD$9:$AD$1592,MATCH("[13120,""B06b-LP-41""]",'SKU明细'!$AE$9:$AE$1592,0)),INDEX('SKU明细'!$AD$9:$AD$1592,MATCH("[13120,""B06b-LP-42""]",'SKU明细'!$AE$9:$AE$1592,0)),INDEX('SKU明细'!$AD$9:$AD$1592,MATCH("[13120,""B06b-LP-37""]",'SKU明细'!$AE$9:$AE$1592,0)),INDEX('SKU明细'!$AD$9:$AD$1592,MATCH("[13120,""B06b-LP-38""]",'SKU明细'!$AE$9:$AE$1592,0)),INDEX('SKU明细'!$AD$9:$AD$1592,MATCH("[13120,""B06b-LP-39""]",'SKU明细'!$AE$9:$AE$1592,0)),INDEX('SKU明细'!$AD$9:$AD$1592,MATCH("[13120,""B06b-LP-39.5""]",'SKU明细'!$AE$9:$AE$1592,0)),INDEX('SKU明细'!$AD$9:$AD$1592,MATCH("[13120,""B06b-LP-40""]",'SKU明细'!$AE$9:$AE$1592,0)),INDEX('SKU明细'!$AD$9:$AD$1592,MATCH("[13120,""B06b-LP-41.5""]",'SKU明细'!$AE$9:$AE$1592,0))),"待核")</x:f>
        <x:v>32.80601146925055</x:v>
      </x:c>
      <x:c r="U128" s="16" t="n">
        <x:f>IF(COUNT(S128:T128)=2,S128-T128,"待核")</x:f>
        <x:v>-3.9845559164930577</x:v>
      </x:c>
      <x:c r="V128" s="17" t="n">
        <x:f>IF(AND(ISNUMBER(U128),ISNUMBER(T128),T128&lt;&gt;0),U128/T128,"")</x:f>
        <x:v>-0.12145810289153339</x:v>
      </x:c>
      <x:c r="W128" s="18" t="n">
        <x:f>IF(COUNT(INDEX('SKU明细'!$H$9:$H$1592,MATCH("[13120,""B06b-LP-37.5""]",'SKU明细'!$AE$9:$AE$1592,0)),INDEX('SKU明细'!$H$9:$H$1592,MATCH("[13120,""B06b-LP-38.5""]",'SKU明细'!$AE$9:$AE$1592,0)),INDEX('SKU明细'!$H$9:$H$1592,MATCH("[13120,""B06b-LP-40.5""]",'SKU明细'!$AE$9:$AE$1592,0)),INDEX('SKU明细'!$H$9:$H$1592,MATCH("[13120,""B06b-LP-41""]",'SKU明细'!$AE$9:$AE$1592,0)),INDEX('SKU明细'!$H$9:$H$1592,MATCH("[13120,""B06b-LP-42""]",'SKU明细'!$AE$9:$AE$1592,0)),INDEX('SKU明细'!$H$9:$H$1592,MATCH("[13120,""B06b-LP-37""]",'SKU明细'!$AE$9:$AE$1592,0)),INDEX('SKU明细'!$H$9:$H$1592,MATCH("[13120,""B06b-LP-38""]",'SKU明细'!$AE$9:$AE$1592,0)),INDEX('SKU明细'!$H$9:$H$1592,MATCH("[13120,""B06b-LP-39""]",'SKU明细'!$AE$9:$AE$1592,0)),INDEX('SKU明细'!$H$9:$H$1592,MATCH("[13120,""B06b-LP-39.5""]",'SKU明细'!$AE$9:$AE$1592,0)),INDEX('SKU明细'!$H$9:$H$1592,MATCH("[13120,""B06b-LP-40""]",'SKU明细'!$AE$9:$AE$1592,0)),INDEX('SKU明细'!$H$9:$H$1592,MATCH("[13120,""B06b-LP-41.5""]",'SKU明细'!$AE$9:$AE$1592,0)))=0,"待核",SUM(INDEX('SKU明细'!$H$9:$H$1592,MATCH("[13120,""B06b-LP-37.5""]",'SKU明细'!$AE$9:$AE$1592,0)),INDEX('SKU明细'!$H$9:$H$1592,MATCH("[13120,""B06b-LP-38.5""]",'SKU明细'!$AE$9:$AE$1592,0)),INDEX('SKU明细'!$H$9:$H$1592,MATCH("[13120,""B06b-LP-40.5""]",'SKU明细'!$AE$9:$AE$1592,0)),INDEX('SKU明细'!$H$9:$H$1592,MATCH("[13120,""B06b-LP-41""]",'SKU明细'!$AE$9:$AE$1592,0)),INDEX('SKU明细'!$H$9:$H$1592,MATCH("[13120,""B06b-LP-42""]",'SKU明细'!$AE$9:$AE$1592,0)),INDEX('SKU明细'!$H$9:$H$1592,MATCH("[13120,""B06b-LP-37""]",'SKU明细'!$AE$9:$AE$1592,0)),INDEX('SKU明细'!$H$9:$H$1592,MATCH("[13120,""B06b-LP-38""]",'SKU明细'!$AE$9:$AE$1592,0)),INDEX('SKU明细'!$H$9:$H$1592,MATCH("[13120,""B06b-LP-39""]",'SKU明细'!$AE$9:$AE$1592,0)),INDEX('SKU明细'!$H$9:$H$1592,MATCH("[13120,""B06b-LP-39.5""]",'SKU明细'!$AE$9:$AE$1592,0)),INDEX('SKU明细'!$H$9:$H$1592,MATCH("[13120,""B06b-LP-40""]",'SKU明细'!$AE$9:$AE$1592,0)),INDEX('SKU明细'!$H$9:$H$1592,MATCH("[13120,""B06b-LP-41.5""]",'SKU明细'!$AE$9:$AE$1592,0))))</x:f>
        <x:v>109</x:v>
      </x:c>
      <x:c r="X128" s="19" t="str">
        <x:f>IF(COUNTIFS('SKU明细'!$AH$9:$AH$1592,"[""B06b"",""B06b-LP"",""LP"",""豹纹羊京绒""]",'SKU明细'!$E$9:$E$1592,"促销")&gt;0,"促销 ","")&amp;IF(COUNTIFS('SKU明细'!$AH$9:$AH$1592,"[""B06b"",""B06b-LP"",""LP"",""豹纹羊京绒""]",'SKU明细'!$E$9:$E$1592,"红线促销")&gt;0,"红线促销 ","")&amp;IF(COUNTIFS('SKU明细'!$AH$9:$AH$1592,"[""B06b"",""B06b-LP"",""LP"",""豹纹羊京绒""]",'SKU明细'!$E$9:$E$1592,"考虑清仓")&gt;0,"考虑清仓 ","")&amp;IF(COUNTIFS('SKU明细'!$AH$9:$AH$1592,"[""B06b"",""B06b-LP"",""LP"",""豹纹羊京绒""]",'SKU明细'!$E$9:$E$1592,"断货")&gt;0,"断货 ","")&amp;IF(COUNTIFS('SKU明细'!$AH$9:$AH$1592,"[""B06b"",""B06b-LP"",""LP"",""豹纹羊京绒""]",'SKU明细'!$E$9:$E$1592,"零日销待复核")&gt;0,"零日销待复核 ","")&amp;IF(COUNTIFS('SKU明细'!$AH$9:$AH$1592,"[""B06b"",""B06b-LP"",""LP"",""豹纹羊京绒""]",'SKU明细'!$E$9:$E$1592,"数据待核")&gt;0,"数据待核 ","")&amp;IF(COUNTIFS('SKU明细'!$AH$9:$AH$1592,"[""B06b"",""B06b-LP"",""LP"",""豹纹羊京绒""]",'SKU明细'!$E$9:$E$1592,"正常库存")&gt;0,"正常库存 ","")&amp;IF(COUNTIFS('SKU明细'!$AH$9:$AH$1592,"[""B06b"",""B06b-LP"",""LP"",""豹纹羊京绒""]",'SKU明细'!$E$9:$E$1592,"补货提醒")&gt;0,"补货提醒 ","")</x:f>
        <x:v>断货 正常库存 补货提醒 </x:v>
      </x:c>
      <x:c r="Y128" s="19" t="str">
        <x:f>IF(NOT(ISNUMBER(U128)),"覆盖待核／无可比基准","完整可比")</x:f>
        <x:v>完整可比</x:v>
      </x:c>
      <x:c r="Z128" s="19" t="str">
        <x:v>停售、在售</x:v>
      </x:c>
      <x:c r="AA128" s="19" t="n">
        <x:f>IF(SUMIFS('SKU明细'!$AF$9:$AF$1592,'SKU明细'!$D$9:$D$1592,A128,'SKU明细'!$Z$9:$Z$1592,"&lt;&gt;移出")=0,"待核",SUMIFS('SKU明细'!$H$9:$H$1592,'SKU明细'!$D$9:$D$1592,A128,'SKU明细'!$Z$9:$Z$1592,"&lt;&gt;移出"))</x:f>
        <x:v>787</x:v>
      </x:c>
    </x:row>
    <x:row r="129" ht="54" customHeight="1">
      <x:c r="A129" s="15" t="str">
        <x:v>B06b</x:v>
      </x:c>
      <x:c r="B129" s="15" t="str">
        <x:v>艾年</x:v>
      </x:c>
      <x:c r="C129" s="15" t="str">
        <x:v>裸色PU</x:v>
      </x:c>
      <x:c r="D129" s="15" t="str">
        <x:v>NDP0</x:v>
      </x:c>
      <x:c r="E129" s="15" t="str">
        <x:v>B06b-NDP0</x:v>
      </x:c>
      <x:c r="F129" s="15"/>
      <x:c r="G129" s="16" t="str">
        <x:f>"—"</x:f>
        <x:v>—</x:v>
      </x:c>
      <x:c r="H129" s="16" t="n">
        <x:f>IF(AND(COUNT(INDEX('SKU明细'!$H$9:$H$1592,MATCH("[13120,""B06b-NDP0-6""]",'SKU明细'!$AE$9:$AE$1592,0)))=1,COUNT(INDEX('SKU明细'!$G$9:$G$1592,MATCH("[13120,""B06b-NDP0-6""]",'SKU明细'!$AE$9:$AE$1592,0)))=1,SUM(INDEX('SKU明细'!$G$9:$G$1592,MATCH("[13120,""B06b-NDP0-6""]",'SKU明细'!$AE$9:$AE$1592,0)))&gt;0),SUM(INDEX('SKU明细'!$H$9:$H$1592,MATCH("[13120,""B06b-NDP0-6""]",'SKU明细'!$AE$9:$AE$1592,0)))/SUM(INDEX('SKU明细'!$G$9:$G$1592,MATCH("[13120,""B06b-NDP0-6""]",'SKU明细'!$AE$9:$AE$1592,0))),"待核")</x:f>
        <x:v>150</x:v>
      </x:c>
      <x:c r="I129" s="16" t="str">
        <x:f>"—"</x:f>
        <x:v>—</x:v>
      </x:c>
      <x:c r="J129" s="16" t="str">
        <x:f>IF(AND(COUNT(INDEX('SKU明细'!$H$9:$H$1592,MATCH("[13120,""B06b-NDP0-7""]",'SKU明细'!$AE$9:$AE$1592,0)))=1,COUNT(INDEX('SKU明细'!$G$9:$G$1592,MATCH("[13120,""B06b-NDP0-7""]",'SKU明细'!$AE$9:$AE$1592,0)))=1,SUM(INDEX('SKU明细'!$G$9:$G$1592,MATCH("[13120,""B06b-NDP0-7""]",'SKU明细'!$AE$9:$AE$1592,0)))&gt;0),SUM(INDEX('SKU明细'!$H$9:$H$1592,MATCH("[13120,""B06b-NDP0-7""]",'SKU明细'!$AE$9:$AE$1592,0)))/SUM(INDEX('SKU明细'!$G$9:$G$1592,MATCH("[13120,""B06b-NDP0-7""]",'SKU明细'!$AE$9:$AE$1592,0))),"待核")</x:f>
        <x:v>待核</x:v>
      </x:c>
      <x:c r="K129" s="16" t="str">
        <x:f>"—"</x:f>
        <x:v>—</x:v>
      </x:c>
      <x:c r="L129" s="16" t="n">
        <x:f>IF(AND(COUNT(INDEX('SKU明细'!$H$9:$H$1592,MATCH("[13120,""B06b-NDP0-8""]",'SKU明细'!$AE$9:$AE$1592,0)))=1,COUNT(INDEX('SKU明细'!$G$9:$G$1592,MATCH("[13120,""B06b-NDP0-8""]",'SKU明细'!$AE$9:$AE$1592,0)))=1,SUM(INDEX('SKU明细'!$G$9:$G$1592,MATCH("[13120,""B06b-NDP0-8""]",'SKU明细'!$AE$9:$AE$1592,0)))&gt;0),SUM(INDEX('SKU明细'!$H$9:$H$1592,MATCH("[13120,""B06b-NDP0-8""]",'SKU明细'!$AE$9:$AE$1592,0)))/SUM(INDEX('SKU明细'!$G$9:$G$1592,MATCH("[13120,""B06b-NDP0-8""]",'SKU明细'!$AE$9:$AE$1592,0))),"待核")</x:f>
        <x:v>6.41711229946524</x:v>
      </x:c>
      <x:c r="M129" s="16" t="str">
        <x:f>IF(AND(COUNT(INDEX('SKU明细'!$H$9:$H$1592,MATCH("[13120,""B06b-NDP0-8.5""]",'SKU明细'!$AE$9:$AE$1592,0)))=1,COUNT(INDEX('SKU明细'!$G$9:$G$1592,MATCH("[13120,""B06b-NDP0-8.5""]",'SKU明细'!$AE$9:$AE$1592,0)))=1,SUM(INDEX('SKU明细'!$G$9:$G$1592,MATCH("[13120,""B06b-NDP0-8.5""]",'SKU明细'!$AE$9:$AE$1592,0)))&gt;0),SUM(INDEX('SKU明细'!$H$9:$H$1592,MATCH("[13120,""B06b-NDP0-8.5""]",'SKU明细'!$AE$9:$AE$1592,0)))/SUM(INDEX('SKU明细'!$G$9:$G$1592,MATCH("[13120,""B06b-NDP0-8.5""]",'SKU明细'!$AE$9:$AE$1592,0))),"待核")</x:f>
        <x:v>待核</x:v>
      </x:c>
      <x:c r="N129" s="16" t="n">
        <x:f>IF(AND(COUNT(INDEX('SKU明细'!$H$9:$H$1592,MATCH("[13120,""B06b-NDP0-9""]",'SKU明细'!$AE$9:$AE$1592,0)))=1,COUNT(INDEX('SKU明细'!$G$9:$G$1592,MATCH("[13120,""B06b-NDP0-9""]",'SKU明细'!$AE$9:$AE$1592,0)))=1,SUM(INDEX('SKU明细'!$G$9:$G$1592,MATCH("[13120,""B06b-NDP0-9""]",'SKU明细'!$AE$9:$AE$1592,0)))&gt;0),SUM(INDEX('SKU明细'!$H$9:$H$1592,MATCH("[13120,""B06b-NDP0-9""]",'SKU明细'!$AE$9:$AE$1592,0)))/SUM(INDEX('SKU明细'!$G$9:$G$1592,MATCH("[13120,""B06b-NDP0-9""]",'SKU明细'!$AE$9:$AE$1592,0))),"待核")</x:f>
        <x:v>19.024390243902438</x:v>
      </x:c>
      <x:c r="O129" s="16" t="str">
        <x:f>"—"</x:f>
        <x:v>—</x:v>
      </x:c>
      <x:c r="P129" s="16" t="str">
        <x:f>"—"</x:f>
        <x:v>—</x:v>
      </x:c>
      <x:c r="Q129" s="16" t="str">
        <x:f>"—"</x:f>
        <x:v>—</x:v>
      </x:c>
      <x:c r="R129" s="16" t="str">
        <x:f>IF(AND(COUNT(INDEX('SKU明细'!$H$9:$H$1592,MATCH("[13120,""B06b-NDP0-11""]",'SKU明细'!$AE$9:$AE$1592,0)))=1,COUNT(INDEX('SKU明细'!$G$9:$G$1592,MATCH("[13120,""B06b-NDP0-11""]",'SKU明细'!$AE$9:$AE$1592,0)))=1,SUM(INDEX('SKU明细'!$G$9:$G$1592,MATCH("[13120,""B06b-NDP0-11""]",'SKU明细'!$AE$9:$AE$1592,0)))&gt;0),SUM(INDEX('SKU明细'!$H$9:$H$1592,MATCH("[13120,""B06b-NDP0-11""]",'SKU明细'!$AE$9:$AE$1592,0)))/SUM(INDEX('SKU明细'!$G$9:$G$1592,MATCH("[13120,""B06b-NDP0-11""]",'SKU明细'!$AE$9:$AE$1592,0))),"待核")</x:f>
        <x:v>待核</x:v>
      </x:c>
      <x:c r="S129" s="16" t="n">
        <x:f>IF(AND(COUNT(INDEX('SKU明细'!$H$9:$H$1592,MATCH("[13120,""B06b-NDP0-6""]",'SKU明细'!$AE$9:$AE$1592,0)),INDEX('SKU明细'!$H$9:$H$1592,MATCH("[13120,""B06b-NDP0-11""]",'SKU明细'!$AE$9:$AE$1592,0)),INDEX('SKU明细'!$H$9:$H$1592,MATCH("[13120,""B06b-NDP0-7""]",'SKU明细'!$AE$9:$AE$1592,0)),INDEX('SKU明细'!$H$9:$H$1592,MATCH("[13120,""B06b-NDP0-8.5""]",'SKU明细'!$AE$9:$AE$1592,0)),INDEX('SKU明细'!$H$9:$H$1592,MATCH("[13120,""B06b-NDP0-8""]",'SKU明细'!$AE$9:$AE$1592,0)),INDEX('SKU明细'!$H$9:$H$1592,MATCH("[13120,""B06b-NDP0-9""]",'SKU明细'!$AE$9:$AE$1592,0)))=6,COUNT(INDEX('SKU明细'!$G$9:$G$1592,MATCH("[13120,""B06b-NDP0-6""]",'SKU明细'!$AE$9:$AE$1592,0)),INDEX('SKU明细'!$G$9:$G$1592,MATCH("[13120,""B06b-NDP0-11""]",'SKU明细'!$AE$9:$AE$1592,0)),INDEX('SKU明细'!$G$9:$G$1592,MATCH("[13120,""B06b-NDP0-7""]",'SKU明细'!$AE$9:$AE$1592,0)),INDEX('SKU明细'!$G$9:$G$1592,MATCH("[13120,""B06b-NDP0-8.5""]",'SKU明细'!$AE$9:$AE$1592,0)),INDEX('SKU明细'!$G$9:$G$1592,MATCH("[13120,""B06b-NDP0-8""]",'SKU明细'!$AE$9:$AE$1592,0)),INDEX('SKU明细'!$G$9:$G$1592,MATCH("[13120,""B06b-NDP0-9""]",'SKU明细'!$AE$9:$AE$1592,0)))=6,SUM(INDEX('SKU明细'!$G$9:$G$1592,MATCH("[13120,""B06b-NDP0-6""]",'SKU明细'!$AE$9:$AE$1592,0)),INDEX('SKU明细'!$G$9:$G$1592,MATCH("[13120,""B06b-NDP0-11""]",'SKU明细'!$AE$9:$AE$1592,0)),INDEX('SKU明细'!$G$9:$G$1592,MATCH("[13120,""B06b-NDP0-7""]",'SKU明细'!$AE$9:$AE$1592,0)),INDEX('SKU明细'!$G$9:$G$1592,MATCH("[13120,""B06b-NDP0-8.5""]",'SKU明细'!$AE$9:$AE$1592,0)),INDEX('SKU明细'!$G$9:$G$1592,MATCH("[13120,""B06b-NDP0-8""]",'SKU明细'!$AE$9:$AE$1592,0)),INDEX('SKU明细'!$G$9:$G$1592,MATCH("[13120,""B06b-NDP0-9""]",'SKU明细'!$AE$9:$AE$1592,0)))&gt;0),SUM(INDEX('SKU明细'!$H$9:$H$1592,MATCH("[13120,""B06b-NDP0-6""]",'SKU明细'!$AE$9:$AE$1592,0)),INDEX('SKU明细'!$H$9:$H$1592,MATCH("[13120,""B06b-NDP0-11""]",'SKU明细'!$AE$9:$AE$1592,0)),INDEX('SKU明细'!$H$9:$H$1592,MATCH("[13120,""B06b-NDP0-7""]",'SKU明细'!$AE$9:$AE$1592,0)),INDEX('SKU明细'!$H$9:$H$1592,MATCH("[13120,""B06b-NDP0-8.5""]",'SKU明细'!$AE$9:$AE$1592,0)),INDEX('SKU明细'!$H$9:$H$1592,MATCH("[13120,""B06b-NDP0-8""]",'SKU明细'!$AE$9:$AE$1592,0)),INDEX('SKU明细'!$H$9:$H$1592,MATCH("[13120,""B06b-NDP0-9""]",'SKU明细'!$AE$9:$AE$1592,0)))/SUM(INDEX('SKU明细'!$G$9:$G$1592,MATCH("[13120,""B06b-NDP0-6""]",'SKU明细'!$AE$9:$AE$1592,0)),INDEX('SKU明细'!$G$9:$G$1592,MATCH("[13120,""B06b-NDP0-11""]",'SKU明细'!$AE$9:$AE$1592,0)),INDEX('SKU明细'!$G$9:$G$1592,MATCH("[13120,""B06b-NDP0-7""]",'SKU明细'!$AE$9:$AE$1592,0)),INDEX('SKU明细'!$G$9:$G$1592,MATCH("[13120,""B06b-NDP0-8.5""]",'SKU明细'!$AE$9:$AE$1592,0)),INDEX('SKU明细'!$G$9:$G$1592,MATCH("[13120,""B06b-NDP0-8""]",'SKU明细'!$AE$9:$AE$1592,0)),INDEX('SKU明细'!$G$9:$G$1592,MATCH("[13120,""B06b-NDP0-9""]",'SKU明细'!$AE$9:$AE$1592,0))),"待核")</x:f>
        <x:v>13.705583756345176</x:v>
      </x:c>
      <x:c r="T129" s="16" t="str">
        <x:f>IF(AND(COUNT(INDEX('SKU明细'!$I$9:$I$1592,MATCH("[13120,""B06b-NDP0-6""]",'SKU明细'!$AE$9:$AE$1592,0)),INDEX('SKU明细'!$I$9:$I$1592,MATCH("[13120,""B06b-NDP0-11""]",'SKU明细'!$AE$9:$AE$1592,0)),INDEX('SKU明细'!$I$9:$I$1592,MATCH("[13120,""B06b-NDP0-7""]",'SKU明细'!$AE$9:$AE$1592,0)),INDEX('SKU明细'!$I$9:$I$1592,MATCH("[13120,""B06b-NDP0-8.5""]",'SKU明细'!$AE$9:$AE$1592,0)),INDEX('SKU明细'!$I$9:$I$1592,MATCH("[13120,""B06b-NDP0-8""]",'SKU明细'!$AE$9:$AE$1592,0)),INDEX('SKU明细'!$I$9:$I$1592,MATCH("[13120,""B06b-NDP0-9""]",'SKU明细'!$AE$9:$AE$1592,0)))=6,COUNT(INDEX('SKU明细'!$AD$9:$AD$1592,MATCH("[13120,""B06b-NDP0-6""]",'SKU明细'!$AE$9:$AE$1592,0)),INDEX('SKU明细'!$AD$9:$AD$1592,MATCH("[13120,""B06b-NDP0-11""]",'SKU明细'!$AE$9:$AE$1592,0)),INDEX('SKU明细'!$AD$9:$AD$1592,MATCH("[13120,""B06b-NDP0-7""]",'SKU明细'!$AE$9:$AE$1592,0)),INDEX('SKU明细'!$AD$9:$AD$1592,MATCH("[13120,""B06b-NDP0-8.5""]",'SKU明细'!$AE$9:$AE$1592,0)),INDEX('SKU明细'!$AD$9:$AD$1592,MATCH("[13120,""B06b-NDP0-8""]",'SKU明细'!$AE$9:$AE$1592,0)),INDEX('SKU明细'!$AD$9:$AD$1592,MATCH("[13120,""B06b-NDP0-9""]",'SKU明细'!$AE$9:$AE$1592,0)))=6,SUM(INDEX('SKU明细'!$AD$9:$AD$1592,MATCH("[13120,""B06b-NDP0-6""]",'SKU明细'!$AE$9:$AE$1592,0)),INDEX('SKU明细'!$AD$9:$AD$1592,MATCH("[13120,""B06b-NDP0-11""]",'SKU明细'!$AE$9:$AE$1592,0)),INDEX('SKU明细'!$AD$9:$AD$1592,MATCH("[13120,""B06b-NDP0-7""]",'SKU明细'!$AE$9:$AE$1592,0)),INDEX('SKU明细'!$AD$9:$AD$1592,MATCH("[13120,""B06b-NDP0-8.5""]",'SKU明细'!$AE$9:$AE$1592,0)),INDEX('SKU明细'!$AD$9:$AD$1592,MATCH("[13120,""B06b-NDP0-8""]",'SKU明细'!$AE$9:$AE$1592,0)),INDEX('SKU明细'!$AD$9:$AD$1592,MATCH("[13120,""B06b-NDP0-9""]",'SKU明细'!$AE$9:$AE$1592,0)))&gt;0),SUM(INDEX('SKU明细'!$I$9:$I$1592,MATCH("[13120,""B06b-NDP0-6""]",'SKU明细'!$AE$9:$AE$1592,0)),INDEX('SKU明细'!$I$9:$I$1592,MATCH("[13120,""B06b-NDP0-11""]",'SKU明细'!$AE$9:$AE$1592,0)),INDEX('SKU明细'!$I$9:$I$1592,MATCH("[13120,""B06b-NDP0-7""]",'SKU明细'!$AE$9:$AE$1592,0)),INDEX('SKU明细'!$I$9:$I$1592,MATCH("[13120,""B06b-NDP0-8.5""]",'SKU明细'!$AE$9:$AE$1592,0)),INDEX('SKU明细'!$I$9:$I$1592,MATCH("[13120,""B06b-NDP0-8""]",'SKU明细'!$AE$9:$AE$1592,0)),INDEX('SKU明细'!$I$9:$I$1592,MATCH("[13120,""B06b-NDP0-9""]",'SKU明细'!$AE$9:$AE$1592,0)))/SUM(INDEX('SKU明细'!$AD$9:$AD$1592,MATCH("[13120,""B06b-NDP0-6""]",'SKU明细'!$AE$9:$AE$1592,0)),INDEX('SKU明细'!$AD$9:$AD$1592,MATCH("[13120,""B06b-NDP0-11""]",'SKU明细'!$AE$9:$AE$1592,0)),INDEX('SKU明细'!$AD$9:$AD$1592,MATCH("[13120,""B06b-NDP0-7""]",'SKU明细'!$AE$9:$AE$1592,0)),INDEX('SKU明细'!$AD$9:$AD$1592,MATCH("[13120,""B06b-NDP0-8.5""]",'SKU明细'!$AE$9:$AE$1592,0)),INDEX('SKU明细'!$AD$9:$AD$1592,MATCH("[13120,""B06b-NDP0-8""]",'SKU明细'!$AE$9:$AE$1592,0)),INDEX('SKU明细'!$AD$9:$AD$1592,MATCH("[13120,""B06b-NDP0-9""]",'SKU明细'!$AE$9:$AE$1592,0))),"待核")</x:f>
        <x:v>待核</x:v>
      </x:c>
      <x:c r="U129" s="16" t="str">
        <x:f>IF(COUNT(S129:T129)=2,S129-T129,"待核")</x:f>
        <x:v>待核</x:v>
      </x:c>
      <x:c r="V129" s="17" t="str">
        <x:f>IF(AND(ISNUMBER(U129),ISNUMBER(T129),T129&lt;&gt;0),U129/T129,"")</x:f>
      </x:c>
      <x:c r="W129" s="18" t="n">
        <x:f>IF(COUNT(INDEX('SKU明细'!$H$9:$H$1592,MATCH("[13120,""B06b-NDP0-6""]",'SKU明细'!$AE$9:$AE$1592,0)),INDEX('SKU明细'!$H$9:$H$1592,MATCH("[13120,""B06b-NDP0-11""]",'SKU明细'!$AE$9:$AE$1592,0)),INDEX('SKU明细'!$H$9:$H$1592,MATCH("[13120,""B06b-NDP0-7""]",'SKU明细'!$AE$9:$AE$1592,0)),INDEX('SKU明细'!$H$9:$H$1592,MATCH("[13120,""B06b-NDP0-8.5""]",'SKU明细'!$AE$9:$AE$1592,0)),INDEX('SKU明细'!$H$9:$H$1592,MATCH("[13120,""B06b-NDP0-8""]",'SKU明细'!$AE$9:$AE$1592,0)),INDEX('SKU明细'!$H$9:$H$1592,MATCH("[13120,""B06b-NDP0-9""]",'SKU明细'!$AE$9:$AE$1592,0)))=0,"待核",SUM(INDEX('SKU明细'!$H$9:$H$1592,MATCH("[13120,""B06b-NDP0-6""]",'SKU明细'!$AE$9:$AE$1592,0)),INDEX('SKU明细'!$H$9:$H$1592,MATCH("[13120,""B06b-NDP0-11""]",'SKU明细'!$AE$9:$AE$1592,0)),INDEX('SKU明细'!$H$9:$H$1592,MATCH("[13120,""B06b-NDP0-7""]",'SKU明细'!$AE$9:$AE$1592,0)),INDEX('SKU明细'!$H$9:$H$1592,MATCH("[13120,""B06b-NDP0-8.5""]",'SKU明细'!$AE$9:$AE$1592,0)),INDEX('SKU明细'!$H$9:$H$1592,MATCH("[13120,""B06b-NDP0-8""]",'SKU明细'!$AE$9:$AE$1592,0)),INDEX('SKU明细'!$H$9:$H$1592,MATCH("[13120,""B06b-NDP0-9""]",'SKU明细'!$AE$9:$AE$1592,0))))</x:f>
        <x:v>18</x:v>
      </x:c>
      <x:c r="X129" s="19" t="str">
        <x:f>IF(COUNTIFS('SKU明细'!$AH$9:$AH$1592,"[""B06b"",""B06b-NDP0"",""NDP0"",""裸色PU""]",'SKU明细'!$E$9:$E$1592,"促销")&gt;0,"促销 ","")&amp;IF(COUNTIFS('SKU明细'!$AH$9:$AH$1592,"[""B06b"",""B06b-NDP0"",""NDP0"",""裸色PU""]",'SKU明细'!$E$9:$E$1592,"红线促销")&gt;0,"红线促销 ","")&amp;IF(COUNTIFS('SKU明细'!$AH$9:$AH$1592,"[""B06b"",""B06b-NDP0"",""NDP0"",""裸色PU""]",'SKU明细'!$E$9:$E$1592,"考虑清仓")&gt;0,"考虑清仓 ","")&amp;IF(COUNTIFS('SKU明细'!$AH$9:$AH$1592,"[""B06b"",""B06b-NDP0"",""NDP0"",""裸色PU""]",'SKU明细'!$E$9:$E$1592,"断货")&gt;0,"断货 ","")&amp;IF(COUNTIFS('SKU明细'!$AH$9:$AH$1592,"[""B06b"",""B06b-NDP0"",""NDP0"",""裸色PU""]",'SKU明细'!$E$9:$E$1592,"零日销待复核")&gt;0,"零日销待复核 ","")&amp;IF(COUNTIFS('SKU明细'!$AH$9:$AH$1592,"[""B06b"",""B06b-NDP0"",""NDP0"",""裸色PU""]",'SKU明细'!$E$9:$E$1592,"数据待核")&gt;0,"数据待核 ","")&amp;IF(COUNTIFS('SKU明细'!$AH$9:$AH$1592,"[""B06b"",""B06b-NDP0"",""NDP0"",""裸色PU""]",'SKU明细'!$E$9:$E$1592,"正常库存")&gt;0,"正常库存 ","")&amp;IF(COUNTIFS('SKU明细'!$AH$9:$AH$1592,"[""B06b"",""B06b-NDP0"",""NDP0"",""裸色PU""]",'SKU明细'!$E$9:$E$1592,"补货提醒")&gt;0,"补货提醒 ","")</x:f>
        <x:v>促销 断货 补货提醒 </x:v>
      </x:c>
      <x:c r="Y129" s="19" t="str">
        <x:f>IF(NOT(ISNUMBER(U129)),"覆盖待核／无可比基准","完整可比")</x:f>
        <x:v>覆盖待核／无可比基准</x:v>
      </x:c>
      <x:c r="Z129" s="19" t="str">
        <x:v>在售、停售</x:v>
      </x:c>
      <x:c r="AA129" s="19" t="n">
        <x:f>IF(SUMIFS('SKU明细'!$AF$9:$AF$1592,'SKU明细'!$D$9:$D$1592,A129,'SKU明细'!$Z$9:$Z$1592,"&lt;&gt;移出")=0,"待核",SUMIFS('SKU明细'!$H$9:$H$1592,'SKU明细'!$D$9:$D$1592,A129,'SKU明细'!$Z$9:$Z$1592,"&lt;&gt;移出"))</x:f>
        <x:v>787</x:v>
      </x:c>
    </x:row>
    <x:row r="130" ht="54" customHeight="1">
      <x:c r="A130" s="15" t="str">
        <x:v>B06b</x:v>
      </x:c>
      <x:c r="B130" s="15" t="str">
        <x:v>艾年</x:v>
      </x:c>
      <x:c r="C130" s="15" t="str">
        <x:v>裸色羊京绒</x:v>
      </x:c>
      <x:c r="D130" s="15" t="str">
        <x:v>NU</x:v>
      </x:c>
      <x:c r="E130" s="15" t="str">
        <x:v>B06b-NU</x:v>
      </x:c>
      <x:c r="F130" s="15"/>
      <x:c r="G130" s="16" t="str">
        <x:f>"—"</x:f>
        <x:v>—</x:v>
      </x:c>
      <x:c r="H130" s="16" t="n">
        <x:f>IF(AND(COUNT(INDEX('SKU明细'!$H$9:$H$1592,MATCH("[13120,""B06b-NU-37-N""]",'SKU明细'!$AE$9:$AE$1592,0)))=1,COUNT(INDEX('SKU明细'!$G$9:$G$1592,MATCH("[13120,""B06b-NU-37-N""]",'SKU明细'!$AE$9:$AE$1592,0)))=1,SUM(INDEX('SKU明细'!$G$9:$G$1592,MATCH("[13120,""B06b-NU-37-N""]",'SKU明细'!$AE$9:$AE$1592,0)))&gt;0),SUM(INDEX('SKU明细'!$H$9:$H$1592,MATCH("[13120,""B06b-NU-37-N""]",'SKU明细'!$AE$9:$AE$1592,0)))/SUM(INDEX('SKU明细'!$G$9:$G$1592,MATCH("[13120,""B06b-NU-37-N""]",'SKU明细'!$AE$9:$AE$1592,0))),"待核")</x:f>
        <x:v>268.0851063829787</x:v>
      </x:c>
      <x:c r="I130" s="16" t="str">
        <x:f>IF(AND(COUNT(INDEX('SKU明细'!$H$9:$H$1592,MATCH("[13120,""B06b-NU-37.5""]",'SKU明细'!$AE$9:$AE$1592,0)))=1,COUNT(INDEX('SKU明细'!$G$9:$G$1592,MATCH("[13120,""B06b-NU-37.5""]",'SKU明细'!$AE$9:$AE$1592,0)))=1,SUM(INDEX('SKU明细'!$G$9:$G$1592,MATCH("[13120,""B06b-NU-37.5""]",'SKU明细'!$AE$9:$AE$1592,0)))&gt;0),SUM(INDEX('SKU明细'!$H$9:$H$1592,MATCH("[13120,""B06b-NU-37.5""]",'SKU明细'!$AE$9:$AE$1592,0)))/SUM(INDEX('SKU明细'!$G$9:$G$1592,MATCH("[13120,""B06b-NU-37.5""]",'SKU明细'!$AE$9:$AE$1592,0))),"待核")</x:f>
        <x:v>待核</x:v>
      </x:c>
      <x:c r="J130" s="16" t="n">
        <x:f>IF(AND(COUNT(INDEX('SKU明细'!$H$9:$H$1592,MATCH("[13120,""B06b-NU-38-N""]",'SKU明细'!$AE$9:$AE$1592,0)))=1,COUNT(INDEX('SKU明细'!$G$9:$G$1592,MATCH("[13120,""B06b-NU-38-N""]",'SKU明细'!$AE$9:$AE$1592,0)))=1,SUM(INDEX('SKU明细'!$G$9:$G$1592,MATCH("[13120,""B06b-NU-38-N""]",'SKU明细'!$AE$9:$AE$1592,0)))&gt;0),SUM(INDEX('SKU明细'!$H$9:$H$1592,MATCH("[13120,""B06b-NU-38-N""]",'SKU明细'!$AE$9:$AE$1592,0)))/SUM(INDEX('SKU明细'!$G$9:$G$1592,MATCH("[13120,""B06b-NU-38-N""]",'SKU明细'!$AE$9:$AE$1592,0))),"待核")</x:f>
        <x:v>90.3225806451613</x:v>
      </x:c>
      <x:c r="K130" s="16" t="n">
        <x:f>IF(AND(COUNT(INDEX('SKU明细'!$H$9:$H$1592,MATCH("[13120,""B06b-NU-38.5""]",'SKU明细'!$AE$9:$AE$1592,0)))=1,COUNT(INDEX('SKU明细'!$G$9:$G$1592,MATCH("[13120,""B06b-NU-38.5""]",'SKU明细'!$AE$9:$AE$1592,0)))=1,SUM(INDEX('SKU明细'!$G$9:$G$1592,MATCH("[13120,""B06b-NU-38.5""]",'SKU明细'!$AE$9:$AE$1592,0)))&gt;0),SUM(INDEX('SKU明细'!$H$9:$H$1592,MATCH("[13120,""B06b-NU-38.5""]",'SKU明细'!$AE$9:$AE$1592,0)))/SUM(INDEX('SKU明细'!$G$9:$G$1592,MATCH("[13120,""B06b-NU-38.5""]",'SKU明细'!$AE$9:$AE$1592,0))),"待核")</x:f>
        <x:v>3.6777583187390546</x:v>
      </x:c>
      <x:c r="L130" s="16" t="n">
        <x:f>IF(AND(COUNT(INDEX('SKU明细'!$H$9:$H$1592,MATCH("[13120,""B06b-NU-39-N""]",'SKU明细'!$AE$9:$AE$1592,0)))=1,COUNT(INDEX('SKU明细'!$G$9:$G$1592,MATCH("[13120,""B06b-NU-39-N""]",'SKU明细'!$AE$9:$AE$1592,0)))=1,SUM(INDEX('SKU明细'!$G$9:$G$1592,MATCH("[13120,""B06b-NU-39-N""]",'SKU明细'!$AE$9:$AE$1592,0)))&gt;0),SUM(INDEX('SKU明细'!$H$9:$H$1592,MATCH("[13120,""B06b-NU-39-N""]",'SKU明细'!$AE$9:$AE$1592,0)))/SUM(INDEX('SKU明细'!$G$9:$G$1592,MATCH("[13120,""B06b-NU-39-N""]",'SKU明细'!$AE$9:$AE$1592,0))),"待核")</x:f>
        <x:v>138.42150910667823</x:v>
      </x:c>
      <x:c r="M130" s="16" t="n">
        <x:f>IF(AND(COUNT(INDEX('SKU明细'!$H$9:$H$1592,MATCH("[13120,""B06b-NU-39.5""]",'SKU明细'!$AE$9:$AE$1592,0)))=1,COUNT(INDEX('SKU明细'!$G$9:$G$1592,MATCH("[13120,""B06b-NU-39.5""]",'SKU明细'!$AE$9:$AE$1592,0)))=1,SUM(INDEX('SKU明细'!$G$9:$G$1592,MATCH("[13120,""B06b-NU-39.5""]",'SKU明细'!$AE$9:$AE$1592,0)))&gt;0),SUM(INDEX('SKU明细'!$H$9:$H$1592,MATCH("[13120,""B06b-NU-39.5""]",'SKU明细'!$AE$9:$AE$1592,0)))/SUM(INDEX('SKU明细'!$G$9:$G$1592,MATCH("[13120,""B06b-NU-39.5""]",'SKU明细'!$AE$9:$AE$1592,0))),"待核")</x:f>
        <x:v>0</x:v>
      </x:c>
      <x:c r="N130" s="16" t="n">
        <x:f>IF(AND(COUNT(INDEX('SKU明细'!$H$9:$H$1592,MATCH("[13120,""B06b-NU-40""]",'SKU明细'!$AE$9:$AE$1592,0)))=1,COUNT(INDEX('SKU明细'!$G$9:$G$1592,MATCH("[13120,""B06b-NU-40""]",'SKU明细'!$AE$9:$AE$1592,0)))=1,SUM(INDEX('SKU明细'!$G$9:$G$1592,MATCH("[13120,""B06b-NU-40""]",'SKU明细'!$AE$9:$AE$1592,0)))&gt;0),SUM(INDEX('SKU明细'!$H$9:$H$1592,MATCH("[13120,""B06b-NU-40""]",'SKU明细'!$AE$9:$AE$1592,0)))/SUM(INDEX('SKU明细'!$G$9:$G$1592,MATCH("[13120,""B06b-NU-40""]",'SKU明细'!$AE$9:$AE$1592,0))),"待核")</x:f>
        <x:v>11.229946524064172</x:v>
      </x:c>
      <x:c r="O130" s="16" t="n">
        <x:f>IF(AND(COUNT(INDEX('SKU明细'!$H$9:$H$1592,MATCH("[13120,""B06b-NU-40.5""]",'SKU明细'!$AE$9:$AE$1592,0)))=1,COUNT(INDEX('SKU明细'!$G$9:$G$1592,MATCH("[13120,""B06b-NU-40.5""]",'SKU明细'!$AE$9:$AE$1592,0)))=1,SUM(INDEX('SKU明细'!$G$9:$G$1592,MATCH("[13120,""B06b-NU-40.5""]",'SKU明细'!$AE$9:$AE$1592,0)))&gt;0),SUM(INDEX('SKU明细'!$H$9:$H$1592,MATCH("[13120,""B06b-NU-40.5""]",'SKU明细'!$AE$9:$AE$1592,0)))/SUM(INDEX('SKU明细'!$G$9:$G$1592,MATCH("[13120,""B06b-NU-40.5""]",'SKU明细'!$AE$9:$AE$1592,0))),"待核")</x:f>
        <x:v>26.94466720128308</x:v>
      </x:c>
      <x:c r="P130" s="16" t="n">
        <x:f>IF(AND(COUNT(INDEX('SKU明细'!$H$9:$H$1592,MATCH("[13120,""B06b-NU-41""]",'SKU明细'!$AE$9:$AE$1592,0)))=1,COUNT(INDEX('SKU明细'!$G$9:$G$1592,MATCH("[13120,""B06b-NU-41""]",'SKU明细'!$AE$9:$AE$1592,0)))=1,SUM(INDEX('SKU明细'!$G$9:$G$1592,MATCH("[13120,""B06b-NU-41""]",'SKU明细'!$AE$9:$AE$1592,0)))&gt;0),SUM(INDEX('SKU明细'!$H$9:$H$1592,MATCH("[13120,""B06b-NU-41""]",'SKU明细'!$AE$9:$AE$1592,0)))/SUM(INDEX('SKU明细'!$G$9:$G$1592,MATCH("[13120,""B06b-NU-41""]",'SKU明细'!$AE$9:$AE$1592,0))),"待核")</x:f>
        <x:v>0</x:v>
      </x:c>
      <x:c r="Q130" s="16" t="n">
        <x:f>IF(AND(COUNT(INDEX('SKU明细'!$H$9:$H$1592,MATCH("[13120,""B06b-NU-41.5""]",'SKU明细'!$AE$9:$AE$1592,0)))=1,COUNT(INDEX('SKU明细'!$G$9:$G$1592,MATCH("[13120,""B06b-NU-41.5""]",'SKU明细'!$AE$9:$AE$1592,0)))=1,SUM(INDEX('SKU明细'!$G$9:$G$1592,MATCH("[13120,""B06b-NU-41.5""]",'SKU明细'!$AE$9:$AE$1592,0)))&gt;0),SUM(INDEX('SKU明细'!$H$9:$H$1592,MATCH("[13120,""B06b-NU-41.5""]",'SKU明细'!$AE$9:$AE$1592,0)))/SUM(INDEX('SKU明细'!$G$9:$G$1592,MATCH("[13120,""B06b-NU-41.5""]",'SKU明细'!$AE$9:$AE$1592,0))),"待核")</x:f>
        <x:v>0</x:v>
      </x:c>
      <x:c r="R130" s="16" t="n">
        <x:f>IF(AND(COUNT(INDEX('SKU明细'!$H$9:$H$1592,MATCH("[13120,""B06b-NU-42""]",'SKU明细'!$AE$9:$AE$1592,0)))=1,COUNT(INDEX('SKU明细'!$G$9:$G$1592,MATCH("[13120,""B06b-NU-42""]",'SKU明细'!$AE$9:$AE$1592,0)))=1,SUM(INDEX('SKU明细'!$G$9:$G$1592,MATCH("[13120,""B06b-NU-42""]",'SKU明细'!$AE$9:$AE$1592,0)))&gt;0),SUM(INDEX('SKU明细'!$H$9:$H$1592,MATCH("[13120,""B06b-NU-42""]",'SKU明细'!$AE$9:$AE$1592,0)))/SUM(INDEX('SKU明细'!$G$9:$G$1592,MATCH("[13120,""B06b-NU-42""]",'SKU明细'!$AE$9:$AE$1592,0))),"待核")</x:f>
        <x:v>0</x:v>
      </x:c>
      <x:c r="S130" s="16" t="n">
        <x:f>IF(AND(COUNT(INDEX('SKU明细'!$H$9:$H$1592,MATCH("[13120,""B06b-NU-37-N""]",'SKU明细'!$AE$9:$AE$1592,0)),INDEX('SKU明细'!$H$9:$H$1592,MATCH("[13120,""B06b-NU-38-N""]",'SKU明细'!$AE$9:$AE$1592,0)),INDEX('SKU明细'!$H$9:$H$1592,MATCH("[13120,""B06b-NU-39-N""]",'SKU明细'!$AE$9:$AE$1592,0)),INDEX('SKU明细'!$H$9:$H$1592,MATCH("[13120,""B06b-NU-37.5""]",'SKU明细'!$AE$9:$AE$1592,0)),INDEX('SKU明细'!$H$9:$H$1592,MATCH("[13120,""B06b-NU-39.5""]",'SKU明细'!$AE$9:$AE$1592,0)),INDEX('SKU明细'!$H$9:$H$1592,MATCH("[13120,""B06b-NU-41""]",'SKU明细'!$AE$9:$AE$1592,0)),INDEX('SKU明细'!$H$9:$H$1592,MATCH("[13120,""B06b-NU-41.5""]",'SKU明细'!$AE$9:$AE$1592,0)),INDEX('SKU明细'!$H$9:$H$1592,MATCH("[13120,""B06b-NU-42""]",'SKU明细'!$AE$9:$AE$1592,0)),INDEX('SKU明细'!$H$9:$H$1592,MATCH("[13120,""B06b-NU-38.5""]",'SKU明细'!$AE$9:$AE$1592,0)),INDEX('SKU明细'!$H$9:$H$1592,MATCH("[13120,""B06b-NU-40""]",'SKU明细'!$AE$9:$AE$1592,0)),INDEX('SKU明细'!$H$9:$H$1592,MATCH("[13120,""B06b-NU-40.5""]",'SKU明细'!$AE$9:$AE$1592,0)))=11,COUNT(INDEX('SKU明细'!$G$9:$G$1592,MATCH("[13120,""B06b-NU-37-N""]",'SKU明细'!$AE$9:$AE$1592,0)),INDEX('SKU明细'!$G$9:$G$1592,MATCH("[13120,""B06b-NU-38-N""]",'SKU明细'!$AE$9:$AE$1592,0)),INDEX('SKU明细'!$G$9:$G$1592,MATCH("[13120,""B06b-NU-39-N""]",'SKU明细'!$AE$9:$AE$1592,0)),INDEX('SKU明细'!$G$9:$G$1592,MATCH("[13120,""B06b-NU-37.5""]",'SKU明细'!$AE$9:$AE$1592,0)),INDEX('SKU明细'!$G$9:$G$1592,MATCH("[13120,""B06b-NU-39.5""]",'SKU明细'!$AE$9:$AE$1592,0)),INDEX('SKU明细'!$G$9:$G$1592,MATCH("[13120,""B06b-NU-41""]",'SKU明细'!$AE$9:$AE$1592,0)),INDEX('SKU明细'!$G$9:$G$1592,MATCH("[13120,""B06b-NU-41.5""]",'SKU明细'!$AE$9:$AE$1592,0)),INDEX('SKU明细'!$G$9:$G$1592,MATCH("[13120,""B06b-NU-42""]",'SKU明细'!$AE$9:$AE$1592,0)),INDEX('SKU明细'!$G$9:$G$1592,MATCH("[13120,""B06b-NU-38.5""]",'SKU明细'!$AE$9:$AE$1592,0)),INDEX('SKU明细'!$G$9:$G$1592,MATCH("[13120,""B06b-NU-40""]",'SKU明细'!$AE$9:$AE$1592,0)),INDEX('SKU明细'!$G$9:$G$1592,MATCH("[13120,""B06b-NU-40.5""]",'SKU明细'!$AE$9:$AE$1592,0)))=11,SUM(INDEX('SKU明细'!$G$9:$G$1592,MATCH("[13120,""B06b-NU-37-N""]",'SKU明细'!$AE$9:$AE$1592,0)),INDEX('SKU明细'!$G$9:$G$1592,MATCH("[13120,""B06b-NU-38-N""]",'SKU明细'!$AE$9:$AE$1592,0)),INDEX('SKU明细'!$G$9:$G$1592,MATCH("[13120,""B06b-NU-39-N""]",'SKU明细'!$AE$9:$AE$1592,0)),INDEX('SKU明细'!$G$9:$G$1592,MATCH("[13120,""B06b-NU-37.5""]",'SKU明细'!$AE$9:$AE$1592,0)),INDEX('SKU明细'!$G$9:$G$1592,MATCH("[13120,""B06b-NU-39.5""]",'SKU明细'!$AE$9:$AE$1592,0)),INDEX('SKU明细'!$G$9:$G$1592,MATCH("[13120,""B06b-NU-41""]",'SKU明细'!$AE$9:$AE$1592,0)),INDEX('SKU明细'!$G$9:$G$1592,MATCH("[13120,""B06b-NU-41.5""]",'SKU明细'!$AE$9:$AE$1592,0)),INDEX('SKU明细'!$G$9:$G$1592,MATCH("[13120,""B06b-NU-42""]",'SKU明细'!$AE$9:$AE$1592,0)),INDEX('SKU明细'!$G$9:$G$1592,MATCH("[13120,""B06b-NU-38.5""]",'SKU明细'!$AE$9:$AE$1592,0)),INDEX('SKU明细'!$G$9:$G$1592,MATCH("[13120,""B06b-NU-40""]",'SKU明细'!$AE$9:$AE$1592,0)),INDEX('SKU明细'!$G$9:$G$1592,MATCH("[13120,""B06b-NU-40.5""]",'SKU明细'!$AE$9:$AE$1592,0)))&gt;0),SUM(INDEX('SKU明细'!$H$9:$H$1592,MATCH("[13120,""B06b-NU-37-N""]",'SKU明细'!$AE$9:$AE$1592,0)),INDEX('SKU明细'!$H$9:$H$1592,MATCH("[13120,""B06b-NU-38-N""]",'SKU明细'!$AE$9:$AE$1592,0)),INDEX('SKU明细'!$H$9:$H$1592,MATCH("[13120,""B06b-NU-39-N""]",'SKU明细'!$AE$9:$AE$1592,0)),INDEX('SKU明细'!$H$9:$H$1592,MATCH("[13120,""B06b-NU-37.5""]",'SKU明细'!$AE$9:$AE$1592,0)),INDEX('SKU明细'!$H$9:$H$1592,MATCH("[13120,""B06b-NU-39.5""]",'SKU明细'!$AE$9:$AE$1592,0)),INDEX('SKU明细'!$H$9:$H$1592,MATCH("[13120,""B06b-NU-41""]",'SKU明细'!$AE$9:$AE$1592,0)),INDEX('SKU明细'!$H$9:$H$1592,MATCH("[13120,""B06b-NU-41.5""]",'SKU明细'!$AE$9:$AE$1592,0)),INDEX('SKU明细'!$H$9:$H$1592,MATCH("[13120,""B06b-NU-42""]",'SKU明细'!$AE$9:$AE$1592,0)),INDEX('SKU明细'!$H$9:$H$1592,MATCH("[13120,""B06b-NU-38.5""]",'SKU明细'!$AE$9:$AE$1592,0)),INDEX('SKU明细'!$H$9:$H$1592,MATCH("[13120,""B06b-NU-40""]",'SKU明细'!$AE$9:$AE$1592,0)),INDEX('SKU明细'!$H$9:$H$1592,MATCH("[13120,""B06b-NU-40.5""]",'SKU明细'!$AE$9:$AE$1592,0)))/SUM(INDEX('SKU明细'!$G$9:$G$1592,MATCH("[13120,""B06b-NU-37-N""]",'SKU明细'!$AE$9:$AE$1592,0)),INDEX('SKU明细'!$G$9:$G$1592,MATCH("[13120,""B06b-NU-38-N""]",'SKU明细'!$AE$9:$AE$1592,0)),INDEX('SKU明细'!$G$9:$G$1592,MATCH("[13120,""B06b-NU-39-N""]",'SKU明细'!$AE$9:$AE$1592,0)),INDEX('SKU明细'!$G$9:$G$1592,MATCH("[13120,""B06b-NU-37.5""]",'SKU明细'!$AE$9:$AE$1592,0)),INDEX('SKU明细'!$G$9:$G$1592,MATCH("[13120,""B06b-NU-39.5""]",'SKU明细'!$AE$9:$AE$1592,0)),INDEX('SKU明细'!$G$9:$G$1592,MATCH("[13120,""B06b-NU-41""]",'SKU明细'!$AE$9:$AE$1592,0)),INDEX('SKU明细'!$G$9:$G$1592,MATCH("[13120,""B06b-NU-41.5""]",'SKU明细'!$AE$9:$AE$1592,0)),INDEX('SKU明细'!$G$9:$G$1592,MATCH("[13120,""B06b-NU-42""]",'SKU明细'!$AE$9:$AE$1592,0)),INDEX('SKU明细'!$G$9:$G$1592,MATCH("[13120,""B06b-NU-38.5""]",'SKU明细'!$AE$9:$AE$1592,0)),INDEX('SKU明细'!$G$9:$G$1592,MATCH("[13120,""B06b-NU-40""]",'SKU明细'!$AE$9:$AE$1592,0)),INDEX('SKU明细'!$G$9:$G$1592,MATCH("[13120,""B06b-NU-40.5""]",'SKU明细'!$AE$9:$AE$1592,0))),"待核")</x:f>
        <x:v>54.313148520984974</x:v>
      </x:c>
      <x:c r="T130" s="16" t="n">
        <x:f>IF(AND(COUNT(INDEX('SKU明细'!$I$9:$I$1592,MATCH("[13120,""B06b-NU-37-N""]",'SKU明细'!$AE$9:$AE$1592,0)),INDEX('SKU明细'!$I$9:$I$1592,MATCH("[13120,""B06b-NU-38-N""]",'SKU明细'!$AE$9:$AE$1592,0)),INDEX('SKU明细'!$I$9:$I$1592,MATCH("[13120,""B06b-NU-39-N""]",'SKU明细'!$AE$9:$AE$1592,0)),INDEX('SKU明细'!$I$9:$I$1592,MATCH("[13120,""B06b-NU-37.5""]",'SKU明细'!$AE$9:$AE$1592,0)),INDEX('SKU明细'!$I$9:$I$1592,MATCH("[13120,""B06b-NU-39.5""]",'SKU明细'!$AE$9:$AE$1592,0)),INDEX('SKU明细'!$I$9:$I$1592,MATCH("[13120,""B06b-NU-41""]",'SKU明细'!$AE$9:$AE$1592,0)),INDEX('SKU明细'!$I$9:$I$1592,MATCH("[13120,""B06b-NU-41.5""]",'SKU明细'!$AE$9:$AE$1592,0)),INDEX('SKU明细'!$I$9:$I$1592,MATCH("[13120,""B06b-NU-42""]",'SKU明细'!$AE$9:$AE$1592,0)),INDEX('SKU明细'!$I$9:$I$1592,MATCH("[13120,""B06b-NU-38.5""]",'SKU明细'!$AE$9:$AE$1592,0)),INDEX('SKU明细'!$I$9:$I$1592,MATCH("[13120,""B06b-NU-40""]",'SKU明细'!$AE$9:$AE$1592,0)),INDEX('SKU明细'!$I$9:$I$1592,MATCH("[13120,""B06b-NU-40.5""]",'SKU明细'!$AE$9:$AE$1592,0)))=11,COUNT(INDEX('SKU明细'!$AD$9:$AD$1592,MATCH("[13120,""B06b-NU-37-N""]",'SKU明细'!$AE$9:$AE$1592,0)),INDEX('SKU明细'!$AD$9:$AD$1592,MATCH("[13120,""B06b-NU-38-N""]",'SKU明细'!$AE$9:$AE$1592,0)),INDEX('SKU明细'!$AD$9:$AD$1592,MATCH("[13120,""B06b-NU-39-N""]",'SKU明细'!$AE$9:$AE$1592,0)),INDEX('SKU明细'!$AD$9:$AD$1592,MATCH("[13120,""B06b-NU-37.5""]",'SKU明细'!$AE$9:$AE$1592,0)),INDEX('SKU明细'!$AD$9:$AD$1592,MATCH("[13120,""B06b-NU-39.5""]",'SKU明细'!$AE$9:$AE$1592,0)),INDEX('SKU明细'!$AD$9:$AD$1592,MATCH("[13120,""B06b-NU-41""]",'SKU明细'!$AE$9:$AE$1592,0)),INDEX('SKU明细'!$AD$9:$AD$1592,MATCH("[13120,""B06b-NU-41.5""]",'SKU明细'!$AE$9:$AE$1592,0)),INDEX('SKU明细'!$AD$9:$AD$1592,MATCH("[13120,""B06b-NU-42""]",'SKU明细'!$AE$9:$AE$1592,0)),INDEX('SKU明细'!$AD$9:$AD$1592,MATCH("[13120,""B06b-NU-38.5""]",'SKU明细'!$AE$9:$AE$1592,0)),INDEX('SKU明细'!$AD$9:$AD$1592,MATCH("[13120,""B06b-NU-40""]",'SKU明细'!$AE$9:$AE$1592,0)),INDEX('SKU明细'!$AD$9:$AD$1592,MATCH("[13120,""B06b-NU-40.5""]",'SKU明细'!$AE$9:$AE$1592,0)))=11,SUM(INDEX('SKU明细'!$AD$9:$AD$1592,MATCH("[13120,""B06b-NU-37-N""]",'SKU明细'!$AE$9:$AE$1592,0)),INDEX('SKU明细'!$AD$9:$AD$1592,MATCH("[13120,""B06b-NU-38-N""]",'SKU明细'!$AE$9:$AE$1592,0)),INDEX('SKU明细'!$AD$9:$AD$1592,MATCH("[13120,""B06b-NU-39-N""]",'SKU明细'!$AE$9:$AE$1592,0)),INDEX('SKU明细'!$AD$9:$AD$1592,MATCH("[13120,""B06b-NU-37.5""]",'SKU明细'!$AE$9:$AE$1592,0)),INDEX('SKU明细'!$AD$9:$AD$1592,MATCH("[13120,""B06b-NU-39.5""]",'SKU明细'!$AE$9:$AE$1592,0)),INDEX('SKU明细'!$AD$9:$AD$1592,MATCH("[13120,""B06b-NU-41""]",'SKU明细'!$AE$9:$AE$1592,0)),INDEX('SKU明细'!$AD$9:$AD$1592,MATCH("[13120,""B06b-NU-41.5""]",'SKU明细'!$AE$9:$AE$1592,0)),INDEX('SKU明细'!$AD$9:$AD$1592,MATCH("[13120,""B06b-NU-42""]",'SKU明细'!$AE$9:$AE$1592,0)),INDEX('SKU明细'!$AD$9:$AD$1592,MATCH("[13120,""B06b-NU-38.5""]",'SKU明细'!$AE$9:$AE$1592,0)),INDEX('SKU明细'!$AD$9:$AD$1592,MATCH("[13120,""B06b-NU-40""]",'SKU明细'!$AE$9:$AE$1592,0)),INDEX('SKU明细'!$AD$9:$AD$1592,MATCH("[13120,""B06b-NU-40.5""]",'SKU明细'!$AE$9:$AE$1592,0)))&gt;0),SUM(INDEX('SKU明细'!$I$9:$I$1592,MATCH("[13120,""B06b-NU-37-N""]",'SKU明细'!$AE$9:$AE$1592,0)),INDEX('SKU明细'!$I$9:$I$1592,MATCH("[13120,""B06b-NU-38-N""]",'SKU明细'!$AE$9:$AE$1592,0)),INDEX('SKU明细'!$I$9:$I$1592,MATCH("[13120,""B06b-NU-39-N""]",'SKU明细'!$AE$9:$AE$1592,0)),INDEX('SKU明细'!$I$9:$I$1592,MATCH("[13120,""B06b-NU-37.5""]",'SKU明细'!$AE$9:$AE$1592,0)),INDEX('SKU明细'!$I$9:$I$1592,MATCH("[13120,""B06b-NU-39.5""]",'SKU明细'!$AE$9:$AE$1592,0)),INDEX('SKU明细'!$I$9:$I$1592,MATCH("[13120,""B06b-NU-41""]",'SKU明细'!$AE$9:$AE$1592,0)),INDEX('SKU明细'!$I$9:$I$1592,MATCH("[13120,""B06b-NU-41.5""]",'SKU明细'!$AE$9:$AE$1592,0)),INDEX('SKU明细'!$I$9:$I$1592,MATCH("[13120,""B06b-NU-42""]",'SKU明细'!$AE$9:$AE$1592,0)),INDEX('SKU明细'!$I$9:$I$1592,MATCH("[13120,""B06b-NU-38.5""]",'SKU明细'!$AE$9:$AE$1592,0)),INDEX('SKU明细'!$I$9:$I$1592,MATCH("[13120,""B06b-NU-40""]",'SKU明细'!$AE$9:$AE$1592,0)),INDEX('SKU明细'!$I$9:$I$1592,MATCH("[13120,""B06b-NU-40.5""]",'SKU明细'!$AE$9:$AE$1592,0)))/SUM(INDEX('SKU明细'!$AD$9:$AD$1592,MATCH("[13120,""B06b-NU-37-N""]",'SKU明细'!$AE$9:$AE$1592,0)),INDEX('SKU明细'!$AD$9:$AD$1592,MATCH("[13120,""B06b-NU-38-N""]",'SKU明细'!$AE$9:$AE$1592,0)),INDEX('SKU明细'!$AD$9:$AD$1592,MATCH("[13120,""B06b-NU-39-N""]",'SKU明细'!$AE$9:$AE$1592,0)),INDEX('SKU明细'!$AD$9:$AD$1592,MATCH("[13120,""B06b-NU-37.5""]",'SKU明细'!$AE$9:$AE$1592,0)),INDEX('SKU明细'!$AD$9:$AD$1592,MATCH("[13120,""B06b-NU-39.5""]",'SKU明细'!$AE$9:$AE$1592,0)),INDEX('SKU明细'!$AD$9:$AD$1592,MATCH("[13120,""B06b-NU-41""]",'SKU明细'!$AE$9:$AE$1592,0)),INDEX('SKU明细'!$AD$9:$AD$1592,MATCH("[13120,""B06b-NU-41.5""]",'SKU明细'!$AE$9:$AE$1592,0)),INDEX('SKU明细'!$AD$9:$AD$1592,MATCH("[13120,""B06b-NU-42""]",'SKU明细'!$AE$9:$AE$1592,0)),INDEX('SKU明细'!$AD$9:$AD$1592,MATCH("[13120,""B06b-NU-38.5""]",'SKU明细'!$AE$9:$AE$1592,0)),INDEX('SKU明细'!$AD$9:$AD$1592,MATCH("[13120,""B06b-NU-40""]",'SKU明细'!$AE$9:$AE$1592,0)),INDEX('SKU明细'!$AD$9:$AD$1592,MATCH("[13120,""B06b-NU-40.5""]",'SKU明细'!$AE$9:$AE$1592,0))),"待核")</x:f>
        <x:v>46.79968903861104</x:v>
      </x:c>
      <x:c r="U130" s="16" t="n">
        <x:f>IF(COUNT(S130:T130)=2,S130-T130,"待核")</x:f>
        <x:v>7.513459482373932</x:v>
      </x:c>
      <x:c r="V130" s="17" t="n">
        <x:f>IF(AND(ISNUMBER(U130),ISNUMBER(T130),T130&lt;&gt;0),U130/T130,"")</x:f>
        <x:v>0.16054507277121263</x:v>
      </x:c>
      <x:c r="W130" s="18" t="n">
        <x:f>IF(COUNT(INDEX('SKU明细'!$H$9:$H$1592,MATCH("[13120,""B06b-NU-37-N""]",'SKU明细'!$AE$9:$AE$1592,0)),INDEX('SKU明细'!$H$9:$H$1592,MATCH("[13120,""B06b-NU-38-N""]",'SKU明细'!$AE$9:$AE$1592,0)),INDEX('SKU明细'!$H$9:$H$1592,MATCH("[13120,""B06b-NU-39-N""]",'SKU明细'!$AE$9:$AE$1592,0)),INDEX('SKU明细'!$H$9:$H$1592,MATCH("[13120,""B06b-NU-37.5""]",'SKU明细'!$AE$9:$AE$1592,0)),INDEX('SKU明细'!$H$9:$H$1592,MATCH("[13120,""B06b-NU-39.5""]",'SKU明细'!$AE$9:$AE$1592,0)),INDEX('SKU明细'!$H$9:$H$1592,MATCH("[13120,""B06b-NU-41""]",'SKU明细'!$AE$9:$AE$1592,0)),INDEX('SKU明细'!$H$9:$H$1592,MATCH("[13120,""B06b-NU-41.5""]",'SKU明细'!$AE$9:$AE$1592,0)),INDEX('SKU明细'!$H$9:$H$1592,MATCH("[13120,""B06b-NU-42""]",'SKU明细'!$AE$9:$AE$1592,0)),INDEX('SKU明细'!$H$9:$H$1592,MATCH("[13120,""B06b-NU-38.5""]",'SKU明细'!$AE$9:$AE$1592,0)),INDEX('SKU明细'!$H$9:$H$1592,MATCH("[13120,""B06b-NU-40""]",'SKU明细'!$AE$9:$AE$1592,0)),INDEX('SKU明细'!$H$9:$H$1592,MATCH("[13120,""B06b-NU-40.5""]",'SKU明细'!$AE$9:$AE$1592,0)))=0,"待核",SUM(INDEX('SKU明细'!$H$9:$H$1592,MATCH("[13120,""B06b-NU-37-N""]",'SKU明细'!$AE$9:$AE$1592,0)),INDEX('SKU明细'!$H$9:$H$1592,MATCH("[13120,""B06b-NU-38-N""]",'SKU明细'!$AE$9:$AE$1592,0)),INDEX('SKU明细'!$H$9:$H$1592,MATCH("[13120,""B06b-NU-39-N""]",'SKU明细'!$AE$9:$AE$1592,0)),INDEX('SKU明细'!$H$9:$H$1592,MATCH("[13120,""B06b-NU-37.5""]",'SKU明细'!$AE$9:$AE$1592,0)),INDEX('SKU明细'!$H$9:$H$1592,MATCH("[13120,""B06b-NU-39.5""]",'SKU明细'!$AE$9:$AE$1592,0)),INDEX('SKU明细'!$H$9:$H$1592,MATCH("[13120,""B06b-NU-41""]",'SKU明细'!$AE$9:$AE$1592,0)),INDEX('SKU明细'!$H$9:$H$1592,MATCH("[13120,""B06b-NU-41.5""]",'SKU明细'!$AE$9:$AE$1592,0)),INDEX('SKU明细'!$H$9:$H$1592,MATCH("[13120,""B06b-NU-42""]",'SKU明细'!$AE$9:$AE$1592,0)),INDEX('SKU明细'!$H$9:$H$1592,MATCH("[13120,""B06b-NU-38.5""]",'SKU明细'!$AE$9:$AE$1592,0)),INDEX('SKU明细'!$H$9:$H$1592,MATCH("[13120,""B06b-NU-40""]",'SKU明细'!$AE$9:$AE$1592,0)),INDEX('SKU明细'!$H$9:$H$1592,MATCH("[13120,""B06b-NU-40.5""]",'SKU明细'!$AE$9:$AE$1592,0))))</x:f>
        <x:v>167</x:v>
      </x:c>
      <x:c r="X130" s="19" t="str">
        <x:f>IF(COUNTIFS('SKU明细'!$AH$9:$AH$1592,"[""B06b"",""B06b-NU"",""NU"",""裸色羊京绒""]",'SKU明细'!$E$9:$E$1592,"促销")&gt;0,"促销 ","")&amp;IF(COUNTIFS('SKU明细'!$AH$9:$AH$1592,"[""B06b"",""B06b-NU"",""NU"",""裸色羊京绒""]",'SKU明细'!$E$9:$E$1592,"红线促销")&gt;0,"红线促销 ","")&amp;IF(COUNTIFS('SKU明细'!$AH$9:$AH$1592,"[""B06b"",""B06b-NU"",""NU"",""裸色羊京绒""]",'SKU明细'!$E$9:$E$1592,"考虑清仓")&gt;0,"考虑清仓 ","")&amp;IF(COUNTIFS('SKU明细'!$AH$9:$AH$1592,"[""B06b"",""B06b-NU"",""NU"",""裸色羊京绒""]",'SKU明细'!$E$9:$E$1592,"断货")&gt;0,"断货 ","")&amp;IF(COUNTIFS('SKU明细'!$AH$9:$AH$1592,"[""B06b"",""B06b-NU"",""NU"",""裸色羊京绒""]",'SKU明细'!$E$9:$E$1592,"零日销待复核")&gt;0,"零日销待复核 ","")&amp;IF(COUNTIFS('SKU明细'!$AH$9:$AH$1592,"[""B06b"",""B06b-NU"",""NU"",""裸色羊京绒""]",'SKU明细'!$E$9:$E$1592,"数据待核")&gt;0,"数据待核 ","")&amp;IF(COUNTIFS('SKU明细'!$AH$9:$AH$1592,"[""B06b"",""B06b-NU"",""NU"",""裸色羊京绒""]",'SKU明细'!$E$9:$E$1592,"正常库存")&gt;0,"正常库存 ","")&amp;IF(COUNTIFS('SKU明细'!$AH$9:$AH$1592,"[""B06b"",""B06b-NU"",""NU"",""裸色羊京绒""]",'SKU明细'!$E$9:$E$1592,"补货提醒")&gt;0,"补货提醒 ","")</x:f>
        <x:v>促销 红线促销 断货 补货提醒 </x:v>
      </x:c>
      <x:c r="Y130" s="19" t="str">
        <x:f>IF(NOT(ISNUMBER(U130)),"覆盖待核／无可比基准","完整可比")</x:f>
        <x:v>完整可比</x:v>
      </x:c>
      <x:c r="Z130" s="19" t="str">
        <x:v>在售、停售</x:v>
      </x:c>
      <x:c r="AA130" s="19" t="n">
        <x:f>IF(SUMIFS('SKU明细'!$AF$9:$AF$1592,'SKU明细'!$D$9:$D$1592,A130,'SKU明细'!$Z$9:$Z$1592,"&lt;&gt;移出")=0,"待核",SUMIFS('SKU明细'!$H$9:$H$1592,'SKU明细'!$D$9:$D$1592,A130,'SKU明细'!$Z$9:$Z$1592,"&lt;&gt;移出"))</x:f>
        <x:v>787</x:v>
      </x:c>
    </x:row>
    <x:row r="131" ht="54" customHeight="1">
      <x:c r="A131" s="15" t="str">
        <x:v>B06b</x:v>
      </x:c>
      <x:c r="B131" s="15" t="str">
        <x:v>艾年</x:v>
      </x:c>
      <x:c r="C131" s="15" t="str">
        <x:v>藏青色羊京绒</x:v>
      </x:c>
      <x:c r="D131" s="15" t="str">
        <x:v>NY</x:v>
      </x:c>
      <x:c r="E131" s="15" t="str">
        <x:v>B06b-NY</x:v>
      </x:c>
      <x:c r="F131" s="15"/>
      <x:c r="G131" s="16" t="str">
        <x:f>"—"</x:f>
        <x:v>—</x:v>
      </x:c>
      <x:c r="H131" s="16" t="n">
        <x:f>IF(AND(COUNT(INDEX('SKU明细'!$H$9:$H$1592,MATCH("[13120,""B06b-NY-37""]",'SKU明细'!$AE$9:$AE$1592,0)))=1,COUNT(INDEX('SKU明细'!$G$9:$G$1592,MATCH("[13120,""B06b-NY-37""]",'SKU明细'!$AE$9:$AE$1592,0)))=1,SUM(INDEX('SKU明细'!$G$9:$G$1592,MATCH("[13120,""B06b-NY-37""]",'SKU明细'!$AE$9:$AE$1592,0)))&gt;0),SUM(INDEX('SKU明细'!$H$9:$H$1592,MATCH("[13120,""B06b-NY-37""]",'SKU明细'!$AE$9:$AE$1592,0)))/SUM(INDEX('SKU明细'!$G$9:$G$1592,MATCH("[13120,""B06b-NY-37""]",'SKU明细'!$AE$9:$AE$1592,0))),"待核")</x:f>
        <x:v>0</x:v>
      </x:c>
      <x:c r="I131" s="16" t="n">
        <x:f>IF(AND(COUNT(INDEX('SKU明细'!$H$9:$H$1592,MATCH("[13120,""B06b-NY-37.5""]",'SKU明细'!$AE$9:$AE$1592,0)))=1,COUNT(INDEX('SKU明细'!$G$9:$G$1592,MATCH("[13120,""B06b-NY-37.5""]",'SKU明细'!$AE$9:$AE$1592,0)))=1,SUM(INDEX('SKU明细'!$G$9:$G$1592,MATCH("[13120,""B06b-NY-37.5""]",'SKU明细'!$AE$9:$AE$1592,0)))&gt;0),SUM(INDEX('SKU明细'!$H$9:$H$1592,MATCH("[13120,""B06b-NY-37.5""]",'SKU明细'!$AE$9:$AE$1592,0)))/SUM(INDEX('SKU明细'!$G$9:$G$1592,MATCH("[13120,""B06b-NY-37.5""]",'SKU明细'!$AE$9:$AE$1592,0))),"待核")</x:f>
        <x:v>4.046242774566474</x:v>
      </x:c>
      <x:c r="J131" s="16" t="n">
        <x:f>IF(AND(COUNT(INDEX('SKU明细'!$H$9:$H$1592,MATCH("[13120,""B06b-NY-38""]",'SKU明细'!$AE$9:$AE$1592,0)))=1,COUNT(INDEX('SKU明细'!$G$9:$G$1592,MATCH("[13120,""B06b-NY-38""]",'SKU明细'!$AE$9:$AE$1592,0)))=1,SUM(INDEX('SKU明细'!$G$9:$G$1592,MATCH("[13120,""B06b-NY-38""]",'SKU明细'!$AE$9:$AE$1592,0)))&gt;0),SUM(INDEX('SKU明细'!$H$9:$H$1592,MATCH("[13120,""B06b-NY-38""]",'SKU明细'!$AE$9:$AE$1592,0)))/SUM(INDEX('SKU明细'!$G$9:$G$1592,MATCH("[13120,""B06b-NY-38""]",'SKU明细'!$AE$9:$AE$1592,0))),"待核")</x:f>
        <x:v>71.67235494880546</x:v>
      </x:c>
      <x:c r="K131" s="16" t="n">
        <x:f>IF(AND(COUNT(INDEX('SKU明细'!$H$9:$H$1592,MATCH("[13120,""B06b-NY-38.5""]",'SKU明细'!$AE$9:$AE$1592,0)))=1,COUNT(INDEX('SKU明细'!$G$9:$G$1592,MATCH("[13120,""B06b-NY-38.5""]",'SKU明细'!$AE$9:$AE$1592,0)))=1,SUM(INDEX('SKU明细'!$G$9:$G$1592,MATCH("[13120,""B06b-NY-38.5""]",'SKU明细'!$AE$9:$AE$1592,0)))&gt;0),SUM(INDEX('SKU明细'!$H$9:$H$1592,MATCH("[13120,""B06b-NY-38.5""]",'SKU明细'!$AE$9:$AE$1592,0)))/SUM(INDEX('SKU明细'!$G$9:$G$1592,MATCH("[13120,""B06b-NY-38.5""]",'SKU明细'!$AE$9:$AE$1592,0))),"待核")</x:f>
        <x:v>0</x:v>
      </x:c>
      <x:c r="L131" s="16" t="n">
        <x:f>IF(AND(COUNT(INDEX('SKU明细'!$H$9:$H$1592,MATCH("[13120,""B06b-NY-39-N""]",'SKU明细'!$AE$9:$AE$1592,0)))=1,COUNT(INDEX('SKU明细'!$G$9:$G$1592,MATCH("[13120,""B06b-NY-39-N""]",'SKU明细'!$AE$9:$AE$1592,0)))=1,SUM(INDEX('SKU明细'!$G$9:$G$1592,MATCH("[13120,""B06b-NY-39-N""]",'SKU明细'!$AE$9:$AE$1592,0)))&gt;0),SUM(INDEX('SKU明细'!$H$9:$H$1592,MATCH("[13120,""B06b-NY-39-N""]",'SKU明细'!$AE$9:$AE$1592,0)))/SUM(INDEX('SKU明细'!$G$9:$G$1592,MATCH("[13120,""B06b-NY-39-N""]",'SKU明细'!$AE$9:$AE$1592,0))),"待核")</x:f>
        <x:v>234.12162162162164</x:v>
      </x:c>
      <x:c r="M131" s="16" t="str">
        <x:f>IF(AND(COUNT(INDEX('SKU明细'!$H$9:$H$1592,MATCH("[13120,""B06b-NY-39.5""]",'SKU明细'!$AE$9:$AE$1592,0)))=1,COUNT(INDEX('SKU明细'!$G$9:$G$1592,MATCH("[13120,""B06b-NY-39.5""]",'SKU明细'!$AE$9:$AE$1592,0)))=1,SUM(INDEX('SKU明细'!$G$9:$G$1592,MATCH("[13120,""B06b-NY-39.5""]",'SKU明细'!$AE$9:$AE$1592,0)))&gt;0),SUM(INDEX('SKU明细'!$H$9:$H$1592,MATCH("[13120,""B06b-NY-39.5""]",'SKU明细'!$AE$9:$AE$1592,0)))/SUM(INDEX('SKU明细'!$G$9:$G$1592,MATCH("[13120,""B06b-NY-39.5""]",'SKU明细'!$AE$9:$AE$1592,0))),"待核")</x:f>
        <x:v>待核</x:v>
      </x:c>
      <x:c r="N131" s="16" t="n">
        <x:f>IF(AND(COUNT(INDEX('SKU明细'!$H$9:$H$1592,MATCH("[13120,""B06b-NY-40""]",'SKU明细'!$AE$9:$AE$1592,0)))=1,COUNT(INDEX('SKU明细'!$G$9:$G$1592,MATCH("[13120,""B06b-NY-40""]",'SKU明细'!$AE$9:$AE$1592,0)))=1,SUM(INDEX('SKU明细'!$G$9:$G$1592,MATCH("[13120,""B06b-NY-40""]",'SKU明细'!$AE$9:$AE$1592,0)))&gt;0),SUM(INDEX('SKU明细'!$H$9:$H$1592,MATCH("[13120,""B06b-NY-40""]",'SKU明细'!$AE$9:$AE$1592,0)))/SUM(INDEX('SKU明细'!$G$9:$G$1592,MATCH("[13120,""B06b-NY-40""]",'SKU明细'!$AE$9:$AE$1592,0))),"待核")</x:f>
        <x:v>0</x:v>
      </x:c>
      <x:c r="O131" s="16" t="str">
        <x:f>IF(AND(COUNT(INDEX('SKU明细'!$H$9:$H$1592,MATCH("[13120,""B06b-NY-40.5""]",'SKU明细'!$AE$9:$AE$1592,0)))=1,COUNT(INDEX('SKU明细'!$G$9:$G$1592,MATCH("[13120,""B06b-NY-40.5""]",'SKU明细'!$AE$9:$AE$1592,0)))=1,SUM(INDEX('SKU明细'!$G$9:$G$1592,MATCH("[13120,""B06b-NY-40.5""]",'SKU明细'!$AE$9:$AE$1592,0)))&gt;0),SUM(INDEX('SKU明细'!$H$9:$H$1592,MATCH("[13120,""B06b-NY-40.5""]",'SKU明细'!$AE$9:$AE$1592,0)))/SUM(INDEX('SKU明细'!$G$9:$G$1592,MATCH("[13120,""B06b-NY-40.5""]",'SKU明细'!$AE$9:$AE$1592,0))),"待核")</x:f>
        <x:v>待核</x:v>
      </x:c>
      <x:c r="P131" s="16" t="str">
        <x:f>IF(AND(COUNT(INDEX('SKU明细'!$H$9:$H$1592,MATCH("[13120,""B06b-NY-41""]",'SKU明细'!$AE$9:$AE$1592,0)))=1,COUNT(INDEX('SKU明细'!$G$9:$G$1592,MATCH("[13120,""B06b-NY-41""]",'SKU明细'!$AE$9:$AE$1592,0)))=1,SUM(INDEX('SKU明细'!$G$9:$G$1592,MATCH("[13120,""B06b-NY-41""]",'SKU明细'!$AE$9:$AE$1592,0)))&gt;0),SUM(INDEX('SKU明细'!$H$9:$H$1592,MATCH("[13120,""B06b-NY-41""]",'SKU明细'!$AE$9:$AE$1592,0)))/SUM(INDEX('SKU明细'!$G$9:$G$1592,MATCH("[13120,""B06b-NY-41""]",'SKU明细'!$AE$9:$AE$1592,0))),"待核")</x:f>
        <x:v>待核</x:v>
      </x:c>
      <x:c r="Q131" s="16" t="str">
        <x:f>"—"</x:f>
        <x:v>—</x:v>
      </x:c>
      <x:c r="R131" s="16" t="str">
        <x:f>IF(AND(COUNT(INDEX('SKU明细'!$H$9:$H$1592,MATCH("[13120,""B06b-NY-42""]",'SKU明细'!$AE$9:$AE$1592,0)))=1,COUNT(INDEX('SKU明细'!$G$9:$G$1592,MATCH("[13120,""B06b-NY-42""]",'SKU明细'!$AE$9:$AE$1592,0)))=1,SUM(INDEX('SKU明细'!$G$9:$G$1592,MATCH("[13120,""B06b-NY-42""]",'SKU明细'!$AE$9:$AE$1592,0)))&gt;0),SUM(INDEX('SKU明细'!$H$9:$H$1592,MATCH("[13120,""B06b-NY-42""]",'SKU明细'!$AE$9:$AE$1592,0)))/SUM(INDEX('SKU明细'!$G$9:$G$1592,MATCH("[13120,""B06b-NY-42""]",'SKU明细'!$AE$9:$AE$1592,0))),"待核")</x:f>
        <x:v>待核</x:v>
      </x:c>
      <x:c r="S131" s="16" t="n">
        <x:f>IF(AND(COUNT(INDEX('SKU明细'!$H$9:$H$1592,MATCH("[13120,""B06b-NY-39-N""]",'SKU明细'!$AE$9:$AE$1592,0)),INDEX('SKU明细'!$H$9:$H$1592,MATCH("[13120,""B06b-NY-37""]",'SKU明细'!$AE$9:$AE$1592,0)),INDEX('SKU明细'!$H$9:$H$1592,MATCH("[13120,""B06b-NY-38.5""]",'SKU明细'!$AE$9:$AE$1592,0)),INDEX('SKU明细'!$H$9:$H$1592,MATCH("[13120,""B06b-NY-39.5""]",'SKU明细'!$AE$9:$AE$1592,0)),INDEX('SKU明细'!$H$9:$H$1592,MATCH("[13120,""B06b-NY-40""]",'SKU明细'!$AE$9:$AE$1592,0)),INDEX('SKU明细'!$H$9:$H$1592,MATCH("[13120,""B06b-NY-40.5""]",'SKU明细'!$AE$9:$AE$1592,0)),INDEX('SKU明细'!$H$9:$H$1592,MATCH("[13120,""B06b-NY-41""]",'SKU明细'!$AE$9:$AE$1592,0)),INDEX('SKU明细'!$H$9:$H$1592,MATCH("[13120,""B06b-NY-42""]",'SKU明细'!$AE$9:$AE$1592,0)),INDEX('SKU明细'!$H$9:$H$1592,MATCH("[13120,""B06b-NY-38""]",'SKU明细'!$AE$9:$AE$1592,0)),INDEX('SKU明细'!$H$9:$H$1592,MATCH("[13120,""B06b-NY-37.5""]",'SKU明细'!$AE$9:$AE$1592,0)))=10,COUNT(INDEX('SKU明细'!$G$9:$G$1592,MATCH("[13120,""B06b-NY-39-N""]",'SKU明细'!$AE$9:$AE$1592,0)),INDEX('SKU明细'!$G$9:$G$1592,MATCH("[13120,""B06b-NY-37""]",'SKU明细'!$AE$9:$AE$1592,0)),INDEX('SKU明细'!$G$9:$G$1592,MATCH("[13120,""B06b-NY-38.5""]",'SKU明细'!$AE$9:$AE$1592,0)),INDEX('SKU明细'!$G$9:$G$1592,MATCH("[13120,""B06b-NY-39.5""]",'SKU明细'!$AE$9:$AE$1592,0)),INDEX('SKU明细'!$G$9:$G$1592,MATCH("[13120,""B06b-NY-40""]",'SKU明细'!$AE$9:$AE$1592,0)),INDEX('SKU明细'!$G$9:$G$1592,MATCH("[13120,""B06b-NY-40.5""]",'SKU明细'!$AE$9:$AE$1592,0)),INDEX('SKU明细'!$G$9:$G$1592,MATCH("[13120,""B06b-NY-41""]",'SKU明细'!$AE$9:$AE$1592,0)),INDEX('SKU明细'!$G$9:$G$1592,MATCH("[13120,""B06b-NY-42""]",'SKU明细'!$AE$9:$AE$1592,0)),INDEX('SKU明细'!$G$9:$G$1592,MATCH("[13120,""B06b-NY-38""]",'SKU明细'!$AE$9:$AE$1592,0)),INDEX('SKU明细'!$G$9:$G$1592,MATCH("[13120,""B06b-NY-37.5""]",'SKU明细'!$AE$9:$AE$1592,0)))=10,SUM(INDEX('SKU明细'!$G$9:$G$1592,MATCH("[13120,""B06b-NY-39-N""]",'SKU明细'!$AE$9:$AE$1592,0)),INDEX('SKU明细'!$G$9:$G$1592,MATCH("[13120,""B06b-NY-37""]",'SKU明细'!$AE$9:$AE$1592,0)),INDEX('SKU明细'!$G$9:$G$1592,MATCH("[13120,""B06b-NY-38.5""]",'SKU明细'!$AE$9:$AE$1592,0)),INDEX('SKU明细'!$G$9:$G$1592,MATCH("[13120,""B06b-NY-39.5""]",'SKU明细'!$AE$9:$AE$1592,0)),INDEX('SKU明细'!$G$9:$G$1592,MATCH("[13120,""B06b-NY-40""]",'SKU明细'!$AE$9:$AE$1592,0)),INDEX('SKU明细'!$G$9:$G$1592,MATCH("[13120,""B06b-NY-40.5""]",'SKU明细'!$AE$9:$AE$1592,0)),INDEX('SKU明细'!$G$9:$G$1592,MATCH("[13120,""B06b-NY-41""]",'SKU明细'!$AE$9:$AE$1592,0)),INDEX('SKU明细'!$G$9:$G$1592,MATCH("[13120,""B06b-NY-42""]",'SKU明细'!$AE$9:$AE$1592,0)),INDEX('SKU明细'!$G$9:$G$1592,MATCH("[13120,""B06b-NY-38""]",'SKU明细'!$AE$9:$AE$1592,0)),INDEX('SKU明细'!$G$9:$G$1592,MATCH("[13120,""B06b-NY-37.5""]",'SKU明细'!$AE$9:$AE$1592,0)))&gt;0),SUM(INDEX('SKU明细'!$H$9:$H$1592,MATCH("[13120,""B06b-NY-39-N""]",'SKU明细'!$AE$9:$AE$1592,0)),INDEX('SKU明细'!$H$9:$H$1592,MATCH("[13120,""B06b-NY-37""]",'SKU明细'!$AE$9:$AE$1592,0)),INDEX('SKU明细'!$H$9:$H$1592,MATCH("[13120,""B06b-NY-38.5""]",'SKU明细'!$AE$9:$AE$1592,0)),INDEX('SKU明细'!$H$9:$H$1592,MATCH("[13120,""B06b-NY-39.5""]",'SKU明细'!$AE$9:$AE$1592,0)),INDEX('SKU明细'!$H$9:$H$1592,MATCH("[13120,""B06b-NY-40""]",'SKU明细'!$AE$9:$AE$1592,0)),INDEX('SKU明细'!$H$9:$H$1592,MATCH("[13120,""B06b-NY-40.5""]",'SKU明细'!$AE$9:$AE$1592,0)),INDEX('SKU明细'!$H$9:$H$1592,MATCH("[13120,""B06b-NY-41""]",'SKU明细'!$AE$9:$AE$1592,0)),INDEX('SKU明细'!$H$9:$H$1592,MATCH("[13120,""B06b-NY-42""]",'SKU明细'!$AE$9:$AE$1592,0)),INDEX('SKU明细'!$H$9:$H$1592,MATCH("[13120,""B06b-NY-38""]",'SKU明细'!$AE$9:$AE$1592,0)),INDEX('SKU明细'!$H$9:$H$1592,MATCH("[13120,""B06b-NY-37.5""]",'SKU明细'!$AE$9:$AE$1592,0)))/SUM(INDEX('SKU明细'!$G$9:$G$1592,MATCH("[13120,""B06b-NY-39-N""]",'SKU明细'!$AE$9:$AE$1592,0)),INDEX('SKU明细'!$G$9:$G$1592,MATCH("[13120,""B06b-NY-37""]",'SKU明细'!$AE$9:$AE$1592,0)),INDEX('SKU明细'!$G$9:$G$1592,MATCH("[13120,""B06b-NY-38.5""]",'SKU明细'!$AE$9:$AE$1592,0)),INDEX('SKU明细'!$G$9:$G$1592,MATCH("[13120,""B06b-NY-39.5""]",'SKU明细'!$AE$9:$AE$1592,0)),INDEX('SKU明细'!$G$9:$G$1592,MATCH("[13120,""B06b-NY-40""]",'SKU明细'!$AE$9:$AE$1592,0)),INDEX('SKU明细'!$G$9:$G$1592,MATCH("[13120,""B06b-NY-40.5""]",'SKU明细'!$AE$9:$AE$1592,0)),INDEX('SKU明细'!$G$9:$G$1592,MATCH("[13120,""B06b-NY-41""]",'SKU明细'!$AE$9:$AE$1592,0)),INDEX('SKU明细'!$G$9:$G$1592,MATCH("[13120,""B06b-NY-42""]",'SKU明细'!$AE$9:$AE$1592,0)),INDEX('SKU明细'!$G$9:$G$1592,MATCH("[13120,""B06b-NY-38""]",'SKU明细'!$AE$9:$AE$1592,0)),INDEX('SKU明细'!$G$9:$G$1592,MATCH("[13120,""B06b-NY-37.5""]",'SKU明细'!$AE$9:$AE$1592,0))),"待核")</x:f>
        <x:v>36.90095846645367</x:v>
      </x:c>
      <x:c r="T131" s="16" t="n">
        <x:f>IF(AND(COUNT(INDEX('SKU明细'!$I$9:$I$1592,MATCH("[13120,""B06b-NY-39-N""]",'SKU明细'!$AE$9:$AE$1592,0)),INDEX('SKU明细'!$I$9:$I$1592,MATCH("[13120,""B06b-NY-37""]",'SKU明细'!$AE$9:$AE$1592,0)),INDEX('SKU明细'!$I$9:$I$1592,MATCH("[13120,""B06b-NY-38.5""]",'SKU明细'!$AE$9:$AE$1592,0)),INDEX('SKU明细'!$I$9:$I$1592,MATCH("[13120,""B06b-NY-39.5""]",'SKU明细'!$AE$9:$AE$1592,0)),INDEX('SKU明细'!$I$9:$I$1592,MATCH("[13120,""B06b-NY-40""]",'SKU明细'!$AE$9:$AE$1592,0)),INDEX('SKU明细'!$I$9:$I$1592,MATCH("[13120,""B06b-NY-40.5""]",'SKU明细'!$AE$9:$AE$1592,0)),INDEX('SKU明细'!$I$9:$I$1592,MATCH("[13120,""B06b-NY-41""]",'SKU明细'!$AE$9:$AE$1592,0)),INDEX('SKU明细'!$I$9:$I$1592,MATCH("[13120,""B06b-NY-42""]",'SKU明细'!$AE$9:$AE$1592,0)),INDEX('SKU明细'!$I$9:$I$1592,MATCH("[13120,""B06b-NY-38""]",'SKU明细'!$AE$9:$AE$1592,0)),INDEX('SKU明细'!$I$9:$I$1592,MATCH("[13120,""B06b-NY-37.5""]",'SKU明细'!$AE$9:$AE$1592,0)))=10,COUNT(INDEX('SKU明细'!$AD$9:$AD$1592,MATCH("[13120,""B06b-NY-39-N""]",'SKU明细'!$AE$9:$AE$1592,0)),INDEX('SKU明细'!$AD$9:$AD$1592,MATCH("[13120,""B06b-NY-37""]",'SKU明细'!$AE$9:$AE$1592,0)),INDEX('SKU明细'!$AD$9:$AD$1592,MATCH("[13120,""B06b-NY-38.5""]",'SKU明细'!$AE$9:$AE$1592,0)),INDEX('SKU明细'!$AD$9:$AD$1592,MATCH("[13120,""B06b-NY-39.5""]",'SKU明细'!$AE$9:$AE$1592,0)),INDEX('SKU明细'!$AD$9:$AD$1592,MATCH("[13120,""B06b-NY-40""]",'SKU明细'!$AE$9:$AE$1592,0)),INDEX('SKU明细'!$AD$9:$AD$1592,MATCH("[13120,""B06b-NY-40.5""]",'SKU明细'!$AE$9:$AE$1592,0)),INDEX('SKU明细'!$AD$9:$AD$1592,MATCH("[13120,""B06b-NY-41""]",'SKU明细'!$AE$9:$AE$1592,0)),INDEX('SKU明细'!$AD$9:$AD$1592,MATCH("[13120,""B06b-NY-42""]",'SKU明细'!$AE$9:$AE$1592,0)),INDEX('SKU明细'!$AD$9:$AD$1592,MATCH("[13120,""B06b-NY-38""]",'SKU明细'!$AE$9:$AE$1592,0)),INDEX('SKU明细'!$AD$9:$AD$1592,MATCH("[13120,""B06b-NY-37.5""]",'SKU明细'!$AE$9:$AE$1592,0)))=10,SUM(INDEX('SKU明细'!$AD$9:$AD$1592,MATCH("[13120,""B06b-NY-39-N""]",'SKU明细'!$AE$9:$AE$1592,0)),INDEX('SKU明细'!$AD$9:$AD$1592,MATCH("[13120,""B06b-NY-37""]",'SKU明细'!$AE$9:$AE$1592,0)),INDEX('SKU明细'!$AD$9:$AD$1592,MATCH("[13120,""B06b-NY-38.5""]",'SKU明细'!$AE$9:$AE$1592,0)),INDEX('SKU明细'!$AD$9:$AD$1592,MATCH("[13120,""B06b-NY-39.5""]",'SKU明细'!$AE$9:$AE$1592,0)),INDEX('SKU明细'!$AD$9:$AD$1592,MATCH("[13120,""B06b-NY-40""]",'SKU明细'!$AE$9:$AE$1592,0)),INDEX('SKU明细'!$AD$9:$AD$1592,MATCH("[13120,""B06b-NY-40.5""]",'SKU明细'!$AE$9:$AE$1592,0)),INDEX('SKU明细'!$AD$9:$AD$1592,MATCH("[13120,""B06b-NY-41""]",'SKU明细'!$AE$9:$AE$1592,0)),INDEX('SKU明细'!$AD$9:$AD$1592,MATCH("[13120,""B06b-NY-42""]",'SKU明细'!$AE$9:$AE$1592,0)),INDEX('SKU明细'!$AD$9:$AD$1592,MATCH("[13120,""B06b-NY-38""]",'SKU明细'!$AE$9:$AE$1592,0)),INDEX('SKU明细'!$AD$9:$AD$1592,MATCH("[13120,""B06b-NY-37.5""]",'SKU明细'!$AE$9:$AE$1592,0)))&gt;0),SUM(INDEX('SKU明细'!$I$9:$I$1592,MATCH("[13120,""B06b-NY-39-N""]",'SKU明细'!$AE$9:$AE$1592,0)),INDEX('SKU明细'!$I$9:$I$1592,MATCH("[13120,""B06b-NY-37""]",'SKU明细'!$AE$9:$AE$1592,0)),INDEX('SKU明细'!$I$9:$I$1592,MATCH("[13120,""B06b-NY-38.5""]",'SKU明细'!$AE$9:$AE$1592,0)),INDEX('SKU明细'!$I$9:$I$1592,MATCH("[13120,""B06b-NY-39.5""]",'SKU明细'!$AE$9:$AE$1592,0)),INDEX('SKU明细'!$I$9:$I$1592,MATCH("[13120,""B06b-NY-40""]",'SKU明细'!$AE$9:$AE$1592,0)),INDEX('SKU明细'!$I$9:$I$1592,MATCH("[13120,""B06b-NY-40.5""]",'SKU明细'!$AE$9:$AE$1592,0)),INDEX('SKU明细'!$I$9:$I$1592,MATCH("[13120,""B06b-NY-41""]",'SKU明细'!$AE$9:$AE$1592,0)),INDEX('SKU明细'!$I$9:$I$1592,MATCH("[13120,""B06b-NY-42""]",'SKU明细'!$AE$9:$AE$1592,0)),INDEX('SKU明细'!$I$9:$I$1592,MATCH("[13120,""B06b-NY-38""]",'SKU明细'!$AE$9:$AE$1592,0)),INDEX('SKU明细'!$I$9:$I$1592,MATCH("[13120,""B06b-NY-37.5""]",'SKU明细'!$AE$9:$AE$1592,0)))/SUM(INDEX('SKU明细'!$AD$9:$AD$1592,MATCH("[13120,""B06b-NY-39-N""]",'SKU明细'!$AE$9:$AE$1592,0)),INDEX('SKU明细'!$AD$9:$AD$1592,MATCH("[13120,""B06b-NY-37""]",'SKU明细'!$AE$9:$AE$1592,0)),INDEX('SKU明细'!$AD$9:$AD$1592,MATCH("[13120,""B06b-NY-38.5""]",'SKU明细'!$AE$9:$AE$1592,0)),INDEX('SKU明细'!$AD$9:$AD$1592,MATCH("[13120,""B06b-NY-39.5""]",'SKU明细'!$AE$9:$AE$1592,0)),INDEX('SKU明细'!$AD$9:$AD$1592,MATCH("[13120,""B06b-NY-40""]",'SKU明细'!$AE$9:$AE$1592,0)),INDEX('SKU明细'!$AD$9:$AD$1592,MATCH("[13120,""B06b-NY-40.5""]",'SKU明细'!$AE$9:$AE$1592,0)),INDEX('SKU明细'!$AD$9:$AD$1592,MATCH("[13120,""B06b-NY-41""]",'SKU明细'!$AE$9:$AE$1592,0)),INDEX('SKU明细'!$AD$9:$AD$1592,MATCH("[13120,""B06b-NY-42""]",'SKU明细'!$AE$9:$AE$1592,0)),INDEX('SKU明细'!$AD$9:$AD$1592,MATCH("[13120,""B06b-NY-38""]",'SKU明细'!$AE$9:$AE$1592,0)),INDEX('SKU明细'!$AD$9:$AD$1592,MATCH("[13120,""B06b-NY-37.5""]",'SKU明细'!$AE$9:$AE$1592,0))),"待核")</x:f>
        <x:v>25.160462130937102</x:v>
      </x:c>
      <x:c r="U131" s="16" t="n">
        <x:f>IF(COUNT(S131:T131)=2,S131-T131,"待核")</x:f>
        <x:v>11.740496335516571</x:v>
      </x:c>
      <x:c r="V131" s="17" t="n">
        <x:f>IF(AND(ISNUMBER(U131),ISNUMBER(T131),T131&lt;&gt;0),U131/T131,"")</x:f>
        <x:v>0.4666248288452759</x:v>
      </x:c>
      <x:c r="W131" s="18" t="n">
        <x:f>IF(COUNT(INDEX('SKU明细'!$H$9:$H$1592,MATCH("[13120,""B06b-NY-39-N""]",'SKU明细'!$AE$9:$AE$1592,0)),INDEX('SKU明细'!$H$9:$H$1592,MATCH("[13120,""B06b-NY-37""]",'SKU明细'!$AE$9:$AE$1592,0)),INDEX('SKU明细'!$H$9:$H$1592,MATCH("[13120,""B06b-NY-38.5""]",'SKU明细'!$AE$9:$AE$1592,0)),INDEX('SKU明细'!$H$9:$H$1592,MATCH("[13120,""B06b-NY-39.5""]",'SKU明细'!$AE$9:$AE$1592,0)),INDEX('SKU明细'!$H$9:$H$1592,MATCH("[13120,""B06b-NY-40""]",'SKU明细'!$AE$9:$AE$1592,0)),INDEX('SKU明细'!$H$9:$H$1592,MATCH("[13120,""B06b-NY-40.5""]",'SKU明细'!$AE$9:$AE$1592,0)),INDEX('SKU明细'!$H$9:$H$1592,MATCH("[13120,""B06b-NY-41""]",'SKU明细'!$AE$9:$AE$1592,0)),INDEX('SKU明细'!$H$9:$H$1592,MATCH("[13120,""B06b-NY-42""]",'SKU明细'!$AE$9:$AE$1592,0)),INDEX('SKU明细'!$H$9:$H$1592,MATCH("[13120,""B06b-NY-38""]",'SKU明细'!$AE$9:$AE$1592,0)),INDEX('SKU明细'!$H$9:$H$1592,MATCH("[13120,""B06b-NY-37.5""]",'SKU明细'!$AE$9:$AE$1592,0)))=0,"待核",SUM(INDEX('SKU明细'!$H$9:$H$1592,MATCH("[13120,""B06b-NY-39-N""]",'SKU明细'!$AE$9:$AE$1592,0)),INDEX('SKU明细'!$H$9:$H$1592,MATCH("[13120,""B06b-NY-37""]",'SKU明细'!$AE$9:$AE$1592,0)),INDEX('SKU明细'!$H$9:$H$1592,MATCH("[13120,""B06b-NY-38.5""]",'SKU明细'!$AE$9:$AE$1592,0)),INDEX('SKU明细'!$H$9:$H$1592,MATCH("[13120,""B06b-NY-39.5""]",'SKU明细'!$AE$9:$AE$1592,0)),INDEX('SKU明细'!$H$9:$H$1592,MATCH("[13120,""B06b-NY-40""]",'SKU明细'!$AE$9:$AE$1592,0)),INDEX('SKU明细'!$H$9:$H$1592,MATCH("[13120,""B06b-NY-40.5""]",'SKU明细'!$AE$9:$AE$1592,0)),INDEX('SKU明细'!$H$9:$H$1592,MATCH("[13120,""B06b-NY-41""]",'SKU明细'!$AE$9:$AE$1592,0)),INDEX('SKU明细'!$H$9:$H$1592,MATCH("[13120,""B06b-NY-42""]",'SKU明细'!$AE$9:$AE$1592,0)),INDEX('SKU明细'!$H$9:$H$1592,MATCH("[13120,""B06b-NY-38""]",'SKU明细'!$AE$9:$AE$1592,0)),INDEX('SKU明细'!$H$9:$H$1592,MATCH("[13120,""B06b-NY-37.5""]",'SKU明细'!$AE$9:$AE$1592,0))))</x:f>
        <x:v>44</x:v>
      </x:c>
      <x:c r="X131" s="19" t="str">
        <x:f>IF(COUNTIFS('SKU明细'!$AH$9:$AH$1592,"[""B06b"",""B06b-NY"",""NY"",""藏青色羊京绒""]",'SKU明细'!$E$9:$E$1592,"促销")&gt;0,"促销 ","")&amp;IF(COUNTIFS('SKU明细'!$AH$9:$AH$1592,"[""B06b"",""B06b-NY"",""NY"",""藏青色羊京绒""]",'SKU明细'!$E$9:$E$1592,"红线促销")&gt;0,"红线促销 ","")&amp;IF(COUNTIFS('SKU明细'!$AH$9:$AH$1592,"[""B06b"",""B06b-NY"",""NY"",""藏青色羊京绒""]",'SKU明细'!$E$9:$E$1592,"考虑清仓")&gt;0,"考虑清仓 ","")&amp;IF(COUNTIFS('SKU明细'!$AH$9:$AH$1592,"[""B06b"",""B06b-NY"",""NY"",""藏青色羊京绒""]",'SKU明细'!$E$9:$E$1592,"断货")&gt;0,"断货 ","")&amp;IF(COUNTIFS('SKU明细'!$AH$9:$AH$1592,"[""B06b"",""B06b-NY"",""NY"",""藏青色羊京绒""]",'SKU明细'!$E$9:$E$1592,"零日销待复核")&gt;0,"零日销待复核 ","")&amp;IF(COUNTIFS('SKU明细'!$AH$9:$AH$1592,"[""B06b"",""B06b-NY"",""NY"",""藏青色羊京绒""]",'SKU明细'!$E$9:$E$1592,"数据待核")&gt;0,"数据待核 ","")&amp;IF(COUNTIFS('SKU明细'!$AH$9:$AH$1592,"[""B06b"",""B06b-NY"",""NY"",""藏青色羊京绒""]",'SKU明细'!$E$9:$E$1592,"正常库存")&gt;0,"正常库存 ","")&amp;IF(COUNTIFS('SKU明细'!$AH$9:$AH$1592,"[""B06b"",""B06b-NY"",""NY"",""藏青色羊京绒""]",'SKU明细'!$E$9:$E$1592,"补货提醒")&gt;0,"补货提醒 ","")</x:f>
        <x:v>红线促销 断货 正常库存 补货提醒 </x:v>
      </x:c>
      <x:c r="Y131" s="19" t="str">
        <x:f>IF(NOT(ISNUMBER(U131)),"覆盖待核／无可比基准","完整可比")</x:f>
        <x:v>完整可比</x:v>
      </x:c>
      <x:c r="Z131" s="19" t="str">
        <x:v>在售、停售</x:v>
      </x:c>
      <x:c r="AA131" s="19" t="n">
        <x:f>IF(SUMIFS('SKU明细'!$AF$9:$AF$1592,'SKU明细'!$D$9:$D$1592,A131,'SKU明细'!$Z$9:$Z$1592,"&lt;&gt;移出")=0,"待核",SUMIFS('SKU明细'!$H$9:$H$1592,'SKU明细'!$D$9:$D$1592,A131,'SKU明细'!$Z$9:$Z$1592,"&lt;&gt;移出"))</x:f>
        <x:v>787</x:v>
      </x:c>
    </x:row>
    <x:row r="132" ht="54" customHeight="1">
      <x:c r="A132" s="15" t="str">
        <x:v>B06b</x:v>
      </x:c>
      <x:c r="B132" s="15" t="str">
        <x:v>艾年</x:v>
      </x:c>
      <x:c r="C132" s="15" t="str">
        <x:v>大红色羊京绒</x:v>
      </x:c>
      <x:c r="D132" s="15" t="str">
        <x:v>RD</x:v>
      </x:c>
      <x:c r="E132" s="15" t="str">
        <x:v>B06b-RD</x:v>
      </x:c>
      <x:c r="F132" s="15"/>
      <x:c r="G132" s="16" t="str">
        <x:f>"—"</x:f>
        <x:v>—</x:v>
      </x:c>
      <x:c r="H132" s="16" t="str">
        <x:f>IF(AND(COUNT(INDEX('SKU明细'!$H$9:$H$1592,MATCH("[13120,""B06b-RD-37""]",'SKU明细'!$AE$9:$AE$1592,0)))=1,COUNT(INDEX('SKU明细'!$G$9:$G$1592,MATCH("[13120,""B06b-RD-37""]",'SKU明细'!$AE$9:$AE$1592,0)))=1,SUM(INDEX('SKU明细'!$G$9:$G$1592,MATCH("[13120,""B06b-RD-37""]",'SKU明细'!$AE$9:$AE$1592,0)))&gt;0),SUM(INDEX('SKU明细'!$H$9:$H$1592,MATCH("[13120,""B06b-RD-37""]",'SKU明细'!$AE$9:$AE$1592,0)))/SUM(INDEX('SKU明细'!$G$9:$G$1592,MATCH("[13120,""B06b-RD-37""]",'SKU明细'!$AE$9:$AE$1592,0))),"待核")</x:f>
        <x:v>待核</x:v>
      </x:c>
      <x:c r="I132" s="16" t="str">
        <x:f>"—"</x:f>
        <x:v>—</x:v>
      </x:c>
      <x:c r="J132" s="16" t="str">
        <x:f>IF(AND(COUNT(INDEX('SKU明细'!$H$9:$H$1592,MATCH("[13120,""B06b-RD-38-N""]",'SKU明细'!$AE$9:$AE$1592,0)))=1,COUNT(INDEX('SKU明细'!$G$9:$G$1592,MATCH("[13120,""B06b-RD-38-N""]",'SKU明细'!$AE$9:$AE$1592,0)))=1,SUM(INDEX('SKU明细'!$G$9:$G$1592,MATCH("[13120,""B06b-RD-38-N""]",'SKU明细'!$AE$9:$AE$1592,0)))&gt;0),SUM(INDEX('SKU明细'!$H$9:$H$1592,MATCH("[13120,""B06b-RD-38-N""]",'SKU明细'!$AE$9:$AE$1592,0)))/SUM(INDEX('SKU明细'!$G$9:$G$1592,MATCH("[13120,""B06b-RD-38-N""]",'SKU明细'!$AE$9:$AE$1592,0))),"待核")</x:f>
        <x:v>待核</x:v>
      </x:c>
      <x:c r="K132" s="16" t="str">
        <x:f>"—"</x:f>
        <x:v>—</x:v>
      </x:c>
      <x:c r="L132" s="16" t="n">
        <x:f>IF(AND(COUNT(INDEX('SKU明细'!$H$9:$H$1592,MATCH("[13120,""B06b-RD-39""]",'SKU明细'!$AE$9:$AE$1592,0)))=1,COUNT(INDEX('SKU明细'!$G$9:$G$1592,MATCH("[13120,""B06b-RD-39""]",'SKU明细'!$AE$9:$AE$1592,0)))=1,SUM(INDEX('SKU明细'!$G$9:$G$1592,MATCH("[13120,""B06b-RD-39""]",'SKU明细'!$AE$9:$AE$1592,0)))&gt;0),SUM(INDEX('SKU明细'!$H$9:$H$1592,MATCH("[13120,""B06b-RD-39""]",'SKU明细'!$AE$9:$AE$1592,0)))/SUM(INDEX('SKU明细'!$G$9:$G$1592,MATCH("[13120,""B06b-RD-39""]",'SKU明细'!$AE$9:$AE$1592,0))),"待核")</x:f>
        <x:v>235.4260089686099</x:v>
      </x:c>
      <x:c r="M132" s="16" t="str">
        <x:f>"—"</x:f>
        <x:v>—</x:v>
      </x:c>
      <x:c r="N132" s="16" t="n">
        <x:f>IF(AND(COUNT(INDEX('SKU明细'!$H$9:$H$1592,MATCH("[13120,""B06b-RD-40""]",'SKU明细'!$AE$9:$AE$1592,0)))=1,COUNT(INDEX('SKU明细'!$G$9:$G$1592,MATCH("[13120,""B06b-RD-40""]",'SKU明细'!$AE$9:$AE$1592,0)))=1,SUM(INDEX('SKU明细'!$G$9:$G$1592,MATCH("[13120,""B06b-RD-40""]",'SKU明细'!$AE$9:$AE$1592,0)))&gt;0),SUM(INDEX('SKU明细'!$H$9:$H$1592,MATCH("[13120,""B06b-RD-40""]",'SKU明细'!$AE$9:$AE$1592,0)))/SUM(INDEX('SKU明细'!$G$9:$G$1592,MATCH("[13120,""B06b-RD-40""]",'SKU明细'!$AE$9:$AE$1592,0))),"待核")</x:f>
        <x:v>47.08520179372198</x:v>
      </x:c>
      <x:c r="O132" s="16" t="str">
        <x:f>"—"</x:f>
        <x:v>—</x:v>
      </x:c>
      <x:c r="P132" s="16" t="str">
        <x:f>IF(AND(COUNT(INDEX('SKU明细'!$H$9:$H$1592,MATCH("[13120,""B06b-RD-41""]",'SKU明细'!$AE$9:$AE$1592,0)))=1,COUNT(INDEX('SKU明细'!$G$9:$G$1592,MATCH("[13120,""B06b-RD-41""]",'SKU明细'!$AE$9:$AE$1592,0)))=1,SUM(INDEX('SKU明细'!$G$9:$G$1592,MATCH("[13120,""B06b-RD-41""]",'SKU明细'!$AE$9:$AE$1592,0)))&gt;0),SUM(INDEX('SKU明细'!$H$9:$H$1592,MATCH("[13120,""B06b-RD-41""]",'SKU明细'!$AE$9:$AE$1592,0)))/SUM(INDEX('SKU明细'!$G$9:$G$1592,MATCH("[13120,""B06b-RD-41""]",'SKU明细'!$AE$9:$AE$1592,0))),"待核")</x:f>
        <x:v>待核</x:v>
      </x:c>
      <x:c r="Q132" s="16" t="str">
        <x:f>"—"</x:f>
        <x:v>—</x:v>
      </x:c>
      <x:c r="R132" s="16" t="str">
        <x:f>IF(AND(COUNT(INDEX('SKU明细'!$H$9:$H$1592,MATCH("[13120,""B06b-RD-42""]",'SKU明细'!$AE$9:$AE$1592,0)))=1,COUNT(INDEX('SKU明细'!$G$9:$G$1592,MATCH("[13120,""B06b-RD-42""]",'SKU明细'!$AE$9:$AE$1592,0)))=1,SUM(INDEX('SKU明细'!$G$9:$G$1592,MATCH("[13120,""B06b-RD-42""]",'SKU明细'!$AE$9:$AE$1592,0)))&gt;0),SUM(INDEX('SKU明细'!$H$9:$H$1592,MATCH("[13120,""B06b-RD-42""]",'SKU明细'!$AE$9:$AE$1592,0)))/SUM(INDEX('SKU明细'!$G$9:$G$1592,MATCH("[13120,""B06b-RD-42""]",'SKU明细'!$AE$9:$AE$1592,0))),"待核")</x:f>
        <x:v>待核</x:v>
      </x:c>
      <x:c r="S132" s="16" t="n">
        <x:f>IF(AND(COUNT(INDEX('SKU明细'!$H$9:$H$1592,MATCH("[13120,""B06b-RD-39""]",'SKU明细'!$AE$9:$AE$1592,0)),INDEX('SKU明细'!$H$9:$H$1592,MATCH("[13120,""B06b-RD-38-N""]",'SKU明细'!$AE$9:$AE$1592,0)),INDEX('SKU明细'!$H$9:$H$1592,MATCH("[13120,""B06b-RD-41""]",'SKU明细'!$AE$9:$AE$1592,0)),INDEX('SKU明细'!$H$9:$H$1592,MATCH("[13120,""B06b-RD-42""]",'SKU明细'!$AE$9:$AE$1592,0)),INDEX('SKU明细'!$H$9:$H$1592,MATCH("[13120,""B06b-RD-37""]",'SKU明细'!$AE$9:$AE$1592,0)),INDEX('SKU明细'!$H$9:$H$1592,MATCH("[13120,""B06b-RD-40""]",'SKU明细'!$AE$9:$AE$1592,0)))=6,COUNT(INDEX('SKU明细'!$G$9:$G$1592,MATCH("[13120,""B06b-RD-39""]",'SKU明细'!$AE$9:$AE$1592,0)),INDEX('SKU明细'!$G$9:$G$1592,MATCH("[13120,""B06b-RD-38-N""]",'SKU明细'!$AE$9:$AE$1592,0)),INDEX('SKU明细'!$G$9:$G$1592,MATCH("[13120,""B06b-RD-41""]",'SKU明细'!$AE$9:$AE$1592,0)),INDEX('SKU明细'!$G$9:$G$1592,MATCH("[13120,""B06b-RD-42""]",'SKU明细'!$AE$9:$AE$1592,0)),INDEX('SKU明细'!$G$9:$G$1592,MATCH("[13120,""B06b-RD-37""]",'SKU明细'!$AE$9:$AE$1592,0)),INDEX('SKU明细'!$G$9:$G$1592,MATCH("[13120,""B06b-RD-40""]",'SKU明细'!$AE$9:$AE$1592,0)))=6,SUM(INDEX('SKU明细'!$G$9:$G$1592,MATCH("[13120,""B06b-RD-39""]",'SKU明细'!$AE$9:$AE$1592,0)),INDEX('SKU明细'!$G$9:$G$1592,MATCH("[13120,""B06b-RD-38-N""]",'SKU明细'!$AE$9:$AE$1592,0)),INDEX('SKU明细'!$G$9:$G$1592,MATCH("[13120,""B06b-RD-41""]",'SKU明细'!$AE$9:$AE$1592,0)),INDEX('SKU明细'!$G$9:$G$1592,MATCH("[13120,""B06b-RD-42""]",'SKU明细'!$AE$9:$AE$1592,0)),INDEX('SKU明细'!$G$9:$G$1592,MATCH("[13120,""B06b-RD-37""]",'SKU明细'!$AE$9:$AE$1592,0)),INDEX('SKU明细'!$G$9:$G$1592,MATCH("[13120,""B06b-RD-40""]",'SKU明细'!$AE$9:$AE$1592,0)))&gt;0),SUM(INDEX('SKU明细'!$H$9:$H$1592,MATCH("[13120,""B06b-RD-39""]",'SKU明细'!$AE$9:$AE$1592,0)),INDEX('SKU明细'!$H$9:$H$1592,MATCH("[13120,""B06b-RD-38-N""]",'SKU明细'!$AE$9:$AE$1592,0)),INDEX('SKU明细'!$H$9:$H$1592,MATCH("[13120,""B06b-RD-41""]",'SKU明细'!$AE$9:$AE$1592,0)),INDEX('SKU明细'!$H$9:$H$1592,MATCH("[13120,""B06b-RD-42""]",'SKU明细'!$AE$9:$AE$1592,0)),INDEX('SKU明细'!$H$9:$H$1592,MATCH("[13120,""B06b-RD-37""]",'SKU明细'!$AE$9:$AE$1592,0)),INDEX('SKU明细'!$H$9:$H$1592,MATCH("[13120,""B06b-RD-40""]",'SKU明细'!$AE$9:$AE$1592,0)))/SUM(INDEX('SKU明细'!$G$9:$G$1592,MATCH("[13120,""B06b-RD-39""]",'SKU明细'!$AE$9:$AE$1592,0)),INDEX('SKU明细'!$G$9:$G$1592,MATCH("[13120,""B06b-RD-38-N""]",'SKU明细'!$AE$9:$AE$1592,0)),INDEX('SKU明细'!$G$9:$G$1592,MATCH("[13120,""B06b-RD-41""]",'SKU明细'!$AE$9:$AE$1592,0)),INDEX('SKU明细'!$G$9:$G$1592,MATCH("[13120,""B06b-RD-42""]",'SKU明细'!$AE$9:$AE$1592,0)),INDEX('SKU明细'!$G$9:$G$1592,MATCH("[13120,""B06b-RD-37""]",'SKU明细'!$AE$9:$AE$1592,0)),INDEX('SKU明细'!$G$9:$G$1592,MATCH("[13120,""B06b-RD-40""]",'SKU明细'!$AE$9:$AE$1592,0))),"待核")</x:f>
        <x:v>216.5919282511211</x:v>
      </x:c>
      <x:c r="T132" s="16" t="str">
        <x:f>IF(AND(COUNT(INDEX('SKU明细'!$I$9:$I$1592,MATCH("[13120,""B06b-RD-39""]",'SKU明细'!$AE$9:$AE$1592,0)),INDEX('SKU明细'!$I$9:$I$1592,MATCH("[13120,""B06b-RD-38-N""]",'SKU明细'!$AE$9:$AE$1592,0)),INDEX('SKU明细'!$I$9:$I$1592,MATCH("[13120,""B06b-RD-41""]",'SKU明细'!$AE$9:$AE$1592,0)),INDEX('SKU明细'!$I$9:$I$1592,MATCH("[13120,""B06b-RD-42""]",'SKU明细'!$AE$9:$AE$1592,0)),INDEX('SKU明细'!$I$9:$I$1592,MATCH("[13120,""B06b-RD-37""]",'SKU明细'!$AE$9:$AE$1592,0)),INDEX('SKU明细'!$I$9:$I$1592,MATCH("[13120,""B06b-RD-40""]",'SKU明细'!$AE$9:$AE$1592,0)))=6,COUNT(INDEX('SKU明细'!$AD$9:$AD$1592,MATCH("[13120,""B06b-RD-39""]",'SKU明细'!$AE$9:$AE$1592,0)),INDEX('SKU明细'!$AD$9:$AD$1592,MATCH("[13120,""B06b-RD-38-N""]",'SKU明细'!$AE$9:$AE$1592,0)),INDEX('SKU明细'!$AD$9:$AD$1592,MATCH("[13120,""B06b-RD-41""]",'SKU明细'!$AE$9:$AE$1592,0)),INDEX('SKU明细'!$AD$9:$AD$1592,MATCH("[13120,""B06b-RD-42""]",'SKU明细'!$AE$9:$AE$1592,0)),INDEX('SKU明细'!$AD$9:$AD$1592,MATCH("[13120,""B06b-RD-37""]",'SKU明细'!$AE$9:$AE$1592,0)),INDEX('SKU明细'!$AD$9:$AD$1592,MATCH("[13120,""B06b-RD-40""]",'SKU明细'!$AE$9:$AE$1592,0)))=6,SUM(INDEX('SKU明细'!$AD$9:$AD$1592,MATCH("[13120,""B06b-RD-39""]",'SKU明细'!$AE$9:$AE$1592,0)),INDEX('SKU明细'!$AD$9:$AD$1592,MATCH("[13120,""B06b-RD-38-N""]",'SKU明细'!$AE$9:$AE$1592,0)),INDEX('SKU明细'!$AD$9:$AD$1592,MATCH("[13120,""B06b-RD-41""]",'SKU明细'!$AE$9:$AE$1592,0)),INDEX('SKU明细'!$AD$9:$AD$1592,MATCH("[13120,""B06b-RD-42""]",'SKU明细'!$AE$9:$AE$1592,0)),INDEX('SKU明细'!$AD$9:$AD$1592,MATCH("[13120,""B06b-RD-37""]",'SKU明细'!$AE$9:$AE$1592,0)),INDEX('SKU明细'!$AD$9:$AD$1592,MATCH("[13120,""B06b-RD-40""]",'SKU明细'!$AE$9:$AE$1592,0)))&gt;0),SUM(INDEX('SKU明细'!$I$9:$I$1592,MATCH("[13120,""B06b-RD-39""]",'SKU明细'!$AE$9:$AE$1592,0)),INDEX('SKU明细'!$I$9:$I$1592,MATCH("[13120,""B06b-RD-38-N""]",'SKU明细'!$AE$9:$AE$1592,0)),INDEX('SKU明细'!$I$9:$I$1592,MATCH("[13120,""B06b-RD-41""]",'SKU明细'!$AE$9:$AE$1592,0)),INDEX('SKU明细'!$I$9:$I$1592,MATCH("[13120,""B06b-RD-42""]",'SKU明细'!$AE$9:$AE$1592,0)),INDEX('SKU明细'!$I$9:$I$1592,MATCH("[13120,""B06b-RD-37""]",'SKU明细'!$AE$9:$AE$1592,0)),INDEX('SKU明细'!$I$9:$I$1592,MATCH("[13120,""B06b-RD-40""]",'SKU明细'!$AE$9:$AE$1592,0)))/SUM(INDEX('SKU明细'!$AD$9:$AD$1592,MATCH("[13120,""B06b-RD-39""]",'SKU明细'!$AE$9:$AE$1592,0)),INDEX('SKU明细'!$AD$9:$AD$1592,MATCH("[13120,""B06b-RD-38-N""]",'SKU明细'!$AE$9:$AE$1592,0)),INDEX('SKU明细'!$AD$9:$AD$1592,MATCH("[13120,""B06b-RD-41""]",'SKU明细'!$AE$9:$AE$1592,0)),INDEX('SKU明细'!$AD$9:$AD$1592,MATCH("[13120,""B06b-RD-42""]",'SKU明细'!$AE$9:$AE$1592,0)),INDEX('SKU明细'!$AD$9:$AD$1592,MATCH("[13120,""B06b-RD-37""]",'SKU明细'!$AE$9:$AE$1592,0)),INDEX('SKU明细'!$AD$9:$AD$1592,MATCH("[13120,""B06b-RD-40""]",'SKU明细'!$AE$9:$AE$1592,0))),"待核")</x:f>
        <x:v>待核</x:v>
      </x:c>
      <x:c r="U132" s="16" t="str">
        <x:f>IF(COUNT(S132:T132)=2,S132-T132,"待核")</x:f>
        <x:v>待核</x:v>
      </x:c>
      <x:c r="V132" s="17" t="str">
        <x:f>IF(AND(ISNUMBER(U132),ISNUMBER(T132),T132&lt;&gt;0),U132/T132,"")</x:f>
      </x:c>
      <x:c r="W132" s="18" t="n">
        <x:f>IF(COUNT(INDEX('SKU明细'!$H$9:$H$1592,MATCH("[13120,""B06b-RD-39""]",'SKU明细'!$AE$9:$AE$1592,0)),INDEX('SKU明细'!$H$9:$H$1592,MATCH("[13120,""B06b-RD-38-N""]",'SKU明细'!$AE$9:$AE$1592,0)),INDEX('SKU明细'!$H$9:$H$1592,MATCH("[13120,""B06b-RD-41""]",'SKU明细'!$AE$9:$AE$1592,0)),INDEX('SKU明细'!$H$9:$H$1592,MATCH("[13120,""B06b-RD-42""]",'SKU明细'!$AE$9:$AE$1592,0)),INDEX('SKU明细'!$H$9:$H$1592,MATCH("[13120,""B06b-RD-37""]",'SKU明细'!$AE$9:$AE$1592,0)),INDEX('SKU明细'!$H$9:$H$1592,MATCH("[13120,""B06b-RD-40""]",'SKU明细'!$AE$9:$AE$1592,0)))=0,"待核",SUM(INDEX('SKU明细'!$H$9:$H$1592,MATCH("[13120,""B06b-RD-39""]",'SKU明细'!$AE$9:$AE$1592,0)),INDEX('SKU明细'!$H$9:$H$1592,MATCH("[13120,""B06b-RD-38-N""]",'SKU明细'!$AE$9:$AE$1592,0)),INDEX('SKU明细'!$H$9:$H$1592,MATCH("[13120,""B06b-RD-41""]",'SKU明细'!$AE$9:$AE$1592,0)),INDEX('SKU明细'!$H$9:$H$1592,MATCH("[13120,""B06b-RD-42""]",'SKU明细'!$AE$9:$AE$1592,0)),INDEX('SKU明细'!$H$9:$H$1592,MATCH("[13120,""B06b-RD-37""]",'SKU明细'!$AE$9:$AE$1592,0)),INDEX('SKU明细'!$H$9:$H$1592,MATCH("[13120,""B06b-RD-40""]",'SKU明细'!$AE$9:$AE$1592,0))))</x:f>
        <x:v>46</x:v>
      </x:c>
      <x:c r="X132" s="19" t="str">
        <x:f>IF(COUNTIFS('SKU明细'!$AH$9:$AH$1592,"[""B06b"",""B06b-RD"",""RD"",""大红色羊京绒""]",'SKU明细'!$E$9:$E$1592,"促销")&gt;0,"促销 ","")&amp;IF(COUNTIFS('SKU明细'!$AH$9:$AH$1592,"[""B06b"",""B06b-RD"",""RD"",""大红色羊京绒""]",'SKU明细'!$E$9:$E$1592,"红线促销")&gt;0,"红线促销 ","")&amp;IF(COUNTIFS('SKU明细'!$AH$9:$AH$1592,"[""B06b"",""B06b-RD"",""RD"",""大红色羊京绒""]",'SKU明细'!$E$9:$E$1592,"考虑清仓")&gt;0,"考虑清仓 ","")&amp;IF(COUNTIFS('SKU明细'!$AH$9:$AH$1592,"[""B06b"",""B06b-RD"",""RD"",""大红色羊京绒""]",'SKU明细'!$E$9:$E$1592,"断货")&gt;0,"断货 ","")&amp;IF(COUNTIFS('SKU明细'!$AH$9:$AH$1592,"[""B06b"",""B06b-RD"",""RD"",""大红色羊京绒""]",'SKU明细'!$E$9:$E$1592,"零日销待复核")&gt;0,"零日销待复核 ","")&amp;IF(COUNTIFS('SKU明细'!$AH$9:$AH$1592,"[""B06b"",""B06b-RD"",""RD"",""大红色羊京绒""]",'SKU明细'!$E$9:$E$1592,"数据待核")&gt;0,"数据待核 ","")&amp;IF(COUNTIFS('SKU明细'!$AH$9:$AH$1592,"[""B06b"",""B06b-RD"",""RD"",""大红色羊京绒""]",'SKU明细'!$E$9:$E$1592,"正常库存")&gt;0,"正常库存 ","")&amp;IF(COUNTIFS('SKU明细'!$AH$9:$AH$1592,"[""B06b"",""B06b-RD"",""RD"",""大红色羊京绒""]",'SKU明细'!$E$9:$E$1592,"补货提醒")&gt;0,"补货提醒 ","")</x:f>
        <x:v>红线促销 断货 零日销待复核 补货提醒 </x:v>
      </x:c>
      <x:c r="Y132" s="19" t="str">
        <x:f>IF(NOT(ISNUMBER(U132)),"覆盖待核／无可比基准","完整可比")</x:f>
        <x:v>覆盖待核／无可比基准</x:v>
      </x:c>
      <x:c r="Z132" s="19" t="str">
        <x:v>在售、停售</x:v>
      </x:c>
      <x:c r="AA132" s="19" t="n">
        <x:f>IF(SUMIFS('SKU明细'!$AF$9:$AF$1592,'SKU明细'!$D$9:$D$1592,A132,'SKU明细'!$Z$9:$Z$1592,"&lt;&gt;移出")=0,"待核",SUMIFS('SKU明细'!$H$9:$H$1592,'SKU明细'!$D$9:$D$1592,A132,'SKU明细'!$Z$9:$Z$1592,"&lt;&gt;移出"))</x:f>
        <x:v>787</x:v>
      </x:c>
    </x:row>
    <x:row r="133" ht="54" customHeight="1">
      <x:c r="A133" s="15" t="str">
        <x:v>B06b</x:v>
      </x:c>
      <x:c r="B133" s="15" t="str">
        <x:v>艾年</x:v>
      </x:c>
      <x:c r="C133" s="15" t="str">
        <x:v>驼色羊京绒</x:v>
      </x:c>
      <x:c r="D133" s="15" t="str">
        <x:v>TN</x:v>
      </x:c>
      <x:c r="E133" s="15" t="str">
        <x:v>B06b-TN</x:v>
      </x:c>
      <x:c r="F133" s="15"/>
      <x:c r="G133" s="16" t="str">
        <x:f>"—"</x:f>
        <x:v>—</x:v>
      </x:c>
      <x:c r="H133" s="16" t="str">
        <x:f>"—"</x:f>
        <x:v>—</x:v>
      </x:c>
      <x:c r="I133" s="16" t="str">
        <x:f>"—"</x:f>
        <x:v>—</x:v>
      </x:c>
      <x:c r="J133" s="16" t="str">
        <x:f>"—"</x:f>
        <x:v>—</x:v>
      </x:c>
      <x:c r="K133" s="16" t="str">
        <x:f>"—"</x:f>
        <x:v>—</x:v>
      </x:c>
      <x:c r="L133" s="16" t="str">
        <x:f>IF(AND(COUNT(INDEX('SKU明细'!$H$9:$H$1592,MATCH("[13120,""B06b-TN-39""]",'SKU明细'!$AE$9:$AE$1592,0)))=1,COUNT(INDEX('SKU明细'!$G$9:$G$1592,MATCH("[13120,""B06b-TN-39""]",'SKU明细'!$AE$9:$AE$1592,0)))=1,SUM(INDEX('SKU明细'!$G$9:$G$1592,MATCH("[13120,""B06b-TN-39""]",'SKU明细'!$AE$9:$AE$1592,0)))&gt;0),SUM(INDEX('SKU明细'!$H$9:$H$1592,MATCH("[13120,""B06b-TN-39""]",'SKU明细'!$AE$9:$AE$1592,0)))/SUM(INDEX('SKU明细'!$G$9:$G$1592,MATCH("[13120,""B06b-TN-39""]",'SKU明细'!$AE$9:$AE$1592,0))),"待核")</x:f>
        <x:v>待核</x:v>
      </x:c>
      <x:c r="M133" s="16" t="str">
        <x:f>"—"</x:f>
        <x:v>—</x:v>
      </x:c>
      <x:c r="N133" s="16" t="str">
        <x:f>IF(AND(COUNT(INDEX('SKU明细'!$H$9:$H$1592,MATCH("[13120,""B06b-TN-40-N""]",'SKU明细'!$AE$9:$AE$1592,0)))=1,COUNT(INDEX('SKU明细'!$G$9:$G$1592,MATCH("[13120,""B06b-TN-40-N""]",'SKU明细'!$AE$9:$AE$1592,0)))=1,SUM(INDEX('SKU明细'!$G$9:$G$1592,MATCH("[13120,""B06b-TN-40-N""]",'SKU明细'!$AE$9:$AE$1592,0)))&gt;0),SUM(INDEX('SKU明细'!$H$9:$H$1592,MATCH("[13120,""B06b-TN-40-N""]",'SKU明细'!$AE$9:$AE$1592,0)))/SUM(INDEX('SKU明细'!$G$9:$G$1592,MATCH("[13120,""B06b-TN-40-N""]",'SKU明细'!$AE$9:$AE$1592,0))),"待核")</x:f>
        <x:v>待核</x:v>
      </x:c>
      <x:c r="O133" s="16" t="str">
        <x:f>"—"</x:f>
        <x:v>—</x:v>
      </x:c>
      <x:c r="P133" s="16" t="str">
        <x:f>IF(AND(COUNT(INDEX('SKU明细'!$H$9:$H$1592,MATCH("[13120,""B06b-TN-41""]",'SKU明细'!$AE$9:$AE$1592,0)))=1,COUNT(INDEX('SKU明细'!$G$9:$G$1592,MATCH("[13120,""B06b-TN-41""]",'SKU明细'!$AE$9:$AE$1592,0)))=1,SUM(INDEX('SKU明细'!$G$9:$G$1592,MATCH("[13120,""B06b-TN-41""]",'SKU明细'!$AE$9:$AE$1592,0)))&gt;0),SUM(INDEX('SKU明细'!$H$9:$H$1592,MATCH("[13120,""B06b-TN-41""]",'SKU明细'!$AE$9:$AE$1592,0)))/SUM(INDEX('SKU明细'!$G$9:$G$1592,MATCH("[13120,""B06b-TN-41""]",'SKU明细'!$AE$9:$AE$1592,0))),"待核")</x:f>
        <x:v>待核</x:v>
      </x:c>
      <x:c r="Q133" s="16" t="str">
        <x:f>"—"</x:f>
        <x:v>—</x:v>
      </x:c>
      <x:c r="R133" s="16" t="str">
        <x:f>"—"</x:f>
        <x:v>—</x:v>
      </x:c>
      <x:c r="S133" s="16" t="str">
        <x:f>IF(AND(COUNT(INDEX('SKU明细'!$H$9:$H$1592,MATCH("[13120,""B06b-TN-39""]",'SKU明细'!$AE$9:$AE$1592,0)),INDEX('SKU明细'!$H$9:$H$1592,MATCH("[13120,""B06b-TN-41""]",'SKU明细'!$AE$9:$AE$1592,0)),INDEX('SKU明细'!$H$9:$H$1592,MATCH("[13120,""B06b-TN-40-N""]",'SKU明细'!$AE$9:$AE$1592,0)))=3,COUNT(INDEX('SKU明细'!$G$9:$G$1592,MATCH("[13120,""B06b-TN-39""]",'SKU明细'!$AE$9:$AE$1592,0)),INDEX('SKU明细'!$G$9:$G$1592,MATCH("[13120,""B06b-TN-41""]",'SKU明细'!$AE$9:$AE$1592,0)),INDEX('SKU明细'!$G$9:$G$1592,MATCH("[13120,""B06b-TN-40-N""]",'SKU明细'!$AE$9:$AE$1592,0)))=3,SUM(INDEX('SKU明细'!$G$9:$G$1592,MATCH("[13120,""B06b-TN-39""]",'SKU明细'!$AE$9:$AE$1592,0)),INDEX('SKU明细'!$G$9:$G$1592,MATCH("[13120,""B06b-TN-41""]",'SKU明细'!$AE$9:$AE$1592,0)),INDEX('SKU明细'!$G$9:$G$1592,MATCH("[13120,""B06b-TN-40-N""]",'SKU明细'!$AE$9:$AE$1592,0)))&gt;0),SUM(INDEX('SKU明细'!$H$9:$H$1592,MATCH("[13120,""B06b-TN-39""]",'SKU明细'!$AE$9:$AE$1592,0)),INDEX('SKU明细'!$H$9:$H$1592,MATCH("[13120,""B06b-TN-41""]",'SKU明细'!$AE$9:$AE$1592,0)),INDEX('SKU明细'!$H$9:$H$1592,MATCH("[13120,""B06b-TN-40-N""]",'SKU明细'!$AE$9:$AE$1592,0)))/SUM(INDEX('SKU明细'!$G$9:$G$1592,MATCH("[13120,""B06b-TN-39""]",'SKU明细'!$AE$9:$AE$1592,0)),INDEX('SKU明细'!$G$9:$G$1592,MATCH("[13120,""B06b-TN-41""]",'SKU明细'!$AE$9:$AE$1592,0)),INDEX('SKU明细'!$G$9:$G$1592,MATCH("[13120,""B06b-TN-40-N""]",'SKU明细'!$AE$9:$AE$1592,0))),"待核")</x:f>
        <x:v>待核</x:v>
      </x:c>
      <x:c r="T133" s="16" t="str">
        <x:f>IF(AND(COUNT(INDEX('SKU明细'!$I$9:$I$1592,MATCH("[13120,""B06b-TN-39""]",'SKU明细'!$AE$9:$AE$1592,0)),INDEX('SKU明细'!$I$9:$I$1592,MATCH("[13120,""B06b-TN-41""]",'SKU明细'!$AE$9:$AE$1592,0)),INDEX('SKU明细'!$I$9:$I$1592,MATCH("[13120,""B06b-TN-40-N""]",'SKU明细'!$AE$9:$AE$1592,0)))=3,COUNT(INDEX('SKU明细'!$AD$9:$AD$1592,MATCH("[13120,""B06b-TN-39""]",'SKU明细'!$AE$9:$AE$1592,0)),INDEX('SKU明细'!$AD$9:$AD$1592,MATCH("[13120,""B06b-TN-41""]",'SKU明细'!$AE$9:$AE$1592,0)),INDEX('SKU明细'!$AD$9:$AD$1592,MATCH("[13120,""B06b-TN-40-N""]",'SKU明细'!$AE$9:$AE$1592,0)))=3,SUM(INDEX('SKU明细'!$AD$9:$AD$1592,MATCH("[13120,""B06b-TN-39""]",'SKU明细'!$AE$9:$AE$1592,0)),INDEX('SKU明细'!$AD$9:$AD$1592,MATCH("[13120,""B06b-TN-41""]",'SKU明细'!$AE$9:$AE$1592,0)),INDEX('SKU明细'!$AD$9:$AD$1592,MATCH("[13120,""B06b-TN-40-N""]",'SKU明细'!$AE$9:$AE$1592,0)))&gt;0),SUM(INDEX('SKU明细'!$I$9:$I$1592,MATCH("[13120,""B06b-TN-39""]",'SKU明细'!$AE$9:$AE$1592,0)),INDEX('SKU明细'!$I$9:$I$1592,MATCH("[13120,""B06b-TN-41""]",'SKU明细'!$AE$9:$AE$1592,0)),INDEX('SKU明细'!$I$9:$I$1592,MATCH("[13120,""B06b-TN-40-N""]",'SKU明细'!$AE$9:$AE$1592,0)))/SUM(INDEX('SKU明细'!$AD$9:$AD$1592,MATCH("[13120,""B06b-TN-39""]",'SKU明细'!$AE$9:$AE$1592,0)),INDEX('SKU明细'!$AD$9:$AD$1592,MATCH("[13120,""B06b-TN-41""]",'SKU明细'!$AE$9:$AE$1592,0)),INDEX('SKU明细'!$AD$9:$AD$1592,MATCH("[13120,""B06b-TN-40-N""]",'SKU明细'!$AE$9:$AE$1592,0))),"待核")</x:f>
        <x:v>待核</x:v>
      </x:c>
      <x:c r="U133" s="16" t="str">
        <x:f>IF(COUNT(S133:T133)=2,S133-T133,"待核")</x:f>
        <x:v>待核</x:v>
      </x:c>
      <x:c r="V133" s="17" t="str">
        <x:f>IF(AND(ISNUMBER(U133),ISNUMBER(T133),T133&lt;&gt;0),U133/T133,"")</x:f>
      </x:c>
      <x:c r="W133" s="18" t="n">
        <x:f>IF(COUNT(INDEX('SKU明细'!$H$9:$H$1592,MATCH("[13120,""B06b-TN-39""]",'SKU明细'!$AE$9:$AE$1592,0)),INDEX('SKU明细'!$H$9:$H$1592,MATCH("[13120,""B06b-TN-41""]",'SKU明细'!$AE$9:$AE$1592,0)),INDEX('SKU明细'!$H$9:$H$1592,MATCH("[13120,""B06b-TN-40-N""]",'SKU明细'!$AE$9:$AE$1592,0)))=0,"待核",SUM(INDEX('SKU明细'!$H$9:$H$1592,MATCH("[13120,""B06b-TN-39""]",'SKU明细'!$AE$9:$AE$1592,0)),INDEX('SKU明细'!$H$9:$H$1592,MATCH("[13120,""B06b-TN-41""]",'SKU明细'!$AE$9:$AE$1592,0)),INDEX('SKU明细'!$H$9:$H$1592,MATCH("[13120,""B06b-TN-40-N""]",'SKU明细'!$AE$9:$AE$1592,0))))</x:f>
        <x:v>4</x:v>
      </x:c>
      <x:c r="X133" s="19" t="str">
        <x:f>IF(COUNTIFS('SKU明细'!$AH$9:$AH$1592,"[""B06b"",""B06b-TN"",""TN"",""驼色羊京绒""]",'SKU明细'!$E$9:$E$1592,"促销")&gt;0,"促销 ","")&amp;IF(COUNTIFS('SKU明细'!$AH$9:$AH$1592,"[""B06b"",""B06b-TN"",""TN"",""驼色羊京绒""]",'SKU明细'!$E$9:$E$1592,"红线促销")&gt;0,"红线促销 ","")&amp;IF(COUNTIFS('SKU明细'!$AH$9:$AH$1592,"[""B06b"",""B06b-TN"",""TN"",""驼色羊京绒""]",'SKU明细'!$E$9:$E$1592,"考虑清仓")&gt;0,"考虑清仓 ","")&amp;IF(COUNTIFS('SKU明细'!$AH$9:$AH$1592,"[""B06b"",""B06b-TN"",""TN"",""驼色羊京绒""]",'SKU明细'!$E$9:$E$1592,"断货")&gt;0,"断货 ","")&amp;IF(COUNTIFS('SKU明细'!$AH$9:$AH$1592,"[""B06b"",""B06b-TN"",""TN"",""驼色羊京绒""]",'SKU明细'!$E$9:$E$1592,"零日销待复核")&gt;0,"零日销待复核 ","")&amp;IF(COUNTIFS('SKU明细'!$AH$9:$AH$1592,"[""B06b"",""B06b-TN"",""TN"",""驼色羊京绒""]",'SKU明细'!$E$9:$E$1592,"数据待核")&gt;0,"数据待核 ","")&amp;IF(COUNTIFS('SKU明细'!$AH$9:$AH$1592,"[""B06b"",""B06b-TN"",""TN"",""驼色羊京绒""]",'SKU明细'!$E$9:$E$1592,"正常库存")&gt;0,"正常库存 ","")&amp;IF(COUNTIFS('SKU明细'!$AH$9:$AH$1592,"[""B06b"",""B06b-TN"",""TN"",""驼色羊京绒""]",'SKU明细'!$E$9:$E$1592,"补货提醒")&gt;0,"补货提醒 ","")</x:f>
        <x:v>断货 零日销待复核 </x:v>
      </x:c>
      <x:c r="Y133" s="19" t="str">
        <x:f>IF(NOT(ISNUMBER(U133)),"覆盖待核／无可比基准","完整可比")</x:f>
        <x:v>覆盖待核／无可比基准</x:v>
      </x:c>
      <x:c r="Z133" s="19" t="str">
        <x:v>停售、在售</x:v>
      </x:c>
      <x:c r="AA133" s="19" t="n">
        <x:f>IF(SUMIFS('SKU明细'!$AF$9:$AF$1592,'SKU明细'!$D$9:$D$1592,A133,'SKU明细'!$Z$9:$Z$1592,"&lt;&gt;移出")=0,"待核",SUMIFS('SKU明细'!$H$9:$H$1592,'SKU明细'!$D$9:$D$1592,A133,'SKU明细'!$Z$9:$Z$1592,"&lt;&gt;移出"))</x:f>
        <x:v>787</x:v>
      </x:c>
    </x:row>
    <x:row r="134" ht="54" customHeight="1">
      <x:c r="A134" s="20" t="str">
        <x:v>S02a</x:v>
      </x:c>
      <x:c r="B134" s="20" t="str">
        <x:v>陈晨</x:v>
      </x:c>
      <x:c r="C134" s="20" t="str">
        <x:v>黑色</x:v>
      </x:c>
      <x:c r="D134" s="20" t="str">
        <x:v>BK</x:v>
      </x:c>
      <x:c r="E134" s="20" t="str">
        <x:v>S02a-BK</x:v>
      </x:c>
      <x:c r="F134" s="20"/>
      <x:c r="G134" s="21" t="str">
        <x:f>"—"</x:f>
        <x:v>—</x:v>
      </x:c>
      <x:c r="H134" s="21" t="n">
        <x:f>IF(AND(COUNT(INDEX('SKU明细'!$H$9:$H$1592,MATCH("[6574,""S02a-BK-37""]",'SKU明细'!$AE$9:$AE$1592,0)))=1,COUNT(INDEX('SKU明细'!$G$9:$G$1592,MATCH("[6574,""S02a-BK-37""]",'SKU明细'!$AE$9:$AE$1592,0)))=1,SUM(INDEX('SKU明细'!$G$9:$G$1592,MATCH("[6574,""S02a-BK-37""]",'SKU明细'!$AE$9:$AE$1592,0)))&gt;0),SUM(INDEX('SKU明细'!$H$9:$H$1592,MATCH("[6574,""S02a-BK-37""]",'SKU明细'!$AE$9:$AE$1592,0)))/SUM(INDEX('SKU明细'!$G$9:$G$1592,MATCH("[6574,""S02a-BK-37""]",'SKU明细'!$AE$9:$AE$1592,0))),"待核")</x:f>
        <x:v>251.19617224880386</x:v>
      </x:c>
      <x:c r="I134" s="21" t="str">
        <x:f>"—"</x:f>
        <x:v>—</x:v>
      </x:c>
      <x:c r="J134" s="21" t="n">
        <x:f>IF(AND(COUNT(INDEX('SKU明细'!$H$9:$H$1592,MATCH("[6574,""S02a-BK-38""]",'SKU明细'!$AE$9:$AE$1592,0)))=1,COUNT(INDEX('SKU明细'!$G$9:$G$1592,MATCH("[6574,""S02a-BK-38""]",'SKU明细'!$AE$9:$AE$1592,0)))=1,SUM(INDEX('SKU明细'!$G$9:$G$1592,MATCH("[6574,""S02a-BK-38""]",'SKU明细'!$AE$9:$AE$1592,0)))&gt;0),SUM(INDEX('SKU明细'!$H$9:$H$1592,MATCH("[6574,""S02a-BK-38""]",'SKU明细'!$AE$9:$AE$1592,0)))/SUM(INDEX('SKU明细'!$G$9:$G$1592,MATCH("[6574,""S02a-BK-38""]",'SKU明细'!$AE$9:$AE$1592,0))),"待核")</x:f>
        <x:v>141.7004048582996</x:v>
      </x:c>
      <x:c r="K134" s="21" t="str">
        <x:f>"—"</x:f>
        <x:v>—</x:v>
      </x:c>
      <x:c r="L134" s="21" t="n">
        <x:f>IF(AND(COUNT(INDEX('SKU明细'!$H$9:$H$1592,MATCH("[6574,""S02a-BK-39""]",'SKU明细'!$AE$9:$AE$1592,0)))=1,COUNT(INDEX('SKU明细'!$G$9:$G$1592,MATCH("[6574,""S02a-BK-39""]",'SKU明细'!$AE$9:$AE$1592,0)))=1,SUM(INDEX('SKU明细'!$G$9:$G$1592,MATCH("[6574,""S02a-BK-39""]",'SKU明细'!$AE$9:$AE$1592,0)))&gt;0),SUM(INDEX('SKU明细'!$H$9:$H$1592,MATCH("[6574,""S02a-BK-39""]",'SKU明细'!$AE$9:$AE$1592,0)))/SUM(INDEX('SKU明细'!$G$9:$G$1592,MATCH("[6574,""S02a-BK-39""]",'SKU明细'!$AE$9:$AE$1592,0))),"待核")</x:f>
        <x:v>93.02013422818793</x:v>
      </x:c>
      <x:c r="M134" s="21" t="str">
        <x:f>"—"</x:f>
        <x:v>—</x:v>
      </x:c>
      <x:c r="N134" s="21" t="n">
        <x:f>IF(AND(COUNT(INDEX('SKU明细'!$H$9:$H$1592,MATCH("[6574,""S02a-BK-40""]",'SKU明细'!$AE$9:$AE$1592,0)))=1,COUNT(INDEX('SKU明细'!$G$9:$G$1592,MATCH("[6574,""S02a-BK-40""]",'SKU明细'!$AE$9:$AE$1592,0)))=1,SUM(INDEX('SKU明细'!$G$9:$G$1592,MATCH("[6574,""S02a-BK-40""]",'SKU明细'!$AE$9:$AE$1592,0)))&gt;0),SUM(INDEX('SKU明细'!$H$9:$H$1592,MATCH("[6574,""S02a-BK-40""]",'SKU明细'!$AE$9:$AE$1592,0)))/SUM(INDEX('SKU明细'!$G$9:$G$1592,MATCH("[6574,""S02a-BK-40""]",'SKU明细'!$AE$9:$AE$1592,0))),"待核")</x:f>
        <x:v>100.53191489361703</x:v>
      </x:c>
      <x:c r="O134" s="21" t="str">
        <x:f>"—"</x:f>
        <x:v>—</x:v>
      </x:c>
      <x:c r="P134" s="21" t="n">
        <x:f>IF(AND(COUNT(INDEX('SKU明细'!$H$9:$H$1592,MATCH("[6574,""S02a-BK-41""]",'SKU明细'!$AE$9:$AE$1592,0)))=1,COUNT(INDEX('SKU明细'!$G$9:$G$1592,MATCH("[6574,""S02a-BK-41""]",'SKU明细'!$AE$9:$AE$1592,0)))=1,SUM(INDEX('SKU明细'!$G$9:$G$1592,MATCH("[6574,""S02a-BK-41""]",'SKU明细'!$AE$9:$AE$1592,0)))&gt;0),SUM(INDEX('SKU明细'!$H$9:$H$1592,MATCH("[6574,""S02a-BK-41""]",'SKU明细'!$AE$9:$AE$1592,0)))/SUM(INDEX('SKU明细'!$G$9:$G$1592,MATCH("[6574,""S02a-BK-41""]",'SKU明细'!$AE$9:$AE$1592,0))),"待核")</x:f>
        <x:v>0</x:v>
      </x:c>
      <x:c r="Q134" s="21" t="str">
        <x:f>"—"</x:f>
        <x:v>—</x:v>
      </x:c>
      <x:c r="R134" s="21" t="n">
        <x:f>IF(AND(COUNT(INDEX('SKU明细'!$H$9:$H$1592,MATCH("[6574,""S02a-BK-42""]",'SKU明细'!$AE$9:$AE$1592,0)))=1,COUNT(INDEX('SKU明细'!$G$9:$G$1592,MATCH("[6574,""S02a-BK-42""]",'SKU明细'!$AE$9:$AE$1592,0)))=1,SUM(INDEX('SKU明细'!$G$9:$G$1592,MATCH("[6574,""S02a-BK-42""]",'SKU明细'!$AE$9:$AE$1592,0)))&gt;0),SUM(INDEX('SKU明细'!$H$9:$H$1592,MATCH("[6574,""S02a-BK-42""]",'SKU明细'!$AE$9:$AE$1592,0)))/SUM(INDEX('SKU明细'!$G$9:$G$1592,MATCH("[6574,""S02a-BK-42""]",'SKU明细'!$AE$9:$AE$1592,0))),"待核")</x:f>
        <x:v>0</x:v>
      </x:c>
      <x:c r="S134" s="21" t="n">
        <x:f>IF(AND(COUNT(INDEX('SKU明细'!$H$9:$H$1592,MATCH("[6574,""S02a-BK-37""]",'SKU明细'!$AE$9:$AE$1592,0)),INDEX('SKU明细'!$H$9:$H$1592,MATCH("[6574,""S02a-BK-38""]",'SKU明细'!$AE$9:$AE$1592,0)),INDEX('SKU明细'!$H$9:$H$1592,MATCH("[6574,""S02a-BK-39""]",'SKU明细'!$AE$9:$AE$1592,0)),INDEX('SKU明细'!$H$9:$H$1592,MATCH("[6574,""S02a-BK-40""]",'SKU明细'!$AE$9:$AE$1592,0)),INDEX('SKU明细'!$H$9:$H$1592,MATCH("[6574,""S02a-BK-41""]",'SKU明细'!$AE$9:$AE$1592,0)),INDEX('SKU明细'!$H$9:$H$1592,MATCH("[6574,""S02a-BK-42""]",'SKU明细'!$AE$9:$AE$1592,0)))=6,COUNT(INDEX('SKU明细'!$G$9:$G$1592,MATCH("[6574,""S02a-BK-37""]",'SKU明细'!$AE$9:$AE$1592,0)),INDEX('SKU明细'!$G$9:$G$1592,MATCH("[6574,""S02a-BK-38""]",'SKU明细'!$AE$9:$AE$1592,0)),INDEX('SKU明细'!$G$9:$G$1592,MATCH("[6574,""S02a-BK-39""]",'SKU明细'!$AE$9:$AE$1592,0)),INDEX('SKU明细'!$G$9:$G$1592,MATCH("[6574,""S02a-BK-40""]",'SKU明细'!$AE$9:$AE$1592,0)),INDEX('SKU明细'!$G$9:$G$1592,MATCH("[6574,""S02a-BK-41""]",'SKU明细'!$AE$9:$AE$1592,0)),INDEX('SKU明细'!$G$9:$G$1592,MATCH("[6574,""S02a-BK-42""]",'SKU明细'!$AE$9:$AE$1592,0)))=6,SUM(INDEX('SKU明细'!$G$9:$G$1592,MATCH("[6574,""S02a-BK-37""]",'SKU明细'!$AE$9:$AE$1592,0)),INDEX('SKU明细'!$G$9:$G$1592,MATCH("[6574,""S02a-BK-38""]",'SKU明细'!$AE$9:$AE$1592,0)),INDEX('SKU明细'!$G$9:$G$1592,MATCH("[6574,""S02a-BK-39""]",'SKU明细'!$AE$9:$AE$1592,0)),INDEX('SKU明细'!$G$9:$G$1592,MATCH("[6574,""S02a-BK-40""]",'SKU明细'!$AE$9:$AE$1592,0)),INDEX('SKU明细'!$G$9:$G$1592,MATCH("[6574,""S02a-BK-41""]",'SKU明细'!$AE$9:$AE$1592,0)),INDEX('SKU明细'!$G$9:$G$1592,MATCH("[6574,""S02a-BK-42""]",'SKU明细'!$AE$9:$AE$1592,0)))&gt;0),SUM(INDEX('SKU明细'!$H$9:$H$1592,MATCH("[6574,""S02a-BK-37""]",'SKU明细'!$AE$9:$AE$1592,0)),INDEX('SKU明细'!$H$9:$H$1592,MATCH("[6574,""S02a-BK-38""]",'SKU明细'!$AE$9:$AE$1592,0)),INDEX('SKU明细'!$H$9:$H$1592,MATCH("[6574,""S02a-BK-39""]",'SKU明细'!$AE$9:$AE$1592,0)),INDEX('SKU明细'!$H$9:$H$1592,MATCH("[6574,""S02a-BK-40""]",'SKU明细'!$AE$9:$AE$1592,0)),INDEX('SKU明细'!$H$9:$H$1592,MATCH("[6574,""S02a-BK-41""]",'SKU明细'!$AE$9:$AE$1592,0)),INDEX('SKU明细'!$H$9:$H$1592,MATCH("[6574,""S02a-BK-42""]",'SKU明细'!$AE$9:$AE$1592,0)))/SUM(INDEX('SKU明细'!$G$9:$G$1592,MATCH("[6574,""S02a-BK-37""]",'SKU明细'!$AE$9:$AE$1592,0)),INDEX('SKU明细'!$G$9:$G$1592,MATCH("[6574,""S02a-BK-38""]",'SKU明细'!$AE$9:$AE$1592,0)),INDEX('SKU明细'!$G$9:$G$1592,MATCH("[6574,""S02a-BK-39""]",'SKU明细'!$AE$9:$AE$1592,0)),INDEX('SKU明细'!$G$9:$G$1592,MATCH("[6574,""S02a-BK-40""]",'SKU明细'!$AE$9:$AE$1592,0)),INDEX('SKU明细'!$G$9:$G$1592,MATCH("[6574,""S02a-BK-41""]",'SKU明细'!$AE$9:$AE$1592,0)),INDEX('SKU明细'!$G$9:$G$1592,MATCH("[6574,""S02a-BK-42""]",'SKU明细'!$AE$9:$AE$1592,0))),"待核")</x:f>
        <x:v>106.7394578313253</x:v>
      </x:c>
      <x:c r="T134" s="21" t="n">
        <x:f>IF(AND(COUNT(INDEX('SKU明细'!$I$9:$I$1592,MATCH("[6574,""S02a-BK-37""]",'SKU明细'!$AE$9:$AE$1592,0)),INDEX('SKU明细'!$I$9:$I$1592,MATCH("[6574,""S02a-BK-38""]",'SKU明细'!$AE$9:$AE$1592,0)),INDEX('SKU明细'!$I$9:$I$1592,MATCH("[6574,""S02a-BK-39""]",'SKU明细'!$AE$9:$AE$1592,0)),INDEX('SKU明细'!$I$9:$I$1592,MATCH("[6574,""S02a-BK-40""]",'SKU明细'!$AE$9:$AE$1592,0)),INDEX('SKU明细'!$I$9:$I$1592,MATCH("[6574,""S02a-BK-41""]",'SKU明细'!$AE$9:$AE$1592,0)),INDEX('SKU明细'!$I$9:$I$1592,MATCH("[6574,""S02a-BK-42""]",'SKU明细'!$AE$9:$AE$1592,0)))=6,COUNT(INDEX('SKU明细'!$AD$9:$AD$1592,MATCH("[6574,""S02a-BK-37""]",'SKU明细'!$AE$9:$AE$1592,0)),INDEX('SKU明细'!$AD$9:$AD$1592,MATCH("[6574,""S02a-BK-38""]",'SKU明细'!$AE$9:$AE$1592,0)),INDEX('SKU明细'!$AD$9:$AD$1592,MATCH("[6574,""S02a-BK-39""]",'SKU明细'!$AE$9:$AE$1592,0)),INDEX('SKU明细'!$AD$9:$AD$1592,MATCH("[6574,""S02a-BK-40""]",'SKU明细'!$AE$9:$AE$1592,0)),INDEX('SKU明细'!$AD$9:$AD$1592,MATCH("[6574,""S02a-BK-41""]",'SKU明细'!$AE$9:$AE$1592,0)),INDEX('SKU明细'!$AD$9:$AD$1592,MATCH("[6574,""S02a-BK-42""]",'SKU明细'!$AE$9:$AE$1592,0)))=6,SUM(INDEX('SKU明细'!$AD$9:$AD$1592,MATCH("[6574,""S02a-BK-37""]",'SKU明细'!$AE$9:$AE$1592,0)),INDEX('SKU明细'!$AD$9:$AD$1592,MATCH("[6574,""S02a-BK-38""]",'SKU明细'!$AE$9:$AE$1592,0)),INDEX('SKU明细'!$AD$9:$AD$1592,MATCH("[6574,""S02a-BK-39""]",'SKU明细'!$AE$9:$AE$1592,0)),INDEX('SKU明细'!$AD$9:$AD$1592,MATCH("[6574,""S02a-BK-40""]",'SKU明细'!$AE$9:$AE$1592,0)),INDEX('SKU明细'!$AD$9:$AD$1592,MATCH("[6574,""S02a-BK-41""]",'SKU明细'!$AE$9:$AE$1592,0)),INDEX('SKU明细'!$AD$9:$AD$1592,MATCH("[6574,""S02a-BK-42""]",'SKU明细'!$AE$9:$AE$1592,0)))&gt;0),SUM(INDEX('SKU明细'!$I$9:$I$1592,MATCH("[6574,""S02a-BK-37""]",'SKU明细'!$AE$9:$AE$1592,0)),INDEX('SKU明细'!$I$9:$I$1592,MATCH("[6574,""S02a-BK-38""]",'SKU明细'!$AE$9:$AE$1592,0)),INDEX('SKU明细'!$I$9:$I$1592,MATCH("[6574,""S02a-BK-39""]",'SKU明细'!$AE$9:$AE$1592,0)),INDEX('SKU明细'!$I$9:$I$1592,MATCH("[6574,""S02a-BK-40""]",'SKU明细'!$AE$9:$AE$1592,0)),INDEX('SKU明细'!$I$9:$I$1592,MATCH("[6574,""S02a-BK-41""]",'SKU明细'!$AE$9:$AE$1592,0)),INDEX('SKU明细'!$I$9:$I$1592,MATCH("[6574,""S02a-BK-42""]",'SKU明细'!$AE$9:$AE$1592,0)))/SUM(INDEX('SKU明细'!$AD$9:$AD$1592,MATCH("[6574,""S02a-BK-37""]",'SKU明细'!$AE$9:$AE$1592,0)),INDEX('SKU明细'!$AD$9:$AD$1592,MATCH("[6574,""S02a-BK-38""]",'SKU明细'!$AE$9:$AE$1592,0)),INDEX('SKU明细'!$AD$9:$AD$1592,MATCH("[6574,""S02a-BK-39""]",'SKU明细'!$AE$9:$AE$1592,0)),INDEX('SKU明细'!$AD$9:$AD$1592,MATCH("[6574,""S02a-BK-40""]",'SKU明细'!$AE$9:$AE$1592,0)),INDEX('SKU明细'!$AD$9:$AD$1592,MATCH("[6574,""S02a-BK-41""]",'SKU明细'!$AE$9:$AE$1592,0)),INDEX('SKU明细'!$AD$9:$AD$1592,MATCH("[6574,""S02a-BK-42""]",'SKU明细'!$AE$9:$AE$1592,0))),"待核")</x:f>
        <x:v>584.4155844155845</x:v>
      </x:c>
      <x:c r="U134" s="21" t="n">
        <x:f>IF(COUNT(S134:T134)=2,S134-T134,"待核")</x:f>
        <x:v>-477.6761265842592</x:v>
      </x:c>
      <x:c r="V134" s="22" t="n">
        <x:f>IF(AND(ISNUMBER(U134),ISNUMBER(T134),T134&lt;&gt;0),U134/T134,"")</x:f>
        <x:v>-0.8173569277108435</x:v>
      </x:c>
      <x:c r="W134" s="23" t="n">
        <x:f>IF(COUNT(INDEX('SKU明细'!$H$9:$H$1592,MATCH("[6574,""S02a-BK-37""]",'SKU明细'!$AE$9:$AE$1592,0)),INDEX('SKU明细'!$H$9:$H$1592,MATCH("[6574,""S02a-BK-38""]",'SKU明细'!$AE$9:$AE$1592,0)),INDEX('SKU明细'!$H$9:$H$1592,MATCH("[6574,""S02a-BK-39""]",'SKU明细'!$AE$9:$AE$1592,0)),INDEX('SKU明细'!$H$9:$H$1592,MATCH("[6574,""S02a-BK-40""]",'SKU明细'!$AE$9:$AE$1592,0)),INDEX('SKU明细'!$H$9:$H$1592,MATCH("[6574,""S02a-BK-41""]",'SKU明细'!$AE$9:$AE$1592,0)),INDEX('SKU明细'!$H$9:$H$1592,MATCH("[6574,""S02a-BK-42""]",'SKU明细'!$AE$9:$AE$1592,0)))=0,"待核",SUM(INDEX('SKU明细'!$H$9:$H$1592,MATCH("[6574,""S02a-BK-37""]",'SKU明细'!$AE$9:$AE$1592,0)),INDEX('SKU明细'!$H$9:$H$1592,MATCH("[6574,""S02a-BK-38""]",'SKU明细'!$AE$9:$AE$1592,0)),INDEX('SKU明细'!$H$9:$H$1592,MATCH("[6574,""S02a-BK-39""]",'SKU明细'!$AE$9:$AE$1592,0)),INDEX('SKU明细'!$H$9:$H$1592,MATCH("[6574,""S02a-BK-40""]",'SKU明细'!$AE$9:$AE$1592,0)),INDEX('SKU明细'!$H$9:$H$1592,MATCH("[6574,""S02a-BK-41""]",'SKU明细'!$AE$9:$AE$1592,0)),INDEX('SKU明细'!$H$9:$H$1592,MATCH("[6574,""S02a-BK-42""]",'SKU明细'!$AE$9:$AE$1592,0))))</x:f>
        <x:v>135</x:v>
      </x:c>
      <x:c r="X134" s="24" t="str">
        <x:f>IF(COUNTIFS('SKU明细'!$AH$9:$AH$1592,"[""S02a"",""S02a-BK"",""BK"",""黑色""]",'SKU明细'!$E$9:$E$1592,"促销")&gt;0,"促销 ","")&amp;IF(COUNTIFS('SKU明细'!$AH$9:$AH$1592,"[""S02a"",""S02a-BK"",""BK"",""黑色""]",'SKU明细'!$E$9:$E$1592,"红线促销")&gt;0,"红线促销 ","")&amp;IF(COUNTIFS('SKU明细'!$AH$9:$AH$1592,"[""S02a"",""S02a-BK"",""BK"",""黑色""]",'SKU明细'!$E$9:$E$1592,"考虑清仓")&gt;0,"考虑清仓 ","")&amp;IF(COUNTIFS('SKU明细'!$AH$9:$AH$1592,"[""S02a"",""S02a-BK"",""BK"",""黑色""]",'SKU明细'!$E$9:$E$1592,"断货")&gt;0,"断货 ","")&amp;IF(COUNTIFS('SKU明细'!$AH$9:$AH$1592,"[""S02a"",""S02a-BK"",""BK"",""黑色""]",'SKU明细'!$E$9:$E$1592,"零日销待复核")&gt;0,"零日销待复核 ","")&amp;IF(COUNTIFS('SKU明细'!$AH$9:$AH$1592,"[""S02a"",""S02a-BK"",""BK"",""黑色""]",'SKU明细'!$E$9:$E$1592,"数据待核")&gt;0,"数据待核 ","")&amp;IF(COUNTIFS('SKU明细'!$AH$9:$AH$1592,"[""S02a"",""S02a-BK"",""BK"",""黑色""]",'SKU明细'!$E$9:$E$1592,"正常库存")&gt;0,"正常库存 ","")&amp;IF(COUNTIFS('SKU明细'!$AH$9:$AH$1592,"[""S02a"",""S02a-BK"",""BK"",""黑色""]",'SKU明细'!$E$9:$E$1592,"补货提醒")&gt;0,"补货提醒 ","")</x:f>
        <x:v>促销 红线促销 断货 </x:v>
      </x:c>
      <x:c r="Y134" s="24" t="str">
        <x:f>IF(NOT(ISNUMBER(U134)),"覆盖待核／无可比基准","完整可比")</x:f>
        <x:v>完整可比</x:v>
      </x:c>
      <x:c r="Z134" s="24" t="str">
        <x:v>在售、停售</x:v>
      </x:c>
      <x:c r="AA134" s="24" t="n">
        <x:f>IF(SUMIFS('SKU明细'!$AF$9:$AF$1592,'SKU明细'!$D$9:$D$1592,A134,'SKU明细'!$Z$9:$Z$1592,"&lt;&gt;移出")=0,"待核",SUMIFS('SKU明细'!$H$9:$H$1592,'SKU明细'!$D$9:$D$1592,A134,'SKU明细'!$Z$9:$Z$1592,"&lt;&gt;移出"))</x:f>
        <x:v>778</x:v>
      </x:c>
    </x:row>
    <x:row r="135" ht="54" customHeight="1">
      <x:c r="A135" s="20" t="str">
        <x:v>S02a</x:v>
      </x:c>
      <x:c r="B135" s="20" t="str">
        <x:v>陈晨</x:v>
      </x:c>
      <x:c r="C135" s="20" t="str">
        <x:v>黑色</x:v>
      </x:c>
      <x:c r="D135" s="20" t="str">
        <x:v>BK1</x:v>
      </x:c>
      <x:c r="E135" s="20" t="str">
        <x:v>S02a-BK1</x:v>
      </x:c>
      <x:c r="F135" s="20"/>
      <x:c r="G135" s="21" t="str">
        <x:f>"—"</x:f>
        <x:v>—</x:v>
      </x:c>
      <x:c r="H135" s="21" t="str">
        <x:f>"—"</x:f>
        <x:v>—</x:v>
      </x:c>
      <x:c r="I135" s="21" t="str">
        <x:f>IF(AND(COUNT(INDEX('SKU明细'!$H$9:$H$1592,MATCH("[6574,""S02a-BK1-37""]",'SKU明细'!$AE$9:$AE$1592,0)))=1,COUNT(INDEX('SKU明细'!$G$9:$G$1592,MATCH("[6574,""S02a-BK1-37""]",'SKU明细'!$AE$9:$AE$1592,0)))=1,SUM(INDEX('SKU明细'!$G$9:$G$1592,MATCH("[6574,""S02a-BK1-37""]",'SKU明细'!$AE$9:$AE$1592,0)))&gt;0),SUM(INDEX('SKU明细'!$H$9:$H$1592,MATCH("[6574,""S02a-BK1-37""]",'SKU明细'!$AE$9:$AE$1592,0)))/SUM(INDEX('SKU明细'!$G$9:$G$1592,MATCH("[6574,""S02a-BK1-37""]",'SKU明细'!$AE$9:$AE$1592,0))),"待核")</x:f>
        <x:v>待核</x:v>
      </x:c>
      <x:c r="J135" s="21" t="str">
        <x:f>"—"</x:f>
        <x:v>—</x:v>
      </x:c>
      <x:c r="K135" s="21" t="n">
        <x:f>IF(AND(COUNT(INDEX('SKU明细'!$H$9:$H$1592,MATCH("[6574,""S02a-BK1-38""]",'SKU明细'!$AE$9:$AE$1592,0)))=1,COUNT(INDEX('SKU明细'!$G$9:$G$1592,MATCH("[6574,""S02a-BK1-38""]",'SKU明细'!$AE$9:$AE$1592,0)))=1,SUM(INDEX('SKU明细'!$G$9:$G$1592,MATCH("[6574,""S02a-BK1-38""]",'SKU明细'!$AE$9:$AE$1592,0)))&gt;0),SUM(INDEX('SKU明细'!$H$9:$H$1592,MATCH("[6574,""S02a-BK1-38""]",'SKU明细'!$AE$9:$AE$1592,0)))/SUM(INDEX('SKU明细'!$G$9:$G$1592,MATCH("[6574,""S02a-BK1-38""]",'SKU明细'!$AE$9:$AE$1592,0))),"待核")</x:f>
        <x:v>65.45454545454545</x:v>
      </x:c>
      <x:c r="L135" s="21" t="str">
        <x:f>"—"</x:f>
        <x:v>—</x:v>
      </x:c>
      <x:c r="M135" s="21" t="str">
        <x:f>"—"</x:f>
        <x:v>—</x:v>
      </x:c>
      <x:c r="N135" s="21" t="str">
        <x:f>"—"</x:f>
        <x:v>—</x:v>
      </x:c>
      <x:c r="O135" s="21" t="str">
        <x:f>"—"</x:f>
        <x:v>—</x:v>
      </x:c>
      <x:c r="P135" s="21" t="str">
        <x:f>"—"</x:f>
        <x:v>—</x:v>
      </x:c>
      <x:c r="Q135" s="21" t="str">
        <x:f>"—"</x:f>
        <x:v>—</x:v>
      </x:c>
      <x:c r="R135" s="21" t="str">
        <x:f>"—"</x:f>
        <x:v>—</x:v>
      </x:c>
      <x:c r="S135" s="21" t="str">
        <x:f>"—"</x:f>
        <x:v>—</x:v>
      </x:c>
      <x:c r="T135" s="21" t="str">
        <x:f>"—"</x:f>
        <x:v>—</x:v>
      </x:c>
      <x:c r="U135" s="21" t="str">
        <x:f>IF(COUNT(S135:T135)=2,S135-T135,"待核")</x:f>
        <x:v>待核</x:v>
      </x:c>
      <x:c r="V135" s="22" t="str">
        <x:f>IF(AND(ISNUMBER(U135),ISNUMBER(T135),T135&lt;&gt;0),U135/T135,"")</x:f>
      </x:c>
      <x:c r="W135" s="23" t="n">
        <x:f>IF(COUNT(INDEX('SKU明细'!$H$9:$H$1592,MATCH("[6574,""S02a-BK1-37""]",'SKU明细'!$AE$9:$AE$1592,0)),INDEX('SKU明细'!$H$9:$H$1592,MATCH("[6574,""S02a-BK1-38""]",'SKU明细'!$AE$9:$AE$1592,0)))=0,"待核",SUM(INDEX('SKU明细'!$H$9:$H$1592,MATCH("[6574,""S02a-BK1-37""]",'SKU明细'!$AE$9:$AE$1592,0)),INDEX('SKU明细'!$H$9:$H$1592,MATCH("[6574,""S02a-BK1-38""]",'SKU明细'!$AE$9:$AE$1592,0))))</x:f>
        <x:v>27</x:v>
      </x:c>
      <x:c r="X135" s="24" t="str">
        <x:f>IF(COUNTIFS('SKU明细'!$AH$9:$AH$1592,"[""S02a"",""S02a-BK1"",""BK1"",""黑色""]",'SKU明细'!$E$9:$E$1592,"促销")&gt;0,"促销 ","")&amp;IF(COUNTIFS('SKU明细'!$AH$9:$AH$1592,"[""S02a"",""S02a-BK1"",""BK1"",""黑色""]",'SKU明细'!$E$9:$E$1592,"红线促销")&gt;0,"红线促销 ","")&amp;IF(COUNTIFS('SKU明细'!$AH$9:$AH$1592,"[""S02a"",""S02a-BK1"",""BK1"",""黑色""]",'SKU明细'!$E$9:$E$1592,"考虑清仓")&gt;0,"考虑清仓 ","")&amp;IF(COUNTIFS('SKU明细'!$AH$9:$AH$1592,"[""S02a"",""S02a-BK1"",""BK1"",""黑色""]",'SKU明细'!$E$9:$E$1592,"断货")&gt;0,"断货 ","")&amp;IF(COUNTIFS('SKU明细'!$AH$9:$AH$1592,"[""S02a"",""S02a-BK1"",""BK1"",""黑色""]",'SKU明细'!$E$9:$E$1592,"零日销待复核")&gt;0,"零日销待复核 ","")&amp;IF(COUNTIFS('SKU明细'!$AH$9:$AH$1592,"[""S02a"",""S02a-BK1"",""BK1"",""黑色""]",'SKU明细'!$E$9:$E$1592,"数据待核")&gt;0,"数据待核 ","")&amp;IF(COUNTIFS('SKU明细'!$AH$9:$AH$1592,"[""S02a"",""S02a-BK1"",""BK1"",""黑色""]",'SKU明细'!$E$9:$E$1592,"正常库存")&gt;0,"正常库存 ","")&amp;IF(COUNTIFS('SKU明细'!$AH$9:$AH$1592,"[""S02a"",""S02a-BK1"",""BK1"",""黑色""]",'SKU明细'!$E$9:$E$1592,"补货提醒")&gt;0,"补货提醒 ","")</x:f>
        <x:v>零日销待复核 正常库存 </x:v>
      </x:c>
      <x:c r="Y135" s="24" t="str">
        <x:f>IF(NOT(ISNUMBER(U135)),"覆盖待核／无可比基准","仅共同SKU")</x:f>
        <x:v>覆盖待核／无可比基准</x:v>
      </x:c>
      <x:c r="Z135" s="24" t="str">
        <x:v>在售</x:v>
      </x:c>
      <x:c r="AA135" s="24" t="n">
        <x:f>IF(SUMIFS('SKU明细'!$AF$9:$AF$1592,'SKU明细'!$D$9:$D$1592,A135,'SKU明细'!$Z$9:$Z$1592,"&lt;&gt;移出")=0,"待核",SUMIFS('SKU明细'!$H$9:$H$1592,'SKU明细'!$D$9:$D$1592,A135,'SKU明细'!$Z$9:$Z$1592,"&lt;&gt;移出"))</x:f>
        <x:v>778</x:v>
      </x:c>
    </x:row>
    <x:row r="136" ht="54" customHeight="1">
      <x:c r="A136" s="20" t="str">
        <x:v>S02a</x:v>
      </x:c>
      <x:c r="B136" s="20" t="str">
        <x:v>陈晨</x:v>
      </x:c>
      <x:c r="C136" s="20" t="str">
        <x:v>黑色PU</x:v>
      </x:c>
      <x:c r="D136" s="20" t="str">
        <x:v>BKP</x:v>
      </x:c>
      <x:c r="E136" s="20" t="str">
        <x:v>S02a-BKP</x:v>
      </x:c>
      <x:c r="F136" s="20"/>
      <x:c r="G136" s="21" t="str">
        <x:f>"—"</x:f>
        <x:v>—</x:v>
      </x:c>
      <x:c r="H136" s="21" t="str">
        <x:f>IF(AND(COUNT(INDEX('SKU明细'!$H$9:$H$1592,MATCH("[6574,""S02a-BKP-37""]",'SKU明细'!$AE$9:$AE$1592,0)))=1,COUNT(INDEX('SKU明细'!$G$9:$G$1592,MATCH("[6574,""S02a-BKP-37""]",'SKU明细'!$AE$9:$AE$1592,0)))=1,SUM(INDEX('SKU明细'!$G$9:$G$1592,MATCH("[6574,""S02a-BKP-37""]",'SKU明细'!$AE$9:$AE$1592,0)))&gt;0),SUM(INDEX('SKU明细'!$H$9:$H$1592,MATCH("[6574,""S02a-BKP-37""]",'SKU明细'!$AE$9:$AE$1592,0)))/SUM(INDEX('SKU明细'!$G$9:$G$1592,MATCH("[6574,""S02a-BKP-37""]",'SKU明细'!$AE$9:$AE$1592,0))),"待核")</x:f>
        <x:v>待核</x:v>
      </x:c>
      <x:c r="I136" s="21" t="str">
        <x:f>"—"</x:f>
        <x:v>—</x:v>
      </x:c>
      <x:c r="J136" s="21" t="str">
        <x:f>"—"</x:f>
        <x:v>—</x:v>
      </x:c>
      <x:c r="K136" s="21" t="str">
        <x:f>"—"</x:f>
        <x:v>—</x:v>
      </x:c>
      <x:c r="L136" s="21" t="n">
        <x:f>IF(AND(COUNT(INDEX('SKU明细'!$H$9:$H$1592,MATCH("[6574,""S02a-BKP-39""]",'SKU明细'!$AE$9:$AE$1592,0)))=1,COUNT(INDEX('SKU明细'!$G$9:$G$1592,MATCH("[6574,""S02a-BKP-39""]",'SKU明细'!$AE$9:$AE$1592,0)))=1,SUM(INDEX('SKU明细'!$G$9:$G$1592,MATCH("[6574,""S02a-BKP-39""]",'SKU明细'!$AE$9:$AE$1592,0)))&gt;0),SUM(INDEX('SKU明细'!$H$9:$H$1592,MATCH("[6574,""S02a-BKP-39""]",'SKU明细'!$AE$9:$AE$1592,0)))/SUM(INDEX('SKU明细'!$G$9:$G$1592,MATCH("[6574,""S02a-BKP-39""]",'SKU明细'!$AE$9:$AE$1592,0))),"待核")</x:f>
        <x:v>712.1739130434783</x:v>
      </x:c>
      <x:c r="M136" s="21" t="str">
        <x:f>"—"</x:f>
        <x:v>—</x:v>
      </x:c>
      <x:c r="N136" s="21" t="n">
        <x:f>IF(AND(COUNT(INDEX('SKU明细'!$H$9:$H$1592,MATCH("[6574,""S02a-BKP-40""]",'SKU明细'!$AE$9:$AE$1592,0)))=1,COUNT(INDEX('SKU明细'!$G$9:$G$1592,MATCH("[6574,""S02a-BKP-40""]",'SKU明细'!$AE$9:$AE$1592,0)))=1,SUM(INDEX('SKU明细'!$G$9:$G$1592,MATCH("[6574,""S02a-BKP-40""]",'SKU明细'!$AE$9:$AE$1592,0)))&gt;0),SUM(INDEX('SKU明细'!$H$9:$H$1592,MATCH("[6574,""S02a-BKP-40""]",'SKU明细'!$AE$9:$AE$1592,0)))/SUM(INDEX('SKU明细'!$G$9:$G$1592,MATCH("[6574,""S02a-BKP-40""]",'SKU明细'!$AE$9:$AE$1592,0))),"待核")</x:f>
        <x:v>85.38754764930115</x:v>
      </x:c>
      <x:c r="O136" s="21" t="str">
        <x:f>"—"</x:f>
        <x:v>—</x:v>
      </x:c>
      <x:c r="P136" s="21" t="str">
        <x:f>IF(AND(COUNT(INDEX('SKU明细'!$H$9:$H$1592,MATCH("[6574,""S02a-BKP-41""]",'SKU明细'!$AE$9:$AE$1592,0)))=1,COUNT(INDEX('SKU明细'!$G$9:$G$1592,MATCH("[6574,""S02a-BKP-41""]",'SKU明细'!$AE$9:$AE$1592,0)))=1,SUM(INDEX('SKU明细'!$G$9:$G$1592,MATCH("[6574,""S02a-BKP-41""]",'SKU明细'!$AE$9:$AE$1592,0)))&gt;0),SUM(INDEX('SKU明细'!$H$9:$H$1592,MATCH("[6574,""S02a-BKP-41""]",'SKU明细'!$AE$9:$AE$1592,0)))/SUM(INDEX('SKU明细'!$G$9:$G$1592,MATCH("[6574,""S02a-BKP-41""]",'SKU明细'!$AE$9:$AE$1592,0))),"待核")</x:f>
        <x:v>待核</x:v>
      </x:c>
      <x:c r="Q136" s="21" t="str">
        <x:f>"—"</x:f>
        <x:v>—</x:v>
      </x:c>
      <x:c r="R136" s="21" t="n">
        <x:f>IF(AND(COUNT(INDEX('SKU明细'!$H$9:$H$1592,MATCH("[6574,""S02a-BKP-42""]",'SKU明细'!$AE$9:$AE$1592,0)))=1,COUNT(INDEX('SKU明细'!$G$9:$G$1592,MATCH("[6574,""S02a-BKP-42""]",'SKU明细'!$AE$9:$AE$1592,0)))=1,SUM(INDEX('SKU明细'!$G$9:$G$1592,MATCH("[6574,""S02a-BKP-42""]",'SKU明细'!$AE$9:$AE$1592,0)))&gt;0),SUM(INDEX('SKU明细'!$H$9:$H$1592,MATCH("[6574,""S02a-BKP-42""]",'SKU明细'!$AE$9:$AE$1592,0)))/SUM(INDEX('SKU明细'!$G$9:$G$1592,MATCH("[6574,""S02a-BKP-42""]",'SKU明细'!$AE$9:$AE$1592,0))),"待核")</x:f>
        <x:v>33.77010125074449</x:v>
      </x:c>
      <x:c r="S136" s="21" t="n">
        <x:f>IF(AND(COUNT(INDEX('SKU明细'!$H$9:$H$1592,MATCH("[6574,""S02a-BKP-39""]",'SKU明细'!$AE$9:$AE$1592,0)),INDEX('SKU明细'!$H$9:$H$1592,MATCH("[6574,""S02a-BKP-37""]",'SKU明细'!$AE$9:$AE$1592,0)),INDEX('SKU明细'!$H$9:$H$1592,MATCH("[6574,""S02a-BKP-41""]",'SKU明细'!$AE$9:$AE$1592,0)),INDEX('SKU明细'!$H$9:$H$1592,MATCH("[6574,""S02a-BKP-40""]",'SKU明细'!$AE$9:$AE$1592,0)),INDEX('SKU明细'!$H$9:$H$1592,MATCH("[6574,""S02a-BKP-42""]",'SKU明细'!$AE$9:$AE$1592,0)))=5,COUNT(INDEX('SKU明细'!$G$9:$G$1592,MATCH("[6574,""S02a-BKP-39""]",'SKU明细'!$AE$9:$AE$1592,0)),INDEX('SKU明细'!$G$9:$G$1592,MATCH("[6574,""S02a-BKP-37""]",'SKU明细'!$AE$9:$AE$1592,0)),INDEX('SKU明细'!$G$9:$G$1592,MATCH("[6574,""S02a-BKP-41""]",'SKU明细'!$AE$9:$AE$1592,0)),INDEX('SKU明细'!$G$9:$G$1592,MATCH("[6574,""S02a-BKP-40""]",'SKU明细'!$AE$9:$AE$1592,0)),INDEX('SKU明细'!$G$9:$G$1592,MATCH("[6574,""S02a-BKP-42""]",'SKU明细'!$AE$9:$AE$1592,0)))=5,SUM(INDEX('SKU明细'!$G$9:$G$1592,MATCH("[6574,""S02a-BKP-39""]",'SKU明细'!$AE$9:$AE$1592,0)),INDEX('SKU明细'!$G$9:$G$1592,MATCH("[6574,""S02a-BKP-37""]",'SKU明细'!$AE$9:$AE$1592,0)),INDEX('SKU明细'!$G$9:$G$1592,MATCH("[6574,""S02a-BKP-41""]",'SKU明细'!$AE$9:$AE$1592,0)),INDEX('SKU明细'!$G$9:$G$1592,MATCH("[6574,""S02a-BKP-40""]",'SKU明细'!$AE$9:$AE$1592,0)),INDEX('SKU明细'!$G$9:$G$1592,MATCH("[6574,""S02a-BKP-42""]",'SKU明细'!$AE$9:$AE$1592,0)))&gt;0),SUM(INDEX('SKU明细'!$H$9:$H$1592,MATCH("[6574,""S02a-BKP-39""]",'SKU明细'!$AE$9:$AE$1592,0)),INDEX('SKU明细'!$H$9:$H$1592,MATCH("[6574,""S02a-BKP-37""]",'SKU明细'!$AE$9:$AE$1592,0)),INDEX('SKU明细'!$H$9:$H$1592,MATCH("[6574,""S02a-BKP-41""]",'SKU明细'!$AE$9:$AE$1592,0)),INDEX('SKU明细'!$H$9:$H$1592,MATCH("[6574,""S02a-BKP-40""]",'SKU明细'!$AE$9:$AE$1592,0)),INDEX('SKU明细'!$H$9:$H$1592,MATCH("[6574,""S02a-BKP-42""]",'SKU明细'!$AE$9:$AE$1592,0)))/SUM(INDEX('SKU明细'!$G$9:$G$1592,MATCH("[6574,""S02a-BKP-39""]",'SKU明细'!$AE$9:$AE$1592,0)),INDEX('SKU明细'!$G$9:$G$1592,MATCH("[6574,""S02a-BKP-37""]",'SKU明细'!$AE$9:$AE$1592,0)),INDEX('SKU明细'!$G$9:$G$1592,MATCH("[6574,""S02a-BKP-41""]",'SKU明细'!$AE$9:$AE$1592,0)),INDEX('SKU明细'!$G$9:$G$1592,MATCH("[6574,""S02a-BKP-40""]",'SKU明细'!$AE$9:$AE$1592,0)),INDEX('SKU明细'!$G$9:$G$1592,MATCH("[6574,""S02a-BKP-42""]",'SKU明细'!$AE$9:$AE$1592,0))),"待核")</x:f>
        <x:v>112.28206121658273</x:v>
      </x:c>
      <x:c r="T136" s="21" t="str">
        <x:f>IF(AND(COUNT(INDEX('SKU明细'!$I$9:$I$1592,MATCH("[6574,""S02a-BKP-39""]",'SKU明细'!$AE$9:$AE$1592,0)),INDEX('SKU明细'!$I$9:$I$1592,MATCH("[6574,""S02a-BKP-37""]",'SKU明细'!$AE$9:$AE$1592,0)),INDEX('SKU明细'!$I$9:$I$1592,MATCH("[6574,""S02a-BKP-41""]",'SKU明细'!$AE$9:$AE$1592,0)),INDEX('SKU明细'!$I$9:$I$1592,MATCH("[6574,""S02a-BKP-40""]",'SKU明细'!$AE$9:$AE$1592,0)),INDEX('SKU明细'!$I$9:$I$1592,MATCH("[6574,""S02a-BKP-42""]",'SKU明细'!$AE$9:$AE$1592,0)))=5,COUNT(INDEX('SKU明细'!$AD$9:$AD$1592,MATCH("[6574,""S02a-BKP-39""]",'SKU明细'!$AE$9:$AE$1592,0)),INDEX('SKU明细'!$AD$9:$AD$1592,MATCH("[6574,""S02a-BKP-37""]",'SKU明细'!$AE$9:$AE$1592,0)),INDEX('SKU明细'!$AD$9:$AD$1592,MATCH("[6574,""S02a-BKP-41""]",'SKU明细'!$AE$9:$AE$1592,0)),INDEX('SKU明细'!$AD$9:$AD$1592,MATCH("[6574,""S02a-BKP-40""]",'SKU明细'!$AE$9:$AE$1592,0)),INDEX('SKU明细'!$AD$9:$AD$1592,MATCH("[6574,""S02a-BKP-42""]",'SKU明细'!$AE$9:$AE$1592,0)))=5,SUM(INDEX('SKU明细'!$AD$9:$AD$1592,MATCH("[6574,""S02a-BKP-39""]",'SKU明细'!$AE$9:$AE$1592,0)),INDEX('SKU明细'!$AD$9:$AD$1592,MATCH("[6574,""S02a-BKP-37""]",'SKU明细'!$AE$9:$AE$1592,0)),INDEX('SKU明细'!$AD$9:$AD$1592,MATCH("[6574,""S02a-BKP-41""]",'SKU明细'!$AE$9:$AE$1592,0)),INDEX('SKU明细'!$AD$9:$AD$1592,MATCH("[6574,""S02a-BKP-40""]",'SKU明细'!$AE$9:$AE$1592,0)),INDEX('SKU明细'!$AD$9:$AD$1592,MATCH("[6574,""S02a-BKP-42""]",'SKU明细'!$AE$9:$AE$1592,0)))&gt;0),SUM(INDEX('SKU明细'!$I$9:$I$1592,MATCH("[6574,""S02a-BKP-39""]",'SKU明细'!$AE$9:$AE$1592,0)),INDEX('SKU明细'!$I$9:$I$1592,MATCH("[6574,""S02a-BKP-37""]",'SKU明细'!$AE$9:$AE$1592,0)),INDEX('SKU明细'!$I$9:$I$1592,MATCH("[6574,""S02a-BKP-41""]",'SKU明细'!$AE$9:$AE$1592,0)),INDEX('SKU明细'!$I$9:$I$1592,MATCH("[6574,""S02a-BKP-40""]",'SKU明细'!$AE$9:$AE$1592,0)),INDEX('SKU明细'!$I$9:$I$1592,MATCH("[6574,""S02a-BKP-42""]",'SKU明细'!$AE$9:$AE$1592,0)))/SUM(INDEX('SKU明细'!$AD$9:$AD$1592,MATCH("[6574,""S02a-BKP-39""]",'SKU明细'!$AE$9:$AE$1592,0)),INDEX('SKU明细'!$AD$9:$AD$1592,MATCH("[6574,""S02a-BKP-37""]",'SKU明细'!$AE$9:$AE$1592,0)),INDEX('SKU明细'!$AD$9:$AD$1592,MATCH("[6574,""S02a-BKP-41""]",'SKU明细'!$AE$9:$AE$1592,0)),INDEX('SKU明细'!$AD$9:$AD$1592,MATCH("[6574,""S02a-BKP-40""]",'SKU明细'!$AE$9:$AE$1592,0)),INDEX('SKU明细'!$AD$9:$AD$1592,MATCH("[6574,""S02a-BKP-42""]",'SKU明细'!$AE$9:$AE$1592,0))),"待核")</x:f>
        <x:v>待核</x:v>
      </x:c>
      <x:c r="U136" s="21" t="str">
        <x:f>IF(COUNT(S136:T136)=2,S136-T136,"待核")</x:f>
        <x:v>待核</x:v>
      </x:c>
      <x:c r="V136" s="22" t="str">
        <x:f>IF(AND(ISNUMBER(U136),ISNUMBER(T136),T136&lt;&gt;0),U136/T136,"")</x:f>
      </x:c>
      <x:c r="W136" s="23" t="n">
        <x:f>IF(COUNT(INDEX('SKU明细'!$H$9:$H$1592,MATCH("[6574,""S02a-BKP-39""]",'SKU明细'!$AE$9:$AE$1592,0)),INDEX('SKU明细'!$H$9:$H$1592,MATCH("[6574,""S02a-BKP-37""]",'SKU明细'!$AE$9:$AE$1592,0)),INDEX('SKU明细'!$H$9:$H$1592,MATCH("[6574,""S02a-BKP-41""]",'SKU明细'!$AE$9:$AE$1592,0)),INDEX('SKU明细'!$H$9:$H$1592,MATCH("[6574,""S02a-BKP-40""]",'SKU明细'!$AE$9:$AE$1592,0)),INDEX('SKU明细'!$H$9:$H$1592,MATCH("[6574,""S02a-BKP-42""]",'SKU明细'!$AE$9:$AE$1592,0)))=0,"待核",SUM(INDEX('SKU明细'!$H$9:$H$1592,MATCH("[6574,""S02a-BKP-39""]",'SKU明细'!$AE$9:$AE$1592,0)),INDEX('SKU明细'!$H$9:$H$1592,MATCH("[6574,""S02a-BKP-37""]",'SKU明细'!$AE$9:$AE$1592,0)),INDEX('SKU明细'!$H$9:$H$1592,MATCH("[6574,""S02a-BKP-41""]",'SKU明细'!$AE$9:$AE$1592,0)),INDEX('SKU明细'!$H$9:$H$1592,MATCH("[6574,""S02a-BKP-40""]",'SKU明细'!$AE$9:$AE$1592,0)),INDEX('SKU明细'!$H$9:$H$1592,MATCH("[6574,""S02a-BKP-42""]",'SKU明细'!$AE$9:$AE$1592,0))))</x:f>
        <x:v>138</x:v>
      </x:c>
      <x:c r="X136" s="24" t="str">
        <x:f>IF(COUNTIFS('SKU明细'!$AH$9:$AH$1592,"[""S02a"",""S02a-BKP"",""BKP"",""黑色PU""]",'SKU明细'!$E$9:$E$1592,"促销")&gt;0,"促销 ","")&amp;IF(COUNTIFS('SKU明细'!$AH$9:$AH$1592,"[""S02a"",""S02a-BKP"",""BKP"",""黑色PU""]",'SKU明细'!$E$9:$E$1592,"红线促销")&gt;0,"红线促销 ","")&amp;IF(COUNTIFS('SKU明细'!$AH$9:$AH$1592,"[""S02a"",""S02a-BKP"",""BKP"",""黑色PU""]",'SKU明细'!$E$9:$E$1592,"考虑清仓")&gt;0,"考虑清仓 ","")&amp;IF(COUNTIFS('SKU明细'!$AH$9:$AH$1592,"[""S02a"",""S02a-BKP"",""BKP"",""黑色PU""]",'SKU明细'!$E$9:$E$1592,"断货")&gt;0,"断货 ","")&amp;IF(COUNTIFS('SKU明细'!$AH$9:$AH$1592,"[""S02a"",""S02a-BKP"",""BKP"",""黑色PU""]",'SKU明细'!$E$9:$E$1592,"零日销待复核")&gt;0,"零日销待复核 ","")&amp;IF(COUNTIFS('SKU明细'!$AH$9:$AH$1592,"[""S02a"",""S02a-BKP"",""BKP"",""黑色PU""]",'SKU明细'!$E$9:$E$1592,"数据待核")&gt;0,"数据待核 ","")&amp;IF(COUNTIFS('SKU明细'!$AH$9:$AH$1592,"[""S02a"",""S02a-BKP"",""BKP"",""黑色PU""]",'SKU明细'!$E$9:$E$1592,"正常库存")&gt;0,"正常库存 ","")&amp;IF(COUNTIFS('SKU明细'!$AH$9:$AH$1592,"[""S02a"",""S02a-BKP"",""BKP"",""黑色PU""]",'SKU明细'!$E$9:$E$1592,"补货提醒")&gt;0,"补货提醒 ","")</x:f>
        <x:v>考虑清仓 零日销待复核 正常库存 补货提醒 </x:v>
      </x:c>
      <x:c r="Y136" s="24" t="str">
        <x:f>IF(NOT(ISNUMBER(U136)),"覆盖待核／无可比基准","完整可比")</x:f>
        <x:v>覆盖待核／无可比基准</x:v>
      </x:c>
      <x:c r="Z136" s="24" t="str">
        <x:v>在售</x:v>
      </x:c>
      <x:c r="AA136" s="24" t="n">
        <x:f>IF(SUMIFS('SKU明细'!$AF$9:$AF$1592,'SKU明细'!$D$9:$D$1592,A136,'SKU明细'!$Z$9:$Z$1592,"&lt;&gt;移出")=0,"待核",SUMIFS('SKU明细'!$H$9:$H$1592,'SKU明细'!$D$9:$D$1592,A136,'SKU明细'!$Z$9:$Z$1592,"&lt;&gt;移出"))</x:f>
        <x:v>778</x:v>
      </x:c>
    </x:row>
    <x:row r="137" ht="54" customHeight="1">
      <x:c r="A137" s="20" t="str">
        <x:v>S02a</x:v>
      </x:c>
      <x:c r="B137" s="20" t="str">
        <x:v>陈晨</x:v>
      </x:c>
      <x:c r="C137" s="20" t="str">
        <x:v>黑色PU</x:v>
      </x:c>
      <x:c r="D137" s="20" t="str">
        <x:v>BKP1</x:v>
      </x:c>
      <x:c r="E137" s="20" t="str">
        <x:v>S02a-BKP1</x:v>
      </x:c>
      <x:c r="F137" s="20"/>
      <x:c r="G137" s="21" t="str">
        <x:f>"—"</x:f>
        <x:v>—</x:v>
      </x:c>
      <x:c r="H137" s="21" t="str">
        <x:f>"—"</x:f>
        <x:v>—</x:v>
      </x:c>
      <x:c r="I137" s="21" t="str">
        <x:f>IF(AND(COUNT(INDEX('SKU明细'!$H$9:$H$1592,MATCH("[6574,""S02a-BKP1-37""]",'SKU明细'!$AE$9:$AE$1592,0)))=1,COUNT(INDEX('SKU明细'!$G$9:$G$1592,MATCH("[6574,""S02a-BKP1-37""]",'SKU明细'!$AE$9:$AE$1592,0)))=1,SUM(INDEX('SKU明细'!$G$9:$G$1592,MATCH("[6574,""S02a-BKP1-37""]",'SKU明细'!$AE$9:$AE$1592,0)))&gt;0),SUM(INDEX('SKU明细'!$H$9:$H$1592,MATCH("[6574,""S02a-BKP1-37""]",'SKU明细'!$AE$9:$AE$1592,0)))/SUM(INDEX('SKU明细'!$G$9:$G$1592,MATCH("[6574,""S02a-BKP1-37""]",'SKU明细'!$AE$9:$AE$1592,0))),"待核")</x:f>
        <x:v>待核</x:v>
      </x:c>
      <x:c r="J137" s="21" t="str">
        <x:f>"—"</x:f>
        <x:v>—</x:v>
      </x:c>
      <x:c r="K137" s="21" t="str">
        <x:f>IF(AND(COUNT(INDEX('SKU明细'!$H$9:$H$1592,MATCH("[6574,""S02a-BKP1-38""]",'SKU明细'!$AE$9:$AE$1592,0)))=1,COUNT(INDEX('SKU明细'!$G$9:$G$1592,MATCH("[6574,""S02a-BKP1-38""]",'SKU明细'!$AE$9:$AE$1592,0)))=1,SUM(INDEX('SKU明细'!$G$9:$G$1592,MATCH("[6574,""S02a-BKP1-38""]",'SKU明细'!$AE$9:$AE$1592,0)))&gt;0),SUM(INDEX('SKU明细'!$H$9:$H$1592,MATCH("[6574,""S02a-BKP1-38""]",'SKU明细'!$AE$9:$AE$1592,0)))/SUM(INDEX('SKU明细'!$G$9:$G$1592,MATCH("[6574,""S02a-BKP1-38""]",'SKU明细'!$AE$9:$AE$1592,0))),"待核")</x:f>
        <x:v>待核</x:v>
      </x:c>
      <x:c r="L137" s="21" t="str">
        <x:f>"—"</x:f>
        <x:v>—</x:v>
      </x:c>
      <x:c r="M137" s="21" t="str">
        <x:f>"—"</x:f>
        <x:v>—</x:v>
      </x:c>
      <x:c r="N137" s="21" t="str">
        <x:f>"—"</x:f>
        <x:v>—</x:v>
      </x:c>
      <x:c r="O137" s="21" t="str">
        <x:f>"—"</x:f>
        <x:v>—</x:v>
      </x:c>
      <x:c r="P137" s="21" t="str">
        <x:f>"—"</x:f>
        <x:v>—</x:v>
      </x:c>
      <x:c r="Q137" s="21" t="str">
        <x:f>"—"</x:f>
        <x:v>—</x:v>
      </x:c>
      <x:c r="R137" s="21" t="str">
        <x:f>"—"</x:f>
        <x:v>—</x:v>
      </x:c>
      <x:c r="S137" s="21" t="str">
        <x:f>"—"</x:f>
        <x:v>—</x:v>
      </x:c>
      <x:c r="T137" s="21" t="str">
        <x:f>"—"</x:f>
        <x:v>—</x:v>
      </x:c>
      <x:c r="U137" s="21" t="str">
        <x:f>IF(COUNT(S137:T137)=2,S137-T137,"待核")</x:f>
        <x:v>待核</x:v>
      </x:c>
      <x:c r="V137" s="22" t="str">
        <x:f>IF(AND(ISNUMBER(U137),ISNUMBER(T137),T137&lt;&gt;0),U137/T137,"")</x:f>
      </x:c>
      <x:c r="W137" s="23" t="n">
        <x:f>IF(COUNT(INDEX('SKU明细'!$H$9:$H$1592,MATCH("[6574,""S02a-BKP1-37""]",'SKU明细'!$AE$9:$AE$1592,0)),INDEX('SKU明细'!$H$9:$H$1592,MATCH("[6574,""S02a-BKP1-38""]",'SKU明细'!$AE$9:$AE$1592,0)))=0,"待核",SUM(INDEX('SKU明细'!$H$9:$H$1592,MATCH("[6574,""S02a-BKP1-37""]",'SKU明细'!$AE$9:$AE$1592,0)),INDEX('SKU明细'!$H$9:$H$1592,MATCH("[6574,""S02a-BKP1-38""]",'SKU明细'!$AE$9:$AE$1592,0))))</x:f>
        <x:v>13</x:v>
      </x:c>
      <x:c r="X137" s="24" t="str">
        <x:f>IF(COUNTIFS('SKU明细'!$AH$9:$AH$1592,"[""S02a"",""S02a-BKP1"",""BKP1"",""黑色PU""]",'SKU明细'!$E$9:$E$1592,"促销")&gt;0,"促销 ","")&amp;IF(COUNTIFS('SKU明细'!$AH$9:$AH$1592,"[""S02a"",""S02a-BKP1"",""BKP1"",""黑色PU""]",'SKU明细'!$E$9:$E$1592,"红线促销")&gt;0,"红线促销 ","")&amp;IF(COUNTIFS('SKU明细'!$AH$9:$AH$1592,"[""S02a"",""S02a-BKP1"",""BKP1"",""黑色PU""]",'SKU明细'!$E$9:$E$1592,"考虑清仓")&gt;0,"考虑清仓 ","")&amp;IF(COUNTIFS('SKU明细'!$AH$9:$AH$1592,"[""S02a"",""S02a-BKP1"",""BKP1"",""黑色PU""]",'SKU明细'!$E$9:$E$1592,"断货")&gt;0,"断货 ","")&amp;IF(COUNTIFS('SKU明细'!$AH$9:$AH$1592,"[""S02a"",""S02a-BKP1"",""BKP1"",""黑色PU""]",'SKU明细'!$E$9:$E$1592,"零日销待复核")&gt;0,"零日销待复核 ","")&amp;IF(COUNTIFS('SKU明细'!$AH$9:$AH$1592,"[""S02a"",""S02a-BKP1"",""BKP1"",""黑色PU""]",'SKU明细'!$E$9:$E$1592,"数据待核")&gt;0,"数据待核 ","")&amp;IF(COUNTIFS('SKU明细'!$AH$9:$AH$1592,"[""S02a"",""S02a-BKP1"",""BKP1"",""黑色PU""]",'SKU明细'!$E$9:$E$1592,"正常库存")&gt;0,"正常库存 ","")&amp;IF(COUNTIFS('SKU明细'!$AH$9:$AH$1592,"[""S02a"",""S02a-BKP1"",""BKP1"",""黑色PU""]",'SKU明细'!$E$9:$E$1592,"补货提醒")&gt;0,"补货提醒 ","")</x:f>
        <x:v>零日销待复核 </x:v>
      </x:c>
      <x:c r="Y137" s="24" t="str">
        <x:f>IF(NOT(ISNUMBER(U137)),"覆盖待核／无可比基准","仅共同SKU")</x:f>
        <x:v>覆盖待核／无可比基准</x:v>
      </x:c>
      <x:c r="Z137" s="24" t="str">
        <x:v>在售</x:v>
      </x:c>
      <x:c r="AA137" s="24" t="n">
        <x:f>IF(SUMIFS('SKU明细'!$AF$9:$AF$1592,'SKU明细'!$D$9:$D$1592,A137,'SKU明细'!$Z$9:$Z$1592,"&lt;&gt;移出")=0,"待核",SUMIFS('SKU明细'!$H$9:$H$1592,'SKU明细'!$D$9:$D$1592,A137,'SKU明细'!$Z$9:$Z$1592,"&lt;&gt;移出"))</x:f>
        <x:v>778</x:v>
      </x:c>
    </x:row>
    <x:row r="138" ht="54" customHeight="1">
      <x:c r="A138" s="20" t="str">
        <x:v>S02a</x:v>
      </x:c>
      <x:c r="B138" s="20" t="str">
        <x:v>陈晨</x:v>
      </x:c>
      <x:c r="C138" s="20" t="str">
        <x:v>裸色</x:v>
      </x:c>
      <x:c r="D138" s="20" t="str">
        <x:v>ND</x:v>
      </x:c>
      <x:c r="E138" s="20" t="str">
        <x:v>S02a-ND</x:v>
      </x:c>
      <x:c r="F138" s="20"/>
      <x:c r="G138" s="21" t="str">
        <x:f>"—"</x:f>
        <x:v>—</x:v>
      </x:c>
      <x:c r="H138" s="21" t="str">
        <x:f>"—"</x:f>
        <x:v>—</x:v>
      </x:c>
      <x:c r="I138" s="21" t="str">
        <x:f>"—"</x:f>
        <x:v>—</x:v>
      </x:c>
      <x:c r="J138" s="21" t="str">
        <x:f>"—"</x:f>
        <x:v>—</x:v>
      </x:c>
      <x:c r="K138" s="21" t="str">
        <x:f>"—"</x:f>
        <x:v>—</x:v>
      </x:c>
      <x:c r="L138" s="21" t="n">
        <x:f>IF(AND(COUNT(INDEX('SKU明细'!$H$9:$H$1592,MATCH("[6574,""S02a-ND-39""]",'SKU明细'!$AE$9:$AE$1592,0)))=1,COUNT(INDEX('SKU明细'!$G$9:$G$1592,MATCH("[6574,""S02a-ND-39""]",'SKU明细'!$AE$9:$AE$1592,0)))=1,SUM(INDEX('SKU明细'!$G$9:$G$1592,MATCH("[6574,""S02a-ND-39""]",'SKU明细'!$AE$9:$AE$1592,0)))&gt;0),SUM(INDEX('SKU明细'!$H$9:$H$1592,MATCH("[6574,""S02a-ND-39""]",'SKU明细'!$AE$9:$AE$1592,0)))/SUM(INDEX('SKU明细'!$G$9:$G$1592,MATCH("[6574,""S02a-ND-39""]",'SKU明细'!$AE$9:$AE$1592,0))),"待核")</x:f>
        <x:v>162.54681647940077</x:v>
      </x:c>
      <x:c r="M138" s="21" t="str">
        <x:f>"—"</x:f>
        <x:v>—</x:v>
      </x:c>
      <x:c r="N138" s="21" t="n">
        <x:f>IF(AND(COUNT(INDEX('SKU明细'!$H$9:$H$1592,MATCH("[6574,""S02a-ND-40""]",'SKU明细'!$AE$9:$AE$1592,0)))=1,COUNT(INDEX('SKU明细'!$G$9:$G$1592,MATCH("[6574,""S02a-ND-40""]",'SKU明细'!$AE$9:$AE$1592,0)))=1,SUM(INDEX('SKU明细'!$G$9:$G$1592,MATCH("[6574,""S02a-ND-40""]",'SKU明细'!$AE$9:$AE$1592,0)))&gt;0),SUM(INDEX('SKU明细'!$H$9:$H$1592,MATCH("[6574,""S02a-ND-40""]",'SKU明细'!$AE$9:$AE$1592,0)))/SUM(INDEX('SKU明细'!$G$9:$G$1592,MATCH("[6574,""S02a-ND-40""]",'SKU明细'!$AE$9:$AE$1592,0))),"待核")</x:f>
        <x:v>51.98019801980198</x:v>
      </x:c>
      <x:c r="O138" s="21" t="str">
        <x:f>"—"</x:f>
        <x:v>—</x:v>
      </x:c>
      <x:c r="P138" s="21" t="n">
        <x:f>IF(AND(COUNT(INDEX('SKU明细'!$H$9:$H$1592,MATCH("[6574,""S02a-ND-41""]",'SKU明细'!$AE$9:$AE$1592,0)))=1,COUNT(INDEX('SKU明细'!$G$9:$G$1592,MATCH("[6574,""S02a-ND-41""]",'SKU明细'!$AE$9:$AE$1592,0)))=1,SUM(INDEX('SKU明细'!$G$9:$G$1592,MATCH("[6574,""S02a-ND-41""]",'SKU明细'!$AE$9:$AE$1592,0)))&gt;0),SUM(INDEX('SKU明细'!$H$9:$H$1592,MATCH("[6574,""S02a-ND-41""]",'SKU明细'!$AE$9:$AE$1592,0)))/SUM(INDEX('SKU明细'!$G$9:$G$1592,MATCH("[6574,""S02a-ND-41""]",'SKU明细'!$AE$9:$AE$1592,0))),"待核")</x:f>
        <x:v>80.38277511961722</x:v>
      </x:c>
      <x:c r="Q138" s="21" t="str">
        <x:f>"—"</x:f>
        <x:v>—</x:v>
      </x:c>
      <x:c r="R138" s="21" t="n">
        <x:f>IF(AND(COUNT(INDEX('SKU明细'!$H$9:$H$1592,MATCH("[6574,""S02a-ND-42""]",'SKU明细'!$AE$9:$AE$1592,0)))=1,COUNT(INDEX('SKU明细'!$G$9:$G$1592,MATCH("[6574,""S02a-ND-42""]",'SKU明细'!$AE$9:$AE$1592,0)))=1,SUM(INDEX('SKU明细'!$G$9:$G$1592,MATCH("[6574,""S02a-ND-42""]",'SKU明细'!$AE$9:$AE$1592,0)))&gt;0),SUM(INDEX('SKU明细'!$H$9:$H$1592,MATCH("[6574,""S02a-ND-42""]",'SKU明细'!$AE$9:$AE$1592,0)))/SUM(INDEX('SKU明细'!$G$9:$G$1592,MATCH("[6574,""S02a-ND-42""]",'SKU明细'!$AE$9:$AE$1592,0))),"待核")</x:f>
        <x:v>40.64516129032259</x:v>
      </x:c>
      <x:c r="S138" s="21" t="n">
        <x:f>IF(AND(COUNT(INDEX('SKU明细'!$H$9:$H$1592,MATCH("[6574,""S02a-ND-39""]",'SKU明细'!$AE$9:$AE$1592,0)),INDEX('SKU明细'!$H$9:$H$1592,MATCH("[6574,""S02a-ND-41""]",'SKU明细'!$AE$9:$AE$1592,0)),INDEX('SKU明细'!$H$9:$H$1592,MATCH("[6574,""S02a-ND-40""]",'SKU明细'!$AE$9:$AE$1592,0)),INDEX('SKU明细'!$H$9:$H$1592,MATCH("[6574,""S02a-ND-42""]",'SKU明细'!$AE$9:$AE$1592,0)))=4,COUNT(INDEX('SKU明细'!$G$9:$G$1592,MATCH("[6574,""S02a-ND-39""]",'SKU明细'!$AE$9:$AE$1592,0)),INDEX('SKU明细'!$G$9:$G$1592,MATCH("[6574,""S02a-ND-41""]",'SKU明细'!$AE$9:$AE$1592,0)),INDEX('SKU明细'!$G$9:$G$1592,MATCH("[6574,""S02a-ND-40""]",'SKU明细'!$AE$9:$AE$1592,0)),INDEX('SKU明细'!$G$9:$G$1592,MATCH("[6574,""S02a-ND-42""]",'SKU明细'!$AE$9:$AE$1592,0)))=4,SUM(INDEX('SKU明细'!$G$9:$G$1592,MATCH("[6574,""S02a-ND-39""]",'SKU明细'!$AE$9:$AE$1592,0)),INDEX('SKU明细'!$G$9:$G$1592,MATCH("[6574,""S02a-ND-41""]",'SKU明细'!$AE$9:$AE$1592,0)),INDEX('SKU明细'!$G$9:$G$1592,MATCH("[6574,""S02a-ND-40""]",'SKU明细'!$AE$9:$AE$1592,0)),INDEX('SKU明细'!$G$9:$G$1592,MATCH("[6574,""S02a-ND-42""]",'SKU明细'!$AE$9:$AE$1592,0)))&gt;0),SUM(INDEX('SKU明细'!$H$9:$H$1592,MATCH("[6574,""S02a-ND-39""]",'SKU明细'!$AE$9:$AE$1592,0)),INDEX('SKU明细'!$H$9:$H$1592,MATCH("[6574,""S02a-ND-41""]",'SKU明细'!$AE$9:$AE$1592,0)),INDEX('SKU明细'!$H$9:$H$1592,MATCH("[6574,""S02a-ND-40""]",'SKU明细'!$AE$9:$AE$1592,0)),INDEX('SKU明细'!$H$9:$H$1592,MATCH("[6574,""S02a-ND-42""]",'SKU明细'!$AE$9:$AE$1592,0)))/SUM(INDEX('SKU明细'!$G$9:$G$1592,MATCH("[6574,""S02a-ND-39""]",'SKU明细'!$AE$9:$AE$1592,0)),INDEX('SKU明细'!$G$9:$G$1592,MATCH("[6574,""S02a-ND-41""]",'SKU明细'!$AE$9:$AE$1592,0)),INDEX('SKU明细'!$G$9:$G$1592,MATCH("[6574,""S02a-ND-40""]",'SKU明细'!$AE$9:$AE$1592,0)),INDEX('SKU明细'!$G$9:$G$1592,MATCH("[6574,""S02a-ND-42""]",'SKU明细'!$AE$9:$AE$1592,0))),"待核")</x:f>
        <x:v>84.61294416243656</x:v>
      </x:c>
      <x:c r="T138" s="21" t="n">
        <x:f>IF(AND(COUNT(INDEX('SKU明细'!$I$9:$I$1592,MATCH("[6574,""S02a-ND-39""]",'SKU明细'!$AE$9:$AE$1592,0)),INDEX('SKU明细'!$I$9:$I$1592,MATCH("[6574,""S02a-ND-41""]",'SKU明细'!$AE$9:$AE$1592,0)),INDEX('SKU明细'!$I$9:$I$1592,MATCH("[6574,""S02a-ND-40""]",'SKU明细'!$AE$9:$AE$1592,0)),INDEX('SKU明细'!$I$9:$I$1592,MATCH("[6574,""S02a-ND-42""]",'SKU明细'!$AE$9:$AE$1592,0)))=4,COUNT(INDEX('SKU明细'!$AD$9:$AD$1592,MATCH("[6574,""S02a-ND-39""]",'SKU明细'!$AE$9:$AE$1592,0)),INDEX('SKU明细'!$AD$9:$AD$1592,MATCH("[6574,""S02a-ND-41""]",'SKU明细'!$AE$9:$AE$1592,0)),INDEX('SKU明细'!$AD$9:$AD$1592,MATCH("[6574,""S02a-ND-40""]",'SKU明细'!$AE$9:$AE$1592,0)),INDEX('SKU明细'!$AD$9:$AD$1592,MATCH("[6574,""S02a-ND-42""]",'SKU明细'!$AE$9:$AE$1592,0)))=4,SUM(INDEX('SKU明细'!$AD$9:$AD$1592,MATCH("[6574,""S02a-ND-39""]",'SKU明细'!$AE$9:$AE$1592,0)),INDEX('SKU明细'!$AD$9:$AD$1592,MATCH("[6574,""S02a-ND-41""]",'SKU明细'!$AE$9:$AE$1592,0)),INDEX('SKU明细'!$AD$9:$AD$1592,MATCH("[6574,""S02a-ND-40""]",'SKU明细'!$AE$9:$AE$1592,0)),INDEX('SKU明细'!$AD$9:$AD$1592,MATCH("[6574,""S02a-ND-42""]",'SKU明细'!$AE$9:$AE$1592,0)))&gt;0),SUM(INDEX('SKU明细'!$I$9:$I$1592,MATCH("[6574,""S02a-ND-39""]",'SKU明细'!$AE$9:$AE$1592,0)),INDEX('SKU明细'!$I$9:$I$1592,MATCH("[6574,""S02a-ND-41""]",'SKU明细'!$AE$9:$AE$1592,0)),INDEX('SKU明细'!$I$9:$I$1592,MATCH("[6574,""S02a-ND-40""]",'SKU明细'!$AE$9:$AE$1592,0)),INDEX('SKU明细'!$I$9:$I$1592,MATCH("[6574,""S02a-ND-42""]",'SKU明细'!$AE$9:$AE$1592,0)))/SUM(INDEX('SKU明细'!$AD$9:$AD$1592,MATCH("[6574,""S02a-ND-39""]",'SKU明细'!$AE$9:$AE$1592,0)),INDEX('SKU明细'!$AD$9:$AD$1592,MATCH("[6574,""S02a-ND-41""]",'SKU明细'!$AE$9:$AE$1592,0)),INDEX('SKU明细'!$AD$9:$AD$1592,MATCH("[6574,""S02a-ND-40""]",'SKU明细'!$AE$9:$AE$1592,0)),INDEX('SKU明细'!$AD$9:$AD$1592,MATCH("[6574,""S02a-ND-42""]",'SKU明细'!$AE$9:$AE$1592,0))),"待核")</x:f>
        <x:v>220.48458149779736</x:v>
      </x:c>
      <x:c r="U138" s="21" t="n">
        <x:f>IF(COUNT(S138:T138)=2,S138-T138,"待核")</x:f>
        <x:v>-135.8716373353608</x:v>
      </x:c>
      <x:c r="V138" s="22" t="n">
        <x:f>IF(AND(ISNUMBER(U138),ISNUMBER(T138),T138&lt;&gt;0),U138/T138,"")</x:f>
        <x:v>-0.616240992510028</x:v>
      </x:c>
      <x:c r="W138" s="23" t="n">
        <x:f>IF(COUNT(INDEX('SKU明细'!$H$9:$H$1592,MATCH("[6574,""S02a-ND-39""]",'SKU明细'!$AE$9:$AE$1592,0)),INDEX('SKU明细'!$H$9:$H$1592,MATCH("[6574,""S02a-ND-41""]",'SKU明细'!$AE$9:$AE$1592,0)),INDEX('SKU明细'!$H$9:$H$1592,MATCH("[6574,""S02a-ND-40""]",'SKU明细'!$AE$9:$AE$1592,0)),INDEX('SKU明细'!$H$9:$H$1592,MATCH("[6574,""S02a-ND-42""]",'SKU明细'!$AE$9:$AE$1592,0)))=0,"待核",SUM(INDEX('SKU明细'!$H$9:$H$1592,MATCH("[6574,""S02a-ND-39""]",'SKU明细'!$AE$9:$AE$1592,0)),INDEX('SKU明细'!$H$9:$H$1592,MATCH("[6574,""S02a-ND-41""]",'SKU明细'!$AE$9:$AE$1592,0)),INDEX('SKU明细'!$H$9:$H$1592,MATCH("[6574,""S02a-ND-40""]",'SKU明细'!$AE$9:$AE$1592,0)),INDEX('SKU明细'!$H$9:$H$1592,MATCH("[6574,""S02a-ND-42""]",'SKU明细'!$AE$9:$AE$1592,0))))</x:f>
        <x:v>127</x:v>
      </x:c>
      <x:c r="X138" s="24" t="str">
        <x:f>IF(COUNTIFS('SKU明细'!$AH$9:$AH$1592,"[""S02a"",""S02a-ND"",""ND"",""裸色""]",'SKU明细'!$E$9:$E$1592,"促销")&gt;0,"促销 ","")&amp;IF(COUNTIFS('SKU明细'!$AH$9:$AH$1592,"[""S02a"",""S02a-ND"",""ND"",""裸色""]",'SKU明细'!$E$9:$E$1592,"红线促销")&gt;0,"红线促销 ","")&amp;IF(COUNTIFS('SKU明细'!$AH$9:$AH$1592,"[""S02a"",""S02a-ND"",""ND"",""裸色""]",'SKU明细'!$E$9:$E$1592,"考虑清仓")&gt;0,"考虑清仓 ","")&amp;IF(COUNTIFS('SKU明细'!$AH$9:$AH$1592,"[""S02a"",""S02a-ND"",""ND"",""裸色""]",'SKU明细'!$E$9:$E$1592,"断货")&gt;0,"断货 ","")&amp;IF(COUNTIFS('SKU明细'!$AH$9:$AH$1592,"[""S02a"",""S02a-ND"",""ND"",""裸色""]",'SKU明细'!$E$9:$E$1592,"零日销待复核")&gt;0,"零日销待复核 ","")&amp;IF(COUNTIFS('SKU明细'!$AH$9:$AH$1592,"[""S02a"",""S02a-ND"",""ND"",""裸色""]",'SKU明细'!$E$9:$E$1592,"数据待核")&gt;0,"数据待核 ","")&amp;IF(COUNTIFS('SKU明细'!$AH$9:$AH$1592,"[""S02a"",""S02a-ND"",""ND"",""裸色""]",'SKU明细'!$E$9:$E$1592,"正常库存")&gt;0,"正常库存 ","")&amp;IF(COUNTIFS('SKU明细'!$AH$9:$AH$1592,"[""S02a"",""S02a-ND"",""ND"",""裸色""]",'SKU明细'!$E$9:$E$1592,"补货提醒")&gt;0,"补货提醒 ","")</x:f>
        <x:v>促销 正常库存 补货提醒 </x:v>
      </x:c>
      <x:c r="Y138" s="24" t="str">
        <x:f>IF(NOT(ISNUMBER(U138)),"覆盖待核／无可比基准","完整可比")</x:f>
        <x:v>完整可比</x:v>
      </x:c>
      <x:c r="Z138" s="24" t="str">
        <x:v>在售</x:v>
      </x:c>
      <x:c r="AA138" s="24" t="n">
        <x:f>IF(SUMIFS('SKU明细'!$AF$9:$AF$1592,'SKU明细'!$D$9:$D$1592,A138,'SKU明细'!$Z$9:$Z$1592,"&lt;&gt;移出")=0,"待核",SUMIFS('SKU明细'!$H$9:$H$1592,'SKU明细'!$D$9:$D$1592,A138,'SKU明细'!$Z$9:$Z$1592,"&lt;&gt;移出"))</x:f>
        <x:v>778</x:v>
      </x:c>
    </x:row>
    <x:row r="139" ht="54" customHeight="1">
      <x:c r="A139" s="20" t="str">
        <x:v>S02a</x:v>
      </x:c>
      <x:c r="B139" s="20" t="str">
        <x:v>陈晨</x:v>
      </x:c>
      <x:c r="C139" s="20" t="str">
        <x:v>裸色</x:v>
      </x:c>
      <x:c r="D139" s="20" t="str">
        <x:v>ND1</x:v>
      </x:c>
      <x:c r="E139" s="20" t="str">
        <x:v>S02a-ND1</x:v>
      </x:c>
      <x:c r="F139" s="20"/>
      <x:c r="G139" s="21" t="str">
        <x:f>"—"</x:f>
        <x:v>—</x:v>
      </x:c>
      <x:c r="H139" s="21" t="str">
        <x:f>"—"</x:f>
        <x:v>—</x:v>
      </x:c>
      <x:c r="I139" s="21" t="str">
        <x:f>"—"</x:f>
        <x:v>—</x:v>
      </x:c>
      <x:c r="J139" s="21" t="str">
        <x:f>"—"</x:f>
        <x:v>—</x:v>
      </x:c>
      <x:c r="K139" s="21" t="n">
        <x:f>IF(AND(COUNT(INDEX('SKU明细'!$H$9:$H$1592,MATCH("[6574,""S02a-ND1-38""]",'SKU明细'!$AE$9:$AE$1592,0)))=1,COUNT(INDEX('SKU明细'!$G$9:$G$1592,MATCH("[6574,""S02a-ND1-38""]",'SKU明细'!$AE$9:$AE$1592,0)))=1,SUM(INDEX('SKU明细'!$G$9:$G$1592,MATCH("[6574,""S02a-ND1-38""]",'SKU明细'!$AE$9:$AE$1592,0)))&gt;0),SUM(INDEX('SKU明细'!$H$9:$H$1592,MATCH("[6574,""S02a-ND1-38""]",'SKU明细'!$AE$9:$AE$1592,0)))/SUM(INDEX('SKU明细'!$G$9:$G$1592,MATCH("[6574,""S02a-ND1-38""]",'SKU明细'!$AE$9:$AE$1592,0))),"待核")</x:f>
        <x:v>289.92537313432837</x:v>
      </x:c>
      <x:c r="L139" s="21" t="str">
        <x:f>"—"</x:f>
        <x:v>—</x:v>
      </x:c>
      <x:c r="M139" s="21" t="str">
        <x:f>"—"</x:f>
        <x:v>—</x:v>
      </x:c>
      <x:c r="N139" s="21" t="str">
        <x:f>"—"</x:f>
        <x:v>—</x:v>
      </x:c>
      <x:c r="O139" s="21" t="n">
        <x:f>IF(AND(COUNT(INDEX('SKU明细'!$H$9:$H$1592,MATCH("[6574,""S02a-ND1-41""]",'SKU明细'!$AE$9:$AE$1592,0)))=1,COUNT(INDEX('SKU明细'!$G$9:$G$1592,MATCH("[6574,""S02a-ND1-41""]",'SKU明细'!$AE$9:$AE$1592,0)))=1,SUM(INDEX('SKU明细'!$G$9:$G$1592,MATCH("[6574,""S02a-ND1-41""]",'SKU明细'!$AE$9:$AE$1592,0)))&gt;0),SUM(INDEX('SKU明细'!$H$9:$H$1592,MATCH("[6574,""S02a-ND1-41""]",'SKU明细'!$AE$9:$AE$1592,0)))/SUM(INDEX('SKU明细'!$G$9:$G$1592,MATCH("[6574,""S02a-ND1-41""]",'SKU明细'!$AE$9:$AE$1592,0))),"待核")</x:f>
        <x:v>0</x:v>
      </x:c>
      <x:c r="P139" s="21" t="str">
        <x:f>"—"</x:f>
        <x:v>—</x:v>
      </x:c>
      <x:c r="Q139" s="21" t="n">
        <x:f>IF(AND(COUNT(INDEX('SKU明细'!$H$9:$H$1592,MATCH("[6574,""S02a-ND1-42""]",'SKU明细'!$AE$9:$AE$1592,0)))=1,COUNT(INDEX('SKU明细'!$G$9:$G$1592,MATCH("[6574,""S02a-ND1-42""]",'SKU明细'!$AE$9:$AE$1592,0)))=1,SUM(INDEX('SKU明细'!$G$9:$G$1592,MATCH("[6574,""S02a-ND1-42""]",'SKU明细'!$AE$9:$AE$1592,0)))&gt;0),SUM(INDEX('SKU明细'!$H$9:$H$1592,MATCH("[6574,""S02a-ND1-42""]",'SKU明细'!$AE$9:$AE$1592,0)))/SUM(INDEX('SKU明细'!$G$9:$G$1592,MATCH("[6574,""S02a-ND1-42""]",'SKU明细'!$AE$9:$AE$1592,0))),"待核")</x:f>
        <x:v>230.1369863013699</x:v>
      </x:c>
      <x:c r="R139" s="21" t="str">
        <x:f>"—"</x:f>
        <x:v>—</x:v>
      </x:c>
      <x:c r="S139" s="21" t="str">
        <x:f>"—"</x:f>
        <x:v>—</x:v>
      </x:c>
      <x:c r="T139" s="21" t="str">
        <x:f>"—"</x:f>
        <x:v>—</x:v>
      </x:c>
      <x:c r="U139" s="21" t="str">
        <x:f>IF(COUNT(S139:T139)=2,S139-T139,"待核")</x:f>
        <x:v>待核</x:v>
      </x:c>
      <x:c r="V139" s="22" t="str">
        <x:f>IF(AND(ISNUMBER(U139),ISNUMBER(T139),T139&lt;&gt;0),U139/T139,"")</x:f>
      </x:c>
      <x:c r="W139" s="23" t="n">
        <x:f>IF(COUNT(INDEX('SKU明细'!$H$9:$H$1592,MATCH("[6574,""S02a-ND1-38""]",'SKU明细'!$AE$9:$AE$1592,0)),INDEX('SKU明细'!$H$9:$H$1592,MATCH("[6574,""S02a-ND1-42""]",'SKU明细'!$AE$9:$AE$1592,0)),INDEX('SKU明细'!$H$9:$H$1592,MATCH("[6574,""S02a-ND1-41""]",'SKU明细'!$AE$9:$AE$1592,0)))=0,"待核",SUM(INDEX('SKU明细'!$H$9:$H$1592,MATCH("[6574,""S02a-ND1-38""]",'SKU明细'!$AE$9:$AE$1592,0)),INDEX('SKU明细'!$H$9:$H$1592,MATCH("[6574,""S02a-ND1-42""]",'SKU明细'!$AE$9:$AE$1592,0)),INDEX('SKU明细'!$H$9:$H$1592,MATCH("[6574,""S02a-ND1-41""]",'SKU明细'!$AE$9:$AE$1592,0))))</x:f>
        <x:v>45</x:v>
      </x:c>
      <x:c r="X139" s="24" t="str">
        <x:f>IF(COUNTIFS('SKU明细'!$AH$9:$AH$1592,"[""S02a"",""S02a-ND1"",""ND1"",""裸色""]",'SKU明细'!$E$9:$E$1592,"促销")&gt;0,"促销 ","")&amp;IF(COUNTIFS('SKU明细'!$AH$9:$AH$1592,"[""S02a"",""S02a-ND1"",""ND1"",""裸色""]",'SKU明细'!$E$9:$E$1592,"红线促销")&gt;0,"红线促销 ","")&amp;IF(COUNTIFS('SKU明细'!$AH$9:$AH$1592,"[""S02a"",""S02a-ND1"",""ND1"",""裸色""]",'SKU明细'!$E$9:$E$1592,"考虑清仓")&gt;0,"考虑清仓 ","")&amp;IF(COUNTIFS('SKU明细'!$AH$9:$AH$1592,"[""S02a"",""S02a-ND1"",""ND1"",""裸色""]",'SKU明细'!$E$9:$E$1592,"断货")&gt;0,"断货 ","")&amp;IF(COUNTIFS('SKU明细'!$AH$9:$AH$1592,"[""S02a"",""S02a-ND1"",""ND1"",""裸色""]",'SKU明细'!$E$9:$E$1592,"零日销待复核")&gt;0,"零日销待复核 ","")&amp;IF(COUNTIFS('SKU明细'!$AH$9:$AH$1592,"[""S02a"",""S02a-ND1"",""ND1"",""裸色""]",'SKU明细'!$E$9:$E$1592,"数据待核")&gt;0,"数据待核 ","")&amp;IF(COUNTIFS('SKU明细'!$AH$9:$AH$1592,"[""S02a"",""S02a-ND1"",""ND1"",""裸色""]",'SKU明细'!$E$9:$E$1592,"正常库存")&gt;0,"正常库存 ","")&amp;IF(COUNTIFS('SKU明细'!$AH$9:$AH$1592,"[""S02a"",""S02a-ND1"",""ND1"",""裸色""]",'SKU明细'!$E$9:$E$1592,"补货提醒")&gt;0,"补货提醒 ","")</x:f>
        <x:v>红线促销 断货 </x:v>
      </x:c>
      <x:c r="Y139" s="24" t="str">
        <x:f>IF(NOT(ISNUMBER(U139)),"覆盖待核／无可比基准","仅共同SKU")</x:f>
        <x:v>覆盖待核／无可比基准</x:v>
      </x:c>
      <x:c r="Z139" s="24" t="str">
        <x:v>在售、停售</x:v>
      </x:c>
      <x:c r="AA139" s="24" t="n">
        <x:f>IF(SUMIFS('SKU明细'!$AF$9:$AF$1592,'SKU明细'!$D$9:$D$1592,A139,'SKU明细'!$Z$9:$Z$1592,"&lt;&gt;移出")=0,"待核",SUMIFS('SKU明细'!$H$9:$H$1592,'SKU明细'!$D$9:$D$1592,A139,'SKU明细'!$Z$9:$Z$1592,"&lt;&gt;移出"))</x:f>
        <x:v>778</x:v>
      </x:c>
    </x:row>
    <x:row r="140" ht="54" customHeight="1">
      <x:c r="A140" s="20" t="str">
        <x:v>S02a</x:v>
      </x:c>
      <x:c r="B140" s="20" t="str">
        <x:v>陈晨</x:v>
      </x:c>
      <x:c r="C140" s="20" t="str">
        <x:v>驼色</x:v>
      </x:c>
      <x:c r="D140" s="20" t="str">
        <x:v>TN</x:v>
      </x:c>
      <x:c r="E140" s="20" t="str">
        <x:v>S02a-TN</x:v>
      </x:c>
      <x:c r="F140" s="20"/>
      <x:c r="G140" s="21" t="str">
        <x:f>"—"</x:f>
        <x:v>—</x:v>
      </x:c>
      <x:c r="H140" s="21" t="n">
        <x:f>IF(AND(COUNT(INDEX('SKU明细'!$H$9:$H$1592,MATCH("[6574,""S02a-TN-37""]",'SKU明细'!$AE$9:$AE$1592,0)))=1,COUNT(INDEX('SKU明细'!$G$9:$G$1592,MATCH("[6574,""S02a-TN-37""]",'SKU明细'!$AE$9:$AE$1592,0)))=1,SUM(INDEX('SKU明细'!$G$9:$G$1592,MATCH("[6574,""S02a-TN-37""]",'SKU明细'!$AE$9:$AE$1592,0)))&gt;0),SUM(INDEX('SKU明细'!$H$9:$H$1592,MATCH("[6574,""S02a-TN-37""]",'SKU明细'!$AE$9:$AE$1592,0)))/SUM(INDEX('SKU明细'!$G$9:$G$1592,MATCH("[6574,""S02a-TN-37""]",'SKU明细'!$AE$9:$AE$1592,0))),"待核")</x:f>
        <x:v>102.64765784114053</x:v>
      </x:c>
      <x:c r="I140" s="21" t="str">
        <x:f>"—"</x:f>
        <x:v>—</x:v>
      </x:c>
      <x:c r="J140" s="21" t="n">
        <x:f>IF(AND(COUNT(INDEX('SKU明细'!$H$9:$H$1592,MATCH("[6574,""S02a-TN-38""]",'SKU明细'!$AE$9:$AE$1592,0)))=1,COUNT(INDEX('SKU明细'!$G$9:$G$1592,MATCH("[6574,""S02a-TN-38""]",'SKU明细'!$AE$9:$AE$1592,0)))=1,SUM(INDEX('SKU明细'!$G$9:$G$1592,MATCH("[6574,""S02a-TN-38""]",'SKU明细'!$AE$9:$AE$1592,0)))&gt;0),SUM(INDEX('SKU明细'!$H$9:$H$1592,MATCH("[6574,""S02a-TN-38""]",'SKU明细'!$AE$9:$AE$1592,0)))/SUM(INDEX('SKU明细'!$G$9:$G$1592,MATCH("[6574,""S02a-TN-38""]",'SKU明细'!$AE$9:$AE$1592,0))),"待核")</x:f>
        <x:v>21.733505821474775</x:v>
      </x:c>
      <x:c r="K140" s="21" t="str">
        <x:f>"—"</x:f>
        <x:v>—</x:v>
      </x:c>
      <x:c r="L140" s="21" t="n">
        <x:f>IF(AND(COUNT(INDEX('SKU明细'!$H$9:$H$1592,MATCH("[6574,""S02a-TN-39""]",'SKU明细'!$AE$9:$AE$1592,0)))=1,COUNT(INDEX('SKU明细'!$G$9:$G$1592,MATCH("[6574,""S02a-TN-39""]",'SKU明细'!$AE$9:$AE$1592,0)))=1,SUM(INDEX('SKU明细'!$G$9:$G$1592,MATCH("[6574,""S02a-TN-39""]",'SKU明细'!$AE$9:$AE$1592,0)))&gt;0),SUM(INDEX('SKU明细'!$H$9:$H$1592,MATCH("[6574,""S02a-TN-39""]",'SKU明细'!$AE$9:$AE$1592,0)))/SUM(INDEX('SKU明细'!$G$9:$G$1592,MATCH("[6574,""S02a-TN-39""]",'SKU明细'!$AE$9:$AE$1592,0))),"待核")</x:f>
        <x:v>33.7439742903053</x:v>
      </x:c>
      <x:c r="M140" s="21" t="str">
        <x:f>"—"</x:f>
        <x:v>—</x:v>
      </x:c>
      <x:c r="N140" s="21" t="n">
        <x:f>IF(AND(COUNT(INDEX('SKU明细'!$H$9:$H$1592,MATCH("[6574,""S02a-TN-40""]",'SKU明细'!$AE$9:$AE$1592,0)))=1,COUNT(INDEX('SKU明细'!$G$9:$G$1592,MATCH("[6574,""S02a-TN-40""]",'SKU明细'!$AE$9:$AE$1592,0)))=1,SUM(INDEX('SKU明细'!$G$9:$G$1592,MATCH("[6574,""S02a-TN-40""]",'SKU明细'!$AE$9:$AE$1592,0)))&gt;0),SUM(INDEX('SKU明细'!$H$9:$H$1592,MATCH("[6574,""S02a-TN-40""]",'SKU明细'!$AE$9:$AE$1592,0)))/SUM(INDEX('SKU明细'!$G$9:$G$1592,MATCH("[6574,""S02a-TN-40""]",'SKU明细'!$AE$9:$AE$1592,0))),"待核")</x:f>
        <x:v>37.90613718411552</x:v>
      </x:c>
      <x:c r="O140" s="21" t="str">
        <x:f>"—"</x:f>
        <x:v>—</x:v>
      </x:c>
      <x:c r="P140" s="21" t="n">
        <x:f>IF(AND(COUNT(INDEX('SKU明细'!$H$9:$H$1592,MATCH("[6574,""S02a-TN-41""]",'SKU明细'!$AE$9:$AE$1592,0)))=1,COUNT(INDEX('SKU明细'!$G$9:$G$1592,MATCH("[6574,""S02a-TN-41""]",'SKU明细'!$AE$9:$AE$1592,0)))=1,SUM(INDEX('SKU明细'!$G$9:$G$1592,MATCH("[6574,""S02a-TN-41""]",'SKU明细'!$AE$9:$AE$1592,0)))&gt;0),SUM(INDEX('SKU明细'!$H$9:$H$1592,MATCH("[6574,""S02a-TN-41""]",'SKU明细'!$AE$9:$AE$1592,0)))/SUM(INDEX('SKU明细'!$G$9:$G$1592,MATCH("[6574,""S02a-TN-41""]",'SKU明细'!$AE$9:$AE$1592,0))),"待核")</x:f>
        <x:v>37.048917401764236</x:v>
      </x:c>
      <x:c r="Q140" s="21" t="str">
        <x:f>"—"</x:f>
        <x:v>—</x:v>
      </x:c>
      <x:c r="R140" s="21" t="n">
        <x:f>IF(AND(COUNT(INDEX('SKU明细'!$H$9:$H$1592,MATCH("[6574,""S02a-TN-42""]",'SKU明细'!$AE$9:$AE$1592,0)))=1,COUNT(INDEX('SKU明细'!$G$9:$G$1592,MATCH("[6574,""S02a-TN-42""]",'SKU明细'!$AE$9:$AE$1592,0)))=1,SUM(INDEX('SKU明细'!$G$9:$G$1592,MATCH("[6574,""S02a-TN-42""]",'SKU明细'!$AE$9:$AE$1592,0)))&gt;0),SUM(INDEX('SKU明细'!$H$9:$H$1592,MATCH("[6574,""S02a-TN-42""]",'SKU明细'!$AE$9:$AE$1592,0)))/SUM(INDEX('SKU明细'!$G$9:$G$1592,MATCH("[6574,""S02a-TN-42""]",'SKU明细'!$AE$9:$AE$1592,0))),"待核")</x:f>
        <x:v>2.2175290390707496</x:v>
      </x:c>
      <x:c r="S140" s="21" t="n">
        <x:f>IF(AND(COUNT(INDEX('SKU明细'!$H$9:$H$1592,MATCH("[6574,""S02a-TN-37""]",'SKU明细'!$AE$9:$AE$1592,0)),INDEX('SKU明细'!$H$9:$H$1592,MATCH("[6574,""S02a-TN-38""]",'SKU明细'!$AE$9:$AE$1592,0)),INDEX('SKU明细'!$H$9:$H$1592,MATCH("[6574,""S02a-TN-39""]",'SKU明细'!$AE$9:$AE$1592,0)),INDEX('SKU明细'!$H$9:$H$1592,MATCH("[6574,""S02a-TN-40""]",'SKU明细'!$AE$9:$AE$1592,0)),INDEX('SKU明细'!$H$9:$H$1592,MATCH("[6574,""S02a-TN-41""]",'SKU明细'!$AE$9:$AE$1592,0)),INDEX('SKU明细'!$H$9:$H$1592,MATCH("[6574,""S02a-TN-42""]",'SKU明细'!$AE$9:$AE$1592,0)))=6,COUNT(INDEX('SKU明细'!$G$9:$G$1592,MATCH("[6574,""S02a-TN-37""]",'SKU明细'!$AE$9:$AE$1592,0)),INDEX('SKU明细'!$G$9:$G$1592,MATCH("[6574,""S02a-TN-38""]",'SKU明细'!$AE$9:$AE$1592,0)),INDEX('SKU明细'!$G$9:$G$1592,MATCH("[6574,""S02a-TN-39""]",'SKU明细'!$AE$9:$AE$1592,0)),INDEX('SKU明细'!$G$9:$G$1592,MATCH("[6574,""S02a-TN-40""]",'SKU明细'!$AE$9:$AE$1592,0)),INDEX('SKU明细'!$G$9:$G$1592,MATCH("[6574,""S02a-TN-41""]",'SKU明细'!$AE$9:$AE$1592,0)),INDEX('SKU明细'!$G$9:$G$1592,MATCH("[6574,""S02a-TN-42""]",'SKU明细'!$AE$9:$AE$1592,0)))=6,SUM(INDEX('SKU明细'!$G$9:$G$1592,MATCH("[6574,""S02a-TN-37""]",'SKU明细'!$AE$9:$AE$1592,0)),INDEX('SKU明细'!$G$9:$G$1592,MATCH("[6574,""S02a-TN-38""]",'SKU明细'!$AE$9:$AE$1592,0)),INDEX('SKU明细'!$G$9:$G$1592,MATCH("[6574,""S02a-TN-39""]",'SKU明细'!$AE$9:$AE$1592,0)),INDEX('SKU明细'!$G$9:$G$1592,MATCH("[6574,""S02a-TN-40""]",'SKU明细'!$AE$9:$AE$1592,0)),INDEX('SKU明细'!$G$9:$G$1592,MATCH("[6574,""S02a-TN-41""]",'SKU明细'!$AE$9:$AE$1592,0)),INDEX('SKU明细'!$G$9:$G$1592,MATCH("[6574,""S02a-TN-42""]",'SKU明细'!$AE$9:$AE$1592,0)))&gt;0),SUM(INDEX('SKU明细'!$H$9:$H$1592,MATCH("[6574,""S02a-TN-37""]",'SKU明细'!$AE$9:$AE$1592,0)),INDEX('SKU明细'!$H$9:$H$1592,MATCH("[6574,""S02a-TN-38""]",'SKU明细'!$AE$9:$AE$1592,0)),INDEX('SKU明细'!$H$9:$H$1592,MATCH("[6574,""S02a-TN-39""]",'SKU明细'!$AE$9:$AE$1592,0)),INDEX('SKU明细'!$H$9:$H$1592,MATCH("[6574,""S02a-TN-40""]",'SKU明细'!$AE$9:$AE$1592,0)),INDEX('SKU明细'!$H$9:$H$1592,MATCH("[6574,""S02a-TN-41""]",'SKU明细'!$AE$9:$AE$1592,0)),INDEX('SKU明细'!$H$9:$H$1592,MATCH("[6574,""S02a-TN-42""]",'SKU明细'!$AE$9:$AE$1592,0)))/SUM(INDEX('SKU明细'!$G$9:$G$1592,MATCH("[6574,""S02a-TN-37""]",'SKU明细'!$AE$9:$AE$1592,0)),INDEX('SKU明细'!$G$9:$G$1592,MATCH("[6574,""S02a-TN-38""]",'SKU明细'!$AE$9:$AE$1592,0)),INDEX('SKU明细'!$G$9:$G$1592,MATCH("[6574,""S02a-TN-39""]",'SKU明细'!$AE$9:$AE$1592,0)),INDEX('SKU明细'!$G$9:$G$1592,MATCH("[6574,""S02a-TN-40""]",'SKU明细'!$AE$9:$AE$1592,0)),INDEX('SKU明细'!$G$9:$G$1592,MATCH("[6574,""S02a-TN-41""]",'SKU明细'!$AE$9:$AE$1592,0)),INDEX('SKU明细'!$G$9:$G$1592,MATCH("[6574,""S02a-TN-42""]",'SKU明细'!$AE$9:$AE$1592,0))),"待核")</x:f>
        <x:v>34.1130604288499</x:v>
      </x:c>
      <x:c r="T140" s="21" t="n">
        <x:f>IF(AND(COUNT(INDEX('SKU明细'!$I$9:$I$1592,MATCH("[6574,""S02a-TN-37""]",'SKU明细'!$AE$9:$AE$1592,0)),INDEX('SKU明细'!$I$9:$I$1592,MATCH("[6574,""S02a-TN-38""]",'SKU明细'!$AE$9:$AE$1592,0)),INDEX('SKU明细'!$I$9:$I$1592,MATCH("[6574,""S02a-TN-39""]",'SKU明细'!$AE$9:$AE$1592,0)),INDEX('SKU明细'!$I$9:$I$1592,MATCH("[6574,""S02a-TN-40""]",'SKU明细'!$AE$9:$AE$1592,0)),INDEX('SKU明细'!$I$9:$I$1592,MATCH("[6574,""S02a-TN-41""]",'SKU明细'!$AE$9:$AE$1592,0)),INDEX('SKU明细'!$I$9:$I$1592,MATCH("[6574,""S02a-TN-42""]",'SKU明细'!$AE$9:$AE$1592,0)))=6,COUNT(INDEX('SKU明细'!$AD$9:$AD$1592,MATCH("[6574,""S02a-TN-37""]",'SKU明细'!$AE$9:$AE$1592,0)),INDEX('SKU明细'!$AD$9:$AD$1592,MATCH("[6574,""S02a-TN-38""]",'SKU明细'!$AE$9:$AE$1592,0)),INDEX('SKU明细'!$AD$9:$AD$1592,MATCH("[6574,""S02a-TN-39""]",'SKU明细'!$AE$9:$AE$1592,0)),INDEX('SKU明细'!$AD$9:$AD$1592,MATCH("[6574,""S02a-TN-40""]",'SKU明细'!$AE$9:$AE$1592,0)),INDEX('SKU明细'!$AD$9:$AD$1592,MATCH("[6574,""S02a-TN-41""]",'SKU明细'!$AE$9:$AE$1592,0)),INDEX('SKU明细'!$AD$9:$AD$1592,MATCH("[6574,""S02a-TN-42""]",'SKU明细'!$AE$9:$AE$1592,0)))=6,SUM(INDEX('SKU明细'!$AD$9:$AD$1592,MATCH("[6574,""S02a-TN-37""]",'SKU明细'!$AE$9:$AE$1592,0)),INDEX('SKU明细'!$AD$9:$AD$1592,MATCH("[6574,""S02a-TN-38""]",'SKU明细'!$AE$9:$AE$1592,0)),INDEX('SKU明细'!$AD$9:$AD$1592,MATCH("[6574,""S02a-TN-39""]",'SKU明细'!$AE$9:$AE$1592,0)),INDEX('SKU明细'!$AD$9:$AD$1592,MATCH("[6574,""S02a-TN-40""]",'SKU明细'!$AE$9:$AE$1592,0)),INDEX('SKU明细'!$AD$9:$AD$1592,MATCH("[6574,""S02a-TN-41""]",'SKU明细'!$AE$9:$AE$1592,0)),INDEX('SKU明细'!$AD$9:$AD$1592,MATCH("[6574,""S02a-TN-42""]",'SKU明细'!$AE$9:$AE$1592,0)))&gt;0),SUM(INDEX('SKU明细'!$I$9:$I$1592,MATCH("[6574,""S02a-TN-37""]",'SKU明细'!$AE$9:$AE$1592,0)),INDEX('SKU明细'!$I$9:$I$1592,MATCH("[6574,""S02a-TN-38""]",'SKU明细'!$AE$9:$AE$1592,0)),INDEX('SKU明细'!$I$9:$I$1592,MATCH("[6574,""S02a-TN-39""]",'SKU明细'!$AE$9:$AE$1592,0)),INDEX('SKU明细'!$I$9:$I$1592,MATCH("[6574,""S02a-TN-40""]",'SKU明细'!$AE$9:$AE$1592,0)),INDEX('SKU明细'!$I$9:$I$1592,MATCH("[6574,""S02a-TN-41""]",'SKU明细'!$AE$9:$AE$1592,0)),INDEX('SKU明细'!$I$9:$I$1592,MATCH("[6574,""S02a-TN-42""]",'SKU明细'!$AE$9:$AE$1592,0)))/SUM(INDEX('SKU明细'!$AD$9:$AD$1592,MATCH("[6574,""S02a-TN-37""]",'SKU明细'!$AE$9:$AE$1592,0)),INDEX('SKU明细'!$AD$9:$AD$1592,MATCH("[6574,""S02a-TN-38""]",'SKU明细'!$AE$9:$AE$1592,0)),INDEX('SKU明细'!$AD$9:$AD$1592,MATCH("[6574,""S02a-TN-39""]",'SKU明细'!$AE$9:$AE$1592,0)),INDEX('SKU明细'!$AD$9:$AD$1592,MATCH("[6574,""S02a-TN-40""]",'SKU明细'!$AE$9:$AE$1592,0)),INDEX('SKU明细'!$AD$9:$AD$1592,MATCH("[6574,""S02a-TN-41""]",'SKU明细'!$AE$9:$AE$1592,0)),INDEX('SKU明细'!$AD$9:$AD$1592,MATCH("[6574,""S02a-TN-42""]",'SKU明细'!$AE$9:$AE$1592,0))),"待核")</x:f>
        <x:v>69.48120698782425</x:v>
      </x:c>
      <x:c r="U140" s="21" t="n">
        <x:f>IF(COUNT(S140:T140)=2,S140-T140,"待核")</x:f>
        <x:v>-35.36814655897435</x:v>
      </x:c>
      <x:c r="V140" s="22" t="n">
        <x:f>IF(AND(ISNUMBER(U140),ISNUMBER(T140),T140&lt;&gt;0),U140/T140,"")</x:f>
        <x:v>-0.5090318388564004</x:v>
      </x:c>
      <x:c r="W140" s="23" t="n">
        <x:f>IF(COUNT(INDEX('SKU明细'!$H$9:$H$1592,MATCH("[6574,""S02a-TN-37""]",'SKU明细'!$AE$9:$AE$1592,0)),INDEX('SKU明细'!$H$9:$H$1592,MATCH("[6574,""S02a-TN-38""]",'SKU明细'!$AE$9:$AE$1592,0)),INDEX('SKU明细'!$H$9:$H$1592,MATCH("[6574,""S02a-TN-39""]",'SKU明细'!$AE$9:$AE$1592,0)),INDEX('SKU明细'!$H$9:$H$1592,MATCH("[6574,""S02a-TN-40""]",'SKU明细'!$AE$9:$AE$1592,0)),INDEX('SKU明细'!$H$9:$H$1592,MATCH("[6574,""S02a-TN-41""]",'SKU明细'!$AE$9:$AE$1592,0)),INDEX('SKU明细'!$H$9:$H$1592,MATCH("[6574,""S02a-TN-42""]",'SKU明细'!$AE$9:$AE$1592,0)))=0,"待核",SUM(INDEX('SKU明细'!$H$9:$H$1592,MATCH("[6574,""S02a-TN-37""]",'SKU明细'!$AE$9:$AE$1592,0)),INDEX('SKU明细'!$H$9:$H$1592,MATCH("[6574,""S02a-TN-38""]",'SKU明细'!$AE$9:$AE$1592,0)),INDEX('SKU明细'!$H$9:$H$1592,MATCH("[6574,""S02a-TN-39""]",'SKU明细'!$AE$9:$AE$1592,0)),INDEX('SKU明细'!$H$9:$H$1592,MATCH("[6574,""S02a-TN-40""]",'SKU明细'!$AE$9:$AE$1592,0)),INDEX('SKU明细'!$H$9:$H$1592,MATCH("[6574,""S02a-TN-41""]",'SKU明细'!$AE$9:$AE$1592,0)),INDEX('SKU明细'!$H$9:$H$1592,MATCH("[6574,""S02a-TN-42""]",'SKU明细'!$AE$9:$AE$1592,0))))</x:f>
        <x:v>100</x:v>
      </x:c>
      <x:c r="X140" s="24" t="str">
        <x:f>IF(COUNTIFS('SKU明细'!$AH$9:$AH$1592,"[""S02a"",""S02a-TN"",""TN"",""驼色""]",'SKU明细'!$E$9:$E$1592,"促销")&gt;0,"促销 ","")&amp;IF(COUNTIFS('SKU明细'!$AH$9:$AH$1592,"[""S02a"",""S02a-TN"",""TN"",""驼色""]",'SKU明细'!$E$9:$E$1592,"红线促销")&gt;0,"红线促销 ","")&amp;IF(COUNTIFS('SKU明细'!$AH$9:$AH$1592,"[""S02a"",""S02a-TN"",""TN"",""驼色""]",'SKU明细'!$E$9:$E$1592,"考虑清仓")&gt;0,"考虑清仓 ","")&amp;IF(COUNTIFS('SKU明细'!$AH$9:$AH$1592,"[""S02a"",""S02a-TN"",""TN"",""驼色""]",'SKU明细'!$E$9:$E$1592,"断货")&gt;0,"断货 ","")&amp;IF(COUNTIFS('SKU明细'!$AH$9:$AH$1592,"[""S02a"",""S02a-TN"",""TN"",""驼色""]",'SKU明细'!$E$9:$E$1592,"零日销待复核")&gt;0,"零日销待复核 ","")&amp;IF(COUNTIFS('SKU明细'!$AH$9:$AH$1592,"[""S02a"",""S02a-TN"",""TN"",""驼色""]",'SKU明细'!$E$9:$E$1592,"数据待核")&gt;0,"数据待核 ","")&amp;IF(COUNTIFS('SKU明细'!$AH$9:$AH$1592,"[""S02a"",""S02a-TN"",""TN"",""驼色""]",'SKU明细'!$E$9:$E$1592,"正常库存")&gt;0,"正常库存 ","")&amp;IF(COUNTIFS('SKU明细'!$AH$9:$AH$1592,"[""S02a"",""S02a-TN"",""TN"",""驼色""]",'SKU明细'!$E$9:$E$1592,"补货提醒")&gt;0,"补货提醒 ","")</x:f>
        <x:v>促销 补货提醒 </x:v>
      </x:c>
      <x:c r="Y140" s="24" t="str">
        <x:f>IF(NOT(ISNUMBER(U140)),"覆盖待核／无可比基准","完整可比")</x:f>
        <x:v>完整可比</x:v>
      </x:c>
      <x:c r="Z140" s="24" t="str">
        <x:v>在售</x:v>
      </x:c>
      <x:c r="AA140" s="24" t="n">
        <x:f>IF(SUMIFS('SKU明细'!$AF$9:$AF$1592,'SKU明细'!$D$9:$D$1592,A140,'SKU明细'!$Z$9:$Z$1592,"&lt;&gt;移出")=0,"待核",SUMIFS('SKU明细'!$H$9:$H$1592,'SKU明细'!$D$9:$D$1592,A140,'SKU明细'!$Z$9:$Z$1592,"&lt;&gt;移出"))</x:f>
        <x:v>778</x:v>
      </x:c>
    </x:row>
    <x:row r="141" ht="54" customHeight="1">
      <x:c r="A141" s="20" t="str">
        <x:v>S02a</x:v>
      </x:c>
      <x:c r="B141" s="20" t="str">
        <x:v>陈晨</x:v>
      </x:c>
      <x:c r="C141" s="20" t="str">
        <x:v>驼色</x:v>
      </x:c>
      <x:c r="D141" s="20" t="str">
        <x:v>TN1</x:v>
      </x:c>
      <x:c r="E141" s="20" t="str">
        <x:v>S02a-TN1</x:v>
      </x:c>
      <x:c r="F141" s="20"/>
      <x:c r="G141" s="21" t="str">
        <x:f>"—"</x:f>
        <x:v>—</x:v>
      </x:c>
      <x:c r="H141" s="21" t="str">
        <x:f>"—"</x:f>
        <x:v>—</x:v>
      </x:c>
      <x:c r="I141" s="21" t="n">
        <x:f>IF(AND(COUNT(INDEX('SKU明细'!$H$9:$H$1592,MATCH("[6574,""S02a-TN1-37""]",'SKU明细'!$AE$9:$AE$1592,0)))=1,COUNT(INDEX('SKU明细'!$G$9:$G$1592,MATCH("[6574,""S02a-TN1-37""]",'SKU明细'!$AE$9:$AE$1592,0)))=1,SUM(INDEX('SKU明细'!$G$9:$G$1592,MATCH("[6574,""S02a-TN1-37""]",'SKU明细'!$AE$9:$AE$1592,0)))&gt;0),SUM(INDEX('SKU明细'!$H$9:$H$1592,MATCH("[6574,""S02a-TN1-37""]",'SKU明细'!$AE$9:$AE$1592,0)))/SUM(INDEX('SKU明细'!$G$9:$G$1592,MATCH("[6574,""S02a-TN1-37""]",'SKU明细'!$AE$9:$AE$1592,0))),"待核")</x:f>
        <x:v>2700</x:v>
      </x:c>
      <x:c r="J141" s="21" t="str">
        <x:f>"—"</x:f>
        <x:v>—</x:v>
      </x:c>
      <x:c r="K141" s="21" t="n">
        <x:f>IF(AND(COUNT(INDEX('SKU明细'!$H$9:$H$1592,MATCH("[6574,""S02a-TN1-38""]",'SKU明细'!$AE$9:$AE$1592,0)))=1,COUNT(INDEX('SKU明细'!$G$9:$G$1592,MATCH("[6574,""S02a-TN1-38""]",'SKU明细'!$AE$9:$AE$1592,0)))=1,SUM(INDEX('SKU明细'!$G$9:$G$1592,MATCH("[6574,""S02a-TN1-38""]",'SKU明细'!$AE$9:$AE$1592,0)))&gt;0),SUM(INDEX('SKU明细'!$H$9:$H$1592,MATCH("[6574,""S02a-TN1-38""]",'SKU明细'!$AE$9:$AE$1592,0)))/SUM(INDEX('SKU明细'!$G$9:$G$1592,MATCH("[6574,""S02a-TN1-38""]",'SKU明细'!$AE$9:$AE$1592,0))),"待核")</x:f>
        <x:v>509.09090909090907</x:v>
      </x:c>
      <x:c r="L141" s="21" t="str">
        <x:f>"—"</x:f>
        <x:v>—</x:v>
      </x:c>
      <x:c r="M141" s="21" t="n">
        <x:f>IF(AND(COUNT(INDEX('SKU明细'!$H$9:$H$1592,MATCH("[6574,""S02a-TN1-40""]",'SKU明细'!$AE$9:$AE$1592,0)))=1,COUNT(INDEX('SKU明细'!$G$9:$G$1592,MATCH("[6574,""S02a-TN1-40""]",'SKU明细'!$AE$9:$AE$1592,0)))=1,SUM(INDEX('SKU明细'!$G$9:$G$1592,MATCH("[6574,""S02a-TN1-40""]",'SKU明细'!$AE$9:$AE$1592,0)))&gt;0),SUM(INDEX('SKU明细'!$H$9:$H$1592,MATCH("[6574,""S02a-TN1-40""]",'SKU明细'!$AE$9:$AE$1592,0)))/SUM(INDEX('SKU明细'!$G$9:$G$1592,MATCH("[6574,""S02a-TN1-40""]",'SKU明细'!$AE$9:$AE$1592,0))),"待核")</x:f>
        <x:v>8.920985556499575</x:v>
      </x:c>
      <x:c r="N141" s="21" t="str">
        <x:f>"—"</x:f>
        <x:v>—</x:v>
      </x:c>
      <x:c r="O141" s="21" t="n">
        <x:f>IF(AND(COUNT(INDEX('SKU明细'!$H$9:$H$1592,MATCH("[6574,""S02a-TN1-41""]",'SKU明细'!$AE$9:$AE$1592,0)))=1,COUNT(INDEX('SKU明细'!$G$9:$G$1592,MATCH("[6574,""S02a-TN1-41""]",'SKU明细'!$AE$9:$AE$1592,0)))=1,SUM(INDEX('SKU明细'!$G$9:$G$1592,MATCH("[6574,""S02a-TN1-41""]",'SKU明细'!$AE$9:$AE$1592,0)))&gt;0),SUM(INDEX('SKU明细'!$H$9:$H$1592,MATCH("[6574,""S02a-TN1-41""]",'SKU明细'!$AE$9:$AE$1592,0)))/SUM(INDEX('SKU明细'!$G$9:$G$1592,MATCH("[6574,""S02a-TN1-41""]",'SKU明细'!$AE$9:$AE$1592,0))),"待核")</x:f>
        <x:v>47.87564766839378</x:v>
      </x:c>
      <x:c r="P141" s="21" t="str">
        <x:f>"—"</x:f>
        <x:v>—</x:v>
      </x:c>
      <x:c r="Q141" s="21" t="n">
        <x:f>IF(AND(COUNT(INDEX('SKU明细'!$H$9:$H$1592,MATCH("[6574,""S02a-TN1-42""]",'SKU明细'!$AE$9:$AE$1592,0)))=1,COUNT(INDEX('SKU明细'!$G$9:$G$1592,MATCH("[6574,""S02a-TN1-42""]",'SKU明细'!$AE$9:$AE$1592,0)))=1,SUM(INDEX('SKU明细'!$G$9:$G$1592,MATCH("[6574,""S02a-TN1-42""]",'SKU明细'!$AE$9:$AE$1592,0)))&gt;0),SUM(INDEX('SKU明细'!$H$9:$H$1592,MATCH("[6574,""S02a-TN1-42""]",'SKU明细'!$AE$9:$AE$1592,0)))/SUM(INDEX('SKU明细'!$G$9:$G$1592,MATCH("[6574,""S02a-TN1-42""]",'SKU明细'!$AE$9:$AE$1592,0))),"待核")</x:f>
        <x:v>79.67479674796748</x:v>
      </x:c>
      <x:c r="R141" s="21" t="str">
        <x:f>"—"</x:f>
        <x:v>—</x:v>
      </x:c>
      <x:c r="S141" s="21" t="str">
        <x:f>"—"</x:f>
        <x:v>—</x:v>
      </x:c>
      <x:c r="T141" s="21" t="str">
        <x:f>"—"</x:f>
        <x:v>—</x:v>
      </x:c>
      <x:c r="U141" s="21" t="str">
        <x:f>IF(COUNT(S141:T141)=2,S141-T141,"待核")</x:f>
        <x:v>待核</x:v>
      </x:c>
      <x:c r="V141" s="22" t="str">
        <x:f>IF(AND(ISNUMBER(U141),ISNUMBER(T141),T141&lt;&gt;0),U141/T141,"")</x:f>
      </x:c>
      <x:c r="W141" s="23" t="n">
        <x:f>IF(COUNT(INDEX('SKU明细'!$H$9:$H$1592,MATCH("[6574,""S02a-TN1-37""]",'SKU明细'!$AE$9:$AE$1592,0)),INDEX('SKU明细'!$H$9:$H$1592,MATCH("[6574,""S02a-TN1-38""]",'SKU明细'!$AE$9:$AE$1592,0)),INDEX('SKU明细'!$H$9:$H$1592,MATCH("[6574,""S02a-TN1-42""]",'SKU明细'!$AE$9:$AE$1592,0)),INDEX('SKU明细'!$H$9:$H$1592,MATCH("[6574,""S02a-TN1-40""]",'SKU明细'!$AE$9:$AE$1592,0)),INDEX('SKU明细'!$H$9:$H$1592,MATCH("[6574,""S02a-TN1-41""]",'SKU明细'!$AE$9:$AE$1592,0)))=0,"待核",SUM(INDEX('SKU明细'!$H$9:$H$1592,MATCH("[6574,""S02a-TN1-37""]",'SKU明细'!$AE$9:$AE$1592,0)),INDEX('SKU明细'!$H$9:$H$1592,MATCH("[6574,""S02a-TN1-38""]",'SKU明细'!$AE$9:$AE$1592,0)),INDEX('SKU明细'!$H$9:$H$1592,MATCH("[6574,""S02a-TN1-42""]",'SKU明细'!$AE$9:$AE$1592,0)),INDEX('SKU明细'!$H$9:$H$1592,MATCH("[6574,""S02a-TN1-40""]",'SKU明细'!$AE$9:$AE$1592,0)),INDEX('SKU明细'!$H$9:$H$1592,MATCH("[6574,""S02a-TN1-41""]",'SKU明细'!$AE$9:$AE$1592,0))))</x:f>
        <x:v>91</x:v>
      </x:c>
      <x:c r="X141" s="24" t="str">
        <x:f>IF(COUNTIFS('SKU明细'!$AH$9:$AH$1592,"[""S02a"",""S02a-TN1"",""TN1"",""驼色""]",'SKU明细'!$E$9:$E$1592,"促销")&gt;0,"促销 ","")&amp;IF(COUNTIFS('SKU明细'!$AH$9:$AH$1592,"[""S02a"",""S02a-TN1"",""TN1"",""驼色""]",'SKU明细'!$E$9:$E$1592,"红线促销")&gt;0,"红线促销 ","")&amp;IF(COUNTIFS('SKU明细'!$AH$9:$AH$1592,"[""S02a"",""S02a-TN1"",""TN1"",""驼色""]",'SKU明细'!$E$9:$E$1592,"考虑清仓")&gt;0,"考虑清仓 ","")&amp;IF(COUNTIFS('SKU明细'!$AH$9:$AH$1592,"[""S02a"",""S02a-TN1"",""TN1"",""驼色""]",'SKU明细'!$E$9:$E$1592,"断货")&gt;0,"断货 ","")&amp;IF(COUNTIFS('SKU明细'!$AH$9:$AH$1592,"[""S02a"",""S02a-TN1"",""TN1"",""驼色""]",'SKU明细'!$E$9:$E$1592,"零日销待复核")&gt;0,"零日销待复核 ","")&amp;IF(COUNTIFS('SKU明细'!$AH$9:$AH$1592,"[""S02a"",""S02a-TN1"",""TN1"",""驼色""]",'SKU明细'!$E$9:$E$1592,"数据待核")&gt;0,"数据待核 ","")&amp;IF(COUNTIFS('SKU明细'!$AH$9:$AH$1592,"[""S02a"",""S02a-TN1"",""TN1"",""驼色""]",'SKU明细'!$E$9:$E$1592,"正常库存")&gt;0,"正常库存 ","")&amp;IF(COUNTIFS('SKU明细'!$AH$9:$AH$1592,"[""S02a"",""S02a-TN1"",""TN1"",""驼色""]",'SKU明细'!$E$9:$E$1592,"补货提醒")&gt;0,"补货提醒 ","")</x:f>
        <x:v>考虑清仓 正常库存 补货提醒 </x:v>
      </x:c>
      <x:c r="Y141" s="24" t="str">
        <x:f>IF(NOT(ISNUMBER(U141)),"覆盖待核／无可比基准","仅共同SKU")</x:f>
        <x:v>覆盖待核／无可比基准</x:v>
      </x:c>
      <x:c r="Z141" s="24" t="str">
        <x:v>在售</x:v>
      </x:c>
      <x:c r="AA141" s="24" t="n">
        <x:f>IF(SUMIFS('SKU明细'!$AF$9:$AF$1592,'SKU明细'!$D$9:$D$1592,A141,'SKU明细'!$Z$9:$Z$1592,"&lt;&gt;移出")=0,"待核",SUMIFS('SKU明细'!$H$9:$H$1592,'SKU明细'!$D$9:$D$1592,A141,'SKU明细'!$Z$9:$Z$1592,"&lt;&gt;移出"))</x:f>
        <x:v>778</x:v>
      </x:c>
    </x:row>
    <x:row r="142" ht="54" customHeight="1">
      <x:c r="A142" s="20" t="str">
        <x:v>S02a</x:v>
      </x:c>
      <x:c r="B142" s="20" t="str">
        <x:v>陈晨</x:v>
      </x:c>
      <x:c r="C142" s="20" t="str">
        <x:v>白色PU</x:v>
      </x:c>
      <x:c r="D142" s="20" t="str">
        <x:v>WT</x:v>
      </x:c>
      <x:c r="E142" s="20" t="str">
        <x:v>S02a-WT</x:v>
      </x:c>
      <x:c r="F142" s="20"/>
      <x:c r="G142" s="21" t="str">
        <x:f>"—"</x:f>
        <x:v>—</x:v>
      </x:c>
      <x:c r="H142" s="21" t="str">
        <x:f>IF(AND(COUNT(INDEX('SKU明细'!$H$9:$H$1592,MATCH("[6574,""S02a-WT-37""]",'SKU明细'!$AE$9:$AE$1592,0)))=1,COUNT(INDEX('SKU明细'!$G$9:$G$1592,MATCH("[6574,""S02a-WT-37""]",'SKU明细'!$AE$9:$AE$1592,0)))=1,SUM(INDEX('SKU明细'!$G$9:$G$1592,MATCH("[6574,""S02a-WT-37""]",'SKU明细'!$AE$9:$AE$1592,0)))&gt;0),SUM(INDEX('SKU明细'!$H$9:$H$1592,MATCH("[6574,""S02a-WT-37""]",'SKU明细'!$AE$9:$AE$1592,0)))/SUM(INDEX('SKU明细'!$G$9:$G$1592,MATCH("[6574,""S02a-WT-37""]",'SKU明细'!$AE$9:$AE$1592,0))),"待核")</x:f>
        <x:v>待核</x:v>
      </x:c>
      <x:c r="I142" s="21" t="str">
        <x:f>"—"</x:f>
        <x:v>—</x:v>
      </x:c>
      <x:c r="J142" s="21" t="n">
        <x:f>IF(AND(COUNT(INDEX('SKU明细'!$H$9:$H$1592,MATCH("[6574,""S02a-WT-38""]",'SKU明细'!$AE$9:$AE$1592,0)))=1,COUNT(INDEX('SKU明细'!$G$9:$G$1592,MATCH("[6574,""S02a-WT-38""]",'SKU明细'!$AE$9:$AE$1592,0)))=1,SUM(INDEX('SKU明细'!$G$9:$G$1592,MATCH("[6574,""S02a-WT-38""]",'SKU明细'!$AE$9:$AE$1592,0)))&gt;0),SUM(INDEX('SKU明细'!$H$9:$H$1592,MATCH("[6574,""S02a-WT-38""]",'SKU明细'!$AE$9:$AE$1592,0)))/SUM(INDEX('SKU明细'!$G$9:$G$1592,MATCH("[6574,""S02a-WT-38""]",'SKU明细'!$AE$9:$AE$1592,0))),"待核")</x:f>
        <x:v>90.43062200956939</x:v>
      </x:c>
      <x:c r="K142" s="21" t="str">
        <x:f>"—"</x:f>
        <x:v>—</x:v>
      </x:c>
      <x:c r="L142" s="21" t="str">
        <x:f>IF(AND(COUNT(INDEX('SKU明细'!$H$9:$H$1592,MATCH("[6574,""S02a-WT-39""]",'SKU明细'!$AE$9:$AE$1592,0)))=1,COUNT(INDEX('SKU明细'!$G$9:$G$1592,MATCH("[6574,""S02a-WT-39""]",'SKU明细'!$AE$9:$AE$1592,0)))=1,SUM(INDEX('SKU明细'!$G$9:$G$1592,MATCH("[6574,""S02a-WT-39""]",'SKU明细'!$AE$9:$AE$1592,0)))&gt;0),SUM(INDEX('SKU明细'!$H$9:$H$1592,MATCH("[6574,""S02a-WT-39""]",'SKU明细'!$AE$9:$AE$1592,0)))/SUM(INDEX('SKU明细'!$G$9:$G$1592,MATCH("[6574,""S02a-WT-39""]",'SKU明细'!$AE$9:$AE$1592,0))),"待核")</x:f>
        <x:v>待核</x:v>
      </x:c>
      <x:c r="M142" s="21" t="str">
        <x:f>"—"</x:f>
        <x:v>—</x:v>
      </x:c>
      <x:c r="N142" s="21" t="str">
        <x:f>IF(AND(COUNT(INDEX('SKU明细'!$H$9:$H$1592,MATCH("[6574,""S02a-WT-40""]",'SKU明细'!$AE$9:$AE$1592,0)))=1,COUNT(INDEX('SKU明细'!$G$9:$G$1592,MATCH("[6574,""S02a-WT-40""]",'SKU明细'!$AE$9:$AE$1592,0)))=1,SUM(INDEX('SKU明细'!$G$9:$G$1592,MATCH("[6574,""S02a-WT-40""]",'SKU明细'!$AE$9:$AE$1592,0)))&gt;0),SUM(INDEX('SKU明细'!$H$9:$H$1592,MATCH("[6574,""S02a-WT-40""]",'SKU明细'!$AE$9:$AE$1592,0)))/SUM(INDEX('SKU明细'!$G$9:$G$1592,MATCH("[6574,""S02a-WT-40""]",'SKU明细'!$AE$9:$AE$1592,0))),"待核")</x:f>
        <x:v>待核</x:v>
      </x:c>
      <x:c r="O142" s="21" t="str">
        <x:f>"—"</x:f>
        <x:v>—</x:v>
      </x:c>
      <x:c r="P142" s="21" t="str">
        <x:f>IF(AND(COUNT(INDEX('SKU明细'!$H$9:$H$1592,MATCH("[6574,""S02a-WT-41""]",'SKU明细'!$AE$9:$AE$1592,0)))=1,COUNT(INDEX('SKU明细'!$G$9:$G$1592,MATCH("[6574,""S02a-WT-41""]",'SKU明细'!$AE$9:$AE$1592,0)))=1,SUM(INDEX('SKU明细'!$G$9:$G$1592,MATCH("[6574,""S02a-WT-41""]",'SKU明细'!$AE$9:$AE$1592,0)))&gt;0),SUM(INDEX('SKU明细'!$H$9:$H$1592,MATCH("[6574,""S02a-WT-41""]",'SKU明细'!$AE$9:$AE$1592,0)))/SUM(INDEX('SKU明细'!$G$9:$G$1592,MATCH("[6574,""S02a-WT-41""]",'SKU明细'!$AE$9:$AE$1592,0))),"待核")</x:f>
        <x:v>待核</x:v>
      </x:c>
      <x:c r="Q142" s="21" t="str">
        <x:f>"—"</x:f>
        <x:v>—</x:v>
      </x:c>
      <x:c r="R142" s="21" t="str">
        <x:f>IF(AND(COUNT(INDEX('SKU明细'!$H$9:$H$1592,MATCH("[6574,""S02a-WT-42""]",'SKU明细'!$AE$9:$AE$1592,0)))=1,COUNT(INDEX('SKU明细'!$G$9:$G$1592,MATCH("[6574,""S02a-WT-42""]",'SKU明细'!$AE$9:$AE$1592,0)))=1,SUM(INDEX('SKU明细'!$G$9:$G$1592,MATCH("[6574,""S02a-WT-42""]",'SKU明细'!$AE$9:$AE$1592,0)))&gt;0),SUM(INDEX('SKU明细'!$H$9:$H$1592,MATCH("[6574,""S02a-WT-42""]",'SKU明细'!$AE$9:$AE$1592,0)))/SUM(INDEX('SKU明细'!$G$9:$G$1592,MATCH("[6574,""S02a-WT-42""]",'SKU明细'!$AE$9:$AE$1592,0))),"待核")</x:f>
        <x:v>待核</x:v>
      </x:c>
      <x:c r="S142" s="21" t="n">
        <x:f>IF(AND(COUNT(INDEX('SKU明细'!$H$9:$H$1592,MATCH("[6574,""S02a-WT-38""]",'SKU明细'!$AE$9:$AE$1592,0)),INDEX('SKU明细'!$H$9:$H$1592,MATCH("[6574,""S02a-WT-37""]",'SKU明细'!$AE$9:$AE$1592,0)),INDEX('SKU明细'!$H$9:$H$1592,MATCH("[6574,""S02a-WT-39""]",'SKU明细'!$AE$9:$AE$1592,0)),INDEX('SKU明细'!$H$9:$H$1592,MATCH("[6574,""S02a-WT-40""]",'SKU明细'!$AE$9:$AE$1592,0)),INDEX('SKU明细'!$H$9:$H$1592,MATCH("[6574,""S02a-WT-41""]",'SKU明细'!$AE$9:$AE$1592,0)),INDEX('SKU明细'!$H$9:$H$1592,MATCH("[6574,""S02a-WT-42""]",'SKU明细'!$AE$9:$AE$1592,0)))=6,COUNT(INDEX('SKU明细'!$G$9:$G$1592,MATCH("[6574,""S02a-WT-38""]",'SKU明细'!$AE$9:$AE$1592,0)),INDEX('SKU明细'!$G$9:$G$1592,MATCH("[6574,""S02a-WT-37""]",'SKU明细'!$AE$9:$AE$1592,0)),INDEX('SKU明细'!$G$9:$G$1592,MATCH("[6574,""S02a-WT-39""]",'SKU明细'!$AE$9:$AE$1592,0)),INDEX('SKU明细'!$G$9:$G$1592,MATCH("[6574,""S02a-WT-40""]",'SKU明细'!$AE$9:$AE$1592,0)),INDEX('SKU明细'!$G$9:$G$1592,MATCH("[6574,""S02a-WT-41""]",'SKU明细'!$AE$9:$AE$1592,0)),INDEX('SKU明细'!$G$9:$G$1592,MATCH("[6574,""S02a-WT-42""]",'SKU明细'!$AE$9:$AE$1592,0)))=6,SUM(INDEX('SKU明细'!$G$9:$G$1592,MATCH("[6574,""S02a-WT-38""]",'SKU明细'!$AE$9:$AE$1592,0)),INDEX('SKU明细'!$G$9:$G$1592,MATCH("[6574,""S02a-WT-37""]",'SKU明细'!$AE$9:$AE$1592,0)),INDEX('SKU明细'!$G$9:$G$1592,MATCH("[6574,""S02a-WT-39""]",'SKU明细'!$AE$9:$AE$1592,0)),INDEX('SKU明细'!$G$9:$G$1592,MATCH("[6574,""S02a-WT-40""]",'SKU明细'!$AE$9:$AE$1592,0)),INDEX('SKU明细'!$G$9:$G$1592,MATCH("[6574,""S02a-WT-41""]",'SKU明细'!$AE$9:$AE$1592,0)),INDEX('SKU明细'!$G$9:$G$1592,MATCH("[6574,""S02a-WT-42""]",'SKU明细'!$AE$9:$AE$1592,0)))&gt;0),SUM(INDEX('SKU明细'!$H$9:$H$1592,MATCH("[6574,""S02a-WT-38""]",'SKU明细'!$AE$9:$AE$1592,0)),INDEX('SKU明细'!$H$9:$H$1592,MATCH("[6574,""S02a-WT-37""]",'SKU明细'!$AE$9:$AE$1592,0)),INDEX('SKU明细'!$H$9:$H$1592,MATCH("[6574,""S02a-WT-39""]",'SKU明细'!$AE$9:$AE$1592,0)),INDEX('SKU明细'!$H$9:$H$1592,MATCH("[6574,""S02a-WT-40""]",'SKU明细'!$AE$9:$AE$1592,0)),INDEX('SKU明细'!$H$9:$H$1592,MATCH("[6574,""S02a-WT-41""]",'SKU明细'!$AE$9:$AE$1592,0)),INDEX('SKU明细'!$H$9:$H$1592,MATCH("[6574,""S02a-WT-42""]",'SKU明细'!$AE$9:$AE$1592,0)))/SUM(INDEX('SKU明细'!$G$9:$G$1592,MATCH("[6574,""S02a-WT-38""]",'SKU明细'!$AE$9:$AE$1592,0)),INDEX('SKU明细'!$G$9:$G$1592,MATCH("[6574,""S02a-WT-37""]",'SKU明细'!$AE$9:$AE$1592,0)),INDEX('SKU明细'!$G$9:$G$1592,MATCH("[6574,""S02a-WT-39""]",'SKU明细'!$AE$9:$AE$1592,0)),INDEX('SKU明细'!$G$9:$G$1592,MATCH("[6574,""S02a-WT-40""]",'SKU明细'!$AE$9:$AE$1592,0)),INDEX('SKU明细'!$G$9:$G$1592,MATCH("[6574,""S02a-WT-41""]",'SKU明细'!$AE$9:$AE$1592,0)),INDEX('SKU明细'!$G$9:$G$1592,MATCH("[6574,""S02a-WT-42""]",'SKU明细'!$AE$9:$AE$1592,0))),"待核")</x:f>
        <x:v>673.2057416267943</x:v>
      </x:c>
      <x:c r="T142" s="21" t="str">
        <x:f>IF(AND(COUNT(INDEX('SKU明细'!$I$9:$I$1592,MATCH("[6574,""S02a-WT-38""]",'SKU明细'!$AE$9:$AE$1592,0)),INDEX('SKU明细'!$I$9:$I$1592,MATCH("[6574,""S02a-WT-37""]",'SKU明细'!$AE$9:$AE$1592,0)),INDEX('SKU明细'!$I$9:$I$1592,MATCH("[6574,""S02a-WT-39""]",'SKU明细'!$AE$9:$AE$1592,0)),INDEX('SKU明细'!$I$9:$I$1592,MATCH("[6574,""S02a-WT-40""]",'SKU明细'!$AE$9:$AE$1592,0)),INDEX('SKU明细'!$I$9:$I$1592,MATCH("[6574,""S02a-WT-41""]",'SKU明细'!$AE$9:$AE$1592,0)),INDEX('SKU明细'!$I$9:$I$1592,MATCH("[6574,""S02a-WT-42""]",'SKU明细'!$AE$9:$AE$1592,0)))=6,COUNT(INDEX('SKU明细'!$AD$9:$AD$1592,MATCH("[6574,""S02a-WT-38""]",'SKU明细'!$AE$9:$AE$1592,0)),INDEX('SKU明细'!$AD$9:$AD$1592,MATCH("[6574,""S02a-WT-37""]",'SKU明细'!$AE$9:$AE$1592,0)),INDEX('SKU明细'!$AD$9:$AD$1592,MATCH("[6574,""S02a-WT-39""]",'SKU明细'!$AE$9:$AE$1592,0)),INDEX('SKU明细'!$AD$9:$AD$1592,MATCH("[6574,""S02a-WT-40""]",'SKU明细'!$AE$9:$AE$1592,0)),INDEX('SKU明细'!$AD$9:$AD$1592,MATCH("[6574,""S02a-WT-41""]",'SKU明细'!$AE$9:$AE$1592,0)),INDEX('SKU明细'!$AD$9:$AD$1592,MATCH("[6574,""S02a-WT-42""]",'SKU明细'!$AE$9:$AE$1592,0)))=6,SUM(INDEX('SKU明细'!$AD$9:$AD$1592,MATCH("[6574,""S02a-WT-38""]",'SKU明细'!$AE$9:$AE$1592,0)),INDEX('SKU明细'!$AD$9:$AD$1592,MATCH("[6574,""S02a-WT-37""]",'SKU明细'!$AE$9:$AE$1592,0)),INDEX('SKU明细'!$AD$9:$AD$1592,MATCH("[6574,""S02a-WT-39""]",'SKU明细'!$AE$9:$AE$1592,0)),INDEX('SKU明细'!$AD$9:$AD$1592,MATCH("[6574,""S02a-WT-40""]",'SKU明细'!$AE$9:$AE$1592,0)),INDEX('SKU明细'!$AD$9:$AD$1592,MATCH("[6574,""S02a-WT-41""]",'SKU明细'!$AE$9:$AE$1592,0)),INDEX('SKU明细'!$AD$9:$AD$1592,MATCH("[6574,""S02a-WT-42""]",'SKU明细'!$AE$9:$AE$1592,0)))&gt;0),SUM(INDEX('SKU明细'!$I$9:$I$1592,MATCH("[6574,""S02a-WT-38""]",'SKU明细'!$AE$9:$AE$1592,0)),INDEX('SKU明细'!$I$9:$I$1592,MATCH("[6574,""S02a-WT-37""]",'SKU明细'!$AE$9:$AE$1592,0)),INDEX('SKU明细'!$I$9:$I$1592,MATCH("[6574,""S02a-WT-39""]",'SKU明细'!$AE$9:$AE$1592,0)),INDEX('SKU明细'!$I$9:$I$1592,MATCH("[6574,""S02a-WT-40""]",'SKU明细'!$AE$9:$AE$1592,0)),INDEX('SKU明细'!$I$9:$I$1592,MATCH("[6574,""S02a-WT-41""]",'SKU明细'!$AE$9:$AE$1592,0)),INDEX('SKU明细'!$I$9:$I$1592,MATCH("[6574,""S02a-WT-42""]",'SKU明细'!$AE$9:$AE$1592,0)))/SUM(INDEX('SKU明细'!$AD$9:$AD$1592,MATCH("[6574,""S02a-WT-38""]",'SKU明细'!$AE$9:$AE$1592,0)),INDEX('SKU明细'!$AD$9:$AD$1592,MATCH("[6574,""S02a-WT-37""]",'SKU明细'!$AE$9:$AE$1592,0)),INDEX('SKU明细'!$AD$9:$AD$1592,MATCH("[6574,""S02a-WT-39""]",'SKU明细'!$AE$9:$AE$1592,0)),INDEX('SKU明细'!$AD$9:$AD$1592,MATCH("[6574,""S02a-WT-40""]",'SKU明细'!$AE$9:$AE$1592,0)),INDEX('SKU明细'!$AD$9:$AD$1592,MATCH("[6574,""S02a-WT-41""]",'SKU明细'!$AE$9:$AE$1592,0)),INDEX('SKU明细'!$AD$9:$AD$1592,MATCH("[6574,""S02a-WT-42""]",'SKU明细'!$AE$9:$AE$1592,0))),"待核")</x:f>
        <x:v>待核</x:v>
      </x:c>
      <x:c r="U142" s="21" t="str">
        <x:f>IF(COUNT(S142:T142)=2,S142-T142,"待核")</x:f>
        <x:v>待核</x:v>
      </x:c>
      <x:c r="V142" s="22" t="str">
        <x:f>IF(AND(ISNUMBER(U142),ISNUMBER(T142),T142&lt;&gt;0),U142/T142,"")</x:f>
      </x:c>
      <x:c r="W142" s="23" t="n">
        <x:f>IF(COUNT(INDEX('SKU明细'!$H$9:$H$1592,MATCH("[6574,""S02a-WT-38""]",'SKU明细'!$AE$9:$AE$1592,0)),INDEX('SKU明细'!$H$9:$H$1592,MATCH("[6574,""S02a-WT-37""]",'SKU明细'!$AE$9:$AE$1592,0)),INDEX('SKU明细'!$H$9:$H$1592,MATCH("[6574,""S02a-WT-39""]",'SKU明细'!$AE$9:$AE$1592,0)),INDEX('SKU明细'!$H$9:$H$1592,MATCH("[6574,""S02a-WT-40""]",'SKU明细'!$AE$9:$AE$1592,0)),INDEX('SKU明细'!$H$9:$H$1592,MATCH("[6574,""S02a-WT-41""]",'SKU明细'!$AE$9:$AE$1592,0)),INDEX('SKU明细'!$H$9:$H$1592,MATCH("[6574,""S02a-WT-42""]",'SKU明细'!$AE$9:$AE$1592,0)))=0,"待核",SUM(INDEX('SKU明细'!$H$9:$H$1592,MATCH("[6574,""S02a-WT-38""]",'SKU明细'!$AE$9:$AE$1592,0)),INDEX('SKU明细'!$H$9:$H$1592,MATCH("[6574,""S02a-WT-37""]",'SKU明细'!$AE$9:$AE$1592,0)),INDEX('SKU明细'!$H$9:$H$1592,MATCH("[6574,""S02a-WT-39""]",'SKU明细'!$AE$9:$AE$1592,0)),INDEX('SKU明细'!$H$9:$H$1592,MATCH("[6574,""S02a-WT-40""]",'SKU明细'!$AE$9:$AE$1592,0)),INDEX('SKU明细'!$H$9:$H$1592,MATCH("[6574,""S02a-WT-41""]",'SKU明细'!$AE$9:$AE$1592,0)),INDEX('SKU明细'!$H$9:$H$1592,MATCH("[6574,""S02a-WT-42""]",'SKU明细'!$AE$9:$AE$1592,0))))</x:f>
        <x:v>67</x:v>
      </x:c>
      <x:c r="X142" s="24" t="str">
        <x:f>IF(COUNTIFS('SKU明细'!$AH$9:$AH$1592,"[""S02a"",""S02a-WT"",""WT"",""白色PU""]",'SKU明细'!$E$9:$E$1592,"促销")&gt;0,"促销 ","")&amp;IF(COUNTIFS('SKU明细'!$AH$9:$AH$1592,"[""S02a"",""S02a-WT"",""WT"",""白色PU""]",'SKU明细'!$E$9:$E$1592,"红线促销")&gt;0,"红线促销 ","")&amp;IF(COUNTIFS('SKU明细'!$AH$9:$AH$1592,"[""S02a"",""S02a-WT"",""WT"",""白色PU""]",'SKU明细'!$E$9:$E$1592,"考虑清仓")&gt;0,"考虑清仓 ","")&amp;IF(COUNTIFS('SKU明细'!$AH$9:$AH$1592,"[""S02a"",""S02a-WT"",""WT"",""白色PU""]",'SKU明细'!$E$9:$E$1592,"断货")&gt;0,"断货 ","")&amp;IF(COUNTIFS('SKU明细'!$AH$9:$AH$1592,"[""S02a"",""S02a-WT"",""WT"",""白色PU""]",'SKU明细'!$E$9:$E$1592,"零日销待复核")&gt;0,"零日销待复核 ","")&amp;IF(COUNTIFS('SKU明细'!$AH$9:$AH$1592,"[""S02a"",""S02a-WT"",""WT"",""白色PU""]",'SKU明细'!$E$9:$E$1592,"数据待核")&gt;0,"数据待核 ","")&amp;IF(COUNTIFS('SKU明细'!$AH$9:$AH$1592,"[""S02a"",""S02a-WT"",""WT"",""白色PU""]",'SKU明细'!$E$9:$E$1592,"正常库存")&gt;0,"正常库存 ","")&amp;IF(COUNTIFS('SKU明细'!$AH$9:$AH$1592,"[""S02a"",""S02a-WT"",""WT"",""白色PU""]",'SKU明细'!$E$9:$E$1592,"补货提醒")&gt;0,"补货提醒 ","")</x:f>
        <x:v>促销 零日销待复核 </x:v>
      </x:c>
      <x:c r="Y142" s="24" t="str">
        <x:f>IF(NOT(ISNUMBER(U142)),"覆盖待核／无可比基准","完整可比")</x:f>
        <x:v>覆盖待核／无可比基准</x:v>
      </x:c>
      <x:c r="Z142" s="24" t="str">
        <x:v>在售</x:v>
      </x:c>
      <x:c r="AA142" s="24" t="n">
        <x:f>IF(SUMIFS('SKU明细'!$AF$9:$AF$1592,'SKU明细'!$D$9:$D$1592,A142,'SKU明细'!$Z$9:$Z$1592,"&lt;&gt;移出")=0,"待核",SUMIFS('SKU明细'!$H$9:$H$1592,'SKU明细'!$D$9:$D$1592,A142,'SKU明细'!$Z$9:$Z$1592,"&lt;&gt;移出"))</x:f>
        <x:v>778</x:v>
      </x:c>
    </x:row>
    <x:row r="143" ht="54" customHeight="1">
      <x:c r="A143" s="20" t="str">
        <x:v>S02a</x:v>
      </x:c>
      <x:c r="B143" s="20" t="str">
        <x:v>陈晨</x:v>
      </x:c>
      <x:c r="C143" s="20" t="str">
        <x:v>白色PU</x:v>
      </x:c>
      <x:c r="D143" s="20" t="str">
        <x:v>WT1</x:v>
      </x:c>
      <x:c r="E143" s="20" t="str">
        <x:v>S02a-WT1</x:v>
      </x:c>
      <x:c r="F143" s="20"/>
      <x:c r="G143" s="21" t="str">
        <x:f>"—"</x:f>
        <x:v>—</x:v>
      </x:c>
      <x:c r="H143" s="21" t="str">
        <x:f>"—"</x:f>
        <x:v>—</x:v>
      </x:c>
      <x:c r="I143" s="21" t="str">
        <x:f>IF(AND(COUNT(INDEX('SKU明细'!$H$9:$H$1592,MATCH("[6574,""S02a-WT1-37""]",'SKU明细'!$AE$9:$AE$1592,0)))=1,COUNT(INDEX('SKU明细'!$G$9:$G$1592,MATCH("[6574,""S02a-WT1-37""]",'SKU明细'!$AE$9:$AE$1592,0)))=1,SUM(INDEX('SKU明细'!$G$9:$G$1592,MATCH("[6574,""S02a-WT1-37""]",'SKU明细'!$AE$9:$AE$1592,0)))&gt;0),SUM(INDEX('SKU明细'!$H$9:$H$1592,MATCH("[6574,""S02a-WT1-37""]",'SKU明细'!$AE$9:$AE$1592,0)))/SUM(INDEX('SKU明细'!$G$9:$G$1592,MATCH("[6574,""S02a-WT1-37""]",'SKU明细'!$AE$9:$AE$1592,0))),"待核")</x:f>
        <x:v>待核</x:v>
      </x:c>
      <x:c r="J143" s="21" t="str">
        <x:f>"—"</x:f>
        <x:v>—</x:v>
      </x:c>
      <x:c r="K143" s="21" t="str">
        <x:f>"—"</x:f>
        <x:v>—</x:v>
      </x:c>
      <x:c r="L143" s="21" t="str">
        <x:f>"—"</x:f>
        <x:v>—</x:v>
      </x:c>
      <x:c r="M143" s="21" t="str">
        <x:f>IF(AND(COUNT(INDEX('SKU明细'!$H$9:$H$1592,MATCH("[6574,""S02a-WT1-40""]",'SKU明细'!$AE$9:$AE$1592,0)))=1,COUNT(INDEX('SKU明细'!$G$9:$G$1592,MATCH("[6574,""S02a-WT1-40""]",'SKU明细'!$AE$9:$AE$1592,0)))=1,SUM(INDEX('SKU明细'!$G$9:$G$1592,MATCH("[6574,""S02a-WT1-40""]",'SKU明细'!$AE$9:$AE$1592,0)))&gt;0),SUM(INDEX('SKU明细'!$H$9:$H$1592,MATCH("[6574,""S02a-WT1-40""]",'SKU明细'!$AE$9:$AE$1592,0)))/SUM(INDEX('SKU明细'!$G$9:$G$1592,MATCH("[6574,""S02a-WT1-40""]",'SKU明细'!$AE$9:$AE$1592,0))),"待核")</x:f>
        <x:v>待核</x:v>
      </x:c>
      <x:c r="N143" s="21" t="str">
        <x:f>"—"</x:f>
        <x:v>—</x:v>
      </x:c>
      <x:c r="O143" s="21" t="str">
        <x:f>"—"</x:f>
        <x:v>—</x:v>
      </x:c>
      <x:c r="P143" s="21" t="str">
        <x:f>"—"</x:f>
        <x:v>—</x:v>
      </x:c>
      <x:c r="Q143" s="21" t="str">
        <x:f>IF(AND(COUNT(INDEX('SKU明细'!$H$9:$H$1592,MATCH("[6574,""S02a-WT1-42""]",'SKU明细'!$AE$9:$AE$1592,0)))=1,COUNT(INDEX('SKU明细'!$G$9:$G$1592,MATCH("[6574,""S02a-WT1-42""]",'SKU明细'!$AE$9:$AE$1592,0)))=1,SUM(INDEX('SKU明细'!$G$9:$G$1592,MATCH("[6574,""S02a-WT1-42""]",'SKU明细'!$AE$9:$AE$1592,0)))&gt;0),SUM(INDEX('SKU明细'!$H$9:$H$1592,MATCH("[6574,""S02a-WT1-42""]",'SKU明细'!$AE$9:$AE$1592,0)))/SUM(INDEX('SKU明细'!$G$9:$G$1592,MATCH("[6574,""S02a-WT1-42""]",'SKU明细'!$AE$9:$AE$1592,0))),"待核")</x:f>
        <x:v>待核</x:v>
      </x:c>
      <x:c r="R143" s="21" t="str">
        <x:f>"—"</x:f>
        <x:v>—</x:v>
      </x:c>
      <x:c r="S143" s="21" t="str">
        <x:f>"—"</x:f>
        <x:v>—</x:v>
      </x:c>
      <x:c r="T143" s="21" t="str">
        <x:f>"—"</x:f>
        <x:v>—</x:v>
      </x:c>
      <x:c r="U143" s="21" t="str">
        <x:f>IF(COUNT(S143:T143)=2,S143-T143,"待核")</x:f>
        <x:v>待核</x:v>
      </x:c>
      <x:c r="V143" s="22" t="str">
        <x:f>IF(AND(ISNUMBER(U143),ISNUMBER(T143),T143&lt;&gt;0),U143/T143,"")</x:f>
      </x:c>
      <x:c r="W143" s="23" t="n">
        <x:f>IF(COUNT(INDEX('SKU明细'!$H$9:$H$1592,MATCH("[6574,""S02a-WT1-37""]",'SKU明细'!$AE$9:$AE$1592,0)),INDEX('SKU明细'!$H$9:$H$1592,MATCH("[6574,""S02a-WT1-40""]",'SKU明细'!$AE$9:$AE$1592,0)),INDEX('SKU明细'!$H$9:$H$1592,MATCH("[6574,""S02a-WT1-42""]",'SKU明细'!$AE$9:$AE$1592,0)))=0,"待核",SUM(INDEX('SKU明细'!$H$9:$H$1592,MATCH("[6574,""S02a-WT1-37""]",'SKU明细'!$AE$9:$AE$1592,0)),INDEX('SKU明细'!$H$9:$H$1592,MATCH("[6574,""S02a-WT1-40""]",'SKU明细'!$AE$9:$AE$1592,0)),INDEX('SKU明细'!$H$9:$H$1592,MATCH("[6574,""S02a-WT1-42""]",'SKU明细'!$AE$9:$AE$1592,0))))</x:f>
        <x:v>35</x:v>
      </x:c>
      <x:c r="X143" s="24" t="str">
        <x:f>IF(COUNTIFS('SKU明细'!$AH$9:$AH$1592,"[""S02a"",""S02a-WT1"",""WT1"",""白色PU""]",'SKU明细'!$E$9:$E$1592,"促销")&gt;0,"促销 ","")&amp;IF(COUNTIFS('SKU明细'!$AH$9:$AH$1592,"[""S02a"",""S02a-WT1"",""WT1"",""白色PU""]",'SKU明细'!$E$9:$E$1592,"红线促销")&gt;0,"红线促销 ","")&amp;IF(COUNTIFS('SKU明细'!$AH$9:$AH$1592,"[""S02a"",""S02a-WT1"",""WT1"",""白色PU""]",'SKU明细'!$E$9:$E$1592,"考虑清仓")&gt;0,"考虑清仓 ","")&amp;IF(COUNTIFS('SKU明细'!$AH$9:$AH$1592,"[""S02a"",""S02a-WT1"",""WT1"",""白色PU""]",'SKU明细'!$E$9:$E$1592,"断货")&gt;0,"断货 ","")&amp;IF(COUNTIFS('SKU明细'!$AH$9:$AH$1592,"[""S02a"",""S02a-WT1"",""WT1"",""白色PU""]",'SKU明细'!$E$9:$E$1592,"零日销待复核")&gt;0,"零日销待复核 ","")&amp;IF(COUNTIFS('SKU明细'!$AH$9:$AH$1592,"[""S02a"",""S02a-WT1"",""WT1"",""白色PU""]",'SKU明细'!$E$9:$E$1592,"数据待核")&gt;0,"数据待核 ","")&amp;IF(COUNTIFS('SKU明细'!$AH$9:$AH$1592,"[""S02a"",""S02a-WT1"",""WT1"",""白色PU""]",'SKU明细'!$E$9:$E$1592,"正常库存")&gt;0,"正常库存 ","")&amp;IF(COUNTIFS('SKU明细'!$AH$9:$AH$1592,"[""S02a"",""S02a-WT1"",""WT1"",""白色PU""]",'SKU明细'!$E$9:$E$1592,"补货提醒")&gt;0,"补货提醒 ","")</x:f>
        <x:v>断货 零日销待复核 </x:v>
      </x:c>
      <x:c r="Y143" s="24" t="str">
        <x:f>IF(NOT(ISNUMBER(U143)),"覆盖待核／无可比基准","仅共同SKU")</x:f>
        <x:v>覆盖待核／无可比基准</x:v>
      </x:c>
      <x:c r="Z143" s="24" t="str">
        <x:v>在售</x:v>
      </x:c>
      <x:c r="AA143" s="24" t="n">
        <x:f>IF(SUMIFS('SKU明细'!$AF$9:$AF$1592,'SKU明细'!$D$9:$D$1592,A143,'SKU明细'!$Z$9:$Z$1592,"&lt;&gt;移出")=0,"待核",SUMIFS('SKU明细'!$H$9:$H$1592,'SKU明细'!$D$9:$D$1592,A143,'SKU明细'!$Z$9:$Z$1592,"&lt;&gt;移出"))</x:f>
        <x:v>778</x:v>
      </x:c>
    </x:row>
    <x:row r="144" ht="54" customHeight="1">
      <x:c r="A144" s="15" t="str">
        <x:v>S02b</x:v>
      </x:c>
      <x:c r="B144" s="15" t="str">
        <x:v>陈晨</x:v>
      </x:c>
      <x:c r="C144" s="15" t="str">
        <x:v>黑色</x:v>
      </x:c>
      <x:c r="D144" s="15" t="str">
        <x:v>BK</x:v>
      </x:c>
      <x:c r="E144" s="15" t="str">
        <x:v>S02b-BK</x:v>
      </x:c>
      <x:c r="F144" s="15"/>
      <x:c r="G144" s="16" t="str">
        <x:f>"—"</x:f>
        <x:v>—</x:v>
      </x:c>
      <x:c r="H144" s="16" t="n">
        <x:f>IF(AND(COUNT(INDEX('SKU明细'!$H$9:$H$1592,MATCH("[6574,""S02b-BK-37""]",'SKU明细'!$AE$9:$AE$1592,0)))=1,COUNT(INDEX('SKU明细'!$G$9:$G$1592,MATCH("[6574,""S02b-BK-37""]",'SKU明细'!$AE$9:$AE$1592,0)))=1,SUM(INDEX('SKU明细'!$G$9:$G$1592,MATCH("[6574,""S02b-BK-37""]",'SKU明细'!$AE$9:$AE$1592,0)))&gt;0),SUM(INDEX('SKU明细'!$H$9:$H$1592,MATCH("[6574,""S02b-BK-37""]",'SKU明细'!$AE$9:$AE$1592,0)))/SUM(INDEX('SKU明细'!$G$9:$G$1592,MATCH("[6574,""S02b-BK-37""]",'SKU明细'!$AE$9:$AE$1592,0))),"待核")</x:f>
        <x:v>2358.9041095890416</x:v>
      </x:c>
      <x:c r="I144" s="16" t="str">
        <x:f>"—"</x:f>
        <x:v>—</x:v>
      </x:c>
      <x:c r="J144" s="16" t="n">
        <x:f>IF(AND(COUNT(INDEX('SKU明细'!$H$9:$H$1592,MATCH("[6574,""S02b-BK-38""]",'SKU明细'!$AE$9:$AE$1592,0)))=1,COUNT(INDEX('SKU明细'!$G$9:$G$1592,MATCH("[6574,""S02b-BK-38""]",'SKU明细'!$AE$9:$AE$1592,0)))=1,SUM(INDEX('SKU明细'!$G$9:$G$1592,MATCH("[6574,""S02b-BK-38""]",'SKU明细'!$AE$9:$AE$1592,0)))&gt;0),SUM(INDEX('SKU明细'!$H$9:$H$1592,MATCH("[6574,""S02b-BK-38""]",'SKU明细'!$AE$9:$AE$1592,0)))/SUM(INDEX('SKU明细'!$G$9:$G$1592,MATCH("[6574,""S02b-BK-38""]",'SKU明细'!$AE$9:$AE$1592,0))),"待核")</x:f>
        <x:v>7.692307692307692</x:v>
      </x:c>
      <x:c r="K144" s="16" t="str">
        <x:f>"—"</x:f>
        <x:v>—</x:v>
      </x:c>
      <x:c r="L144" s="16" t="n">
        <x:f>IF(AND(COUNT(INDEX('SKU明细'!$H$9:$H$1592,MATCH("[6574,""S02b-BK-39""]",'SKU明细'!$AE$9:$AE$1592,0)))=1,COUNT(INDEX('SKU明细'!$G$9:$G$1592,MATCH("[6574,""S02b-BK-39""]",'SKU明细'!$AE$9:$AE$1592,0)))=1,SUM(INDEX('SKU明细'!$G$9:$G$1592,MATCH("[6574,""S02b-BK-39""]",'SKU明细'!$AE$9:$AE$1592,0)))&gt;0),SUM(INDEX('SKU明细'!$H$9:$H$1592,MATCH("[6574,""S02b-BK-39""]",'SKU明细'!$AE$9:$AE$1592,0)))/SUM(INDEX('SKU明细'!$G$9:$G$1592,MATCH("[6574,""S02b-BK-39""]",'SKU明细'!$AE$9:$AE$1592,0))),"待核")</x:f>
        <x:v>61.76470588235294</x:v>
      </x:c>
      <x:c r="M144" s="16" t="str">
        <x:f>"—"</x:f>
        <x:v>—</x:v>
      </x:c>
      <x:c r="N144" s="16" t="n">
        <x:f>IF(AND(COUNT(INDEX('SKU明细'!$H$9:$H$1592,MATCH("[6574,""S02b-BK-40""]",'SKU明细'!$AE$9:$AE$1592,0)))=1,COUNT(INDEX('SKU明细'!$G$9:$G$1592,MATCH("[6574,""S02b-BK-40""]",'SKU明细'!$AE$9:$AE$1592,0)))=1,SUM(INDEX('SKU明细'!$G$9:$G$1592,MATCH("[6574,""S02b-BK-40""]",'SKU明细'!$AE$9:$AE$1592,0)))&gt;0),SUM(INDEX('SKU明细'!$H$9:$H$1592,MATCH("[6574,""S02b-BK-40""]",'SKU明细'!$AE$9:$AE$1592,0)))/SUM(INDEX('SKU明细'!$G$9:$G$1592,MATCH("[6574,""S02b-BK-40""]",'SKU明细'!$AE$9:$AE$1592,0))),"待核")</x:f>
        <x:v>74.83296213808464</x:v>
      </x:c>
      <x:c r="O144" s="16" t="str">
        <x:f>"—"</x:f>
        <x:v>—</x:v>
      </x:c>
      <x:c r="P144" s="16" t="n">
        <x:f>IF(AND(COUNT(INDEX('SKU明细'!$H$9:$H$1592,MATCH("[6574,""S02b-BK-41""]",'SKU明细'!$AE$9:$AE$1592,0)))=1,COUNT(INDEX('SKU明细'!$G$9:$G$1592,MATCH("[6574,""S02b-BK-41""]",'SKU明细'!$AE$9:$AE$1592,0)))=1,SUM(INDEX('SKU明细'!$G$9:$G$1592,MATCH("[6574,""S02b-BK-41""]",'SKU明细'!$AE$9:$AE$1592,0)))&gt;0),SUM(INDEX('SKU明细'!$H$9:$H$1592,MATCH("[6574,""S02b-BK-41""]",'SKU明细'!$AE$9:$AE$1592,0)))/SUM(INDEX('SKU明细'!$G$9:$G$1592,MATCH("[6574,""S02b-BK-41""]",'SKU明细'!$AE$9:$AE$1592,0))),"待核")</x:f>
        <x:v>0</x:v>
      </x:c>
      <x:c r="Q144" s="16" t="str">
        <x:f>"—"</x:f>
        <x:v>—</x:v>
      </x:c>
      <x:c r="R144" s="16" t="n">
        <x:f>IF(AND(COUNT(INDEX('SKU明细'!$H$9:$H$1592,MATCH("[6574,""S02b-BK-42""]",'SKU明细'!$AE$9:$AE$1592,0)))=1,COUNT(INDEX('SKU明细'!$G$9:$G$1592,MATCH("[6574,""S02b-BK-42""]",'SKU明细'!$AE$9:$AE$1592,0)))=1,SUM(INDEX('SKU明细'!$G$9:$G$1592,MATCH("[6574,""S02b-BK-42""]",'SKU明细'!$AE$9:$AE$1592,0)))&gt;0),SUM(INDEX('SKU明细'!$H$9:$H$1592,MATCH("[6574,""S02b-BK-42""]",'SKU明细'!$AE$9:$AE$1592,0)))/SUM(INDEX('SKU明细'!$G$9:$G$1592,MATCH("[6574,""S02b-BK-42""]",'SKU明细'!$AE$9:$AE$1592,0))),"待核")</x:f>
        <x:v>225.75</x:v>
      </x:c>
      <x:c r="S144" s="16" t="n">
        <x:f>IF(AND(COUNT(INDEX('SKU明细'!$H$9:$H$1592,MATCH("[6574,""S02b-BK-37""]",'SKU明细'!$AE$9:$AE$1592,0)),INDEX('SKU明细'!$H$9:$H$1592,MATCH("[6574,""S02b-BK-42""]",'SKU明细'!$AE$9:$AE$1592,0)),INDEX('SKU明细'!$H$9:$H$1592,MATCH("[6574,""S02b-BK-41""]",'SKU明细'!$AE$9:$AE$1592,0)),INDEX('SKU明细'!$H$9:$H$1592,MATCH("[6574,""S02b-BK-39""]",'SKU明细'!$AE$9:$AE$1592,0)),INDEX('SKU明细'!$H$9:$H$1592,MATCH("[6574,""S02b-BK-40""]",'SKU明细'!$AE$9:$AE$1592,0)),INDEX('SKU明细'!$H$9:$H$1592,MATCH("[6574,""S02b-BK-38""]",'SKU明细'!$AE$9:$AE$1592,0)))=6,COUNT(INDEX('SKU明细'!$G$9:$G$1592,MATCH("[6574,""S02b-BK-37""]",'SKU明细'!$AE$9:$AE$1592,0)),INDEX('SKU明细'!$G$9:$G$1592,MATCH("[6574,""S02b-BK-42""]",'SKU明细'!$AE$9:$AE$1592,0)),INDEX('SKU明细'!$G$9:$G$1592,MATCH("[6574,""S02b-BK-41""]",'SKU明细'!$AE$9:$AE$1592,0)),INDEX('SKU明细'!$G$9:$G$1592,MATCH("[6574,""S02b-BK-39""]",'SKU明细'!$AE$9:$AE$1592,0)),INDEX('SKU明细'!$G$9:$G$1592,MATCH("[6574,""S02b-BK-40""]",'SKU明细'!$AE$9:$AE$1592,0)),INDEX('SKU明细'!$G$9:$G$1592,MATCH("[6574,""S02b-BK-38""]",'SKU明细'!$AE$9:$AE$1592,0)))=6,SUM(INDEX('SKU明细'!$G$9:$G$1592,MATCH("[6574,""S02b-BK-37""]",'SKU明细'!$AE$9:$AE$1592,0)),INDEX('SKU明细'!$G$9:$G$1592,MATCH("[6574,""S02b-BK-42""]",'SKU明细'!$AE$9:$AE$1592,0)),INDEX('SKU明细'!$G$9:$G$1592,MATCH("[6574,""S02b-BK-41""]",'SKU明细'!$AE$9:$AE$1592,0)),INDEX('SKU明细'!$G$9:$G$1592,MATCH("[6574,""S02b-BK-39""]",'SKU明细'!$AE$9:$AE$1592,0)),INDEX('SKU明细'!$G$9:$G$1592,MATCH("[6574,""S02b-BK-40""]",'SKU明细'!$AE$9:$AE$1592,0)),INDEX('SKU明细'!$G$9:$G$1592,MATCH("[6574,""S02b-BK-38""]",'SKU明细'!$AE$9:$AE$1592,0)))&gt;0),SUM(INDEX('SKU明细'!$H$9:$H$1592,MATCH("[6574,""S02b-BK-37""]",'SKU明细'!$AE$9:$AE$1592,0)),INDEX('SKU明细'!$H$9:$H$1592,MATCH("[6574,""S02b-BK-42""]",'SKU明细'!$AE$9:$AE$1592,0)),INDEX('SKU明细'!$H$9:$H$1592,MATCH("[6574,""S02b-BK-41""]",'SKU明细'!$AE$9:$AE$1592,0)),INDEX('SKU明细'!$H$9:$H$1592,MATCH("[6574,""S02b-BK-39""]",'SKU明细'!$AE$9:$AE$1592,0)),INDEX('SKU明细'!$H$9:$H$1592,MATCH("[6574,""S02b-BK-40""]",'SKU明细'!$AE$9:$AE$1592,0)),INDEX('SKU明细'!$H$9:$H$1592,MATCH("[6574,""S02b-BK-38""]",'SKU明细'!$AE$9:$AE$1592,0)))/SUM(INDEX('SKU明细'!$G$9:$G$1592,MATCH("[6574,""S02b-BK-37""]",'SKU明细'!$AE$9:$AE$1592,0)),INDEX('SKU明细'!$G$9:$G$1592,MATCH("[6574,""S02b-BK-42""]",'SKU明细'!$AE$9:$AE$1592,0)),INDEX('SKU明细'!$G$9:$G$1592,MATCH("[6574,""S02b-BK-41""]",'SKU明细'!$AE$9:$AE$1592,0)),INDEX('SKU明细'!$G$9:$G$1592,MATCH("[6574,""S02b-BK-39""]",'SKU明细'!$AE$9:$AE$1592,0)),INDEX('SKU明细'!$G$9:$G$1592,MATCH("[6574,""S02b-BK-40""]",'SKU明细'!$AE$9:$AE$1592,0)),INDEX('SKU明细'!$G$9:$G$1592,MATCH("[6574,""S02b-BK-38""]",'SKU明细'!$AE$9:$AE$1592,0))),"待核")</x:f>
        <x:v>108.03709428129832</x:v>
      </x:c>
      <x:c r="T144" s="16" t="n">
        <x:f>IF(AND(COUNT(INDEX('SKU明细'!$I$9:$I$1592,MATCH("[6574,""S02b-BK-37""]",'SKU明细'!$AE$9:$AE$1592,0)),INDEX('SKU明细'!$I$9:$I$1592,MATCH("[6574,""S02b-BK-42""]",'SKU明细'!$AE$9:$AE$1592,0)),INDEX('SKU明细'!$I$9:$I$1592,MATCH("[6574,""S02b-BK-41""]",'SKU明细'!$AE$9:$AE$1592,0)),INDEX('SKU明细'!$I$9:$I$1592,MATCH("[6574,""S02b-BK-39""]",'SKU明细'!$AE$9:$AE$1592,0)),INDEX('SKU明细'!$I$9:$I$1592,MATCH("[6574,""S02b-BK-40""]",'SKU明细'!$AE$9:$AE$1592,0)),INDEX('SKU明细'!$I$9:$I$1592,MATCH("[6574,""S02b-BK-38""]",'SKU明细'!$AE$9:$AE$1592,0)))=6,COUNT(INDEX('SKU明细'!$AD$9:$AD$1592,MATCH("[6574,""S02b-BK-37""]",'SKU明细'!$AE$9:$AE$1592,0)),INDEX('SKU明细'!$AD$9:$AD$1592,MATCH("[6574,""S02b-BK-42""]",'SKU明细'!$AE$9:$AE$1592,0)),INDEX('SKU明细'!$AD$9:$AD$1592,MATCH("[6574,""S02b-BK-41""]",'SKU明细'!$AE$9:$AE$1592,0)),INDEX('SKU明细'!$AD$9:$AD$1592,MATCH("[6574,""S02b-BK-39""]",'SKU明细'!$AE$9:$AE$1592,0)),INDEX('SKU明细'!$AD$9:$AD$1592,MATCH("[6574,""S02b-BK-40""]",'SKU明细'!$AE$9:$AE$1592,0)),INDEX('SKU明细'!$AD$9:$AD$1592,MATCH("[6574,""S02b-BK-38""]",'SKU明细'!$AE$9:$AE$1592,0)))=6,SUM(INDEX('SKU明细'!$AD$9:$AD$1592,MATCH("[6574,""S02b-BK-37""]",'SKU明细'!$AE$9:$AE$1592,0)),INDEX('SKU明细'!$AD$9:$AD$1592,MATCH("[6574,""S02b-BK-42""]",'SKU明细'!$AE$9:$AE$1592,0)),INDEX('SKU明细'!$AD$9:$AD$1592,MATCH("[6574,""S02b-BK-41""]",'SKU明细'!$AE$9:$AE$1592,0)),INDEX('SKU明细'!$AD$9:$AD$1592,MATCH("[6574,""S02b-BK-39""]",'SKU明细'!$AE$9:$AE$1592,0)),INDEX('SKU明细'!$AD$9:$AD$1592,MATCH("[6574,""S02b-BK-40""]",'SKU明细'!$AE$9:$AE$1592,0)),INDEX('SKU明细'!$AD$9:$AD$1592,MATCH("[6574,""S02b-BK-38""]",'SKU明细'!$AE$9:$AE$1592,0)))&gt;0),SUM(INDEX('SKU明细'!$I$9:$I$1592,MATCH("[6574,""S02b-BK-37""]",'SKU明细'!$AE$9:$AE$1592,0)),INDEX('SKU明细'!$I$9:$I$1592,MATCH("[6574,""S02b-BK-42""]",'SKU明细'!$AE$9:$AE$1592,0)),INDEX('SKU明细'!$I$9:$I$1592,MATCH("[6574,""S02b-BK-41""]",'SKU明细'!$AE$9:$AE$1592,0)),INDEX('SKU明细'!$I$9:$I$1592,MATCH("[6574,""S02b-BK-39""]",'SKU明细'!$AE$9:$AE$1592,0)),INDEX('SKU明细'!$I$9:$I$1592,MATCH("[6574,""S02b-BK-40""]",'SKU明细'!$AE$9:$AE$1592,0)),INDEX('SKU明细'!$I$9:$I$1592,MATCH("[6574,""S02b-BK-38""]",'SKU明细'!$AE$9:$AE$1592,0)))/SUM(INDEX('SKU明细'!$AD$9:$AD$1592,MATCH("[6574,""S02b-BK-37""]",'SKU明细'!$AE$9:$AE$1592,0)),INDEX('SKU明细'!$AD$9:$AD$1592,MATCH("[6574,""S02b-BK-42""]",'SKU明细'!$AE$9:$AE$1592,0)),INDEX('SKU明细'!$AD$9:$AD$1592,MATCH("[6574,""S02b-BK-41""]",'SKU明细'!$AE$9:$AE$1592,0)),INDEX('SKU明细'!$AD$9:$AD$1592,MATCH("[6574,""S02b-BK-39""]",'SKU明细'!$AE$9:$AE$1592,0)),INDEX('SKU明细'!$AD$9:$AD$1592,MATCH("[6574,""S02b-BK-40""]",'SKU明细'!$AE$9:$AE$1592,0)),INDEX('SKU明细'!$AD$9:$AD$1592,MATCH("[6574,""S02b-BK-38""]",'SKU明细'!$AE$9:$AE$1592,0))),"待核")</x:f>
        <x:v>160.93591047812816</x:v>
      </x:c>
      <x:c r="U144" s="16" t="n">
        <x:f>IF(COUNT(S144:T144)=2,S144-T144,"待核")</x:f>
        <x:v>-52.89881619682984</x:v>
      </x:c>
      <x:c r="V144" s="17" t="n">
        <x:f>IF(AND(ISNUMBER(U144),ISNUMBER(T144),T144&lt;&gt;0),U144/T144,"")</x:f>
        <x:v>-0.3286949198576722</x:v>
      </x:c>
      <x:c r="W144" s="18" t="n">
        <x:f>IF(COUNT(INDEX('SKU明细'!$H$9:$H$1592,MATCH("[6574,""S02b-BK-37""]",'SKU明细'!$AE$9:$AE$1592,0)),INDEX('SKU明细'!$H$9:$H$1592,MATCH("[6574,""S02b-BK-42""]",'SKU明细'!$AE$9:$AE$1592,0)),INDEX('SKU明细'!$H$9:$H$1592,MATCH("[6574,""S02b-BK-41""]",'SKU明细'!$AE$9:$AE$1592,0)),INDEX('SKU明细'!$H$9:$H$1592,MATCH("[6574,""S02b-BK-39""]",'SKU明细'!$AE$9:$AE$1592,0)),INDEX('SKU明细'!$H$9:$H$1592,MATCH("[6574,""S02b-BK-40""]",'SKU明细'!$AE$9:$AE$1592,0)),INDEX('SKU明细'!$H$9:$H$1592,MATCH("[6574,""S02b-BK-38""]",'SKU明细'!$AE$9:$AE$1592,0)))=0,"待核",SUM(INDEX('SKU明细'!$H$9:$H$1592,MATCH("[6574,""S02b-BK-37""]",'SKU明细'!$AE$9:$AE$1592,0)),INDEX('SKU明细'!$H$9:$H$1592,MATCH("[6574,""S02b-BK-42""]",'SKU明细'!$AE$9:$AE$1592,0)),INDEX('SKU明细'!$H$9:$H$1592,MATCH("[6574,""S02b-BK-41""]",'SKU明细'!$AE$9:$AE$1592,0)),INDEX('SKU明细'!$H$9:$H$1592,MATCH("[6574,""S02b-BK-39""]",'SKU明细'!$AE$9:$AE$1592,0)),INDEX('SKU明细'!$H$9:$H$1592,MATCH("[6574,""S02b-BK-40""]",'SKU明细'!$AE$9:$AE$1592,0)),INDEX('SKU明细'!$H$9:$H$1592,MATCH("[6574,""S02b-BK-38""]",'SKU明细'!$AE$9:$AE$1592,0))))</x:f>
        <x:v>233</x:v>
      </x:c>
      <x:c r="X144" s="19" t="str">
        <x:f>IF(COUNTIFS('SKU明细'!$AH$9:$AH$1592,"[""S02b"",""S02b-BK"",""BK"",""黑色""]",'SKU明细'!$E$9:$E$1592,"促销")&gt;0,"促销 ","")&amp;IF(COUNTIFS('SKU明细'!$AH$9:$AH$1592,"[""S02b"",""S02b-BK"",""BK"",""黑色""]",'SKU明细'!$E$9:$E$1592,"红线促销")&gt;0,"红线促销 ","")&amp;IF(COUNTIFS('SKU明细'!$AH$9:$AH$1592,"[""S02b"",""S02b-BK"",""BK"",""黑色""]",'SKU明细'!$E$9:$E$1592,"考虑清仓")&gt;0,"考虑清仓 ","")&amp;IF(COUNTIFS('SKU明细'!$AH$9:$AH$1592,"[""S02b"",""S02b-BK"",""BK"",""黑色""]",'SKU明细'!$E$9:$E$1592,"断货")&gt;0,"断货 ","")&amp;IF(COUNTIFS('SKU明细'!$AH$9:$AH$1592,"[""S02b"",""S02b-BK"",""BK"",""黑色""]",'SKU明细'!$E$9:$E$1592,"零日销待复核")&gt;0,"零日销待复核 ","")&amp;IF(COUNTIFS('SKU明细'!$AH$9:$AH$1592,"[""S02b"",""S02b-BK"",""BK"",""黑色""]",'SKU明细'!$E$9:$E$1592,"数据待核")&gt;0,"数据待核 ","")&amp;IF(COUNTIFS('SKU明细'!$AH$9:$AH$1592,"[""S02b"",""S02b-BK"",""BK"",""黑色""]",'SKU明细'!$E$9:$E$1592,"正常库存")&gt;0,"正常库存 ","")&amp;IF(COUNTIFS('SKU明细'!$AH$9:$AH$1592,"[""S02b"",""S02b-BK"",""BK"",""黑色""]",'SKU明细'!$E$9:$E$1592,"补货提醒")&gt;0,"补货提醒 ","")</x:f>
        <x:v>红线促销 考虑清仓 断货 正常库存 补货提醒 </x:v>
      </x:c>
      <x:c r="Y144" s="19" t="str">
        <x:f>IF(NOT(ISNUMBER(U144)),"覆盖待核／无可比基准","完整可比")</x:f>
        <x:v>完整可比</x:v>
      </x:c>
      <x:c r="Z144" s="19" t="str">
        <x:v>在售</x:v>
      </x:c>
      <x:c r="AA144" s="19" t="n">
        <x:f>IF(SUMIFS('SKU明细'!$AF$9:$AF$1592,'SKU明细'!$D$9:$D$1592,A144,'SKU明细'!$Z$9:$Z$1592,"&lt;&gt;移出")=0,"待核",SUMIFS('SKU明细'!$H$9:$H$1592,'SKU明细'!$D$9:$D$1592,A144,'SKU明细'!$Z$9:$Z$1592,"&lt;&gt;移出"))</x:f>
        <x:v>601</x:v>
      </x:c>
    </x:row>
    <x:row r="145" ht="54" customHeight="1">
      <x:c r="A145" s="15" t="str">
        <x:v>S02b</x:v>
      </x:c>
      <x:c r="B145" s="15" t="str">
        <x:v>陈晨</x:v>
      </x:c>
      <x:c r="C145" s="15" t="str">
        <x:v>黑色</x:v>
      </x:c>
      <x:c r="D145" s="15" t="str">
        <x:v>BK1</x:v>
      </x:c>
      <x:c r="E145" s="15" t="str">
        <x:v>S02b-BK1</x:v>
      </x:c>
      <x:c r="F145" s="15"/>
      <x:c r="G145" s="16" t="str">
        <x:f>"—"</x:f>
        <x:v>—</x:v>
      </x:c>
      <x:c r="H145" s="16" t="str">
        <x:f>"—"</x:f>
        <x:v>—</x:v>
      </x:c>
      <x:c r="I145" s="16" t="str">
        <x:f>"—"</x:f>
        <x:v>—</x:v>
      </x:c>
      <x:c r="J145" s="16" t="str">
        <x:f>"—"</x:f>
        <x:v>—</x:v>
      </x:c>
      <x:c r="K145" s="16" t="str">
        <x:f>"—"</x:f>
        <x:v>—</x:v>
      </x:c>
      <x:c r="L145" s="16" t="str">
        <x:f>"—"</x:f>
        <x:v>—</x:v>
      </x:c>
      <x:c r="M145" s="16" t="n">
        <x:f>IF(AND(COUNT(INDEX('SKU明细'!$H$9:$H$1592,MATCH("[6574,""S02b-BK1-40""]",'SKU明细'!$AE$9:$AE$1592,0)))=1,COUNT(INDEX('SKU明细'!$G$9:$G$1592,MATCH("[6574,""S02b-BK1-40""]",'SKU明细'!$AE$9:$AE$1592,0)))=1,SUM(INDEX('SKU明细'!$G$9:$G$1592,MATCH("[6574,""S02b-BK1-40""]",'SKU明细'!$AE$9:$AE$1592,0)))&gt;0),SUM(INDEX('SKU明细'!$H$9:$H$1592,MATCH("[6574,""S02b-BK1-40""]",'SKU明细'!$AE$9:$AE$1592,0)))/SUM(INDEX('SKU明细'!$G$9:$G$1592,MATCH("[6574,""S02b-BK1-40""]",'SKU明细'!$AE$9:$AE$1592,0))),"待核")</x:f>
        <x:v>0</x:v>
      </x:c>
      <x:c r="N145" s="16" t="str">
        <x:f>"—"</x:f>
        <x:v>—</x:v>
      </x:c>
      <x:c r="O145" s="16" t="str">
        <x:f>"—"</x:f>
        <x:v>—</x:v>
      </x:c>
      <x:c r="P145" s="16" t="str">
        <x:f>"—"</x:f>
        <x:v>—</x:v>
      </x:c>
      <x:c r="Q145" s="16" t="str">
        <x:f>"—"</x:f>
        <x:v>—</x:v>
      </x:c>
      <x:c r="R145" s="16" t="str">
        <x:f>"—"</x:f>
        <x:v>—</x:v>
      </x:c>
      <x:c r="S145" s="16" t="str">
        <x:f>"—"</x:f>
        <x:v>—</x:v>
      </x:c>
      <x:c r="T145" s="16" t="str">
        <x:f>"—"</x:f>
        <x:v>—</x:v>
      </x:c>
      <x:c r="U145" s="16" t="str">
        <x:f>IF(COUNT(S145:T145)=2,S145-T145,"待核")</x:f>
        <x:v>待核</x:v>
      </x:c>
      <x:c r="V145" s="17" t="str">
        <x:f>IF(AND(ISNUMBER(U145),ISNUMBER(T145),T145&lt;&gt;0),U145/T145,"")</x:f>
      </x:c>
      <x:c r="W145" s="18" t="n">
        <x:f>IF(COUNT(INDEX('SKU明细'!$H$9:$H$1592,MATCH("[6574,""S02b-BK1-40""]",'SKU明细'!$AE$9:$AE$1592,0)))=0,"待核",SUM(INDEX('SKU明细'!$H$9:$H$1592,MATCH("[6574,""S02b-BK1-40""]",'SKU明细'!$AE$9:$AE$1592,0))))</x:f>
        <x:v>0</x:v>
      </x:c>
      <x:c r="X145" s="19" t="str">
        <x:f>IF(COUNTIFS('SKU明细'!$AH$9:$AH$1592,"[""S02b"",""S02b-BK1"",""BK1"",""黑色""]",'SKU明细'!$E$9:$E$1592,"促销")&gt;0,"促销 ","")&amp;IF(COUNTIFS('SKU明细'!$AH$9:$AH$1592,"[""S02b"",""S02b-BK1"",""BK1"",""黑色""]",'SKU明细'!$E$9:$E$1592,"红线促销")&gt;0,"红线促销 ","")&amp;IF(COUNTIFS('SKU明细'!$AH$9:$AH$1592,"[""S02b"",""S02b-BK1"",""BK1"",""黑色""]",'SKU明细'!$E$9:$E$1592,"考虑清仓")&gt;0,"考虑清仓 ","")&amp;IF(COUNTIFS('SKU明细'!$AH$9:$AH$1592,"[""S02b"",""S02b-BK1"",""BK1"",""黑色""]",'SKU明细'!$E$9:$E$1592,"断货")&gt;0,"断货 ","")&amp;IF(COUNTIFS('SKU明细'!$AH$9:$AH$1592,"[""S02b"",""S02b-BK1"",""BK1"",""黑色""]",'SKU明细'!$E$9:$E$1592,"零日销待复核")&gt;0,"零日销待复核 ","")&amp;IF(COUNTIFS('SKU明细'!$AH$9:$AH$1592,"[""S02b"",""S02b-BK1"",""BK1"",""黑色""]",'SKU明细'!$E$9:$E$1592,"数据待核")&gt;0,"数据待核 ","")&amp;IF(COUNTIFS('SKU明细'!$AH$9:$AH$1592,"[""S02b"",""S02b-BK1"",""BK1"",""黑色""]",'SKU明细'!$E$9:$E$1592,"正常库存")&gt;0,"正常库存 ","")&amp;IF(COUNTIFS('SKU明细'!$AH$9:$AH$1592,"[""S02b"",""S02b-BK1"",""BK1"",""黑色""]",'SKU明细'!$E$9:$E$1592,"补货提醒")&gt;0,"补货提醒 ","")</x:f>
        <x:v>断货 </x:v>
      </x:c>
      <x:c r="Y145" s="19" t="str">
        <x:f>IF(NOT(ISNUMBER(U145)),"覆盖待核／无可比基准","仅共同SKU")</x:f>
        <x:v>覆盖待核／无可比基准</x:v>
      </x:c>
      <x:c r="Z145" s="19" t="str">
        <x:v>停售</x:v>
      </x:c>
      <x:c r="AA145" s="19" t="n">
        <x:f>IF(SUMIFS('SKU明细'!$AF$9:$AF$1592,'SKU明细'!$D$9:$D$1592,A145,'SKU明细'!$Z$9:$Z$1592,"&lt;&gt;移出")=0,"待核",SUMIFS('SKU明细'!$H$9:$H$1592,'SKU明细'!$D$9:$D$1592,A145,'SKU明细'!$Z$9:$Z$1592,"&lt;&gt;移出"))</x:f>
        <x:v>601</x:v>
      </x:c>
    </x:row>
    <x:row r="146" ht="54" customHeight="1">
      <x:c r="A146" s="15" t="str">
        <x:v>S02b</x:v>
      </x:c>
      <x:c r="B146" s="15" t="str">
        <x:v>陈晨</x:v>
      </x:c>
      <x:c r="C146" s="15" t="str">
        <x:v>豹纹</x:v>
      </x:c>
      <x:c r="D146" s="15" t="str">
        <x:v>LP</x:v>
      </x:c>
      <x:c r="E146" s="15" t="str">
        <x:v>S02b-LP</x:v>
      </x:c>
      <x:c r="F146" s="15"/>
      <x:c r="G146" s="16" t="str">
        <x:f>"—"</x:f>
        <x:v>—</x:v>
      </x:c>
      <x:c r="H146" s="16" t="n">
        <x:f>IF(AND(COUNT(INDEX('SKU明细'!$H$9:$H$1592,MATCH("[6574,""S02b-LP-37""]",'SKU明细'!$AE$9:$AE$1592,0)))=1,COUNT(INDEX('SKU明细'!$G$9:$G$1592,MATCH("[6574,""S02b-LP-37""]",'SKU明细'!$AE$9:$AE$1592,0)))=1,SUM(INDEX('SKU明细'!$G$9:$G$1592,MATCH("[6574,""S02b-LP-37""]",'SKU明细'!$AE$9:$AE$1592,0)))&gt;0),SUM(INDEX('SKU明细'!$H$9:$H$1592,MATCH("[6574,""S02b-LP-37""]",'SKU明细'!$AE$9:$AE$1592,0)))/SUM(INDEX('SKU明细'!$G$9:$G$1592,MATCH("[6574,""S02b-LP-37""]",'SKU明细'!$AE$9:$AE$1592,0))),"待核")</x:f>
        <x:v>47.19101123595506</x:v>
      </x:c>
      <x:c r="I146" s="16" t="str">
        <x:f>"—"</x:f>
        <x:v>—</x:v>
      </x:c>
      <x:c r="J146" s="16" t="n">
        <x:f>IF(AND(COUNT(INDEX('SKU明细'!$H$9:$H$1592,MATCH("[6574,""S02b-LP-38""]",'SKU明细'!$AE$9:$AE$1592,0)))=1,COUNT(INDEX('SKU明细'!$G$9:$G$1592,MATCH("[6574,""S02b-LP-38""]",'SKU明细'!$AE$9:$AE$1592,0)))=1,SUM(INDEX('SKU明细'!$G$9:$G$1592,MATCH("[6574,""S02b-LP-38""]",'SKU明细'!$AE$9:$AE$1592,0)))&gt;0),SUM(INDEX('SKU明细'!$H$9:$H$1592,MATCH("[6574,""S02b-LP-38""]",'SKU明细'!$AE$9:$AE$1592,0)))/SUM(INDEX('SKU明细'!$G$9:$G$1592,MATCH("[6574,""S02b-LP-38""]",'SKU明细'!$AE$9:$AE$1592,0))),"待核")</x:f>
        <x:v>11.363636363636363</x:v>
      </x:c>
      <x:c r="K146" s="16" t="str">
        <x:f>"—"</x:f>
        <x:v>—</x:v>
      </x:c>
      <x:c r="L146" s="16" t="n">
        <x:f>IF(AND(COUNT(INDEX('SKU明细'!$H$9:$H$1592,MATCH("[6574,""S02b-LP-39""]",'SKU明细'!$AE$9:$AE$1592,0)))=1,COUNT(INDEX('SKU明细'!$G$9:$G$1592,MATCH("[6574,""S02b-LP-39""]",'SKU明细'!$AE$9:$AE$1592,0)))=1,SUM(INDEX('SKU明细'!$G$9:$G$1592,MATCH("[6574,""S02b-LP-39""]",'SKU明细'!$AE$9:$AE$1592,0)))&gt;0),SUM(INDEX('SKU明细'!$H$9:$H$1592,MATCH("[6574,""S02b-LP-39""]",'SKU明细'!$AE$9:$AE$1592,0)))/SUM(INDEX('SKU明细'!$G$9:$G$1592,MATCH("[6574,""S02b-LP-39""]",'SKU明细'!$AE$9:$AE$1592,0))),"待核")</x:f>
        <x:v>7.963163596966414</x:v>
      </x:c>
      <x:c r="M146" s="16" t="str">
        <x:f>"—"</x:f>
        <x:v>—</x:v>
      </x:c>
      <x:c r="N146" s="16" t="n">
        <x:f>IF(AND(COUNT(INDEX('SKU明细'!$H$9:$H$1592,MATCH("[6574,""S02b-LP-40""]",'SKU明细'!$AE$9:$AE$1592,0)))=1,COUNT(INDEX('SKU明细'!$G$9:$G$1592,MATCH("[6574,""S02b-LP-40""]",'SKU明细'!$AE$9:$AE$1592,0)))=1,SUM(INDEX('SKU明细'!$G$9:$G$1592,MATCH("[6574,""S02b-LP-40""]",'SKU明细'!$AE$9:$AE$1592,0)))&gt;0),SUM(INDEX('SKU明细'!$H$9:$H$1592,MATCH("[6574,""S02b-LP-40""]",'SKU明细'!$AE$9:$AE$1592,0)))/SUM(INDEX('SKU明细'!$G$9:$G$1592,MATCH("[6574,""S02b-LP-40""]",'SKU明细'!$AE$9:$AE$1592,0))),"待核")</x:f>
        <x:v>17.532070861331704</x:v>
      </x:c>
      <x:c r="O146" s="16" t="str">
        <x:f>"—"</x:f>
        <x:v>—</x:v>
      </x:c>
      <x:c r="P146" s="16" t="n">
        <x:f>IF(AND(COUNT(INDEX('SKU明细'!$H$9:$H$1592,MATCH("[6574,""S02b-LP-41""]",'SKU明细'!$AE$9:$AE$1592,0)))=1,COUNT(INDEX('SKU明细'!$G$9:$G$1592,MATCH("[6574,""S02b-LP-41""]",'SKU明细'!$AE$9:$AE$1592,0)))=1,SUM(INDEX('SKU明细'!$G$9:$G$1592,MATCH("[6574,""S02b-LP-41""]",'SKU明细'!$AE$9:$AE$1592,0)))&gt;0),SUM(INDEX('SKU明细'!$H$9:$H$1592,MATCH("[6574,""S02b-LP-41""]",'SKU明细'!$AE$9:$AE$1592,0)))/SUM(INDEX('SKU明细'!$G$9:$G$1592,MATCH("[6574,""S02b-LP-41""]",'SKU明细'!$AE$9:$AE$1592,0))),"待核")</x:f>
        <x:v>21.397379912663755</x:v>
      </x:c>
      <x:c r="Q146" s="16" t="str">
        <x:f>"—"</x:f>
        <x:v>—</x:v>
      </x:c>
      <x:c r="R146" s="16" t="n">
        <x:f>IF(AND(COUNT(INDEX('SKU明细'!$H$9:$H$1592,MATCH("[6574,""S02b-LP-42""]",'SKU明细'!$AE$9:$AE$1592,0)))=1,COUNT(INDEX('SKU明细'!$G$9:$G$1592,MATCH("[6574,""S02b-LP-42""]",'SKU明细'!$AE$9:$AE$1592,0)))=1,SUM(INDEX('SKU明细'!$G$9:$G$1592,MATCH("[6574,""S02b-LP-42""]",'SKU明细'!$AE$9:$AE$1592,0)))&gt;0),SUM(INDEX('SKU明细'!$H$9:$H$1592,MATCH("[6574,""S02b-LP-42""]",'SKU明细'!$AE$9:$AE$1592,0)))/SUM(INDEX('SKU明细'!$G$9:$G$1592,MATCH("[6574,""S02b-LP-42""]",'SKU明细'!$AE$9:$AE$1592,0))),"待核")</x:f>
        <x:v>8.944628490298156</x:v>
      </x:c>
      <x:c r="S146" s="16" t="n">
        <x:f>IF(AND(COUNT(INDEX('SKU明细'!$H$9:$H$1592,MATCH("[6574,""S02b-LP-37""]",'SKU明细'!$AE$9:$AE$1592,0)),INDEX('SKU明细'!$H$9:$H$1592,MATCH("[6574,""S02b-LP-38""]",'SKU明细'!$AE$9:$AE$1592,0)),INDEX('SKU明细'!$H$9:$H$1592,MATCH("[6574,""S02b-LP-39""]",'SKU明细'!$AE$9:$AE$1592,0)),INDEX('SKU明细'!$H$9:$H$1592,MATCH("[6574,""S02b-LP-40""]",'SKU明细'!$AE$9:$AE$1592,0)),INDEX('SKU明细'!$H$9:$H$1592,MATCH("[6574,""S02b-LP-41""]",'SKU明细'!$AE$9:$AE$1592,0)),INDEX('SKU明细'!$H$9:$H$1592,MATCH("[6574,""S02b-LP-42""]",'SKU明细'!$AE$9:$AE$1592,0)))=6,COUNT(INDEX('SKU明细'!$G$9:$G$1592,MATCH("[6574,""S02b-LP-37""]",'SKU明细'!$AE$9:$AE$1592,0)),INDEX('SKU明细'!$G$9:$G$1592,MATCH("[6574,""S02b-LP-38""]",'SKU明细'!$AE$9:$AE$1592,0)),INDEX('SKU明细'!$G$9:$G$1592,MATCH("[6574,""S02b-LP-39""]",'SKU明细'!$AE$9:$AE$1592,0)),INDEX('SKU明细'!$G$9:$G$1592,MATCH("[6574,""S02b-LP-40""]",'SKU明细'!$AE$9:$AE$1592,0)),INDEX('SKU明细'!$G$9:$G$1592,MATCH("[6574,""S02b-LP-41""]",'SKU明细'!$AE$9:$AE$1592,0)),INDEX('SKU明细'!$G$9:$G$1592,MATCH("[6574,""S02b-LP-42""]",'SKU明细'!$AE$9:$AE$1592,0)))=6,SUM(INDEX('SKU明细'!$G$9:$G$1592,MATCH("[6574,""S02b-LP-37""]",'SKU明细'!$AE$9:$AE$1592,0)),INDEX('SKU明细'!$G$9:$G$1592,MATCH("[6574,""S02b-LP-38""]",'SKU明细'!$AE$9:$AE$1592,0)),INDEX('SKU明细'!$G$9:$G$1592,MATCH("[6574,""S02b-LP-39""]",'SKU明细'!$AE$9:$AE$1592,0)),INDEX('SKU明细'!$G$9:$G$1592,MATCH("[6574,""S02b-LP-40""]",'SKU明细'!$AE$9:$AE$1592,0)),INDEX('SKU明细'!$G$9:$G$1592,MATCH("[6574,""S02b-LP-41""]",'SKU明细'!$AE$9:$AE$1592,0)),INDEX('SKU明细'!$G$9:$G$1592,MATCH("[6574,""S02b-LP-42""]",'SKU明细'!$AE$9:$AE$1592,0)))&gt;0),SUM(INDEX('SKU明细'!$H$9:$H$1592,MATCH("[6574,""S02b-LP-37""]",'SKU明细'!$AE$9:$AE$1592,0)),INDEX('SKU明细'!$H$9:$H$1592,MATCH("[6574,""S02b-LP-38""]",'SKU明细'!$AE$9:$AE$1592,0)),INDEX('SKU明细'!$H$9:$H$1592,MATCH("[6574,""S02b-LP-39""]",'SKU明细'!$AE$9:$AE$1592,0)),INDEX('SKU明细'!$H$9:$H$1592,MATCH("[6574,""S02b-LP-40""]",'SKU明细'!$AE$9:$AE$1592,0)),INDEX('SKU明细'!$H$9:$H$1592,MATCH("[6574,""S02b-LP-41""]",'SKU明细'!$AE$9:$AE$1592,0)),INDEX('SKU明细'!$H$9:$H$1592,MATCH("[6574,""S02b-LP-42""]",'SKU明细'!$AE$9:$AE$1592,0)))/SUM(INDEX('SKU明细'!$G$9:$G$1592,MATCH("[6574,""S02b-LP-37""]",'SKU明细'!$AE$9:$AE$1592,0)),INDEX('SKU明细'!$G$9:$G$1592,MATCH("[6574,""S02b-LP-38""]",'SKU明细'!$AE$9:$AE$1592,0)),INDEX('SKU明细'!$G$9:$G$1592,MATCH("[6574,""S02b-LP-39""]",'SKU明细'!$AE$9:$AE$1592,0)),INDEX('SKU明细'!$G$9:$G$1592,MATCH("[6574,""S02b-LP-40""]",'SKU明细'!$AE$9:$AE$1592,0)),INDEX('SKU明细'!$G$9:$G$1592,MATCH("[6574,""S02b-LP-41""]",'SKU明细'!$AE$9:$AE$1592,0)),INDEX('SKU明细'!$G$9:$G$1592,MATCH("[6574,""S02b-LP-42""]",'SKU明细'!$AE$9:$AE$1592,0))),"待核")</x:f>
        <x:v>15.500968054211038</x:v>
      </x:c>
      <x:c r="T146" s="16" t="n">
        <x:f>IF(AND(COUNT(INDEX('SKU明细'!$I$9:$I$1592,MATCH("[6574,""S02b-LP-37""]",'SKU明细'!$AE$9:$AE$1592,0)),INDEX('SKU明细'!$I$9:$I$1592,MATCH("[6574,""S02b-LP-38""]",'SKU明细'!$AE$9:$AE$1592,0)),INDEX('SKU明细'!$I$9:$I$1592,MATCH("[6574,""S02b-LP-39""]",'SKU明细'!$AE$9:$AE$1592,0)),INDEX('SKU明细'!$I$9:$I$1592,MATCH("[6574,""S02b-LP-40""]",'SKU明细'!$AE$9:$AE$1592,0)),INDEX('SKU明细'!$I$9:$I$1592,MATCH("[6574,""S02b-LP-41""]",'SKU明细'!$AE$9:$AE$1592,0)),INDEX('SKU明细'!$I$9:$I$1592,MATCH("[6574,""S02b-LP-42""]",'SKU明细'!$AE$9:$AE$1592,0)))=6,COUNT(INDEX('SKU明细'!$AD$9:$AD$1592,MATCH("[6574,""S02b-LP-37""]",'SKU明细'!$AE$9:$AE$1592,0)),INDEX('SKU明细'!$AD$9:$AD$1592,MATCH("[6574,""S02b-LP-38""]",'SKU明细'!$AE$9:$AE$1592,0)),INDEX('SKU明细'!$AD$9:$AD$1592,MATCH("[6574,""S02b-LP-39""]",'SKU明细'!$AE$9:$AE$1592,0)),INDEX('SKU明细'!$AD$9:$AD$1592,MATCH("[6574,""S02b-LP-40""]",'SKU明细'!$AE$9:$AE$1592,0)),INDEX('SKU明细'!$AD$9:$AD$1592,MATCH("[6574,""S02b-LP-41""]",'SKU明细'!$AE$9:$AE$1592,0)),INDEX('SKU明细'!$AD$9:$AD$1592,MATCH("[6574,""S02b-LP-42""]",'SKU明细'!$AE$9:$AE$1592,0)))=6,SUM(INDEX('SKU明细'!$AD$9:$AD$1592,MATCH("[6574,""S02b-LP-37""]",'SKU明细'!$AE$9:$AE$1592,0)),INDEX('SKU明细'!$AD$9:$AD$1592,MATCH("[6574,""S02b-LP-38""]",'SKU明细'!$AE$9:$AE$1592,0)),INDEX('SKU明细'!$AD$9:$AD$1592,MATCH("[6574,""S02b-LP-39""]",'SKU明细'!$AE$9:$AE$1592,0)),INDEX('SKU明细'!$AD$9:$AD$1592,MATCH("[6574,""S02b-LP-40""]",'SKU明细'!$AE$9:$AE$1592,0)),INDEX('SKU明细'!$AD$9:$AD$1592,MATCH("[6574,""S02b-LP-41""]",'SKU明细'!$AE$9:$AE$1592,0)),INDEX('SKU明细'!$AD$9:$AD$1592,MATCH("[6574,""S02b-LP-42""]",'SKU明细'!$AE$9:$AE$1592,0)))&gt;0),SUM(INDEX('SKU明细'!$I$9:$I$1592,MATCH("[6574,""S02b-LP-37""]",'SKU明细'!$AE$9:$AE$1592,0)),INDEX('SKU明细'!$I$9:$I$1592,MATCH("[6574,""S02b-LP-38""]",'SKU明细'!$AE$9:$AE$1592,0)),INDEX('SKU明细'!$I$9:$I$1592,MATCH("[6574,""S02b-LP-39""]",'SKU明细'!$AE$9:$AE$1592,0)),INDEX('SKU明细'!$I$9:$I$1592,MATCH("[6574,""S02b-LP-40""]",'SKU明细'!$AE$9:$AE$1592,0)),INDEX('SKU明细'!$I$9:$I$1592,MATCH("[6574,""S02b-LP-41""]",'SKU明细'!$AE$9:$AE$1592,0)),INDEX('SKU明细'!$I$9:$I$1592,MATCH("[6574,""S02b-LP-42""]",'SKU明细'!$AE$9:$AE$1592,0)))/SUM(INDEX('SKU明细'!$AD$9:$AD$1592,MATCH("[6574,""S02b-LP-37""]",'SKU明细'!$AE$9:$AE$1592,0)),INDEX('SKU明细'!$AD$9:$AD$1592,MATCH("[6574,""S02b-LP-38""]",'SKU明细'!$AE$9:$AE$1592,0)),INDEX('SKU明细'!$AD$9:$AD$1592,MATCH("[6574,""S02b-LP-39""]",'SKU明细'!$AE$9:$AE$1592,0)),INDEX('SKU明细'!$AD$9:$AD$1592,MATCH("[6574,""S02b-LP-40""]",'SKU明细'!$AE$9:$AE$1592,0)),INDEX('SKU明细'!$AD$9:$AD$1592,MATCH("[6574,""S02b-LP-41""]",'SKU明细'!$AE$9:$AE$1592,0)),INDEX('SKU明细'!$AD$9:$AD$1592,MATCH("[6574,""S02b-LP-42""]",'SKU明细'!$AE$9:$AE$1592,0))),"待核")</x:f>
        <x:v>22.18424732018021</x:v>
      </x:c>
      <x:c r="U146" s="16" t="n">
        <x:f>IF(COUNT(S146:T146)=2,S146-T146,"待核")</x:f>
        <x:v>-6.683279265969171</x:v>
      </x:c>
      <x:c r="V146" s="17" t="n">
        <x:f>IF(AND(ISNUMBER(U146),ISNUMBER(T146),T146&lt;&gt;0),U146/T146,"")</x:f>
        <x:v>-0.30126238539946465</x:v>
      </x:c>
      <x:c r="W146" s="18" t="n">
        <x:f>IF(COUNT(INDEX('SKU明细'!$H$9:$H$1592,MATCH("[6574,""S02b-LP-37""]",'SKU明细'!$AE$9:$AE$1592,0)),INDEX('SKU明细'!$H$9:$H$1592,MATCH("[6574,""S02b-LP-38""]",'SKU明细'!$AE$9:$AE$1592,0)),INDEX('SKU明细'!$H$9:$H$1592,MATCH("[6574,""S02b-LP-39""]",'SKU明细'!$AE$9:$AE$1592,0)),INDEX('SKU明细'!$H$9:$H$1592,MATCH("[6574,""S02b-LP-40""]",'SKU明细'!$AE$9:$AE$1592,0)),INDEX('SKU明细'!$H$9:$H$1592,MATCH("[6574,""S02b-LP-41""]",'SKU明细'!$AE$9:$AE$1592,0)),INDEX('SKU明细'!$H$9:$H$1592,MATCH("[6574,""S02b-LP-42""]",'SKU明细'!$AE$9:$AE$1592,0)))=0,"待核",SUM(INDEX('SKU明细'!$H$9:$H$1592,MATCH("[6574,""S02b-LP-37""]",'SKU明细'!$AE$9:$AE$1592,0)),INDEX('SKU明细'!$H$9:$H$1592,MATCH("[6574,""S02b-LP-38""]",'SKU明细'!$AE$9:$AE$1592,0)),INDEX('SKU明细'!$H$9:$H$1592,MATCH("[6574,""S02b-LP-39""]",'SKU明细'!$AE$9:$AE$1592,0)),INDEX('SKU明细'!$H$9:$H$1592,MATCH("[6574,""S02b-LP-40""]",'SKU明细'!$AE$9:$AE$1592,0)),INDEX('SKU明细'!$H$9:$H$1592,MATCH("[6574,""S02b-LP-41""]",'SKU明细'!$AE$9:$AE$1592,0)),INDEX('SKU明细'!$H$9:$H$1592,MATCH("[6574,""S02b-LP-42""]",'SKU明细'!$AE$9:$AE$1592,0))))</x:f>
        <x:v>122</x:v>
      </x:c>
      <x:c r="X146" s="19" t="str">
        <x:f>IF(COUNTIFS('SKU明细'!$AH$9:$AH$1592,"[""S02b"",""S02b-LP"",""LP"",""豹纹""]",'SKU明细'!$E$9:$E$1592,"促销")&gt;0,"促销 ","")&amp;IF(COUNTIFS('SKU明细'!$AH$9:$AH$1592,"[""S02b"",""S02b-LP"",""LP"",""豹纹""]",'SKU明细'!$E$9:$E$1592,"红线促销")&gt;0,"红线促销 ","")&amp;IF(COUNTIFS('SKU明细'!$AH$9:$AH$1592,"[""S02b"",""S02b-LP"",""LP"",""豹纹""]",'SKU明细'!$E$9:$E$1592,"考虑清仓")&gt;0,"考虑清仓 ","")&amp;IF(COUNTIFS('SKU明细'!$AH$9:$AH$1592,"[""S02b"",""S02b-LP"",""LP"",""豹纹""]",'SKU明细'!$E$9:$E$1592,"断货")&gt;0,"断货 ","")&amp;IF(COUNTIFS('SKU明细'!$AH$9:$AH$1592,"[""S02b"",""S02b-LP"",""LP"",""豹纹""]",'SKU明细'!$E$9:$E$1592,"零日销待复核")&gt;0,"零日销待复核 ","")&amp;IF(COUNTIFS('SKU明细'!$AH$9:$AH$1592,"[""S02b"",""S02b-LP"",""LP"",""豹纹""]",'SKU明细'!$E$9:$E$1592,"数据待核")&gt;0,"数据待核 ","")&amp;IF(COUNTIFS('SKU明细'!$AH$9:$AH$1592,"[""S02b"",""S02b-LP"",""LP"",""豹纹""]",'SKU明细'!$E$9:$E$1592,"正常库存")&gt;0,"正常库存 ","")&amp;IF(COUNTIFS('SKU明细'!$AH$9:$AH$1592,"[""S02b"",""S02b-LP"",""LP"",""豹纹""]",'SKU明细'!$E$9:$E$1592,"补货提醒")&gt;0,"补货提醒 ","")</x:f>
        <x:v>补货提醒 </x:v>
      </x:c>
      <x:c r="Y146" s="19" t="str">
        <x:f>IF(NOT(ISNUMBER(U146)),"覆盖待核／无可比基准","完整可比")</x:f>
        <x:v>完整可比</x:v>
      </x:c>
      <x:c r="Z146" s="19" t="str">
        <x:v>在售</x:v>
      </x:c>
      <x:c r="AA146" s="19" t="n">
        <x:f>IF(SUMIFS('SKU明细'!$AF$9:$AF$1592,'SKU明细'!$D$9:$D$1592,A146,'SKU明细'!$Z$9:$Z$1592,"&lt;&gt;移出")=0,"待核",SUMIFS('SKU明细'!$H$9:$H$1592,'SKU明细'!$D$9:$D$1592,A146,'SKU明细'!$Z$9:$Z$1592,"&lt;&gt;移出"))</x:f>
        <x:v>601</x:v>
      </x:c>
    </x:row>
    <x:row r="147" ht="54" customHeight="1">
      <x:c r="A147" s="15" t="str">
        <x:v>S02b</x:v>
      </x:c>
      <x:c r="B147" s="15" t="str">
        <x:v>陈晨</x:v>
      </x:c>
      <x:c r="C147" s="15" t="str">
        <x:v>豹纹</x:v>
      </x:c>
      <x:c r="D147" s="15" t="str">
        <x:v>LP1</x:v>
      </x:c>
      <x:c r="E147" s="15" t="str">
        <x:v>S02b-LP1</x:v>
      </x:c>
      <x:c r="F147" s="15"/>
      <x:c r="G147" s="16" t="str">
        <x:f>"—"</x:f>
        <x:v>—</x:v>
      </x:c>
      <x:c r="H147" s="16" t="str">
        <x:f>"—"</x:f>
        <x:v>—</x:v>
      </x:c>
      <x:c r="I147" s="16" t="str">
        <x:f>"—"</x:f>
        <x:v>—</x:v>
      </x:c>
      <x:c r="J147" s="16" t="str">
        <x:f>"—"</x:f>
        <x:v>—</x:v>
      </x:c>
      <x:c r="K147" s="16" t="str">
        <x:f>"—"</x:f>
        <x:v>—</x:v>
      </x:c>
      <x:c r="L147" s="16" t="str">
        <x:f>"—"</x:f>
        <x:v>—</x:v>
      </x:c>
      <x:c r="M147" s="16" t="str">
        <x:f>"—"</x:f>
        <x:v>—</x:v>
      </x:c>
      <x:c r="N147" s="16" t="str">
        <x:f>"—"</x:f>
        <x:v>—</x:v>
      </x:c>
      <x:c r="O147" s="16" t="n">
        <x:f>IF(AND(COUNT(INDEX('SKU明细'!$H$9:$H$1592,MATCH("[6574,""S02b-LP1-41""]",'SKU明细'!$AE$9:$AE$1592,0)))=1,COUNT(INDEX('SKU明细'!$G$9:$G$1592,MATCH("[6574,""S02b-LP1-41""]",'SKU明细'!$AE$9:$AE$1592,0)))=1,SUM(INDEX('SKU明细'!$G$9:$G$1592,MATCH("[6574,""S02b-LP1-41""]",'SKU明细'!$AE$9:$AE$1592,0)))&gt;0),SUM(INDEX('SKU明细'!$H$9:$H$1592,MATCH("[6574,""S02b-LP1-41""]",'SKU明细'!$AE$9:$AE$1592,0)))/SUM(INDEX('SKU明细'!$G$9:$G$1592,MATCH("[6574,""S02b-LP1-41""]",'SKU明细'!$AE$9:$AE$1592,0))),"待核")</x:f>
        <x:v>0</x:v>
      </x:c>
      <x:c r="P147" s="16" t="str">
        <x:f>"—"</x:f>
        <x:v>—</x:v>
      </x:c>
      <x:c r="Q147" s="16" t="str">
        <x:f>"—"</x:f>
        <x:v>—</x:v>
      </x:c>
      <x:c r="R147" s="16" t="str">
        <x:f>"—"</x:f>
        <x:v>—</x:v>
      </x:c>
      <x:c r="S147" s="16" t="str">
        <x:f>"—"</x:f>
        <x:v>—</x:v>
      </x:c>
      <x:c r="T147" s="16" t="str">
        <x:f>"—"</x:f>
        <x:v>—</x:v>
      </x:c>
      <x:c r="U147" s="16" t="str">
        <x:f>IF(COUNT(S147:T147)=2,S147-T147,"待核")</x:f>
        <x:v>待核</x:v>
      </x:c>
      <x:c r="V147" s="17" t="str">
        <x:f>IF(AND(ISNUMBER(U147),ISNUMBER(T147),T147&lt;&gt;0),U147/T147,"")</x:f>
      </x:c>
      <x:c r="W147" s="18" t="n">
        <x:f>IF(COUNT(INDEX('SKU明细'!$H$9:$H$1592,MATCH("[6574,""S02b-LP1-41""]",'SKU明细'!$AE$9:$AE$1592,0)))=0,"待核",SUM(INDEX('SKU明细'!$H$9:$H$1592,MATCH("[6574,""S02b-LP1-41""]",'SKU明细'!$AE$9:$AE$1592,0))))</x:f>
        <x:v>0</x:v>
      </x:c>
      <x:c r="X147" s="19" t="str">
        <x:f>IF(COUNTIFS('SKU明细'!$AH$9:$AH$1592,"[""S02b"",""S02b-LP1"",""LP1"",""豹纹""]",'SKU明细'!$E$9:$E$1592,"促销")&gt;0,"促销 ","")&amp;IF(COUNTIFS('SKU明细'!$AH$9:$AH$1592,"[""S02b"",""S02b-LP1"",""LP1"",""豹纹""]",'SKU明细'!$E$9:$E$1592,"红线促销")&gt;0,"红线促销 ","")&amp;IF(COUNTIFS('SKU明细'!$AH$9:$AH$1592,"[""S02b"",""S02b-LP1"",""LP1"",""豹纹""]",'SKU明细'!$E$9:$E$1592,"考虑清仓")&gt;0,"考虑清仓 ","")&amp;IF(COUNTIFS('SKU明细'!$AH$9:$AH$1592,"[""S02b"",""S02b-LP1"",""LP1"",""豹纹""]",'SKU明细'!$E$9:$E$1592,"断货")&gt;0,"断货 ","")&amp;IF(COUNTIFS('SKU明细'!$AH$9:$AH$1592,"[""S02b"",""S02b-LP1"",""LP1"",""豹纹""]",'SKU明细'!$E$9:$E$1592,"零日销待复核")&gt;0,"零日销待复核 ","")&amp;IF(COUNTIFS('SKU明细'!$AH$9:$AH$1592,"[""S02b"",""S02b-LP1"",""LP1"",""豹纹""]",'SKU明细'!$E$9:$E$1592,"数据待核")&gt;0,"数据待核 ","")&amp;IF(COUNTIFS('SKU明细'!$AH$9:$AH$1592,"[""S02b"",""S02b-LP1"",""LP1"",""豹纹""]",'SKU明细'!$E$9:$E$1592,"正常库存")&gt;0,"正常库存 ","")&amp;IF(COUNTIFS('SKU明细'!$AH$9:$AH$1592,"[""S02b"",""S02b-LP1"",""LP1"",""豹纹""]",'SKU明细'!$E$9:$E$1592,"补货提醒")&gt;0,"补货提醒 ","")</x:f>
        <x:v>断货 </x:v>
      </x:c>
      <x:c r="Y147" s="19" t="str">
        <x:f>IF(NOT(ISNUMBER(U147)),"覆盖待核／无可比基准","仅共同SKU")</x:f>
        <x:v>覆盖待核／无可比基准</x:v>
      </x:c>
      <x:c r="Z147" s="19" t="str">
        <x:v>在售</x:v>
      </x:c>
      <x:c r="AA147" s="19" t="n">
        <x:f>IF(SUMIFS('SKU明细'!$AF$9:$AF$1592,'SKU明细'!$D$9:$D$1592,A147,'SKU明细'!$Z$9:$Z$1592,"&lt;&gt;移出")=0,"待核",SUMIFS('SKU明细'!$H$9:$H$1592,'SKU明细'!$D$9:$D$1592,A147,'SKU明细'!$Z$9:$Z$1592,"&lt;&gt;移出"))</x:f>
        <x:v>601</x:v>
      </x:c>
    </x:row>
    <x:row r="148" ht="54" customHeight="1">
      <x:c r="A148" s="15" t="str">
        <x:v>S02b</x:v>
      </x:c>
      <x:c r="B148" s="15" t="str">
        <x:v>陈晨</x:v>
      </x:c>
      <x:c r="C148" s="15" t="str">
        <x:v>裸色</x:v>
      </x:c>
      <x:c r="D148" s="15" t="str">
        <x:v>ND</x:v>
      </x:c>
      <x:c r="E148" s="15" t="str">
        <x:v>S02b-ND</x:v>
      </x:c>
      <x:c r="F148" s="15"/>
      <x:c r="G148" s="16" t="str">
        <x:f>"—"</x:f>
        <x:v>—</x:v>
      </x:c>
      <x:c r="H148" s="16" t="str">
        <x:f>IF(AND(COUNT(INDEX('SKU明细'!$H$9:$H$1592,MATCH("[6574,""S02b-ND-37""]",'SKU明细'!$AE$9:$AE$1592,0)))=1,COUNT(INDEX('SKU明细'!$G$9:$G$1592,MATCH("[6574,""S02b-ND-37""]",'SKU明细'!$AE$9:$AE$1592,0)))=1,SUM(INDEX('SKU明细'!$G$9:$G$1592,MATCH("[6574,""S02b-ND-37""]",'SKU明细'!$AE$9:$AE$1592,0)))&gt;0),SUM(INDEX('SKU明细'!$H$9:$H$1592,MATCH("[6574,""S02b-ND-37""]",'SKU明细'!$AE$9:$AE$1592,0)))/SUM(INDEX('SKU明细'!$G$9:$G$1592,MATCH("[6574,""S02b-ND-37""]",'SKU明细'!$AE$9:$AE$1592,0))),"待核")</x:f>
        <x:v>待核</x:v>
      </x:c>
      <x:c r="I148" s="16" t="str">
        <x:f>"—"</x:f>
        <x:v>—</x:v>
      </x:c>
      <x:c r="J148" s="16" t="n">
        <x:f>IF(AND(COUNT(INDEX('SKU明细'!$H$9:$H$1592,MATCH("[6574,""S02b-ND-38""]",'SKU明细'!$AE$9:$AE$1592,0)))=1,COUNT(INDEX('SKU明细'!$G$9:$G$1592,MATCH("[6574,""S02b-ND-38""]",'SKU明细'!$AE$9:$AE$1592,0)))=1,SUM(INDEX('SKU明细'!$G$9:$G$1592,MATCH("[6574,""S02b-ND-38""]",'SKU明细'!$AE$9:$AE$1592,0)))&gt;0),SUM(INDEX('SKU明细'!$H$9:$H$1592,MATCH("[6574,""S02b-ND-38""]",'SKU明细'!$AE$9:$AE$1592,0)))/SUM(INDEX('SKU明细'!$G$9:$G$1592,MATCH("[6574,""S02b-ND-38""]",'SKU明细'!$AE$9:$AE$1592,0))),"待核")</x:f>
        <x:v>111.08312342569269</x:v>
      </x:c>
      <x:c r="K148" s="16" t="str">
        <x:f>"—"</x:f>
        <x:v>—</x:v>
      </x:c>
      <x:c r="L148" s="16" t="n">
        <x:f>IF(AND(COUNT(INDEX('SKU明细'!$H$9:$H$1592,MATCH("[6574,""S02b-ND-39""]",'SKU明细'!$AE$9:$AE$1592,0)))=1,COUNT(INDEX('SKU明细'!$G$9:$G$1592,MATCH("[6574,""S02b-ND-39""]",'SKU明细'!$AE$9:$AE$1592,0)))=1,SUM(INDEX('SKU明细'!$G$9:$G$1592,MATCH("[6574,""S02b-ND-39""]",'SKU明细'!$AE$9:$AE$1592,0)))&gt;0),SUM(INDEX('SKU明细'!$H$9:$H$1592,MATCH("[6574,""S02b-ND-39""]",'SKU明细'!$AE$9:$AE$1592,0)))/SUM(INDEX('SKU明细'!$G$9:$G$1592,MATCH("[6574,""S02b-ND-39""]",'SKU明细'!$AE$9:$AE$1592,0))),"待核")</x:f>
        <x:v>77.52808988764045</x:v>
      </x:c>
      <x:c r="M148" s="16" t="str">
        <x:f>"—"</x:f>
        <x:v>—</x:v>
      </x:c>
      <x:c r="N148" s="16" t="n">
        <x:f>IF(AND(COUNT(INDEX('SKU明细'!$H$9:$H$1592,MATCH("[6574,""S02b-ND-40""]",'SKU明细'!$AE$9:$AE$1592,0)))=1,COUNT(INDEX('SKU明细'!$G$9:$G$1592,MATCH("[6574,""S02b-ND-40""]",'SKU明细'!$AE$9:$AE$1592,0)))=1,SUM(INDEX('SKU明细'!$G$9:$G$1592,MATCH("[6574,""S02b-ND-40""]",'SKU明细'!$AE$9:$AE$1592,0)))&gt;0),SUM(INDEX('SKU明细'!$H$9:$H$1592,MATCH("[6574,""S02b-ND-40""]",'SKU明细'!$AE$9:$AE$1592,0)))/SUM(INDEX('SKU明细'!$G$9:$G$1592,MATCH("[6574,""S02b-ND-40""]",'SKU明细'!$AE$9:$AE$1592,0))),"待核")</x:f>
        <x:v>43.04538799414348</x:v>
      </x:c>
      <x:c r="O148" s="16" t="str">
        <x:f>"—"</x:f>
        <x:v>—</x:v>
      </x:c>
      <x:c r="P148" s="16" t="n">
        <x:f>IF(AND(COUNT(INDEX('SKU明细'!$H$9:$H$1592,MATCH("[6574,""S02b-ND-41""]",'SKU明细'!$AE$9:$AE$1592,0)))=1,COUNT(INDEX('SKU明细'!$G$9:$G$1592,MATCH("[6574,""S02b-ND-41""]",'SKU明细'!$AE$9:$AE$1592,0)))=1,SUM(INDEX('SKU明细'!$G$9:$G$1592,MATCH("[6574,""S02b-ND-41""]",'SKU明细'!$AE$9:$AE$1592,0)))&gt;0),SUM(INDEX('SKU明细'!$H$9:$H$1592,MATCH("[6574,""S02b-ND-41""]",'SKU明细'!$AE$9:$AE$1592,0)))/SUM(INDEX('SKU明细'!$G$9:$G$1592,MATCH("[6574,""S02b-ND-41""]",'SKU明细'!$AE$9:$AE$1592,0))),"待核")</x:f>
        <x:v>126.59574468085107</x:v>
      </x:c>
      <x:c r="Q148" s="16" t="str">
        <x:f>"—"</x:f>
        <x:v>—</x:v>
      </x:c>
      <x:c r="R148" s="16" t="n">
        <x:f>IF(AND(COUNT(INDEX('SKU明细'!$H$9:$H$1592,MATCH("[6574,""S02b-ND-42""]",'SKU明细'!$AE$9:$AE$1592,0)))=1,COUNT(INDEX('SKU明细'!$G$9:$G$1592,MATCH("[6574,""S02b-ND-42""]",'SKU明细'!$AE$9:$AE$1592,0)))=1,SUM(INDEX('SKU明细'!$G$9:$G$1592,MATCH("[6574,""S02b-ND-42""]",'SKU明细'!$AE$9:$AE$1592,0)))&gt;0),SUM(INDEX('SKU明细'!$H$9:$H$1592,MATCH("[6574,""S02b-ND-42""]",'SKU明细'!$AE$9:$AE$1592,0)))/SUM(INDEX('SKU明细'!$G$9:$G$1592,MATCH("[6574,""S02b-ND-42""]",'SKU明细'!$AE$9:$AE$1592,0))),"待核")</x:f>
        <x:v>0</x:v>
      </x:c>
      <x:c r="S148" s="16" t="n">
        <x:f>IF(AND(COUNT(INDEX('SKU明细'!$H$9:$H$1592,MATCH("[6574,""S02b-ND-38""]",'SKU明细'!$AE$9:$AE$1592,0)),INDEX('SKU明细'!$H$9:$H$1592,MATCH("[6574,""S02b-ND-41""]",'SKU明细'!$AE$9:$AE$1592,0)),INDEX('SKU明细'!$H$9:$H$1592,MATCH("[6574,""S02b-ND-42""]",'SKU明细'!$AE$9:$AE$1592,0)),INDEX('SKU明细'!$H$9:$H$1592,MATCH("[6574,""S02b-ND-37""]",'SKU明细'!$AE$9:$AE$1592,0)),INDEX('SKU明细'!$H$9:$H$1592,MATCH("[6574,""S02b-ND-39""]",'SKU明细'!$AE$9:$AE$1592,0)),INDEX('SKU明细'!$H$9:$H$1592,MATCH("[6574,""S02b-ND-40""]",'SKU明细'!$AE$9:$AE$1592,0)))=6,COUNT(INDEX('SKU明细'!$G$9:$G$1592,MATCH("[6574,""S02b-ND-38""]",'SKU明细'!$AE$9:$AE$1592,0)),INDEX('SKU明细'!$G$9:$G$1592,MATCH("[6574,""S02b-ND-41""]",'SKU明细'!$AE$9:$AE$1592,0)),INDEX('SKU明细'!$G$9:$G$1592,MATCH("[6574,""S02b-ND-42""]",'SKU明细'!$AE$9:$AE$1592,0)),INDEX('SKU明细'!$G$9:$G$1592,MATCH("[6574,""S02b-ND-37""]",'SKU明细'!$AE$9:$AE$1592,0)),INDEX('SKU明细'!$G$9:$G$1592,MATCH("[6574,""S02b-ND-39""]",'SKU明细'!$AE$9:$AE$1592,0)),INDEX('SKU明细'!$G$9:$G$1592,MATCH("[6574,""S02b-ND-40""]",'SKU明细'!$AE$9:$AE$1592,0)))=6,SUM(INDEX('SKU明细'!$G$9:$G$1592,MATCH("[6574,""S02b-ND-38""]",'SKU明细'!$AE$9:$AE$1592,0)),INDEX('SKU明细'!$G$9:$G$1592,MATCH("[6574,""S02b-ND-41""]",'SKU明细'!$AE$9:$AE$1592,0)),INDEX('SKU明细'!$G$9:$G$1592,MATCH("[6574,""S02b-ND-42""]",'SKU明细'!$AE$9:$AE$1592,0)),INDEX('SKU明细'!$G$9:$G$1592,MATCH("[6574,""S02b-ND-37""]",'SKU明细'!$AE$9:$AE$1592,0)),INDEX('SKU明细'!$G$9:$G$1592,MATCH("[6574,""S02b-ND-39""]",'SKU明细'!$AE$9:$AE$1592,0)),INDEX('SKU明细'!$G$9:$G$1592,MATCH("[6574,""S02b-ND-40""]",'SKU明细'!$AE$9:$AE$1592,0)))&gt;0),SUM(INDEX('SKU明细'!$H$9:$H$1592,MATCH("[6574,""S02b-ND-38""]",'SKU明细'!$AE$9:$AE$1592,0)),INDEX('SKU明细'!$H$9:$H$1592,MATCH("[6574,""S02b-ND-41""]",'SKU明细'!$AE$9:$AE$1592,0)),INDEX('SKU明细'!$H$9:$H$1592,MATCH("[6574,""S02b-ND-42""]",'SKU明细'!$AE$9:$AE$1592,0)),INDEX('SKU明细'!$H$9:$H$1592,MATCH("[6574,""S02b-ND-37""]",'SKU明细'!$AE$9:$AE$1592,0)),INDEX('SKU明细'!$H$9:$H$1592,MATCH("[6574,""S02b-ND-39""]",'SKU明细'!$AE$9:$AE$1592,0)),INDEX('SKU明细'!$H$9:$H$1592,MATCH("[6574,""S02b-ND-40""]",'SKU明细'!$AE$9:$AE$1592,0)))/SUM(INDEX('SKU明细'!$G$9:$G$1592,MATCH("[6574,""S02b-ND-38""]",'SKU明细'!$AE$9:$AE$1592,0)),INDEX('SKU明细'!$G$9:$G$1592,MATCH("[6574,""S02b-ND-41""]",'SKU明细'!$AE$9:$AE$1592,0)),INDEX('SKU明细'!$G$9:$G$1592,MATCH("[6574,""S02b-ND-42""]",'SKU明细'!$AE$9:$AE$1592,0)),INDEX('SKU明细'!$G$9:$G$1592,MATCH("[6574,""S02b-ND-37""]",'SKU明细'!$AE$9:$AE$1592,0)),INDEX('SKU明细'!$G$9:$G$1592,MATCH("[6574,""S02b-ND-39""]",'SKU明细'!$AE$9:$AE$1592,0)),INDEX('SKU明细'!$G$9:$G$1592,MATCH("[6574,""S02b-ND-40""]",'SKU明细'!$AE$9:$AE$1592,0))),"待核")</x:f>
        <x:v>115.8158614402917</x:v>
      </x:c>
      <x:c r="T148" s="16" t="n">
        <x:f>IF(AND(COUNT(INDEX('SKU明细'!$I$9:$I$1592,MATCH("[6574,""S02b-ND-38""]",'SKU明细'!$AE$9:$AE$1592,0)),INDEX('SKU明细'!$I$9:$I$1592,MATCH("[6574,""S02b-ND-41""]",'SKU明细'!$AE$9:$AE$1592,0)),INDEX('SKU明细'!$I$9:$I$1592,MATCH("[6574,""S02b-ND-42""]",'SKU明细'!$AE$9:$AE$1592,0)),INDEX('SKU明细'!$I$9:$I$1592,MATCH("[6574,""S02b-ND-37""]",'SKU明细'!$AE$9:$AE$1592,0)),INDEX('SKU明细'!$I$9:$I$1592,MATCH("[6574,""S02b-ND-39""]",'SKU明细'!$AE$9:$AE$1592,0)),INDEX('SKU明细'!$I$9:$I$1592,MATCH("[6574,""S02b-ND-40""]",'SKU明细'!$AE$9:$AE$1592,0)))=6,COUNT(INDEX('SKU明细'!$AD$9:$AD$1592,MATCH("[6574,""S02b-ND-38""]",'SKU明细'!$AE$9:$AE$1592,0)),INDEX('SKU明细'!$AD$9:$AD$1592,MATCH("[6574,""S02b-ND-41""]",'SKU明细'!$AE$9:$AE$1592,0)),INDEX('SKU明细'!$AD$9:$AD$1592,MATCH("[6574,""S02b-ND-42""]",'SKU明细'!$AE$9:$AE$1592,0)),INDEX('SKU明细'!$AD$9:$AD$1592,MATCH("[6574,""S02b-ND-37""]",'SKU明细'!$AE$9:$AE$1592,0)),INDEX('SKU明细'!$AD$9:$AD$1592,MATCH("[6574,""S02b-ND-39""]",'SKU明细'!$AE$9:$AE$1592,0)),INDEX('SKU明细'!$AD$9:$AD$1592,MATCH("[6574,""S02b-ND-40""]",'SKU明细'!$AE$9:$AE$1592,0)))=6,SUM(INDEX('SKU明细'!$AD$9:$AD$1592,MATCH("[6574,""S02b-ND-38""]",'SKU明细'!$AE$9:$AE$1592,0)),INDEX('SKU明细'!$AD$9:$AD$1592,MATCH("[6574,""S02b-ND-41""]",'SKU明细'!$AE$9:$AE$1592,0)),INDEX('SKU明细'!$AD$9:$AD$1592,MATCH("[6574,""S02b-ND-42""]",'SKU明细'!$AE$9:$AE$1592,0)),INDEX('SKU明细'!$AD$9:$AD$1592,MATCH("[6574,""S02b-ND-37""]",'SKU明细'!$AE$9:$AE$1592,0)),INDEX('SKU明细'!$AD$9:$AD$1592,MATCH("[6574,""S02b-ND-39""]",'SKU明细'!$AE$9:$AE$1592,0)),INDEX('SKU明细'!$AD$9:$AD$1592,MATCH("[6574,""S02b-ND-40""]",'SKU明细'!$AE$9:$AE$1592,0)))&gt;0),SUM(INDEX('SKU明细'!$I$9:$I$1592,MATCH("[6574,""S02b-ND-38""]",'SKU明细'!$AE$9:$AE$1592,0)),INDEX('SKU明细'!$I$9:$I$1592,MATCH("[6574,""S02b-ND-41""]",'SKU明细'!$AE$9:$AE$1592,0)),INDEX('SKU明细'!$I$9:$I$1592,MATCH("[6574,""S02b-ND-42""]",'SKU明细'!$AE$9:$AE$1592,0)),INDEX('SKU明细'!$I$9:$I$1592,MATCH("[6574,""S02b-ND-37""]",'SKU明细'!$AE$9:$AE$1592,0)),INDEX('SKU明细'!$I$9:$I$1592,MATCH("[6574,""S02b-ND-39""]",'SKU明细'!$AE$9:$AE$1592,0)),INDEX('SKU明细'!$I$9:$I$1592,MATCH("[6574,""S02b-ND-40""]",'SKU明细'!$AE$9:$AE$1592,0)))/SUM(INDEX('SKU明细'!$AD$9:$AD$1592,MATCH("[6574,""S02b-ND-38""]",'SKU明细'!$AE$9:$AE$1592,0)),INDEX('SKU明细'!$AD$9:$AD$1592,MATCH("[6574,""S02b-ND-41""]",'SKU明细'!$AE$9:$AE$1592,0)),INDEX('SKU明细'!$AD$9:$AD$1592,MATCH("[6574,""S02b-ND-42""]",'SKU明细'!$AE$9:$AE$1592,0)),INDEX('SKU明细'!$AD$9:$AD$1592,MATCH("[6574,""S02b-ND-37""]",'SKU明细'!$AE$9:$AE$1592,0)),INDEX('SKU明细'!$AD$9:$AD$1592,MATCH("[6574,""S02b-ND-39""]",'SKU明细'!$AE$9:$AE$1592,0)),INDEX('SKU明细'!$AD$9:$AD$1592,MATCH("[6574,""S02b-ND-40""]",'SKU明细'!$AE$9:$AE$1592,0))),"待核")</x:f>
        <x:v>155.12820512820514</x:v>
      </x:c>
      <x:c r="U148" s="16" t="n">
        <x:f>IF(COUNT(S148:T148)=2,S148-T148,"待核")</x:f>
        <x:v>-39.31234368791344</x:v>
      </x:c>
      <x:c r="V148" s="17" t="n">
        <x:f>IF(AND(ISNUMBER(U148),ISNUMBER(T148),T148&lt;&gt;0),U148/T148,"")</x:f>
        <x:v>-0.2534184138559709</x:v>
      </x:c>
      <x:c r="W148" s="18" t="n">
        <x:f>IF(COUNT(INDEX('SKU明细'!$H$9:$H$1592,MATCH("[6574,""S02b-ND-38""]",'SKU明细'!$AE$9:$AE$1592,0)),INDEX('SKU明细'!$H$9:$H$1592,MATCH("[6574,""S02b-ND-41""]",'SKU明细'!$AE$9:$AE$1592,0)),INDEX('SKU明细'!$H$9:$H$1592,MATCH("[6574,""S02b-ND-42""]",'SKU明细'!$AE$9:$AE$1592,0)),INDEX('SKU明细'!$H$9:$H$1592,MATCH("[6574,""S02b-ND-37""]",'SKU明细'!$AE$9:$AE$1592,0)),INDEX('SKU明细'!$H$9:$H$1592,MATCH("[6574,""S02b-ND-39""]",'SKU明细'!$AE$9:$AE$1592,0)),INDEX('SKU明细'!$H$9:$H$1592,MATCH("[6574,""S02b-ND-40""]",'SKU明细'!$AE$9:$AE$1592,0)))=0,"待核",SUM(INDEX('SKU明细'!$H$9:$H$1592,MATCH("[6574,""S02b-ND-38""]",'SKU明细'!$AE$9:$AE$1592,0)),INDEX('SKU明细'!$H$9:$H$1592,MATCH("[6574,""S02b-ND-41""]",'SKU明细'!$AE$9:$AE$1592,0)),INDEX('SKU明细'!$H$9:$H$1592,MATCH("[6574,""S02b-ND-42""]",'SKU明细'!$AE$9:$AE$1592,0)),INDEX('SKU明细'!$H$9:$H$1592,MATCH("[6574,""S02b-ND-37""]",'SKU明细'!$AE$9:$AE$1592,0)),INDEX('SKU明细'!$H$9:$H$1592,MATCH("[6574,""S02b-ND-39""]",'SKU明细'!$AE$9:$AE$1592,0)),INDEX('SKU明细'!$H$9:$H$1592,MATCH("[6574,""S02b-ND-40""]",'SKU明细'!$AE$9:$AE$1592,0))))</x:f>
        <x:v>121</x:v>
      </x:c>
      <x:c r="X148" s="19" t="str">
        <x:f>IF(COUNTIFS('SKU明细'!$AH$9:$AH$1592,"[""S02b"",""S02b-ND"",""ND"",""裸色""]",'SKU明细'!$E$9:$E$1592,"促销")&gt;0,"促销 ","")&amp;IF(COUNTIFS('SKU明细'!$AH$9:$AH$1592,"[""S02b"",""S02b-ND"",""ND"",""裸色""]",'SKU明细'!$E$9:$E$1592,"红线促销")&gt;0,"红线促销 ","")&amp;IF(COUNTIFS('SKU明细'!$AH$9:$AH$1592,"[""S02b"",""S02b-ND"",""ND"",""裸色""]",'SKU明细'!$E$9:$E$1592,"考虑清仓")&gt;0,"考虑清仓 ","")&amp;IF(COUNTIFS('SKU明细'!$AH$9:$AH$1592,"[""S02b"",""S02b-ND"",""ND"",""裸色""]",'SKU明细'!$E$9:$E$1592,"断货")&gt;0,"断货 ","")&amp;IF(COUNTIFS('SKU明细'!$AH$9:$AH$1592,"[""S02b"",""S02b-ND"",""ND"",""裸色""]",'SKU明细'!$E$9:$E$1592,"零日销待复核")&gt;0,"零日销待复核 ","")&amp;IF(COUNTIFS('SKU明细'!$AH$9:$AH$1592,"[""S02b"",""S02b-ND"",""ND"",""裸色""]",'SKU明细'!$E$9:$E$1592,"数据待核")&gt;0,"数据待核 ","")&amp;IF(COUNTIFS('SKU明细'!$AH$9:$AH$1592,"[""S02b"",""S02b-ND"",""ND"",""裸色""]",'SKU明细'!$E$9:$E$1592,"正常库存")&gt;0,"正常库存 ","")&amp;IF(COUNTIFS('SKU明细'!$AH$9:$AH$1592,"[""S02b"",""S02b-ND"",""ND"",""裸色""]",'SKU明细'!$E$9:$E$1592,"补货提醒")&gt;0,"补货提醒 ","")</x:f>
        <x:v>促销 断货 零日销待复核 正常库存 补货提醒 </x:v>
      </x:c>
      <x:c r="Y148" s="19" t="str">
        <x:f>IF(NOT(ISNUMBER(U148)),"覆盖待核／无可比基准","完整可比")</x:f>
        <x:v>完整可比</x:v>
      </x:c>
      <x:c r="Z148" s="19" t="str">
        <x:v>在售</x:v>
      </x:c>
      <x:c r="AA148" s="19" t="n">
        <x:f>IF(SUMIFS('SKU明细'!$AF$9:$AF$1592,'SKU明细'!$D$9:$D$1592,A148,'SKU明细'!$Z$9:$Z$1592,"&lt;&gt;移出")=0,"待核",SUMIFS('SKU明细'!$H$9:$H$1592,'SKU明细'!$D$9:$D$1592,A148,'SKU明细'!$Z$9:$Z$1592,"&lt;&gt;移出"))</x:f>
        <x:v>601</x:v>
      </x:c>
    </x:row>
    <x:row r="149" ht="54" customHeight="1">
      <x:c r="A149" s="15" t="str">
        <x:v>S02b</x:v>
      </x:c>
      <x:c r="B149" s="15" t="str">
        <x:v>陈晨</x:v>
      </x:c>
      <x:c r="C149" s="15" t="str">
        <x:v>裸色</x:v>
      </x:c>
      <x:c r="D149" s="15" t="str">
        <x:v>ND1</x:v>
      </x:c>
      <x:c r="E149" s="15" t="str">
        <x:v>S02b-ND1</x:v>
      </x:c>
      <x:c r="F149" s="15"/>
      <x:c r="G149" s="16" t="str">
        <x:f>"—"</x:f>
        <x:v>—</x:v>
      </x:c>
      <x:c r="H149" s="16" t="str">
        <x:f>"—"</x:f>
        <x:v>—</x:v>
      </x:c>
      <x:c r="I149" s="16" t="n">
        <x:f>IF(AND(COUNT(INDEX('SKU明细'!$H$9:$H$1592,MATCH("[6574,""S02b-ND1-37""]",'SKU明细'!$AE$9:$AE$1592,0)))=1,COUNT(INDEX('SKU明细'!$G$9:$G$1592,MATCH("[6574,""S02b-ND1-37""]",'SKU明细'!$AE$9:$AE$1592,0)))=1,SUM(INDEX('SKU明细'!$G$9:$G$1592,MATCH("[6574,""S02b-ND1-37""]",'SKU明细'!$AE$9:$AE$1592,0)))&gt;0),SUM(INDEX('SKU明细'!$H$9:$H$1592,MATCH("[6574,""S02b-ND1-37""]",'SKU明细'!$AE$9:$AE$1592,0)))/SUM(INDEX('SKU明细'!$G$9:$G$1592,MATCH("[6574,""S02b-ND1-37""]",'SKU明细'!$AE$9:$AE$1592,0))),"待核")</x:f>
        <x:v>14.583333333333336</x:v>
      </x:c>
      <x:c r="J149" s="16" t="str">
        <x:f>"—"</x:f>
        <x:v>—</x:v>
      </x:c>
      <x:c r="K149" s="16" t="str">
        <x:f>"—"</x:f>
        <x:v>—</x:v>
      </x:c>
      <x:c r="L149" s="16" t="str">
        <x:f>"—"</x:f>
        <x:v>—</x:v>
      </x:c>
      <x:c r="M149" s="16" t="str">
        <x:f>"—"</x:f>
        <x:v>—</x:v>
      </x:c>
      <x:c r="N149" s="16" t="str">
        <x:f>"—"</x:f>
        <x:v>—</x:v>
      </x:c>
      <x:c r="O149" s="16" t="str">
        <x:f>"—"</x:f>
        <x:v>—</x:v>
      </x:c>
      <x:c r="P149" s="16" t="str">
        <x:f>"—"</x:f>
        <x:v>—</x:v>
      </x:c>
      <x:c r="Q149" s="16" t="str">
        <x:f>"—"</x:f>
        <x:v>—</x:v>
      </x:c>
      <x:c r="R149" s="16" t="str">
        <x:f>"—"</x:f>
        <x:v>—</x:v>
      </x:c>
      <x:c r="S149" s="16" t="str">
        <x:f>"—"</x:f>
        <x:v>—</x:v>
      </x:c>
      <x:c r="T149" s="16" t="str">
        <x:f>"—"</x:f>
        <x:v>—</x:v>
      </x:c>
      <x:c r="U149" s="16" t="str">
        <x:f>IF(COUNT(S149:T149)=2,S149-T149,"待核")</x:f>
        <x:v>待核</x:v>
      </x:c>
      <x:c r="V149" s="17" t="str">
        <x:f>IF(AND(ISNUMBER(U149),ISNUMBER(T149),T149&lt;&gt;0),U149/T149,"")</x:f>
      </x:c>
      <x:c r="W149" s="18" t="n">
        <x:f>IF(COUNT(INDEX('SKU明细'!$H$9:$H$1592,MATCH("[6574,""S02b-ND1-37""]",'SKU明细'!$AE$9:$AE$1592,0)))=0,"待核",SUM(INDEX('SKU明细'!$H$9:$H$1592,MATCH("[6574,""S02b-ND1-37""]",'SKU明细'!$AE$9:$AE$1592,0))))</x:f>
        <x:v>3</x:v>
      </x:c>
      <x:c r="X149" s="19" t="str">
        <x:f>IF(COUNTIFS('SKU明细'!$AH$9:$AH$1592,"[""S02b"",""S02b-ND1"",""ND1"",""裸色""]",'SKU明细'!$E$9:$E$1592,"促销")&gt;0,"促销 ","")&amp;IF(COUNTIFS('SKU明细'!$AH$9:$AH$1592,"[""S02b"",""S02b-ND1"",""ND1"",""裸色""]",'SKU明细'!$E$9:$E$1592,"红线促销")&gt;0,"红线促销 ","")&amp;IF(COUNTIFS('SKU明细'!$AH$9:$AH$1592,"[""S02b"",""S02b-ND1"",""ND1"",""裸色""]",'SKU明细'!$E$9:$E$1592,"考虑清仓")&gt;0,"考虑清仓 ","")&amp;IF(COUNTIFS('SKU明细'!$AH$9:$AH$1592,"[""S02b"",""S02b-ND1"",""ND1"",""裸色""]",'SKU明细'!$E$9:$E$1592,"断货")&gt;0,"断货 ","")&amp;IF(COUNTIFS('SKU明细'!$AH$9:$AH$1592,"[""S02b"",""S02b-ND1"",""ND1"",""裸色""]",'SKU明细'!$E$9:$E$1592,"零日销待复核")&gt;0,"零日销待复核 ","")&amp;IF(COUNTIFS('SKU明细'!$AH$9:$AH$1592,"[""S02b"",""S02b-ND1"",""ND1"",""裸色""]",'SKU明细'!$E$9:$E$1592,"数据待核")&gt;0,"数据待核 ","")&amp;IF(COUNTIFS('SKU明细'!$AH$9:$AH$1592,"[""S02b"",""S02b-ND1"",""ND1"",""裸色""]",'SKU明细'!$E$9:$E$1592,"正常库存")&gt;0,"正常库存 ","")&amp;IF(COUNTIFS('SKU明细'!$AH$9:$AH$1592,"[""S02b"",""S02b-ND1"",""ND1"",""裸色""]",'SKU明细'!$E$9:$E$1592,"补货提醒")&gt;0,"补货提醒 ","")</x:f>
        <x:v>补货提醒 </x:v>
      </x:c>
      <x:c r="Y149" s="19" t="str">
        <x:f>IF(NOT(ISNUMBER(U149)),"覆盖待核／无可比基准","仅共同SKU")</x:f>
        <x:v>覆盖待核／无可比基准</x:v>
      </x:c>
      <x:c r="Z149" s="19" t="str">
        <x:v>在售</x:v>
      </x:c>
      <x:c r="AA149" s="19" t="n">
        <x:f>IF(SUMIFS('SKU明细'!$AF$9:$AF$1592,'SKU明细'!$D$9:$D$1592,A149,'SKU明细'!$Z$9:$Z$1592,"&lt;&gt;移出")=0,"待核",SUMIFS('SKU明细'!$H$9:$H$1592,'SKU明细'!$D$9:$D$1592,A149,'SKU明细'!$Z$9:$Z$1592,"&lt;&gt;移出"))</x:f>
        <x:v>601</x:v>
      </x:c>
    </x:row>
    <x:row r="150" ht="54" customHeight="1">
      <x:c r="A150" s="15" t="str">
        <x:v>S02b</x:v>
      </x:c>
      <x:c r="B150" s="15" t="str">
        <x:v>陈晨</x:v>
      </x:c>
      <x:c r="C150" s="15" t="str">
        <x:v>藏青色</x:v>
      </x:c>
      <x:c r="D150" s="15" t="str">
        <x:v>NY</x:v>
      </x:c>
      <x:c r="E150" s="15" t="str">
        <x:v>S02b-NY</x:v>
      </x:c>
      <x:c r="F150" s="15"/>
      <x:c r="G150" s="16" t="str">
        <x:f>"—"</x:f>
        <x:v>—</x:v>
      </x:c>
      <x:c r="H150" s="16" t="n">
        <x:f>IF(AND(COUNT(INDEX('SKU明细'!$H$9:$H$1592,MATCH("[6574,""S02b-NY-37""]",'SKU明细'!$AE$9:$AE$1592,0)))=1,COUNT(INDEX('SKU明细'!$G$9:$G$1592,MATCH("[6574,""S02b-NY-37""]",'SKU明细'!$AE$9:$AE$1592,0)))=1,SUM(INDEX('SKU明细'!$G$9:$G$1592,MATCH("[6574,""S02b-NY-37""]",'SKU明细'!$AE$9:$AE$1592,0)))&gt;0),SUM(INDEX('SKU明细'!$H$9:$H$1592,MATCH("[6574,""S02b-NY-37""]",'SKU明细'!$AE$9:$AE$1592,0)))/SUM(INDEX('SKU明细'!$G$9:$G$1592,MATCH("[6574,""S02b-NY-37""]",'SKU明细'!$AE$9:$AE$1592,0))),"待核")</x:f>
        <x:v>20.792079207920793</x:v>
      </x:c>
      <x:c r="I150" s="16" t="str">
        <x:f>"—"</x:f>
        <x:v>—</x:v>
      </x:c>
      <x:c r="J150" s="16" t="n">
        <x:f>IF(AND(COUNT(INDEX('SKU明细'!$H$9:$H$1592,MATCH("[6574,""S02b-NY-38""]",'SKU明细'!$AE$9:$AE$1592,0)))=1,COUNT(INDEX('SKU明细'!$G$9:$G$1592,MATCH("[6574,""S02b-NY-38""]",'SKU明细'!$AE$9:$AE$1592,0)))=1,SUM(INDEX('SKU明细'!$G$9:$G$1592,MATCH("[6574,""S02b-NY-38""]",'SKU明细'!$AE$9:$AE$1592,0)))&gt;0),SUM(INDEX('SKU明细'!$H$9:$H$1592,MATCH("[6574,""S02b-NY-38""]",'SKU明细'!$AE$9:$AE$1592,0)))/SUM(INDEX('SKU明细'!$G$9:$G$1592,MATCH("[6574,""S02b-NY-38""]",'SKU明细'!$AE$9:$AE$1592,0))),"待核")</x:f>
        <x:v>21.608980355472404</x:v>
      </x:c>
      <x:c r="K150" s="16" t="str">
        <x:f>"—"</x:f>
        <x:v>—</x:v>
      </x:c>
      <x:c r="L150" s="16" t="n">
        <x:f>IF(AND(COUNT(INDEX('SKU明细'!$H$9:$H$1592,MATCH("[6574,""S02b-NY-39""]",'SKU明细'!$AE$9:$AE$1592,0)))=1,COUNT(INDEX('SKU明细'!$G$9:$G$1592,MATCH("[6574,""S02b-NY-39""]",'SKU明细'!$AE$9:$AE$1592,0)))=1,SUM(INDEX('SKU明细'!$G$9:$G$1592,MATCH("[6574,""S02b-NY-39""]",'SKU明细'!$AE$9:$AE$1592,0)))&gt;0),SUM(INDEX('SKU明细'!$H$9:$H$1592,MATCH("[6574,""S02b-NY-39""]",'SKU明细'!$AE$9:$AE$1592,0)))/SUM(INDEX('SKU明细'!$G$9:$G$1592,MATCH("[6574,""S02b-NY-39""]",'SKU明细'!$AE$9:$AE$1592,0))),"待核")</x:f>
        <x:v>23.924807747080603</x:v>
      </x:c>
      <x:c r="M150" s="16" t="str">
        <x:f>"—"</x:f>
        <x:v>—</x:v>
      </x:c>
      <x:c r="N150" s="16" t="n">
        <x:f>IF(AND(COUNT(INDEX('SKU明细'!$H$9:$H$1592,MATCH("[6574,""S02b-NY-40""]",'SKU明细'!$AE$9:$AE$1592,0)))=1,COUNT(INDEX('SKU明细'!$G$9:$G$1592,MATCH("[6574,""S02b-NY-40""]",'SKU明细'!$AE$9:$AE$1592,0)))=1,SUM(INDEX('SKU明细'!$G$9:$G$1592,MATCH("[6574,""S02b-NY-40""]",'SKU明细'!$AE$9:$AE$1592,0)))&gt;0),SUM(INDEX('SKU明细'!$H$9:$H$1592,MATCH("[6574,""S02b-NY-40""]",'SKU明细'!$AE$9:$AE$1592,0)))/SUM(INDEX('SKU明细'!$G$9:$G$1592,MATCH("[6574,""S02b-NY-40""]",'SKU明细'!$AE$9:$AE$1592,0))),"待核")</x:f>
        <x:v>108.11232449297974</x:v>
      </x:c>
      <x:c r="O150" s="16" t="str">
        <x:f>"—"</x:f>
        <x:v>—</x:v>
      </x:c>
      <x:c r="P150" s="16" t="n">
        <x:f>IF(AND(COUNT(INDEX('SKU明细'!$H$9:$H$1592,MATCH("[6574,""S02b-NY-41""]",'SKU明细'!$AE$9:$AE$1592,0)))=1,COUNT(INDEX('SKU明细'!$G$9:$G$1592,MATCH("[6574,""S02b-NY-41""]",'SKU明细'!$AE$9:$AE$1592,0)))=1,SUM(INDEX('SKU明细'!$G$9:$G$1592,MATCH("[6574,""S02b-NY-41""]",'SKU明细'!$AE$9:$AE$1592,0)))&gt;0),SUM(INDEX('SKU明细'!$H$9:$H$1592,MATCH("[6574,""S02b-NY-41""]",'SKU明细'!$AE$9:$AE$1592,0)))/SUM(INDEX('SKU明细'!$G$9:$G$1592,MATCH("[6574,""S02b-NY-41""]",'SKU明细'!$AE$9:$AE$1592,0))),"待核")</x:f>
        <x:v>0</x:v>
      </x:c>
      <x:c r="Q150" s="16" t="str">
        <x:f>"—"</x:f>
        <x:v>—</x:v>
      </x:c>
      <x:c r="R150" s="16" t="n">
        <x:f>IF(AND(COUNT(INDEX('SKU明细'!$H$9:$H$1592,MATCH("[6574,""S02b-NY-42""]",'SKU明细'!$AE$9:$AE$1592,0)))=1,COUNT(INDEX('SKU明细'!$G$9:$G$1592,MATCH("[6574,""S02b-NY-42""]",'SKU明细'!$AE$9:$AE$1592,0)))=1,SUM(INDEX('SKU明细'!$G$9:$G$1592,MATCH("[6574,""S02b-NY-42""]",'SKU明细'!$AE$9:$AE$1592,0)))&gt;0),SUM(INDEX('SKU明细'!$H$9:$H$1592,MATCH("[6574,""S02b-NY-42""]",'SKU明细'!$AE$9:$AE$1592,0)))/SUM(INDEX('SKU明细'!$G$9:$G$1592,MATCH("[6574,""S02b-NY-42""]",'SKU明细'!$AE$9:$AE$1592,0))),"待核")</x:f>
        <x:v>0</x:v>
      </x:c>
      <x:c r="S150" s="16" t="n">
        <x:f>IF(AND(COUNT(INDEX('SKU明细'!$H$9:$H$1592,MATCH("[6574,""S02b-NY-40""]",'SKU明细'!$AE$9:$AE$1592,0)),INDEX('SKU明细'!$H$9:$H$1592,MATCH("[6574,""S02b-NY-41""]",'SKU明细'!$AE$9:$AE$1592,0)),INDEX('SKU明细'!$H$9:$H$1592,MATCH("[6574,""S02b-NY-42""]",'SKU明细'!$AE$9:$AE$1592,0)),INDEX('SKU明细'!$H$9:$H$1592,MATCH("[6574,""S02b-NY-37""]",'SKU明细'!$AE$9:$AE$1592,0)),INDEX('SKU明细'!$H$9:$H$1592,MATCH("[6574,""S02b-NY-38""]",'SKU明细'!$AE$9:$AE$1592,0)),INDEX('SKU明细'!$H$9:$H$1592,MATCH("[6574,""S02b-NY-39""]",'SKU明细'!$AE$9:$AE$1592,0)))=6,COUNT(INDEX('SKU明细'!$G$9:$G$1592,MATCH("[6574,""S02b-NY-40""]",'SKU明细'!$AE$9:$AE$1592,0)),INDEX('SKU明细'!$G$9:$G$1592,MATCH("[6574,""S02b-NY-41""]",'SKU明细'!$AE$9:$AE$1592,0)),INDEX('SKU明细'!$G$9:$G$1592,MATCH("[6574,""S02b-NY-42""]",'SKU明细'!$AE$9:$AE$1592,0)),INDEX('SKU明细'!$G$9:$G$1592,MATCH("[6574,""S02b-NY-37""]",'SKU明细'!$AE$9:$AE$1592,0)),INDEX('SKU明细'!$G$9:$G$1592,MATCH("[6574,""S02b-NY-38""]",'SKU明细'!$AE$9:$AE$1592,0)),INDEX('SKU明细'!$G$9:$G$1592,MATCH("[6574,""S02b-NY-39""]",'SKU明细'!$AE$9:$AE$1592,0)))=6,SUM(INDEX('SKU明细'!$G$9:$G$1592,MATCH("[6574,""S02b-NY-40""]",'SKU明细'!$AE$9:$AE$1592,0)),INDEX('SKU明细'!$G$9:$G$1592,MATCH("[6574,""S02b-NY-41""]",'SKU明细'!$AE$9:$AE$1592,0)),INDEX('SKU明细'!$G$9:$G$1592,MATCH("[6574,""S02b-NY-42""]",'SKU明细'!$AE$9:$AE$1592,0)),INDEX('SKU明细'!$G$9:$G$1592,MATCH("[6574,""S02b-NY-37""]",'SKU明细'!$AE$9:$AE$1592,0)),INDEX('SKU明细'!$G$9:$G$1592,MATCH("[6574,""S02b-NY-38""]",'SKU明细'!$AE$9:$AE$1592,0)),INDEX('SKU明细'!$G$9:$G$1592,MATCH("[6574,""S02b-NY-39""]",'SKU明细'!$AE$9:$AE$1592,0)))&gt;0),SUM(INDEX('SKU明细'!$H$9:$H$1592,MATCH("[6574,""S02b-NY-40""]",'SKU明细'!$AE$9:$AE$1592,0)),INDEX('SKU明细'!$H$9:$H$1592,MATCH("[6574,""S02b-NY-41""]",'SKU明细'!$AE$9:$AE$1592,0)),INDEX('SKU明细'!$H$9:$H$1592,MATCH("[6574,""S02b-NY-42""]",'SKU明细'!$AE$9:$AE$1592,0)),INDEX('SKU明细'!$H$9:$H$1592,MATCH("[6574,""S02b-NY-37""]",'SKU明细'!$AE$9:$AE$1592,0)),INDEX('SKU明细'!$H$9:$H$1592,MATCH("[6574,""S02b-NY-38""]",'SKU明细'!$AE$9:$AE$1592,0)),INDEX('SKU明细'!$H$9:$H$1592,MATCH("[6574,""S02b-NY-39""]",'SKU明细'!$AE$9:$AE$1592,0)))/SUM(INDEX('SKU明细'!$G$9:$G$1592,MATCH("[6574,""S02b-NY-40""]",'SKU明细'!$AE$9:$AE$1592,0)),INDEX('SKU明细'!$G$9:$G$1592,MATCH("[6574,""S02b-NY-41""]",'SKU明细'!$AE$9:$AE$1592,0)),INDEX('SKU明细'!$G$9:$G$1592,MATCH("[6574,""S02b-NY-42""]",'SKU明细'!$AE$9:$AE$1592,0)),INDEX('SKU明细'!$G$9:$G$1592,MATCH("[6574,""S02b-NY-37""]",'SKU明细'!$AE$9:$AE$1592,0)),INDEX('SKU明细'!$G$9:$G$1592,MATCH("[6574,""S02b-NY-38""]",'SKU明细'!$AE$9:$AE$1592,0)),INDEX('SKU明细'!$G$9:$G$1592,MATCH("[6574,""S02b-NY-39""]",'SKU明细'!$AE$9:$AE$1592,0))),"待核")</x:f>
        <x:v>33.586785527005766</x:v>
      </x:c>
      <x:c r="T150" s="16" t="n">
        <x:f>IF(AND(COUNT(INDEX('SKU明细'!$I$9:$I$1592,MATCH("[6574,""S02b-NY-40""]",'SKU明细'!$AE$9:$AE$1592,0)),INDEX('SKU明细'!$I$9:$I$1592,MATCH("[6574,""S02b-NY-41""]",'SKU明细'!$AE$9:$AE$1592,0)),INDEX('SKU明细'!$I$9:$I$1592,MATCH("[6574,""S02b-NY-42""]",'SKU明细'!$AE$9:$AE$1592,0)),INDEX('SKU明细'!$I$9:$I$1592,MATCH("[6574,""S02b-NY-37""]",'SKU明细'!$AE$9:$AE$1592,0)),INDEX('SKU明细'!$I$9:$I$1592,MATCH("[6574,""S02b-NY-38""]",'SKU明细'!$AE$9:$AE$1592,0)),INDEX('SKU明细'!$I$9:$I$1592,MATCH("[6574,""S02b-NY-39""]",'SKU明细'!$AE$9:$AE$1592,0)))=6,COUNT(INDEX('SKU明细'!$AD$9:$AD$1592,MATCH("[6574,""S02b-NY-40""]",'SKU明细'!$AE$9:$AE$1592,0)),INDEX('SKU明细'!$AD$9:$AD$1592,MATCH("[6574,""S02b-NY-41""]",'SKU明细'!$AE$9:$AE$1592,0)),INDEX('SKU明细'!$AD$9:$AD$1592,MATCH("[6574,""S02b-NY-42""]",'SKU明细'!$AE$9:$AE$1592,0)),INDEX('SKU明细'!$AD$9:$AD$1592,MATCH("[6574,""S02b-NY-37""]",'SKU明细'!$AE$9:$AE$1592,0)),INDEX('SKU明细'!$AD$9:$AD$1592,MATCH("[6574,""S02b-NY-38""]",'SKU明细'!$AE$9:$AE$1592,0)),INDEX('SKU明细'!$AD$9:$AD$1592,MATCH("[6574,""S02b-NY-39""]",'SKU明细'!$AE$9:$AE$1592,0)))=6,SUM(INDEX('SKU明细'!$AD$9:$AD$1592,MATCH("[6574,""S02b-NY-40""]",'SKU明细'!$AE$9:$AE$1592,0)),INDEX('SKU明细'!$AD$9:$AD$1592,MATCH("[6574,""S02b-NY-41""]",'SKU明细'!$AE$9:$AE$1592,0)),INDEX('SKU明细'!$AD$9:$AD$1592,MATCH("[6574,""S02b-NY-42""]",'SKU明细'!$AE$9:$AE$1592,0)),INDEX('SKU明细'!$AD$9:$AD$1592,MATCH("[6574,""S02b-NY-37""]",'SKU明细'!$AE$9:$AE$1592,0)),INDEX('SKU明细'!$AD$9:$AD$1592,MATCH("[6574,""S02b-NY-38""]",'SKU明细'!$AE$9:$AE$1592,0)),INDEX('SKU明细'!$AD$9:$AD$1592,MATCH("[6574,""S02b-NY-39""]",'SKU明细'!$AE$9:$AE$1592,0)))&gt;0),SUM(INDEX('SKU明细'!$I$9:$I$1592,MATCH("[6574,""S02b-NY-40""]",'SKU明细'!$AE$9:$AE$1592,0)),INDEX('SKU明细'!$I$9:$I$1592,MATCH("[6574,""S02b-NY-41""]",'SKU明细'!$AE$9:$AE$1592,0)),INDEX('SKU明细'!$I$9:$I$1592,MATCH("[6574,""S02b-NY-42""]",'SKU明细'!$AE$9:$AE$1592,0)),INDEX('SKU明细'!$I$9:$I$1592,MATCH("[6574,""S02b-NY-37""]",'SKU明细'!$AE$9:$AE$1592,0)),INDEX('SKU明细'!$I$9:$I$1592,MATCH("[6574,""S02b-NY-38""]",'SKU明细'!$AE$9:$AE$1592,0)),INDEX('SKU明细'!$I$9:$I$1592,MATCH("[6574,""S02b-NY-39""]",'SKU明细'!$AE$9:$AE$1592,0)))/SUM(INDEX('SKU明细'!$AD$9:$AD$1592,MATCH("[6574,""S02b-NY-40""]",'SKU明细'!$AE$9:$AE$1592,0)),INDEX('SKU明细'!$AD$9:$AD$1592,MATCH("[6574,""S02b-NY-41""]",'SKU明细'!$AE$9:$AE$1592,0)),INDEX('SKU明细'!$AD$9:$AD$1592,MATCH("[6574,""S02b-NY-42""]",'SKU明细'!$AE$9:$AE$1592,0)),INDEX('SKU明细'!$AD$9:$AD$1592,MATCH("[6574,""S02b-NY-37""]",'SKU明细'!$AE$9:$AE$1592,0)),INDEX('SKU明细'!$AD$9:$AD$1592,MATCH("[6574,""S02b-NY-38""]",'SKU明细'!$AE$9:$AE$1592,0)),INDEX('SKU明细'!$AD$9:$AD$1592,MATCH("[6574,""S02b-NY-39""]",'SKU明细'!$AE$9:$AE$1592,0))),"待核")</x:f>
        <x:v>41.45728643216081</x:v>
      </x:c>
      <x:c r="U150" s="16" t="n">
        <x:f>IF(COUNT(S150:T150)=2,S150-T150,"待核")</x:f>
        <x:v>-7.8705009051550405</x:v>
      </x:c>
      <x:c r="V150" s="17" t="n">
        <x:f>IF(AND(ISNUMBER(U150),ISNUMBER(T150),T150&lt;&gt;0),U150/T150,"")</x:f>
        <x:v>-0.1898460218334367</x:v>
      </x:c>
      <x:c r="W150" s="18" t="n">
        <x:f>IF(COUNT(INDEX('SKU明细'!$H$9:$H$1592,MATCH("[6574,""S02b-NY-40""]",'SKU明细'!$AE$9:$AE$1592,0)),INDEX('SKU明细'!$H$9:$H$1592,MATCH("[6574,""S02b-NY-41""]",'SKU明细'!$AE$9:$AE$1592,0)),INDEX('SKU明细'!$H$9:$H$1592,MATCH("[6574,""S02b-NY-42""]",'SKU明细'!$AE$9:$AE$1592,0)),INDEX('SKU明细'!$H$9:$H$1592,MATCH("[6574,""S02b-NY-37""]",'SKU明细'!$AE$9:$AE$1592,0)),INDEX('SKU明细'!$H$9:$H$1592,MATCH("[6574,""S02b-NY-38""]",'SKU明细'!$AE$9:$AE$1592,0)),INDEX('SKU明细'!$H$9:$H$1592,MATCH("[6574,""S02b-NY-39""]",'SKU明细'!$AE$9:$AE$1592,0)))=0,"待核",SUM(INDEX('SKU明细'!$H$9:$H$1592,MATCH("[6574,""S02b-NY-40""]",'SKU明细'!$AE$9:$AE$1592,0)),INDEX('SKU明细'!$H$9:$H$1592,MATCH("[6574,""S02b-NY-41""]",'SKU明细'!$AE$9:$AE$1592,0)),INDEX('SKU明细'!$H$9:$H$1592,MATCH("[6574,""S02b-NY-42""]",'SKU明细'!$AE$9:$AE$1592,0)),INDEX('SKU明细'!$H$9:$H$1592,MATCH("[6574,""S02b-NY-37""]",'SKU明细'!$AE$9:$AE$1592,0)),INDEX('SKU明细'!$H$9:$H$1592,MATCH("[6574,""S02b-NY-38""]",'SKU明细'!$AE$9:$AE$1592,0)),INDEX('SKU明细'!$H$9:$H$1592,MATCH("[6574,""S02b-NY-39""]",'SKU明细'!$AE$9:$AE$1592,0))))</x:f>
        <x:v>122</x:v>
      </x:c>
      <x:c r="X150" s="19" t="str">
        <x:f>IF(COUNTIFS('SKU明细'!$AH$9:$AH$1592,"[""S02b"",""S02b-NY"",""NY"",""藏青色""]",'SKU明细'!$E$9:$E$1592,"促销")&gt;0,"促销 ","")&amp;IF(COUNTIFS('SKU明细'!$AH$9:$AH$1592,"[""S02b"",""S02b-NY"",""NY"",""藏青色""]",'SKU明细'!$E$9:$E$1592,"红线促销")&gt;0,"红线促销 ","")&amp;IF(COUNTIFS('SKU明细'!$AH$9:$AH$1592,"[""S02b"",""S02b-NY"",""NY"",""藏青色""]",'SKU明细'!$E$9:$E$1592,"考虑清仓")&gt;0,"考虑清仓 ","")&amp;IF(COUNTIFS('SKU明细'!$AH$9:$AH$1592,"[""S02b"",""S02b-NY"",""NY"",""藏青色""]",'SKU明细'!$E$9:$E$1592,"断货")&gt;0,"断货 ","")&amp;IF(COUNTIFS('SKU明细'!$AH$9:$AH$1592,"[""S02b"",""S02b-NY"",""NY"",""藏青色""]",'SKU明细'!$E$9:$E$1592,"零日销待复核")&gt;0,"零日销待复核 ","")&amp;IF(COUNTIFS('SKU明细'!$AH$9:$AH$1592,"[""S02b"",""S02b-NY"",""NY"",""藏青色""]",'SKU明细'!$E$9:$E$1592,"数据待核")&gt;0,"数据待核 ","")&amp;IF(COUNTIFS('SKU明细'!$AH$9:$AH$1592,"[""S02b"",""S02b-NY"",""NY"",""藏青色""]",'SKU明细'!$E$9:$E$1592,"正常库存")&gt;0,"正常库存 ","")&amp;IF(COUNTIFS('SKU明细'!$AH$9:$AH$1592,"[""S02b"",""S02b-NY"",""NY"",""藏青色""]",'SKU明细'!$E$9:$E$1592,"补货提醒")&gt;0,"补货提醒 ","")</x:f>
        <x:v>促销 断货 补货提醒 </x:v>
      </x:c>
      <x:c r="Y150" s="19" t="str">
        <x:f>IF(NOT(ISNUMBER(U150)),"覆盖待核／无可比基准","完整可比")</x:f>
        <x:v>完整可比</x:v>
      </x:c>
      <x:c r="Z150" s="19" t="str">
        <x:v>在售</x:v>
      </x:c>
      <x:c r="AA150" s="19" t="n">
        <x:f>IF(SUMIFS('SKU明细'!$AF$9:$AF$1592,'SKU明细'!$D$9:$D$1592,A150,'SKU明细'!$Z$9:$Z$1592,"&lt;&gt;移出")=0,"待核",SUMIFS('SKU明细'!$H$9:$H$1592,'SKU明细'!$D$9:$D$1592,A150,'SKU明细'!$Z$9:$Z$1592,"&lt;&gt;移出"))</x:f>
        <x:v>601</x:v>
      </x:c>
    </x:row>
    <x:row r="151" ht="54" customHeight="1">
      <x:c r="A151" s="20" t="str">
        <x:v>8392</x:v>
      </x:c>
      <x:c r="B151" s="20" t="str">
        <x:v>徐新怡</x:v>
      </x:c>
      <x:c r="C151" s="20" t="str">
        <x:v>黑色</x:v>
      </x:c>
      <x:c r="D151" s="20" t="str">
        <x:v>BK</x:v>
      </x:c>
      <x:c r="E151" s="20" t="str">
        <x:v>8392-BK</x:v>
      </x:c>
      <x:c r="F151" s="20"/>
      <x:c r="G151" s="21" t="str">
        <x:f>"—"</x:f>
        <x:v>—</x:v>
      </x:c>
      <x:c r="H151" s="21" t="n">
        <x:f>IF(AND(COUNT(INDEX('SKU明细'!$H$9:$H$1592,MATCH("[6574,""8392-BK-37""]",'SKU明细'!$AE$9:$AE$1592,0)))=1,COUNT(INDEX('SKU明细'!$G$9:$G$1592,MATCH("[6574,""8392-BK-37""]",'SKU明细'!$AE$9:$AE$1592,0)))=1,SUM(INDEX('SKU明细'!$G$9:$G$1592,MATCH("[6574,""8392-BK-37""]",'SKU明细'!$AE$9:$AE$1592,0)))&gt;0),SUM(INDEX('SKU明细'!$H$9:$H$1592,MATCH("[6574,""8392-BK-37""]",'SKU明细'!$AE$9:$AE$1592,0)))/SUM(INDEX('SKU明细'!$G$9:$G$1592,MATCH("[6574,""8392-BK-37""]",'SKU明细'!$AE$9:$AE$1592,0))),"待核")</x:f>
        <x:v>118.26923076923076</x:v>
      </x:c>
      <x:c r="I151" s="21" t="n">
        <x:f>IF(AND(COUNT(INDEX('SKU明细'!$H$9:$H$1592,MATCH("[13120,""8392-BK-37.5""]",'SKU明细'!$AE$9:$AE$1592,0)))=1,COUNT(INDEX('SKU明细'!$G$9:$G$1592,MATCH("[13120,""8392-BK-37.5""]",'SKU明细'!$AE$9:$AE$1592,0)))=1,SUM(INDEX('SKU明细'!$G$9:$G$1592,MATCH("[13120,""8392-BK-37.5""]",'SKU明细'!$AE$9:$AE$1592,0)))&gt;0),SUM(INDEX('SKU明细'!$H$9:$H$1592,MATCH("[13120,""8392-BK-37.5""]",'SKU明细'!$AE$9:$AE$1592,0)))/SUM(INDEX('SKU明细'!$G$9:$G$1592,MATCH("[13120,""8392-BK-37.5""]",'SKU明细'!$AE$9:$AE$1592,0))),"待核")</x:f>
        <x:v>0</x:v>
      </x:c>
      <x:c r="J151" s="21" t="n">
        <x:f>IF(AND(COUNT(INDEX('SKU明细'!$H$9:$H$1592,MATCH("[6574,""8392-BK-38""]",'SKU明细'!$AE$9:$AE$1592,0)))=1,COUNT(INDEX('SKU明细'!$G$9:$G$1592,MATCH("[6574,""8392-BK-38""]",'SKU明细'!$AE$9:$AE$1592,0)))=1,SUM(INDEX('SKU明细'!$G$9:$G$1592,MATCH("[6574,""8392-BK-38""]",'SKU明细'!$AE$9:$AE$1592,0)))&gt;0),SUM(INDEX('SKU明细'!$H$9:$H$1592,MATCH("[6574,""8392-BK-38""]",'SKU明细'!$AE$9:$AE$1592,0)))/SUM(INDEX('SKU明细'!$G$9:$G$1592,MATCH("[6574,""8392-BK-38""]",'SKU明细'!$AE$9:$AE$1592,0))),"待核")</x:f>
        <x:v>34.46339883394515</x:v>
      </x:c>
      <x:c r="K151" s="21" t="str">
        <x:f>IF(AND(COUNT(INDEX('SKU明细'!$H$9:$H$1592,MATCH("[null,""8392-BK-38.5""]",'SKU明细'!$AE$9:$AE$1592,0)))=1,COUNT(INDEX('SKU明细'!$G$9:$G$1592,MATCH("[null,""8392-BK-38.5""]",'SKU明细'!$AE$9:$AE$1592,0)))=1,SUM(INDEX('SKU明细'!$G$9:$G$1592,MATCH("[null,""8392-BK-38.5""]",'SKU明细'!$AE$9:$AE$1592,0)))&gt;0),SUM(INDEX('SKU明细'!$H$9:$H$1592,MATCH("[null,""8392-BK-38.5""]",'SKU明细'!$AE$9:$AE$1592,0)))/SUM(INDEX('SKU明细'!$G$9:$G$1592,MATCH("[null,""8392-BK-38.5""]",'SKU明细'!$AE$9:$AE$1592,0))),"待核")</x:f>
        <x:v>待核</x:v>
      </x:c>
      <x:c r="L151" s="21" t="n">
        <x:f>IF(AND(COUNT(INDEX('SKU明细'!$H$9:$H$1592,MATCH("[6574,""8392-BK-39""]",'SKU明细'!$AE$9:$AE$1592,0)))=1,COUNT(INDEX('SKU明细'!$G$9:$G$1592,MATCH("[6574,""8392-BK-39""]",'SKU明细'!$AE$9:$AE$1592,0)))=1,SUM(INDEX('SKU明细'!$G$9:$G$1592,MATCH("[6574,""8392-BK-39""]",'SKU明细'!$AE$9:$AE$1592,0)))&gt;0),SUM(INDEX('SKU明细'!$H$9:$H$1592,MATCH("[6574,""8392-BK-39""]",'SKU明细'!$AE$9:$AE$1592,0)))/SUM(INDEX('SKU明细'!$G$9:$G$1592,MATCH("[6574,""8392-BK-39""]",'SKU明细'!$AE$9:$AE$1592,0))),"待核")</x:f>
        <x:v>27.09677419354839</x:v>
      </x:c>
      <x:c r="M151" s="21" t="n">
        <x:f>IF(AND(COUNT(INDEX('SKU明细'!$H$9:$H$1592,MATCH("[6574,""8392-BK-39.5""]",'SKU明细'!$AE$9:$AE$1592,0)))=1,COUNT(INDEX('SKU明细'!$G$9:$G$1592,MATCH("[6574,""8392-BK-39.5""]",'SKU明细'!$AE$9:$AE$1592,0)))=1,SUM(INDEX('SKU明细'!$G$9:$G$1592,MATCH("[6574,""8392-BK-39.5""]",'SKU明细'!$AE$9:$AE$1592,0)))&gt;0),SUM(INDEX('SKU明细'!$H$9:$H$1592,MATCH("[6574,""8392-BK-39.5""]",'SKU明细'!$AE$9:$AE$1592,0)))/SUM(INDEX('SKU明细'!$G$9:$G$1592,MATCH("[6574,""8392-BK-39.5""]",'SKU明细'!$AE$9:$AE$1592,0))),"待核")</x:f>
        <x:v>30.55878928987194</x:v>
      </x:c>
      <x:c r="N151" s="21" t="n">
        <x:f>IF(AND(COUNT(INDEX('SKU明细'!$H$9:$H$1592,MATCH("[6574,""8392-BK-40""]",'SKU明细'!$AE$9:$AE$1592,0)))=1,COUNT(INDEX('SKU明细'!$G$9:$G$1592,MATCH("[6574,""8392-BK-40""]",'SKU明细'!$AE$9:$AE$1592,0)))=1,SUM(INDEX('SKU明细'!$G$9:$G$1592,MATCH("[6574,""8392-BK-40""]",'SKU明细'!$AE$9:$AE$1592,0)))&gt;0),SUM(INDEX('SKU明细'!$H$9:$H$1592,MATCH("[6574,""8392-BK-40""]",'SKU明细'!$AE$9:$AE$1592,0)))/SUM(INDEX('SKU明细'!$G$9:$G$1592,MATCH("[6574,""8392-BK-40""]",'SKU明细'!$AE$9:$AE$1592,0))),"待核")</x:f>
        <x:v>13.751169317118801</x:v>
      </x:c>
      <x:c r="O151" s="21" t="str">
        <x:f>IF(AND(COUNT(INDEX('SKU明细'!$H$9:$H$1592,MATCH("[null,""8392-BK-40.5""]",'SKU明细'!$AE$9:$AE$1592,0)))=1,COUNT(INDEX('SKU明细'!$G$9:$G$1592,MATCH("[null,""8392-BK-40.5""]",'SKU明细'!$AE$9:$AE$1592,0)))=1,SUM(INDEX('SKU明细'!$G$9:$G$1592,MATCH("[null,""8392-BK-40.5""]",'SKU明细'!$AE$9:$AE$1592,0)))&gt;0),SUM(INDEX('SKU明细'!$H$9:$H$1592,MATCH("[null,""8392-BK-40.5""]",'SKU明细'!$AE$9:$AE$1592,0)))/SUM(INDEX('SKU明细'!$G$9:$G$1592,MATCH("[null,""8392-BK-40.5""]",'SKU明细'!$AE$9:$AE$1592,0))),"待核")</x:f>
        <x:v>待核</x:v>
      </x:c>
      <x:c r="P151" s="21" t="n">
        <x:f>IF(AND(COUNT(INDEX('SKU明细'!$H$9:$H$1592,MATCH("[6574,""8392-BK-41""]",'SKU明细'!$AE$9:$AE$1592,0)))=1,COUNT(INDEX('SKU明细'!$G$9:$G$1592,MATCH("[6574,""8392-BK-41""]",'SKU明细'!$AE$9:$AE$1592,0)))=1,SUM(INDEX('SKU明细'!$G$9:$G$1592,MATCH("[6574,""8392-BK-41""]",'SKU明细'!$AE$9:$AE$1592,0)))&gt;0),SUM(INDEX('SKU明细'!$H$9:$H$1592,MATCH("[6574,""8392-BK-41""]",'SKU明细'!$AE$9:$AE$1592,0)))/SUM(INDEX('SKU明细'!$G$9:$G$1592,MATCH("[6574,""8392-BK-41""]",'SKU明细'!$AE$9:$AE$1592,0))),"待核")</x:f>
        <x:v>9.001837109614206</x:v>
      </x:c>
      <x:c r="Q151" s="21" t="str">
        <x:f>IF(AND(COUNT(INDEX('SKU明细'!$H$9:$H$1592,MATCH("[null,""8392-BK-41.5""]",'SKU明细'!$AE$9:$AE$1592,0)))=1,COUNT(INDEX('SKU明细'!$G$9:$G$1592,MATCH("[null,""8392-BK-41.5""]",'SKU明细'!$AE$9:$AE$1592,0)))=1,SUM(INDEX('SKU明细'!$G$9:$G$1592,MATCH("[null,""8392-BK-41.5""]",'SKU明细'!$AE$9:$AE$1592,0)))&gt;0),SUM(INDEX('SKU明细'!$H$9:$H$1592,MATCH("[null,""8392-BK-41.5""]",'SKU明细'!$AE$9:$AE$1592,0)))/SUM(INDEX('SKU明细'!$G$9:$G$1592,MATCH("[null,""8392-BK-41.5""]",'SKU明细'!$AE$9:$AE$1592,0))),"待核")</x:f>
        <x:v>待核</x:v>
      </x:c>
      <x:c r="R151" s="21" t="n">
        <x:f>IF(AND(COUNT(INDEX('SKU明细'!$H$9:$H$1592,MATCH("[6574,""8392-BK-42""]",'SKU明细'!$AE$9:$AE$1592,0)))=1,COUNT(INDEX('SKU明细'!$G$9:$G$1592,MATCH("[6574,""8392-BK-42""]",'SKU明细'!$AE$9:$AE$1592,0)))=1,SUM(INDEX('SKU明细'!$G$9:$G$1592,MATCH("[6574,""8392-BK-42""]",'SKU明细'!$AE$9:$AE$1592,0)))&gt;0),SUM(INDEX('SKU明细'!$H$9:$H$1592,MATCH("[6574,""8392-BK-42""]",'SKU明细'!$AE$9:$AE$1592,0)))/SUM(INDEX('SKU明细'!$G$9:$G$1592,MATCH("[6574,""8392-BK-42""]",'SKU明细'!$AE$9:$AE$1592,0))),"待核")</x:f>
        <x:v>10.520231213872833</x:v>
      </x:c>
      <x:c r="S151" s="21" t="str">
        <x:f>"—"</x:f>
        <x:v>—</x:v>
      </x:c>
      <x:c r="T151" s="21" t="str">
        <x:f>"—"</x:f>
        <x:v>—</x:v>
      </x:c>
      <x:c r="U151" s="21" t="str">
        <x:f>IF(COUNT(S151:T151)=2,S151-T151,"待核")</x:f>
        <x:v>待核</x:v>
      </x:c>
      <x:c r="V151" s="22" t="str">
        <x:f>IF(AND(ISNUMBER(U151),ISNUMBER(T151),T151&lt;&gt;0),U151/T151,"")</x:f>
      </x:c>
      <x:c r="W151" s="23" t="n">
        <x:f>IF(COUNT(INDEX('SKU明细'!$H$9:$H$1592,MATCH("[6574,""8392-BK-37""]",'SKU明细'!$AE$9:$AE$1592,0)),INDEX('SKU明细'!$H$9:$H$1592,MATCH("[13120,""8392-BK-37.5""]",'SKU明细'!$AE$9:$AE$1592,0)),INDEX('SKU明细'!$H$9:$H$1592,MATCH("[null,""8392-BK-38.5""]",'SKU明细'!$AE$9:$AE$1592,0)),INDEX('SKU明细'!$H$9:$H$1592,MATCH("[null,""8392-BK-40.5""]",'SKU明细'!$AE$9:$AE$1592,0)),INDEX('SKU明细'!$H$9:$H$1592,MATCH("[null,""8392-BK-41.5""]",'SKU明细'!$AE$9:$AE$1592,0)),INDEX('SKU明细'!$H$9:$H$1592,MATCH("[6574,""8392-BK-38""]",'SKU明细'!$AE$9:$AE$1592,0)),INDEX('SKU明细'!$H$9:$H$1592,MATCH("[6574,""8392-BK-39""]",'SKU明细'!$AE$9:$AE$1592,0)),INDEX('SKU明细'!$H$9:$H$1592,MATCH("[6574,""8392-BK-39.5""]",'SKU明细'!$AE$9:$AE$1592,0)),INDEX('SKU明细'!$H$9:$H$1592,MATCH("[6574,""8392-BK-40""]",'SKU明细'!$AE$9:$AE$1592,0)),INDEX('SKU明细'!$H$9:$H$1592,MATCH("[6574,""8392-BK-41""]",'SKU明细'!$AE$9:$AE$1592,0)),INDEX('SKU明细'!$H$9:$H$1592,MATCH("[6574,""8392-BK-42""]",'SKU明细'!$AE$9:$AE$1592,0)))=0,"待核",SUM(INDEX('SKU明细'!$H$9:$H$1592,MATCH("[6574,""8392-BK-37""]",'SKU明细'!$AE$9:$AE$1592,0)),INDEX('SKU明细'!$H$9:$H$1592,MATCH("[13120,""8392-BK-37.5""]",'SKU明细'!$AE$9:$AE$1592,0)),INDEX('SKU明细'!$H$9:$H$1592,MATCH("[null,""8392-BK-38.5""]",'SKU明细'!$AE$9:$AE$1592,0)),INDEX('SKU明细'!$H$9:$H$1592,MATCH("[null,""8392-BK-40.5""]",'SKU明细'!$AE$9:$AE$1592,0)),INDEX('SKU明细'!$H$9:$H$1592,MATCH("[null,""8392-BK-41.5""]",'SKU明细'!$AE$9:$AE$1592,0)),INDEX('SKU明细'!$H$9:$H$1592,MATCH("[6574,""8392-BK-38""]",'SKU明细'!$AE$9:$AE$1592,0)),INDEX('SKU明细'!$H$9:$H$1592,MATCH("[6574,""8392-BK-39""]",'SKU明细'!$AE$9:$AE$1592,0)),INDEX('SKU明细'!$H$9:$H$1592,MATCH("[6574,""8392-BK-39.5""]",'SKU明细'!$AE$9:$AE$1592,0)),INDEX('SKU明细'!$H$9:$H$1592,MATCH("[6574,""8392-BK-40""]",'SKU明细'!$AE$9:$AE$1592,0)),INDEX('SKU明细'!$H$9:$H$1592,MATCH("[6574,""8392-BK-41""]",'SKU明细'!$AE$9:$AE$1592,0)),INDEX('SKU明细'!$H$9:$H$1592,MATCH("[6574,""8392-BK-42""]",'SKU明细'!$AE$9:$AE$1592,0))))</x:f>
        <x:v>210</x:v>
      </x:c>
      <x:c r="X151" s="24" t="str">
        <x:f>IF(COUNTIFS('SKU明细'!$AH$9:$AH$1592,"[""8392"",""8392-BK"",""BK"",""黑色""]",'SKU明细'!$E$9:$E$1592,"促销")&gt;0,"促销 ","")&amp;IF(COUNTIFS('SKU明细'!$AH$9:$AH$1592,"[""8392"",""8392-BK"",""BK"",""黑色""]",'SKU明细'!$E$9:$E$1592,"红线促销")&gt;0,"红线促销 ","")&amp;IF(COUNTIFS('SKU明细'!$AH$9:$AH$1592,"[""8392"",""8392-BK"",""BK"",""黑色""]",'SKU明细'!$E$9:$E$1592,"考虑清仓")&gt;0,"考虑清仓 ","")&amp;IF(COUNTIFS('SKU明细'!$AH$9:$AH$1592,"[""8392"",""8392-BK"",""BK"",""黑色""]",'SKU明细'!$E$9:$E$1592,"断货")&gt;0,"断货 ","")&amp;IF(COUNTIFS('SKU明细'!$AH$9:$AH$1592,"[""8392"",""8392-BK"",""BK"",""黑色""]",'SKU明细'!$E$9:$E$1592,"零日销待复核")&gt;0,"零日销待复核 ","")&amp;IF(COUNTIFS('SKU明细'!$AH$9:$AH$1592,"[""8392"",""8392-BK"",""BK"",""黑色""]",'SKU明细'!$E$9:$E$1592,"数据待核")&gt;0,"数据待核 ","")&amp;IF(COUNTIFS('SKU明细'!$AH$9:$AH$1592,"[""8392"",""8392-BK"",""BK"",""黑色""]",'SKU明细'!$E$9:$E$1592,"正常库存")&gt;0,"正常库存 ","")&amp;IF(COUNTIFS('SKU明细'!$AH$9:$AH$1592,"[""8392"",""8392-BK"",""BK"",""黑色""]",'SKU明细'!$E$9:$E$1592,"补货提醒")&gt;0,"补货提醒 ","")</x:f>
        <x:v>促销 断货 数据待核 补货提醒 </x:v>
      </x:c>
      <x:c r="Y151" s="24" t="str">
        <x:f>IF(NOT(ISNUMBER(U151)),"覆盖待核／无可比基准","仅共同SKU")</x:f>
        <x:v>覆盖待核／无可比基准</x:v>
      </x:c>
      <x:c r="Z151" s="24" t="str">
        <x:v>在售、停售、未匹配Listing</x:v>
      </x:c>
      <x:c r="AA151" s="24" t="n">
        <x:f>IF(SUMIFS('SKU明细'!$AF$9:$AF$1592,'SKU明细'!$D$9:$D$1592,A151,'SKU明细'!$Z$9:$Z$1592,"&lt;&gt;移出")=0,"待核",SUMIFS('SKU明细'!$H$9:$H$1592,'SKU明细'!$D$9:$D$1592,A151,'SKU明细'!$Z$9:$Z$1592,"&lt;&gt;移出"))</x:f>
        <x:v>529</x:v>
      </x:c>
    </x:row>
    <x:row r="152" ht="54" customHeight="1">
      <x:c r="A152" s="20" t="str">
        <x:v>8392</x:v>
      </x:c>
      <x:c r="B152" s="20" t="str">
        <x:v>徐新怡</x:v>
      </x:c>
      <x:c r="C152" s="20" t="str">
        <x:v>灰色</x:v>
      </x:c>
      <x:c r="D152" s="20" t="str">
        <x:v>GY</x:v>
      </x:c>
      <x:c r="E152" s="20" t="str">
        <x:v>8392-GY-S-K</x:v>
      </x:c>
      <x:c r="F152" s="20"/>
      <x:c r="G152" s="21" t="str">
        <x:f>"—"</x:f>
        <x:v>—</x:v>
      </x:c>
      <x:c r="H152" s="21" t="str">
        <x:f>IF(AND(COUNT(INDEX('SKU明细'!$H$9:$H$1592,MATCH("[null,""8392-GY-S-K-37""]",'SKU明细'!$AE$9:$AE$1592,0)))=1,COUNT(INDEX('SKU明细'!$G$9:$G$1592,MATCH("[null,""8392-GY-S-K-37""]",'SKU明细'!$AE$9:$AE$1592,0)))=1,SUM(INDEX('SKU明细'!$G$9:$G$1592,MATCH("[null,""8392-GY-S-K-37""]",'SKU明细'!$AE$9:$AE$1592,0)))&gt;0),SUM(INDEX('SKU明细'!$H$9:$H$1592,MATCH("[null,""8392-GY-S-K-37""]",'SKU明细'!$AE$9:$AE$1592,0)))/SUM(INDEX('SKU明细'!$G$9:$G$1592,MATCH("[null,""8392-GY-S-K-37""]",'SKU明细'!$AE$9:$AE$1592,0))),"待核")</x:f>
        <x:v>待核</x:v>
      </x:c>
      <x:c r="I152" s="21" t="str">
        <x:f>IF(AND(COUNT(INDEX('SKU明细'!$H$9:$H$1592,MATCH("[null,""8392-GY-S-K-37.5""]",'SKU明细'!$AE$9:$AE$1592,0)))=1,COUNT(INDEX('SKU明细'!$G$9:$G$1592,MATCH("[null,""8392-GY-S-K-37.5""]",'SKU明细'!$AE$9:$AE$1592,0)))=1,SUM(INDEX('SKU明细'!$G$9:$G$1592,MATCH("[null,""8392-GY-S-K-37.5""]",'SKU明细'!$AE$9:$AE$1592,0)))&gt;0),SUM(INDEX('SKU明细'!$H$9:$H$1592,MATCH("[null,""8392-GY-S-K-37.5""]",'SKU明细'!$AE$9:$AE$1592,0)))/SUM(INDEX('SKU明细'!$G$9:$G$1592,MATCH("[null,""8392-GY-S-K-37.5""]",'SKU明细'!$AE$9:$AE$1592,0))),"待核")</x:f>
        <x:v>待核</x:v>
      </x:c>
      <x:c r="J152" s="21" t="str">
        <x:f>IF(AND(COUNT(INDEX('SKU明细'!$H$9:$H$1592,MATCH("[null,""8392-GY-S-K-38""]",'SKU明细'!$AE$9:$AE$1592,0)))=1,COUNT(INDEX('SKU明细'!$G$9:$G$1592,MATCH("[null,""8392-GY-S-K-38""]",'SKU明细'!$AE$9:$AE$1592,0)))=1,SUM(INDEX('SKU明细'!$G$9:$G$1592,MATCH("[null,""8392-GY-S-K-38""]",'SKU明细'!$AE$9:$AE$1592,0)))&gt;0),SUM(INDEX('SKU明细'!$H$9:$H$1592,MATCH("[null,""8392-GY-S-K-38""]",'SKU明细'!$AE$9:$AE$1592,0)))/SUM(INDEX('SKU明细'!$G$9:$G$1592,MATCH("[null,""8392-GY-S-K-38""]",'SKU明细'!$AE$9:$AE$1592,0))),"待核")</x:f>
        <x:v>待核</x:v>
      </x:c>
      <x:c r="K152" s="21" t="str">
        <x:f>IF(AND(COUNT(INDEX('SKU明细'!$H$9:$H$1592,MATCH("[null,""8392-GY-S-K-38.5""]",'SKU明细'!$AE$9:$AE$1592,0)))=1,COUNT(INDEX('SKU明细'!$G$9:$G$1592,MATCH("[null,""8392-GY-S-K-38.5""]",'SKU明细'!$AE$9:$AE$1592,0)))=1,SUM(INDEX('SKU明细'!$G$9:$G$1592,MATCH("[null,""8392-GY-S-K-38.5""]",'SKU明细'!$AE$9:$AE$1592,0)))&gt;0),SUM(INDEX('SKU明细'!$H$9:$H$1592,MATCH("[null,""8392-GY-S-K-38.5""]",'SKU明细'!$AE$9:$AE$1592,0)))/SUM(INDEX('SKU明细'!$G$9:$G$1592,MATCH("[null,""8392-GY-S-K-38.5""]",'SKU明细'!$AE$9:$AE$1592,0))),"待核")</x:f>
        <x:v>待核</x:v>
      </x:c>
      <x:c r="L152" s="21" t="str">
        <x:f>IF(AND(COUNT(INDEX('SKU明细'!$H$9:$H$1592,MATCH("[null,""8392-GY-S-K-39""]",'SKU明细'!$AE$9:$AE$1592,0)))=1,COUNT(INDEX('SKU明细'!$G$9:$G$1592,MATCH("[null,""8392-GY-S-K-39""]",'SKU明细'!$AE$9:$AE$1592,0)))=1,SUM(INDEX('SKU明细'!$G$9:$G$1592,MATCH("[null,""8392-GY-S-K-39""]",'SKU明细'!$AE$9:$AE$1592,0)))&gt;0),SUM(INDEX('SKU明细'!$H$9:$H$1592,MATCH("[null,""8392-GY-S-K-39""]",'SKU明细'!$AE$9:$AE$1592,0)))/SUM(INDEX('SKU明细'!$G$9:$G$1592,MATCH("[null,""8392-GY-S-K-39""]",'SKU明细'!$AE$9:$AE$1592,0))),"待核")</x:f>
        <x:v>待核</x:v>
      </x:c>
      <x:c r="M152" s="21" t="str">
        <x:f>IF(AND(COUNT(INDEX('SKU明细'!$H$9:$H$1592,MATCH("[null,""8392-GY-S-K-39.5""]",'SKU明细'!$AE$9:$AE$1592,0)))=1,COUNT(INDEX('SKU明细'!$G$9:$G$1592,MATCH("[null,""8392-GY-S-K-39.5""]",'SKU明细'!$AE$9:$AE$1592,0)))=1,SUM(INDEX('SKU明细'!$G$9:$G$1592,MATCH("[null,""8392-GY-S-K-39.5""]",'SKU明细'!$AE$9:$AE$1592,0)))&gt;0),SUM(INDEX('SKU明细'!$H$9:$H$1592,MATCH("[null,""8392-GY-S-K-39.5""]",'SKU明细'!$AE$9:$AE$1592,0)))/SUM(INDEX('SKU明细'!$G$9:$G$1592,MATCH("[null,""8392-GY-S-K-39.5""]",'SKU明细'!$AE$9:$AE$1592,0))),"待核")</x:f>
        <x:v>待核</x:v>
      </x:c>
      <x:c r="N152" s="21" t="str">
        <x:f>IF(AND(COUNT(INDEX('SKU明细'!$H$9:$H$1592,MATCH("[6574,""8392-GY-S-K-40""]",'SKU明细'!$AE$9:$AE$1592,0)))=1,COUNT(INDEX('SKU明细'!$G$9:$G$1592,MATCH("[6574,""8392-GY-S-K-40""]",'SKU明细'!$AE$9:$AE$1592,0)))=1,SUM(INDEX('SKU明细'!$G$9:$G$1592,MATCH("[6574,""8392-GY-S-K-40""]",'SKU明细'!$AE$9:$AE$1592,0)))&gt;0),SUM(INDEX('SKU明细'!$H$9:$H$1592,MATCH("[6574,""8392-GY-S-K-40""]",'SKU明细'!$AE$9:$AE$1592,0)))/SUM(INDEX('SKU明细'!$G$9:$G$1592,MATCH("[6574,""8392-GY-S-K-40""]",'SKU明细'!$AE$9:$AE$1592,0))),"待核")</x:f>
        <x:v>待核</x:v>
      </x:c>
      <x:c r="O152" s="21" t="str">
        <x:f>IF(AND(COUNT(INDEX('SKU明细'!$H$9:$H$1592,MATCH("[null,""8392-GY-S-K-40.5""]",'SKU明细'!$AE$9:$AE$1592,0)))=1,COUNT(INDEX('SKU明细'!$G$9:$G$1592,MATCH("[null,""8392-GY-S-K-40.5""]",'SKU明细'!$AE$9:$AE$1592,0)))=1,SUM(INDEX('SKU明细'!$G$9:$G$1592,MATCH("[null,""8392-GY-S-K-40.5""]",'SKU明细'!$AE$9:$AE$1592,0)))&gt;0),SUM(INDEX('SKU明细'!$H$9:$H$1592,MATCH("[null,""8392-GY-S-K-40.5""]",'SKU明细'!$AE$9:$AE$1592,0)))/SUM(INDEX('SKU明细'!$G$9:$G$1592,MATCH("[null,""8392-GY-S-K-40.5""]",'SKU明细'!$AE$9:$AE$1592,0))),"待核")</x:f>
        <x:v>待核</x:v>
      </x:c>
      <x:c r="P152" s="21" t="str">
        <x:f>IF(AND(COUNT(INDEX('SKU明细'!$H$9:$H$1592,MATCH("[6574,""8392-GY-S-K-41""]",'SKU明细'!$AE$9:$AE$1592,0)))=1,COUNT(INDEX('SKU明细'!$G$9:$G$1592,MATCH("[6574,""8392-GY-S-K-41""]",'SKU明细'!$AE$9:$AE$1592,0)))=1,SUM(INDEX('SKU明细'!$G$9:$G$1592,MATCH("[6574,""8392-GY-S-K-41""]",'SKU明细'!$AE$9:$AE$1592,0)))&gt;0),SUM(INDEX('SKU明细'!$H$9:$H$1592,MATCH("[6574,""8392-GY-S-K-41""]",'SKU明细'!$AE$9:$AE$1592,0)))/SUM(INDEX('SKU明细'!$G$9:$G$1592,MATCH("[6574,""8392-GY-S-K-41""]",'SKU明细'!$AE$9:$AE$1592,0))),"待核")</x:f>
        <x:v>待核</x:v>
      </x:c>
      <x:c r="Q152" s="21" t="str">
        <x:f>IF(AND(COUNT(INDEX('SKU明细'!$H$9:$H$1592,MATCH("[null,""8392-GY-S-K-41.5""]",'SKU明细'!$AE$9:$AE$1592,0)))=1,COUNT(INDEX('SKU明细'!$G$9:$G$1592,MATCH("[null,""8392-GY-S-K-41.5""]",'SKU明细'!$AE$9:$AE$1592,0)))=1,SUM(INDEX('SKU明细'!$G$9:$G$1592,MATCH("[null,""8392-GY-S-K-41.5""]",'SKU明细'!$AE$9:$AE$1592,0)))&gt;0),SUM(INDEX('SKU明细'!$H$9:$H$1592,MATCH("[null,""8392-GY-S-K-41.5""]",'SKU明细'!$AE$9:$AE$1592,0)))/SUM(INDEX('SKU明细'!$G$9:$G$1592,MATCH("[null,""8392-GY-S-K-41.5""]",'SKU明细'!$AE$9:$AE$1592,0))),"待核")</x:f>
        <x:v>待核</x:v>
      </x:c>
      <x:c r="R152" s="21" t="str">
        <x:f>IF(AND(COUNT(INDEX('SKU明细'!$H$9:$H$1592,MATCH("[null,""8392-GY-S-K-42""]",'SKU明细'!$AE$9:$AE$1592,0)))=1,COUNT(INDEX('SKU明细'!$G$9:$G$1592,MATCH("[null,""8392-GY-S-K-42""]",'SKU明细'!$AE$9:$AE$1592,0)))=1,SUM(INDEX('SKU明细'!$G$9:$G$1592,MATCH("[null,""8392-GY-S-K-42""]",'SKU明细'!$AE$9:$AE$1592,0)))&gt;0),SUM(INDEX('SKU明细'!$H$9:$H$1592,MATCH("[null,""8392-GY-S-K-42""]",'SKU明细'!$AE$9:$AE$1592,0)))/SUM(INDEX('SKU明细'!$G$9:$G$1592,MATCH("[null,""8392-GY-S-K-42""]",'SKU明细'!$AE$9:$AE$1592,0))),"待核")</x:f>
        <x:v>待核</x:v>
      </x:c>
      <x:c r="S152" s="21" t="str">
        <x:f>"—"</x:f>
        <x:v>—</x:v>
      </x:c>
      <x:c r="T152" s="21" t="str">
        <x:f>"—"</x:f>
        <x:v>—</x:v>
      </x:c>
      <x:c r="U152" s="21" t="str">
        <x:f>IF(COUNT(S152:T152)=2,S152-T152,"待核")</x:f>
        <x:v>待核</x:v>
      </x:c>
      <x:c r="V152" s="22" t="str">
        <x:f>IF(AND(ISNUMBER(U152),ISNUMBER(T152),T152&lt;&gt;0),U152/T152,"")</x:f>
      </x:c>
      <x:c r="W152" s="23" t="n">
        <x:f>IF(COUNT(INDEX('SKU明细'!$H$9:$H$1592,MATCH("[6574,""8392-GY-S-K-40""]",'SKU明细'!$AE$9:$AE$1592,0)),INDEX('SKU明细'!$H$9:$H$1592,MATCH("[6574,""8392-GY-S-K-41""]",'SKU明细'!$AE$9:$AE$1592,0)),INDEX('SKU明细'!$H$9:$H$1592,MATCH("[null,""8392-GY-S-K-37""]",'SKU明细'!$AE$9:$AE$1592,0)),INDEX('SKU明细'!$H$9:$H$1592,MATCH("[null,""8392-GY-S-K-37.5""]",'SKU明细'!$AE$9:$AE$1592,0)),INDEX('SKU明细'!$H$9:$H$1592,MATCH("[null,""8392-GY-S-K-38""]",'SKU明细'!$AE$9:$AE$1592,0)),INDEX('SKU明细'!$H$9:$H$1592,MATCH("[null,""8392-GY-S-K-38.5""]",'SKU明细'!$AE$9:$AE$1592,0)),INDEX('SKU明细'!$H$9:$H$1592,MATCH("[null,""8392-GY-S-K-39""]",'SKU明细'!$AE$9:$AE$1592,0)),INDEX('SKU明细'!$H$9:$H$1592,MATCH("[null,""8392-GY-S-K-39.5""]",'SKU明细'!$AE$9:$AE$1592,0)),INDEX('SKU明细'!$H$9:$H$1592,MATCH("[null,""8392-GY-S-K-40.5""]",'SKU明细'!$AE$9:$AE$1592,0)),INDEX('SKU明细'!$H$9:$H$1592,MATCH("[null,""8392-GY-S-K-41.5""]",'SKU明细'!$AE$9:$AE$1592,0)),INDEX('SKU明细'!$H$9:$H$1592,MATCH("[null,""8392-GY-S-K-42""]",'SKU明细'!$AE$9:$AE$1592,0)))=0,"待核",SUM(INDEX('SKU明细'!$H$9:$H$1592,MATCH("[6574,""8392-GY-S-K-40""]",'SKU明细'!$AE$9:$AE$1592,0)),INDEX('SKU明细'!$H$9:$H$1592,MATCH("[6574,""8392-GY-S-K-41""]",'SKU明细'!$AE$9:$AE$1592,0)),INDEX('SKU明细'!$H$9:$H$1592,MATCH("[null,""8392-GY-S-K-37""]",'SKU明细'!$AE$9:$AE$1592,0)),INDEX('SKU明细'!$H$9:$H$1592,MATCH("[null,""8392-GY-S-K-37.5""]",'SKU明细'!$AE$9:$AE$1592,0)),INDEX('SKU明细'!$H$9:$H$1592,MATCH("[null,""8392-GY-S-K-38""]",'SKU明细'!$AE$9:$AE$1592,0)),INDEX('SKU明细'!$H$9:$H$1592,MATCH("[null,""8392-GY-S-K-38.5""]",'SKU明细'!$AE$9:$AE$1592,0)),INDEX('SKU明细'!$H$9:$H$1592,MATCH("[null,""8392-GY-S-K-39""]",'SKU明细'!$AE$9:$AE$1592,0)),INDEX('SKU明细'!$H$9:$H$1592,MATCH("[null,""8392-GY-S-K-39.5""]",'SKU明细'!$AE$9:$AE$1592,0)),INDEX('SKU明细'!$H$9:$H$1592,MATCH("[null,""8392-GY-S-K-40.5""]",'SKU明细'!$AE$9:$AE$1592,0)),INDEX('SKU明细'!$H$9:$H$1592,MATCH("[null,""8392-GY-S-K-41.5""]",'SKU明细'!$AE$9:$AE$1592,0)),INDEX('SKU明细'!$H$9:$H$1592,MATCH("[null,""8392-GY-S-K-42""]",'SKU明细'!$AE$9:$AE$1592,0))))</x:f>
        <x:v>0</x:v>
      </x:c>
      <x:c r="X152" s="24" t="str">
        <x:f>IF(COUNTIFS('SKU明细'!$AH$9:$AH$1592,"[""8392"",""8392-GY-S-K"",""GY"",""灰色""]",'SKU明细'!$E$9:$E$1592,"促销")&gt;0,"促销 ","")&amp;IF(COUNTIFS('SKU明细'!$AH$9:$AH$1592,"[""8392"",""8392-GY-S-K"",""GY"",""灰色""]",'SKU明细'!$E$9:$E$1592,"红线促销")&gt;0,"红线促销 ","")&amp;IF(COUNTIFS('SKU明细'!$AH$9:$AH$1592,"[""8392"",""8392-GY-S-K"",""GY"",""灰色""]",'SKU明细'!$E$9:$E$1592,"考虑清仓")&gt;0,"考虑清仓 ","")&amp;IF(COUNTIFS('SKU明细'!$AH$9:$AH$1592,"[""8392"",""8392-GY-S-K"",""GY"",""灰色""]",'SKU明细'!$E$9:$E$1592,"断货")&gt;0,"断货 ","")&amp;IF(COUNTIFS('SKU明细'!$AH$9:$AH$1592,"[""8392"",""8392-GY-S-K"",""GY"",""灰色""]",'SKU明细'!$E$9:$E$1592,"零日销待复核")&gt;0,"零日销待复核 ","")&amp;IF(COUNTIFS('SKU明细'!$AH$9:$AH$1592,"[""8392"",""8392-GY-S-K"",""GY"",""灰色""]",'SKU明细'!$E$9:$E$1592,"数据待核")&gt;0,"数据待核 ","")&amp;IF(COUNTIFS('SKU明细'!$AH$9:$AH$1592,"[""8392"",""8392-GY-S-K"",""GY"",""灰色""]",'SKU明细'!$E$9:$E$1592,"正常库存")&gt;0,"正常库存 ","")&amp;IF(COUNTIFS('SKU明细'!$AH$9:$AH$1592,"[""8392"",""8392-GY-S-K"",""GY"",""灰色""]",'SKU明细'!$E$9:$E$1592,"补货提醒")&gt;0,"补货提醒 ","")</x:f>
        <x:v>断货 数据待核 </x:v>
      </x:c>
      <x:c r="Y152" s="24" t="str">
        <x:f>IF(NOT(ISNUMBER(U152)),"覆盖待核／无可比基准","仅共同SKU")</x:f>
        <x:v>覆盖待核／无可比基准</x:v>
      </x:c>
      <x:c r="Z152" s="24" t="str">
        <x:v>停售、未匹配Listing</x:v>
      </x:c>
      <x:c r="AA152" s="24" t="n">
        <x:f>IF(SUMIFS('SKU明细'!$AF$9:$AF$1592,'SKU明细'!$D$9:$D$1592,A152,'SKU明细'!$Z$9:$Z$1592,"&lt;&gt;移出")=0,"待核",SUMIFS('SKU明细'!$H$9:$H$1592,'SKU明细'!$D$9:$D$1592,A152,'SKU明细'!$Z$9:$Z$1592,"&lt;&gt;移出"))</x:f>
        <x:v>529</x:v>
      </x:c>
    </x:row>
    <x:row r="153" ht="54" customHeight="1">
      <x:c r="A153" s="20" t="str">
        <x:v>8392</x:v>
      </x:c>
      <x:c r="B153" s="20" t="str">
        <x:v>徐新怡</x:v>
      </x:c>
      <x:c r="C153" s="20" t="str">
        <x:v>豹纹</x:v>
      </x:c>
      <x:c r="D153" s="20" t="str">
        <x:v>LP</x:v>
      </x:c>
      <x:c r="E153" s="20" t="str">
        <x:v>8392-LP</x:v>
      </x:c>
      <x:c r="F153" s="20"/>
      <x:c r="G153" s="21" t="str">
        <x:f>"—"</x:f>
        <x:v>—</x:v>
      </x:c>
      <x:c r="H153" s="21" t="n">
        <x:f>IF(AND(COUNT(INDEX('SKU明细'!$H$9:$H$1592,MATCH("[6574,""8392-LP-37""]",'SKU明细'!$AE$9:$AE$1592,0)))=1,COUNT(INDEX('SKU明细'!$G$9:$G$1592,MATCH("[6574,""8392-LP-37""]",'SKU明细'!$AE$9:$AE$1592,0)))=1,SUM(INDEX('SKU明细'!$G$9:$G$1592,MATCH("[6574,""8392-LP-37""]",'SKU明细'!$AE$9:$AE$1592,0)))&gt;0),SUM(INDEX('SKU明细'!$H$9:$H$1592,MATCH("[6574,""8392-LP-37""]",'SKU明细'!$AE$9:$AE$1592,0)))/SUM(INDEX('SKU明细'!$G$9:$G$1592,MATCH("[6574,""8392-LP-37""]",'SKU明细'!$AE$9:$AE$1592,0))),"待核")</x:f>
        <x:v>117.53731343283583</x:v>
      </x:c>
      <x:c r="I153" s="21" t="str">
        <x:f>IF(AND(COUNT(INDEX('SKU明细'!$H$9:$H$1592,MATCH("[null,""8392-LP-37.5""]",'SKU明细'!$AE$9:$AE$1592,0)))=1,COUNT(INDEX('SKU明细'!$G$9:$G$1592,MATCH("[null,""8392-LP-37.5""]",'SKU明细'!$AE$9:$AE$1592,0)))=1,SUM(INDEX('SKU明细'!$G$9:$G$1592,MATCH("[null,""8392-LP-37.5""]",'SKU明细'!$AE$9:$AE$1592,0)))&gt;0),SUM(INDEX('SKU明细'!$H$9:$H$1592,MATCH("[null,""8392-LP-37.5""]",'SKU明细'!$AE$9:$AE$1592,0)))/SUM(INDEX('SKU明细'!$G$9:$G$1592,MATCH("[null,""8392-LP-37.5""]",'SKU明细'!$AE$9:$AE$1592,0))),"待核")</x:f>
        <x:v>待核</x:v>
      </x:c>
      <x:c r="J153" s="21" t="n">
        <x:f>IF(AND(COUNT(INDEX('SKU明细'!$H$9:$H$1592,MATCH("[6574,""8392-LP-38""]",'SKU明细'!$AE$9:$AE$1592,0)))=1,COUNT(INDEX('SKU明细'!$G$9:$G$1592,MATCH("[6574,""8392-LP-38""]",'SKU明细'!$AE$9:$AE$1592,0)))=1,SUM(INDEX('SKU明细'!$G$9:$G$1592,MATCH("[6574,""8392-LP-38""]",'SKU明细'!$AE$9:$AE$1592,0)))&gt;0),SUM(INDEX('SKU明细'!$H$9:$H$1592,MATCH("[6574,""8392-LP-38""]",'SKU明细'!$AE$9:$AE$1592,0)))/SUM(INDEX('SKU明细'!$G$9:$G$1592,MATCH("[6574,""8392-LP-38""]",'SKU明细'!$AE$9:$AE$1592,0))),"待核")</x:f>
        <x:v>17.427385892116185</x:v>
      </x:c>
      <x:c r="K153" s="21" t="n">
        <x:f>IF(AND(COUNT(INDEX('SKU明细'!$H$9:$H$1592,MATCH("[6574,""8392-LP-38.5""]",'SKU明细'!$AE$9:$AE$1592,0)))=1,COUNT(INDEX('SKU明细'!$G$9:$G$1592,MATCH("[6574,""8392-LP-38.5""]",'SKU明细'!$AE$9:$AE$1592,0)))=1,SUM(INDEX('SKU明细'!$G$9:$G$1592,MATCH("[6574,""8392-LP-38.5""]",'SKU明细'!$AE$9:$AE$1592,0)))&gt;0),SUM(INDEX('SKU明细'!$H$9:$H$1592,MATCH("[6574,""8392-LP-38.5""]",'SKU明细'!$AE$9:$AE$1592,0)))/SUM(INDEX('SKU明细'!$G$9:$G$1592,MATCH("[6574,""8392-LP-38.5""]",'SKU明细'!$AE$9:$AE$1592,0))),"待核")</x:f>
        <x:v>0</x:v>
      </x:c>
      <x:c r="L153" s="21" t="n">
        <x:f>IF(AND(COUNT(INDEX('SKU明细'!$H$9:$H$1592,MATCH("[6574,""8392-LP-39""]",'SKU明细'!$AE$9:$AE$1592,0)))=1,COUNT(INDEX('SKU明细'!$G$9:$G$1592,MATCH("[6574,""8392-LP-39""]",'SKU明细'!$AE$9:$AE$1592,0)))=1,SUM(INDEX('SKU明细'!$G$9:$G$1592,MATCH("[6574,""8392-LP-39""]",'SKU明细'!$AE$9:$AE$1592,0)))&gt;0),SUM(INDEX('SKU明细'!$H$9:$H$1592,MATCH("[6574,""8392-LP-39""]",'SKU明细'!$AE$9:$AE$1592,0)))/SUM(INDEX('SKU明细'!$G$9:$G$1592,MATCH("[6574,""8392-LP-39""]",'SKU明细'!$AE$9:$AE$1592,0))),"待核")</x:f>
        <x:v>64.77846326416153</x:v>
      </x:c>
      <x:c r="M153" s="21" t="n">
        <x:f>IF(AND(COUNT(INDEX('SKU明细'!$H$9:$H$1592,MATCH("[6574,""8392-LP-39.5""]",'SKU明细'!$AE$9:$AE$1592,0)))=1,COUNT(INDEX('SKU明细'!$G$9:$G$1592,MATCH("[6574,""8392-LP-39.5""]",'SKU明细'!$AE$9:$AE$1592,0)))=1,SUM(INDEX('SKU明细'!$G$9:$G$1592,MATCH("[6574,""8392-LP-39.5""]",'SKU明细'!$AE$9:$AE$1592,0)))&gt;0),SUM(INDEX('SKU明细'!$H$9:$H$1592,MATCH("[6574,""8392-LP-39.5""]",'SKU明细'!$AE$9:$AE$1592,0)))/SUM(INDEX('SKU明细'!$G$9:$G$1592,MATCH("[6574,""8392-LP-39.5""]",'SKU明细'!$AE$9:$AE$1592,0))),"待核")</x:f>
        <x:v>0</x:v>
      </x:c>
      <x:c r="N153" s="21" t="n">
        <x:f>IF(AND(COUNT(INDEX('SKU明细'!$H$9:$H$1592,MATCH("[6574,""8392-LP-40""]",'SKU明细'!$AE$9:$AE$1592,0)))=1,COUNT(INDEX('SKU明细'!$G$9:$G$1592,MATCH("[6574,""8392-LP-40""]",'SKU明细'!$AE$9:$AE$1592,0)))=1,SUM(INDEX('SKU明细'!$G$9:$G$1592,MATCH("[6574,""8392-LP-40""]",'SKU明细'!$AE$9:$AE$1592,0)))&gt;0),SUM(INDEX('SKU明细'!$H$9:$H$1592,MATCH("[6574,""8392-LP-40""]",'SKU明细'!$AE$9:$AE$1592,0)))/SUM(INDEX('SKU明细'!$G$9:$G$1592,MATCH("[6574,""8392-LP-40""]",'SKU明细'!$AE$9:$AE$1592,0))),"待核")</x:f>
        <x:v>59.95106035889071</x:v>
      </x:c>
      <x:c r="O153" s="21" t="str">
        <x:f>IF(AND(COUNT(INDEX('SKU明细'!$H$9:$H$1592,MATCH("[null,""8392-LP-40.5""]",'SKU明细'!$AE$9:$AE$1592,0)))=1,COUNT(INDEX('SKU明细'!$G$9:$G$1592,MATCH("[null,""8392-LP-40.5""]",'SKU明细'!$AE$9:$AE$1592,0)))=1,SUM(INDEX('SKU明细'!$G$9:$G$1592,MATCH("[null,""8392-LP-40.5""]",'SKU明细'!$AE$9:$AE$1592,0)))&gt;0),SUM(INDEX('SKU明细'!$H$9:$H$1592,MATCH("[null,""8392-LP-40.5""]",'SKU明细'!$AE$9:$AE$1592,0)))/SUM(INDEX('SKU明细'!$G$9:$G$1592,MATCH("[null,""8392-LP-40.5""]",'SKU明细'!$AE$9:$AE$1592,0))),"待核")</x:f>
        <x:v>待核</x:v>
      </x:c>
      <x:c r="P153" s="21" t="str">
        <x:f>IF(AND(COUNT(INDEX('SKU明细'!$H$9:$H$1592,MATCH("[13120,""8392-LP-41""]",'SKU明细'!$AE$9:$AE$1592,0)))=1,COUNT(INDEX('SKU明细'!$G$9:$G$1592,MATCH("[13120,""8392-LP-41""]",'SKU明细'!$AE$9:$AE$1592,0)))=1,SUM(INDEX('SKU明细'!$G$9:$G$1592,MATCH("[13120,""8392-LP-41""]",'SKU明细'!$AE$9:$AE$1592,0)))&gt;0),SUM(INDEX('SKU明细'!$H$9:$H$1592,MATCH("[13120,""8392-LP-41""]",'SKU明细'!$AE$9:$AE$1592,0)))/SUM(INDEX('SKU明细'!$G$9:$G$1592,MATCH("[13120,""8392-LP-41""]",'SKU明细'!$AE$9:$AE$1592,0))),"待核")</x:f>
        <x:v>待核</x:v>
      </x:c>
      <x:c r="Q153" s="21" t="str">
        <x:f>IF(AND(COUNT(INDEX('SKU明细'!$H$9:$H$1592,MATCH("[null,""8392-LP-41.5""]",'SKU明细'!$AE$9:$AE$1592,0)))=1,COUNT(INDEX('SKU明细'!$G$9:$G$1592,MATCH("[null,""8392-LP-41.5""]",'SKU明细'!$AE$9:$AE$1592,0)))=1,SUM(INDEX('SKU明细'!$G$9:$G$1592,MATCH("[null,""8392-LP-41.5""]",'SKU明细'!$AE$9:$AE$1592,0)))&gt;0),SUM(INDEX('SKU明细'!$H$9:$H$1592,MATCH("[null,""8392-LP-41.5""]",'SKU明细'!$AE$9:$AE$1592,0)))/SUM(INDEX('SKU明细'!$G$9:$G$1592,MATCH("[null,""8392-LP-41.5""]",'SKU明细'!$AE$9:$AE$1592,0))),"待核")</x:f>
        <x:v>待核</x:v>
      </x:c>
      <x:c r="R153" s="21" t="n">
        <x:f>IF(AND(COUNT(INDEX('SKU明细'!$H$9:$H$1592,MATCH("[6574,""8392-LP-42""]",'SKU明细'!$AE$9:$AE$1592,0)))=1,COUNT(INDEX('SKU明细'!$G$9:$G$1592,MATCH("[6574,""8392-LP-42""]",'SKU明细'!$AE$9:$AE$1592,0)))=1,SUM(INDEX('SKU明细'!$G$9:$G$1592,MATCH("[6574,""8392-LP-42""]",'SKU明细'!$AE$9:$AE$1592,0)))&gt;0),SUM(INDEX('SKU明细'!$H$9:$H$1592,MATCH("[6574,""8392-LP-42""]",'SKU明细'!$AE$9:$AE$1592,0)))/SUM(INDEX('SKU明细'!$G$9:$G$1592,MATCH("[6574,""8392-LP-42""]",'SKU明细'!$AE$9:$AE$1592,0))),"待核")</x:f>
        <x:v>0</x:v>
      </x:c>
      <x:c r="S153" s="21" t="str">
        <x:f>"—"</x:f>
        <x:v>—</x:v>
      </x:c>
      <x:c r="T153" s="21" t="str">
        <x:f>"—"</x:f>
        <x:v>—</x:v>
      </x:c>
      <x:c r="U153" s="21" t="str">
        <x:f>IF(COUNT(S153:T153)=2,S153-T153,"待核")</x:f>
        <x:v>待核</x:v>
      </x:c>
      <x:c r="V153" s="22" t="str">
        <x:f>IF(AND(ISNUMBER(U153),ISNUMBER(T153),T153&lt;&gt;0),U153/T153,"")</x:f>
      </x:c>
      <x:c r="W153" s="23" t="n">
        <x:f>IF(COUNT(INDEX('SKU明细'!$H$9:$H$1592,MATCH("[6574,""8392-LP-37""]",'SKU明细'!$AE$9:$AE$1592,0)),INDEX('SKU明细'!$H$9:$H$1592,MATCH("[6574,""8392-LP-38.5""]",'SKU明细'!$AE$9:$AE$1592,0)),INDEX('SKU明细'!$H$9:$H$1592,MATCH("[6574,""8392-LP-39.5""]",'SKU明细'!$AE$9:$AE$1592,0)),INDEX('SKU明细'!$H$9:$H$1592,MATCH("[13120,""8392-LP-41""]",'SKU明细'!$AE$9:$AE$1592,0)),INDEX('SKU明细'!$H$9:$H$1592,MATCH("[6574,""8392-LP-42""]",'SKU明细'!$AE$9:$AE$1592,0)),INDEX('SKU明细'!$H$9:$H$1592,MATCH("[null,""8392-LP-37.5""]",'SKU明细'!$AE$9:$AE$1592,0)),INDEX('SKU明细'!$H$9:$H$1592,MATCH("[null,""8392-LP-40.5""]",'SKU明细'!$AE$9:$AE$1592,0)),INDEX('SKU明细'!$H$9:$H$1592,MATCH("[null,""8392-LP-41.5""]",'SKU明细'!$AE$9:$AE$1592,0)),INDEX('SKU明细'!$H$9:$H$1592,MATCH("[6574,""8392-LP-39""]",'SKU明细'!$AE$9:$AE$1592,0)),INDEX('SKU明细'!$H$9:$H$1592,MATCH("[6574,""8392-LP-38""]",'SKU明细'!$AE$9:$AE$1592,0)),INDEX('SKU明细'!$H$9:$H$1592,MATCH("[6574,""8392-LP-40""]",'SKU明细'!$AE$9:$AE$1592,0)))=0,"待核",SUM(INDEX('SKU明细'!$H$9:$H$1592,MATCH("[6574,""8392-LP-37""]",'SKU明细'!$AE$9:$AE$1592,0)),INDEX('SKU明细'!$H$9:$H$1592,MATCH("[6574,""8392-LP-38.5""]",'SKU明细'!$AE$9:$AE$1592,0)),INDEX('SKU明细'!$H$9:$H$1592,MATCH("[6574,""8392-LP-39.5""]",'SKU明细'!$AE$9:$AE$1592,0)),INDEX('SKU明细'!$H$9:$H$1592,MATCH("[13120,""8392-LP-41""]",'SKU明细'!$AE$9:$AE$1592,0)),INDEX('SKU明细'!$H$9:$H$1592,MATCH("[6574,""8392-LP-42""]",'SKU明细'!$AE$9:$AE$1592,0)),INDEX('SKU明细'!$H$9:$H$1592,MATCH("[null,""8392-LP-37.5""]",'SKU明细'!$AE$9:$AE$1592,0)),INDEX('SKU明细'!$H$9:$H$1592,MATCH("[null,""8392-LP-40.5""]",'SKU明细'!$AE$9:$AE$1592,0)),INDEX('SKU明细'!$H$9:$H$1592,MATCH("[null,""8392-LP-41.5""]",'SKU明细'!$AE$9:$AE$1592,0)),INDEX('SKU明细'!$H$9:$H$1592,MATCH("[6574,""8392-LP-39""]",'SKU明细'!$AE$9:$AE$1592,0)),INDEX('SKU明细'!$H$9:$H$1592,MATCH("[6574,""8392-LP-38""]",'SKU明细'!$AE$9:$AE$1592,0)),INDEX('SKU明细'!$H$9:$H$1592,MATCH("[6574,""8392-LP-40""]",'SKU明细'!$AE$9:$AE$1592,0))))</x:f>
        <x:v>115</x:v>
      </x:c>
      <x:c r="X153" s="24" t="str">
        <x:f>IF(COUNTIFS('SKU明细'!$AH$9:$AH$1592,"[""8392"",""8392-LP"",""LP"",""豹纹""]",'SKU明细'!$E$9:$E$1592,"促销")&gt;0,"促销 ","")&amp;IF(COUNTIFS('SKU明细'!$AH$9:$AH$1592,"[""8392"",""8392-LP"",""LP"",""豹纹""]",'SKU明细'!$E$9:$E$1592,"红线促销")&gt;0,"红线促销 ","")&amp;IF(COUNTIFS('SKU明细'!$AH$9:$AH$1592,"[""8392"",""8392-LP"",""LP"",""豹纹""]",'SKU明细'!$E$9:$E$1592,"考虑清仓")&gt;0,"考虑清仓 ","")&amp;IF(COUNTIFS('SKU明细'!$AH$9:$AH$1592,"[""8392"",""8392-LP"",""LP"",""豹纹""]",'SKU明细'!$E$9:$E$1592,"断货")&gt;0,"断货 ","")&amp;IF(COUNTIFS('SKU明细'!$AH$9:$AH$1592,"[""8392"",""8392-LP"",""LP"",""豹纹""]",'SKU明细'!$E$9:$E$1592,"零日销待复核")&gt;0,"零日销待复核 ","")&amp;IF(COUNTIFS('SKU明细'!$AH$9:$AH$1592,"[""8392"",""8392-LP"",""LP"",""豹纹""]",'SKU明细'!$E$9:$E$1592,"数据待核")&gt;0,"数据待核 ","")&amp;IF(COUNTIFS('SKU明细'!$AH$9:$AH$1592,"[""8392"",""8392-LP"",""LP"",""豹纹""]",'SKU明细'!$E$9:$E$1592,"正常库存")&gt;0,"正常库存 ","")&amp;IF(COUNTIFS('SKU明细'!$AH$9:$AH$1592,"[""8392"",""8392-LP"",""LP"",""豹纹""]",'SKU明细'!$E$9:$E$1592,"补货提醒")&gt;0,"补货提醒 ","")</x:f>
        <x:v>促销 断货 数据待核 正常库存 补货提醒 </x:v>
      </x:c>
      <x:c r="Y153" s="24" t="str">
        <x:f>IF(NOT(ISNUMBER(U153)),"覆盖待核／无可比基准","仅共同SKU")</x:f>
        <x:v>覆盖待核／无可比基准</x:v>
      </x:c>
      <x:c r="Z153" s="24" t="str">
        <x:v>在售、停售、未匹配Listing</x:v>
      </x:c>
      <x:c r="AA153" s="24" t="n">
        <x:f>IF(SUMIFS('SKU明细'!$AF$9:$AF$1592,'SKU明细'!$D$9:$D$1592,A153,'SKU明细'!$Z$9:$Z$1592,"&lt;&gt;移出")=0,"待核",SUMIFS('SKU明细'!$H$9:$H$1592,'SKU明细'!$D$9:$D$1592,A153,'SKU明细'!$Z$9:$Z$1592,"&lt;&gt;移出"))</x:f>
        <x:v>529</x:v>
      </x:c>
    </x:row>
    <x:row r="154" ht="54" customHeight="1">
      <x:c r="A154" s="20" t="str">
        <x:v>8392</x:v>
      </x:c>
      <x:c r="B154" s="20" t="str">
        <x:v>徐新怡</x:v>
      </x:c>
      <x:c r="C154" s="20" t="str">
        <x:v>裸色</x:v>
      </x:c>
      <x:c r="D154" s="20" t="str">
        <x:v>ND</x:v>
      </x:c>
      <x:c r="E154" s="20" t="str">
        <x:v>8392-ND</x:v>
      </x:c>
      <x:c r="F154" s="20"/>
      <x:c r="G154" s="21" t="str">
        <x:f>"—"</x:f>
        <x:v>—</x:v>
      </x:c>
      <x:c r="H154" s="21" t="n">
        <x:f>IF(AND(COUNT(INDEX('SKU明细'!$H$9:$H$1592,MATCH("[6574,""8392-ND-37""]",'SKU明细'!$AE$9:$AE$1592,0)))=1,COUNT(INDEX('SKU明细'!$G$9:$G$1592,MATCH("[6574,""8392-ND-37""]",'SKU明细'!$AE$9:$AE$1592,0)))=1,SUM(INDEX('SKU明细'!$G$9:$G$1592,MATCH("[6574,""8392-ND-37""]",'SKU明细'!$AE$9:$AE$1592,0)))&gt;0),SUM(INDEX('SKU明细'!$H$9:$H$1592,MATCH("[6574,""8392-ND-37""]",'SKU明细'!$AE$9:$AE$1592,0)))/SUM(INDEX('SKU明细'!$G$9:$G$1592,MATCH("[6574,""8392-ND-37""]",'SKU明细'!$AE$9:$AE$1592,0))),"待核")</x:f>
        <x:v>84.75336322869956</x:v>
      </x:c>
      <x:c r="I154" s="21" t="str">
        <x:f>IF(AND(COUNT(INDEX('SKU明细'!$H$9:$H$1592,MATCH("[null,""8392-ND-37.5""]",'SKU明细'!$AE$9:$AE$1592,0)))=1,COUNT(INDEX('SKU明细'!$G$9:$G$1592,MATCH("[null,""8392-ND-37.5""]",'SKU明细'!$AE$9:$AE$1592,0)))=1,SUM(INDEX('SKU明细'!$G$9:$G$1592,MATCH("[null,""8392-ND-37.5""]",'SKU明细'!$AE$9:$AE$1592,0)))&gt;0),SUM(INDEX('SKU明细'!$H$9:$H$1592,MATCH("[null,""8392-ND-37.5""]",'SKU明细'!$AE$9:$AE$1592,0)))/SUM(INDEX('SKU明细'!$G$9:$G$1592,MATCH("[null,""8392-ND-37.5""]",'SKU明细'!$AE$9:$AE$1592,0))),"待核")</x:f>
        <x:v>待核</x:v>
      </x:c>
      <x:c r="J154" s="21" t="n">
        <x:f>IF(AND(COUNT(INDEX('SKU明细'!$H$9:$H$1592,MATCH("[6574,""8392-ND-38""]",'SKU明细'!$AE$9:$AE$1592,0)))=1,COUNT(INDEX('SKU明细'!$G$9:$G$1592,MATCH("[6574,""8392-ND-38""]",'SKU明细'!$AE$9:$AE$1592,0)))=1,SUM(INDEX('SKU明细'!$G$9:$G$1592,MATCH("[6574,""8392-ND-38""]",'SKU明细'!$AE$9:$AE$1592,0)))&gt;0),SUM(INDEX('SKU明细'!$H$9:$H$1592,MATCH("[6574,""8392-ND-38""]",'SKU明细'!$AE$9:$AE$1592,0)))/SUM(INDEX('SKU明细'!$G$9:$G$1592,MATCH("[6574,""8392-ND-38""]",'SKU明细'!$AE$9:$AE$1592,0))),"待核")</x:f>
        <x:v>23.921887713588283</x:v>
      </x:c>
      <x:c r="K154" s="21" t="n">
        <x:f>IF(AND(COUNT(INDEX('SKU明细'!$H$9:$H$1592,MATCH("[6574,""8392-ND-38.5""]",'SKU明细'!$AE$9:$AE$1592,0)))=1,COUNT(INDEX('SKU明细'!$G$9:$G$1592,MATCH("[6574,""8392-ND-38.5""]",'SKU明细'!$AE$9:$AE$1592,0)))=1,SUM(INDEX('SKU明细'!$G$9:$G$1592,MATCH("[6574,""8392-ND-38.5""]",'SKU明细'!$AE$9:$AE$1592,0)))&gt;0),SUM(INDEX('SKU明细'!$H$9:$H$1592,MATCH("[6574,""8392-ND-38.5""]",'SKU明细'!$AE$9:$AE$1592,0)))/SUM(INDEX('SKU明细'!$G$9:$G$1592,MATCH("[6574,""8392-ND-38.5""]",'SKU明细'!$AE$9:$AE$1592,0))),"待核")</x:f>
        <x:v>5.77319587628866</x:v>
      </x:c>
      <x:c r="L154" s="21" t="n">
        <x:f>IF(AND(COUNT(INDEX('SKU明细'!$H$9:$H$1592,MATCH("[6574,""8392-ND-39""]",'SKU明细'!$AE$9:$AE$1592,0)))=1,COUNT(INDEX('SKU明细'!$G$9:$G$1592,MATCH("[6574,""8392-ND-39""]",'SKU明细'!$AE$9:$AE$1592,0)))=1,SUM(INDEX('SKU明细'!$G$9:$G$1592,MATCH("[6574,""8392-ND-39""]",'SKU明细'!$AE$9:$AE$1592,0)))&gt;0),SUM(INDEX('SKU明细'!$H$9:$H$1592,MATCH("[6574,""8392-ND-39""]",'SKU明细'!$AE$9:$AE$1592,0)))/SUM(INDEX('SKU明细'!$G$9:$G$1592,MATCH("[6574,""8392-ND-39""]",'SKU明细'!$AE$9:$AE$1592,0))),"待核")</x:f>
        <x:v>46.726572528883175</x:v>
      </x:c>
      <x:c r="M154" s="21" t="str">
        <x:f>IF(AND(COUNT(INDEX('SKU明细'!$H$9:$H$1592,MATCH("[null,""8392-ND-39.5""]",'SKU明细'!$AE$9:$AE$1592,0)))=1,COUNT(INDEX('SKU明细'!$G$9:$G$1592,MATCH("[null,""8392-ND-39.5""]",'SKU明细'!$AE$9:$AE$1592,0)))=1,SUM(INDEX('SKU明细'!$G$9:$G$1592,MATCH("[null,""8392-ND-39.5""]",'SKU明细'!$AE$9:$AE$1592,0)))&gt;0),SUM(INDEX('SKU明细'!$H$9:$H$1592,MATCH("[null,""8392-ND-39.5""]",'SKU明细'!$AE$9:$AE$1592,0)))/SUM(INDEX('SKU明细'!$G$9:$G$1592,MATCH("[null,""8392-ND-39.5""]",'SKU明细'!$AE$9:$AE$1592,0))),"待核")</x:f>
        <x:v>待核</x:v>
      </x:c>
      <x:c r="N154" s="21" t="n">
        <x:f>IF(AND(COUNT(INDEX('SKU明细'!$H$9:$H$1592,MATCH("[6574,""8392-ND-40""]",'SKU明细'!$AE$9:$AE$1592,0)))=1,COUNT(INDEX('SKU明细'!$G$9:$G$1592,MATCH("[6574,""8392-ND-40""]",'SKU明细'!$AE$9:$AE$1592,0)))=1,SUM(INDEX('SKU明细'!$G$9:$G$1592,MATCH("[6574,""8392-ND-40""]",'SKU明细'!$AE$9:$AE$1592,0)))&gt;0),SUM(INDEX('SKU明细'!$H$9:$H$1592,MATCH("[6574,""8392-ND-40""]",'SKU明细'!$AE$9:$AE$1592,0)))/SUM(INDEX('SKU明细'!$G$9:$G$1592,MATCH("[6574,""8392-ND-40""]",'SKU明细'!$AE$9:$AE$1592,0))),"待核")</x:f>
        <x:v>80.28485757121439</x:v>
      </x:c>
      <x:c r="O154" s="21" t="str">
        <x:f>IF(AND(COUNT(INDEX('SKU明细'!$H$9:$H$1592,MATCH("[null,""8392-ND-40.5""]",'SKU明细'!$AE$9:$AE$1592,0)))=1,COUNT(INDEX('SKU明细'!$G$9:$G$1592,MATCH("[null,""8392-ND-40.5""]",'SKU明细'!$AE$9:$AE$1592,0)))=1,SUM(INDEX('SKU明细'!$G$9:$G$1592,MATCH("[null,""8392-ND-40.5""]",'SKU明细'!$AE$9:$AE$1592,0)))&gt;0),SUM(INDEX('SKU明细'!$H$9:$H$1592,MATCH("[null,""8392-ND-40.5""]",'SKU明细'!$AE$9:$AE$1592,0)))/SUM(INDEX('SKU明细'!$G$9:$G$1592,MATCH("[null,""8392-ND-40.5""]",'SKU明细'!$AE$9:$AE$1592,0))),"待核")</x:f>
        <x:v>待核</x:v>
      </x:c>
      <x:c r="P154" s="21" t="n">
        <x:f>IF(AND(COUNT(INDEX('SKU明细'!$H$9:$H$1592,MATCH("[6574,""8392-ND-41""]",'SKU明细'!$AE$9:$AE$1592,0)))=1,COUNT(INDEX('SKU明细'!$G$9:$G$1592,MATCH("[6574,""8392-ND-41""]",'SKU明细'!$AE$9:$AE$1592,0)))=1,SUM(INDEX('SKU明细'!$G$9:$G$1592,MATCH("[6574,""8392-ND-41""]",'SKU明细'!$AE$9:$AE$1592,0)))&gt;0),SUM(INDEX('SKU明细'!$H$9:$H$1592,MATCH("[6574,""8392-ND-41""]",'SKU明细'!$AE$9:$AE$1592,0)))/SUM(INDEX('SKU明细'!$G$9:$G$1592,MATCH("[6574,""8392-ND-41""]",'SKU明细'!$AE$9:$AE$1592,0))),"待核")</x:f>
        <x:v>67.02127659574468</x:v>
      </x:c>
      <x:c r="Q154" s="21" t="str">
        <x:f>IF(AND(COUNT(INDEX('SKU明细'!$H$9:$H$1592,MATCH("[null,""8392-ND-41.5""]",'SKU明细'!$AE$9:$AE$1592,0)))=1,COUNT(INDEX('SKU明细'!$G$9:$G$1592,MATCH("[null,""8392-ND-41.5""]",'SKU明细'!$AE$9:$AE$1592,0)))=1,SUM(INDEX('SKU明细'!$G$9:$G$1592,MATCH("[null,""8392-ND-41.5""]",'SKU明细'!$AE$9:$AE$1592,0)))&gt;0),SUM(INDEX('SKU明细'!$H$9:$H$1592,MATCH("[null,""8392-ND-41.5""]",'SKU明细'!$AE$9:$AE$1592,0)))/SUM(INDEX('SKU明细'!$G$9:$G$1592,MATCH("[null,""8392-ND-41.5""]",'SKU明细'!$AE$9:$AE$1592,0))),"待核")</x:f>
        <x:v>待核</x:v>
      </x:c>
      <x:c r="R154" s="21" t="n">
        <x:f>IF(AND(COUNT(INDEX('SKU明细'!$H$9:$H$1592,MATCH("[6574,""8392-ND-42""]",'SKU明细'!$AE$9:$AE$1592,0)))=1,COUNT(INDEX('SKU明细'!$G$9:$G$1592,MATCH("[6574,""8392-ND-42""]",'SKU明细'!$AE$9:$AE$1592,0)))=1,SUM(INDEX('SKU明细'!$G$9:$G$1592,MATCH("[6574,""8392-ND-42""]",'SKU明细'!$AE$9:$AE$1592,0)))&gt;0),SUM(INDEX('SKU明细'!$H$9:$H$1592,MATCH("[6574,""8392-ND-42""]",'SKU明细'!$AE$9:$AE$1592,0)))/SUM(INDEX('SKU明细'!$G$9:$G$1592,MATCH("[6574,""8392-ND-42""]",'SKU明细'!$AE$9:$AE$1592,0))),"待核")</x:f>
        <x:v>0</x:v>
      </x:c>
      <x:c r="S154" s="21" t="str">
        <x:f>"—"</x:f>
        <x:v>—</x:v>
      </x:c>
      <x:c r="T154" s="21" t="str">
        <x:f>"—"</x:f>
        <x:v>—</x:v>
      </x:c>
      <x:c r="U154" s="21" t="str">
        <x:f>IF(COUNT(S154:T154)=2,S154-T154,"待核")</x:f>
        <x:v>待核</x:v>
      </x:c>
      <x:c r="V154" s="22" t="str">
        <x:f>IF(AND(ISNUMBER(U154),ISNUMBER(T154),T154&lt;&gt;0),U154/T154,"")</x:f>
      </x:c>
      <x:c r="W154" s="23" t="n">
        <x:f>IF(COUNT(INDEX('SKU明细'!$H$9:$H$1592,MATCH("[6574,""8392-ND-42""]",'SKU明细'!$AE$9:$AE$1592,0)),INDEX('SKU明细'!$H$9:$H$1592,MATCH("[null,""8392-ND-37.5""]",'SKU明细'!$AE$9:$AE$1592,0)),INDEX('SKU明细'!$H$9:$H$1592,MATCH("[null,""8392-ND-39.5""]",'SKU明细'!$AE$9:$AE$1592,0)),INDEX('SKU明细'!$H$9:$H$1592,MATCH("[null,""8392-ND-40.5""]",'SKU明细'!$AE$9:$AE$1592,0)),INDEX('SKU明细'!$H$9:$H$1592,MATCH("[null,""8392-ND-41.5""]",'SKU明细'!$AE$9:$AE$1592,0)),INDEX('SKU明细'!$H$9:$H$1592,MATCH("[6574,""8392-ND-37""]",'SKU明细'!$AE$9:$AE$1592,0)),INDEX('SKU明细'!$H$9:$H$1592,MATCH("[6574,""8392-ND-40""]",'SKU明细'!$AE$9:$AE$1592,0)),INDEX('SKU明细'!$H$9:$H$1592,MATCH("[6574,""8392-ND-41""]",'SKU明细'!$AE$9:$AE$1592,0)),INDEX('SKU明细'!$H$9:$H$1592,MATCH("[6574,""8392-ND-38""]",'SKU明细'!$AE$9:$AE$1592,0)),INDEX('SKU明细'!$H$9:$H$1592,MATCH("[6574,""8392-ND-38.5""]",'SKU明细'!$AE$9:$AE$1592,0)),INDEX('SKU明细'!$H$9:$H$1592,MATCH("[6574,""8392-ND-39""]",'SKU明细'!$AE$9:$AE$1592,0)))=0,"待核",SUM(INDEX('SKU明细'!$H$9:$H$1592,MATCH("[6574,""8392-ND-42""]",'SKU明细'!$AE$9:$AE$1592,0)),INDEX('SKU明细'!$H$9:$H$1592,MATCH("[null,""8392-ND-37.5""]",'SKU明细'!$AE$9:$AE$1592,0)),INDEX('SKU明细'!$H$9:$H$1592,MATCH("[null,""8392-ND-39.5""]",'SKU明细'!$AE$9:$AE$1592,0)),INDEX('SKU明细'!$H$9:$H$1592,MATCH("[null,""8392-ND-40.5""]",'SKU明细'!$AE$9:$AE$1592,0)),INDEX('SKU明细'!$H$9:$H$1592,MATCH("[null,""8392-ND-41.5""]",'SKU明细'!$AE$9:$AE$1592,0)),INDEX('SKU明细'!$H$9:$H$1592,MATCH("[6574,""8392-ND-37""]",'SKU明细'!$AE$9:$AE$1592,0)),INDEX('SKU明细'!$H$9:$H$1592,MATCH("[6574,""8392-ND-40""]",'SKU明细'!$AE$9:$AE$1592,0)),INDEX('SKU明细'!$H$9:$H$1592,MATCH("[6574,""8392-ND-41""]",'SKU明细'!$AE$9:$AE$1592,0)),INDEX('SKU明细'!$H$9:$H$1592,MATCH("[6574,""8392-ND-38""]",'SKU明细'!$AE$9:$AE$1592,0)),INDEX('SKU明细'!$H$9:$H$1592,MATCH("[6574,""8392-ND-38.5""]",'SKU明细'!$AE$9:$AE$1592,0)),INDEX('SKU明细'!$H$9:$H$1592,MATCH("[6574,""8392-ND-39""]",'SKU明细'!$AE$9:$AE$1592,0))))</x:f>
        <x:v>139</x:v>
      </x:c>
      <x:c r="X154" s="24" t="str">
        <x:f>IF(COUNTIFS('SKU明细'!$AH$9:$AH$1592,"[""8392"",""8392-ND"",""ND"",""裸色""]",'SKU明细'!$E$9:$E$1592,"促销")&gt;0,"促销 ","")&amp;IF(COUNTIFS('SKU明细'!$AH$9:$AH$1592,"[""8392"",""8392-ND"",""ND"",""裸色""]",'SKU明细'!$E$9:$E$1592,"红线促销")&gt;0,"红线促销 ","")&amp;IF(COUNTIFS('SKU明细'!$AH$9:$AH$1592,"[""8392"",""8392-ND"",""ND"",""裸色""]",'SKU明细'!$E$9:$E$1592,"考虑清仓")&gt;0,"考虑清仓 ","")&amp;IF(COUNTIFS('SKU明细'!$AH$9:$AH$1592,"[""8392"",""8392-ND"",""ND"",""裸色""]",'SKU明细'!$E$9:$E$1592,"断货")&gt;0,"断货 ","")&amp;IF(COUNTIFS('SKU明细'!$AH$9:$AH$1592,"[""8392"",""8392-ND"",""ND"",""裸色""]",'SKU明细'!$E$9:$E$1592,"零日销待复核")&gt;0,"零日销待复核 ","")&amp;IF(COUNTIFS('SKU明细'!$AH$9:$AH$1592,"[""8392"",""8392-ND"",""ND"",""裸色""]",'SKU明细'!$E$9:$E$1592,"数据待核")&gt;0,"数据待核 ","")&amp;IF(COUNTIFS('SKU明细'!$AH$9:$AH$1592,"[""8392"",""8392-ND"",""ND"",""裸色""]",'SKU明细'!$E$9:$E$1592,"正常库存")&gt;0,"正常库存 ","")&amp;IF(COUNTIFS('SKU明细'!$AH$9:$AH$1592,"[""8392"",""8392-ND"",""ND"",""裸色""]",'SKU明细'!$E$9:$E$1592,"补货提醒")&gt;0,"补货提醒 ","")</x:f>
        <x:v>断货 数据待核 正常库存 补货提醒 </x:v>
      </x:c>
      <x:c r="Y154" s="24" t="str">
        <x:f>IF(NOT(ISNUMBER(U154)),"覆盖待核／无可比基准","仅共同SKU")</x:f>
        <x:v>覆盖待核／无可比基准</x:v>
      </x:c>
      <x:c r="Z154" s="24" t="str">
        <x:v>在售、未匹配Listing</x:v>
      </x:c>
      <x:c r="AA154" s="24" t="n">
        <x:f>IF(SUMIFS('SKU明细'!$AF$9:$AF$1592,'SKU明细'!$D$9:$D$1592,A154,'SKU明细'!$Z$9:$Z$1592,"&lt;&gt;移出")=0,"待核",SUMIFS('SKU明细'!$H$9:$H$1592,'SKU明细'!$D$9:$D$1592,A154,'SKU明细'!$Z$9:$Z$1592,"&lt;&gt;移出"))</x:f>
        <x:v>529</x:v>
      </x:c>
    </x:row>
    <x:row r="155" ht="54" customHeight="1">
      <x:c r="A155" s="20" t="str">
        <x:v>8392</x:v>
      </x:c>
      <x:c r="B155" s="20" t="str">
        <x:v>徐新怡</x:v>
      </x:c>
      <x:c r="C155" s="20" t="str">
        <x:v>藏青色</x:v>
      </x:c>
      <x:c r="D155" s="20" t="str">
        <x:v>NY</x:v>
      </x:c>
      <x:c r="E155" s="20" t="str">
        <x:v>8392-NY-S-K</x:v>
      </x:c>
      <x:c r="F155" s="20"/>
      <x:c r="G155" s="21" t="str">
        <x:f>"—"</x:f>
        <x:v>—</x:v>
      </x:c>
      <x:c r="H155" s="21" t="n">
        <x:f>IF(AND(COUNT(INDEX('SKU明细'!$H$9:$H$1592,MATCH("[6574,""8392-NY-S-K-37""]",'SKU明细'!$AE$9:$AE$1592,0)))=1,COUNT(INDEX('SKU明细'!$G$9:$G$1592,MATCH("[6574,""8392-NY-S-K-37""]",'SKU明细'!$AE$9:$AE$1592,0)))=1,SUM(INDEX('SKU明细'!$G$9:$G$1592,MATCH("[6574,""8392-NY-S-K-37""]",'SKU明细'!$AE$9:$AE$1592,0)))&gt;0),SUM(INDEX('SKU明细'!$H$9:$H$1592,MATCH("[6574,""8392-NY-S-K-37""]",'SKU明细'!$AE$9:$AE$1592,0)))/SUM(INDEX('SKU明细'!$G$9:$G$1592,MATCH("[6574,""8392-NY-S-K-37""]",'SKU明细'!$AE$9:$AE$1592,0))),"待核")</x:f>
        <x:v>30.143540669856463</x:v>
      </x:c>
      <x:c r="I155" s="21" t="str">
        <x:f>IF(AND(COUNT(INDEX('SKU明细'!$H$9:$H$1592,MATCH("[null,""8392-NY-S-K-37.5""]",'SKU明细'!$AE$9:$AE$1592,0)))=1,COUNT(INDEX('SKU明细'!$G$9:$G$1592,MATCH("[null,""8392-NY-S-K-37.5""]",'SKU明细'!$AE$9:$AE$1592,0)))=1,SUM(INDEX('SKU明细'!$G$9:$G$1592,MATCH("[null,""8392-NY-S-K-37.5""]",'SKU明细'!$AE$9:$AE$1592,0)))&gt;0),SUM(INDEX('SKU明细'!$H$9:$H$1592,MATCH("[null,""8392-NY-S-K-37.5""]",'SKU明细'!$AE$9:$AE$1592,0)))/SUM(INDEX('SKU明细'!$G$9:$G$1592,MATCH("[null,""8392-NY-S-K-37.5""]",'SKU明细'!$AE$9:$AE$1592,0))),"待核")</x:f>
        <x:v>待核</x:v>
      </x:c>
      <x:c r="J155" s="21" t="n">
        <x:f>IF(AND(COUNT(INDEX('SKU明细'!$H$9:$H$1592,MATCH("[6574,""8392-NY-S-K-38""]",'SKU明细'!$AE$9:$AE$1592,0)))=1,COUNT(INDEX('SKU明细'!$G$9:$G$1592,MATCH("[6574,""8392-NY-S-K-38""]",'SKU明细'!$AE$9:$AE$1592,0)))=1,SUM(INDEX('SKU明细'!$G$9:$G$1592,MATCH("[6574,""8392-NY-S-K-38""]",'SKU明细'!$AE$9:$AE$1592,0)))&gt;0),SUM(INDEX('SKU明细'!$H$9:$H$1592,MATCH("[6574,""8392-NY-S-K-38""]",'SKU明细'!$AE$9:$AE$1592,0)))/SUM(INDEX('SKU明细'!$G$9:$G$1592,MATCH("[6574,""8392-NY-S-K-38""]",'SKU明细'!$AE$9:$AE$1592,0))),"待核")</x:f>
        <x:v>23.507462686567166</x:v>
      </x:c>
      <x:c r="K155" s="21" t="str">
        <x:f>IF(AND(COUNT(INDEX('SKU明细'!$H$9:$H$1592,MATCH("[null,""8392-NY-S-K-38.5""]",'SKU明细'!$AE$9:$AE$1592,0)))=1,COUNT(INDEX('SKU明细'!$G$9:$G$1592,MATCH("[null,""8392-NY-S-K-38.5""]",'SKU明细'!$AE$9:$AE$1592,0)))=1,SUM(INDEX('SKU明细'!$G$9:$G$1592,MATCH("[null,""8392-NY-S-K-38.5""]",'SKU明细'!$AE$9:$AE$1592,0)))&gt;0),SUM(INDEX('SKU明细'!$H$9:$H$1592,MATCH("[null,""8392-NY-S-K-38.5""]",'SKU明细'!$AE$9:$AE$1592,0)))/SUM(INDEX('SKU明细'!$G$9:$G$1592,MATCH("[null,""8392-NY-S-K-38.5""]",'SKU明细'!$AE$9:$AE$1592,0))),"待核")</x:f>
        <x:v>待核</x:v>
      </x:c>
      <x:c r="L155" s="21" t="n">
        <x:f>IF(AND(COUNT(INDEX('SKU明细'!$H$9:$H$1592,MATCH("[6574,""8392-NY-S-K-39""]",'SKU明细'!$AE$9:$AE$1592,0)))=1,COUNT(INDEX('SKU明细'!$G$9:$G$1592,MATCH("[6574,""8392-NY-S-K-39""]",'SKU明细'!$AE$9:$AE$1592,0)))=1,SUM(INDEX('SKU明细'!$G$9:$G$1592,MATCH("[6574,""8392-NY-S-K-39""]",'SKU明细'!$AE$9:$AE$1592,0)))&gt;0),SUM(INDEX('SKU明细'!$H$9:$H$1592,MATCH("[6574,""8392-NY-S-K-39""]",'SKU明细'!$AE$9:$AE$1592,0)))/SUM(INDEX('SKU明细'!$G$9:$G$1592,MATCH("[6574,""8392-NY-S-K-39""]",'SKU明细'!$AE$9:$AE$1592,0))),"待核")</x:f>
        <x:v>0</x:v>
      </x:c>
      <x:c r="M155" s="21" t="str">
        <x:f>IF(AND(COUNT(INDEX('SKU明细'!$H$9:$H$1592,MATCH("[null,""8392-NY-S-K-39.5""]",'SKU明细'!$AE$9:$AE$1592,0)))=1,COUNT(INDEX('SKU明细'!$G$9:$G$1592,MATCH("[null,""8392-NY-S-K-39.5""]",'SKU明细'!$AE$9:$AE$1592,0)))=1,SUM(INDEX('SKU明细'!$G$9:$G$1592,MATCH("[null,""8392-NY-S-K-39.5""]",'SKU明细'!$AE$9:$AE$1592,0)))&gt;0),SUM(INDEX('SKU明细'!$H$9:$H$1592,MATCH("[null,""8392-NY-S-K-39.5""]",'SKU明细'!$AE$9:$AE$1592,0)))/SUM(INDEX('SKU明细'!$G$9:$G$1592,MATCH("[null,""8392-NY-S-K-39.5""]",'SKU明细'!$AE$9:$AE$1592,0))),"待核")</x:f>
        <x:v>待核</x:v>
      </x:c>
      <x:c r="N155" s="21" t="str">
        <x:f>"—"</x:f>
        <x:v>—</x:v>
      </x:c>
      <x:c r="O155" s="21" t="str">
        <x:f>"—"</x:f>
        <x:v>—</x:v>
      </x:c>
      <x:c r="P155" s="21" t="n">
        <x:f>IF(AND(COUNT(INDEX('SKU明细'!$H$9:$H$1592,MATCH("[6574,""8392-NY-S-K-41""]",'SKU明细'!$AE$9:$AE$1592,0)))=1,COUNT(INDEX('SKU明细'!$G$9:$G$1592,MATCH("[6574,""8392-NY-S-K-41""]",'SKU明细'!$AE$9:$AE$1592,0)))=1,SUM(INDEX('SKU明细'!$G$9:$G$1592,MATCH("[6574,""8392-NY-S-K-41""]",'SKU明细'!$AE$9:$AE$1592,0)))&gt;0),SUM(INDEX('SKU明细'!$H$9:$H$1592,MATCH("[6574,""8392-NY-S-K-41""]",'SKU明细'!$AE$9:$AE$1592,0)))/SUM(INDEX('SKU明细'!$G$9:$G$1592,MATCH("[6574,""8392-NY-S-K-41""]",'SKU明细'!$AE$9:$AE$1592,0))),"待核")</x:f>
        <x:v>64.83221476510067</x:v>
      </x:c>
      <x:c r="Q155" s="21" t="str">
        <x:f>IF(AND(COUNT(INDEX('SKU明细'!$H$9:$H$1592,MATCH("[6574,""8392-NY-S-K-41.5""]",'SKU明细'!$AE$9:$AE$1592,0)))=1,COUNT(INDEX('SKU明细'!$G$9:$G$1592,MATCH("[6574,""8392-NY-S-K-41.5""]",'SKU明细'!$AE$9:$AE$1592,0)))=1,SUM(INDEX('SKU明细'!$G$9:$G$1592,MATCH("[6574,""8392-NY-S-K-41.5""]",'SKU明细'!$AE$9:$AE$1592,0)))&gt;0),SUM(INDEX('SKU明细'!$H$9:$H$1592,MATCH("[6574,""8392-NY-S-K-41.5""]",'SKU明细'!$AE$9:$AE$1592,0)))/SUM(INDEX('SKU明细'!$G$9:$G$1592,MATCH("[6574,""8392-NY-S-K-41.5""]",'SKU明细'!$AE$9:$AE$1592,0))),"待核")</x:f>
        <x:v>待核</x:v>
      </x:c>
      <x:c r="R155" s="21" t="str">
        <x:f>IF(AND(COUNT(INDEX('SKU明细'!$H$9:$H$1592,MATCH("[6574,""8392-NY-S-K-42""]",'SKU明细'!$AE$9:$AE$1592,0)))=1,COUNT(INDEX('SKU明细'!$G$9:$G$1592,MATCH("[6574,""8392-NY-S-K-42""]",'SKU明细'!$AE$9:$AE$1592,0)))=1,SUM(INDEX('SKU明细'!$G$9:$G$1592,MATCH("[6574,""8392-NY-S-K-42""]",'SKU明细'!$AE$9:$AE$1592,0)))&gt;0),SUM(INDEX('SKU明细'!$H$9:$H$1592,MATCH("[6574,""8392-NY-S-K-42""]",'SKU明细'!$AE$9:$AE$1592,0)))/SUM(INDEX('SKU明细'!$G$9:$G$1592,MATCH("[6574,""8392-NY-S-K-42""]",'SKU明细'!$AE$9:$AE$1592,0))),"待核")</x:f>
        <x:v>待核</x:v>
      </x:c>
      <x:c r="S155" s="21" t="str">
        <x:f>"—"</x:f>
        <x:v>—</x:v>
      </x:c>
      <x:c r="T155" s="21" t="str">
        <x:f>"—"</x:f>
        <x:v>—</x:v>
      </x:c>
      <x:c r="U155" s="21" t="str">
        <x:f>IF(COUNT(S155:T155)=2,S155-T155,"待核")</x:f>
        <x:v>待核</x:v>
      </x:c>
      <x:c r="V155" s="22" t="str">
        <x:f>IF(AND(ISNUMBER(U155),ISNUMBER(T155),T155&lt;&gt;0),U155/T155,"")</x:f>
      </x:c>
      <x:c r="W155" s="23" t="n">
        <x:f>IF(COUNT(INDEX('SKU明细'!$H$9:$H$1592,MATCH("[6574,""8392-NY-S-K-39""]",'SKU明细'!$AE$9:$AE$1592,0)),INDEX('SKU明细'!$H$9:$H$1592,MATCH("[6574,""8392-NY-S-K-41.5""]",'SKU明细'!$AE$9:$AE$1592,0)),INDEX('SKU明细'!$H$9:$H$1592,MATCH("[6574,""8392-NY-S-K-42""]",'SKU明细'!$AE$9:$AE$1592,0)),INDEX('SKU明细'!$H$9:$H$1592,MATCH("[null,""8392-NY-S-K-37.5""]",'SKU明细'!$AE$9:$AE$1592,0)),INDEX('SKU明细'!$H$9:$H$1592,MATCH("[null,""8392-NY-S-K-38.5""]",'SKU明细'!$AE$9:$AE$1592,0)),INDEX('SKU明细'!$H$9:$H$1592,MATCH("[null,""8392-NY-S-K-39.5""]",'SKU明细'!$AE$9:$AE$1592,0)),INDEX('SKU明细'!$H$9:$H$1592,MATCH("[6574,""8392-NY-S-K-41""]",'SKU明细'!$AE$9:$AE$1592,0)),INDEX('SKU明细'!$H$9:$H$1592,MATCH("[6574,""8392-NY-S-K-37""]",'SKU明细'!$AE$9:$AE$1592,0)),INDEX('SKU明细'!$H$9:$H$1592,MATCH("[6574,""8392-NY-S-K-38""]",'SKU明细'!$AE$9:$AE$1592,0)))=0,"待核",SUM(INDEX('SKU明细'!$H$9:$H$1592,MATCH("[6574,""8392-NY-S-K-39""]",'SKU明细'!$AE$9:$AE$1592,0)),INDEX('SKU明细'!$H$9:$H$1592,MATCH("[6574,""8392-NY-S-K-41.5""]",'SKU明细'!$AE$9:$AE$1592,0)),INDEX('SKU明细'!$H$9:$H$1592,MATCH("[6574,""8392-NY-S-K-42""]",'SKU明细'!$AE$9:$AE$1592,0)),INDEX('SKU明细'!$H$9:$H$1592,MATCH("[null,""8392-NY-S-K-37.5""]",'SKU明细'!$AE$9:$AE$1592,0)),INDEX('SKU明细'!$H$9:$H$1592,MATCH("[null,""8392-NY-S-K-38.5""]",'SKU明细'!$AE$9:$AE$1592,0)),INDEX('SKU明细'!$H$9:$H$1592,MATCH("[null,""8392-NY-S-K-39.5""]",'SKU明细'!$AE$9:$AE$1592,0)),INDEX('SKU明细'!$H$9:$H$1592,MATCH("[6574,""8392-NY-S-K-41""]",'SKU明细'!$AE$9:$AE$1592,0)),INDEX('SKU明细'!$H$9:$H$1592,MATCH("[6574,""8392-NY-S-K-37""]",'SKU明细'!$AE$9:$AE$1592,0)),INDEX('SKU明细'!$H$9:$H$1592,MATCH("[6574,""8392-NY-S-K-38""]",'SKU明细'!$AE$9:$AE$1592,0))))</x:f>
        <x:v>29</x:v>
      </x:c>
      <x:c r="X155" s="24" t="str">
        <x:f>IF(COUNTIFS('SKU明细'!$AH$9:$AH$1592,"[""8392"",""8392-NY-S-K"",""NY"",""藏青色""]",'SKU明细'!$E$9:$E$1592,"促销")&gt;0,"促销 ","")&amp;IF(COUNTIFS('SKU明细'!$AH$9:$AH$1592,"[""8392"",""8392-NY-S-K"",""NY"",""藏青色""]",'SKU明细'!$E$9:$E$1592,"红线促销")&gt;0,"红线促销 ","")&amp;IF(COUNTIFS('SKU明细'!$AH$9:$AH$1592,"[""8392"",""8392-NY-S-K"",""NY"",""藏青色""]",'SKU明细'!$E$9:$E$1592,"考虑清仓")&gt;0,"考虑清仓 ","")&amp;IF(COUNTIFS('SKU明细'!$AH$9:$AH$1592,"[""8392"",""8392-NY-S-K"",""NY"",""藏青色""]",'SKU明细'!$E$9:$E$1592,"断货")&gt;0,"断货 ","")&amp;IF(COUNTIFS('SKU明细'!$AH$9:$AH$1592,"[""8392"",""8392-NY-S-K"",""NY"",""藏青色""]",'SKU明细'!$E$9:$E$1592,"零日销待复核")&gt;0,"零日销待复核 ","")&amp;IF(COUNTIFS('SKU明细'!$AH$9:$AH$1592,"[""8392"",""8392-NY-S-K"",""NY"",""藏青色""]",'SKU明细'!$E$9:$E$1592,"数据待核")&gt;0,"数据待核 ","")&amp;IF(COUNTIFS('SKU明细'!$AH$9:$AH$1592,"[""8392"",""8392-NY-S-K"",""NY"",""藏青色""]",'SKU明细'!$E$9:$E$1592,"正常库存")&gt;0,"正常库存 ","")&amp;IF(COUNTIFS('SKU明细'!$AH$9:$AH$1592,"[""8392"",""8392-NY-S-K"",""NY"",""藏青色""]",'SKU明细'!$E$9:$E$1592,"补货提醒")&gt;0,"补货提醒 ","")</x:f>
        <x:v>断货 数据待核 正常库存 补货提醒 </x:v>
      </x:c>
      <x:c r="Y155" s="24" t="str">
        <x:f>IF(NOT(ISNUMBER(U155)),"覆盖待核／无可比基准","仅共同SKU")</x:f>
        <x:v>覆盖待核／无可比基准</x:v>
      </x:c>
      <x:c r="Z155" s="24" t="str">
        <x:v>停售、未匹配Listing、在售</x:v>
      </x:c>
      <x:c r="AA155" s="24" t="n">
        <x:f>IF(SUMIFS('SKU明细'!$AF$9:$AF$1592,'SKU明细'!$D$9:$D$1592,A155,'SKU明细'!$Z$9:$Z$1592,"&lt;&gt;移出")=0,"待核",SUMIFS('SKU明细'!$H$9:$H$1592,'SKU明细'!$D$9:$D$1592,A155,'SKU明细'!$Z$9:$Z$1592,"&lt;&gt;移出"))</x:f>
        <x:v>529</x:v>
      </x:c>
    </x:row>
    <x:row r="156" ht="54" customHeight="1">
      <x:c r="A156" s="20" t="str">
        <x:v>8392</x:v>
      </x:c>
      <x:c r="B156" s="20" t="str">
        <x:v>徐新怡</x:v>
      </x:c>
      <x:c r="C156" s="20" t="str">
        <x:v>藏青色</x:v>
      </x:c>
      <x:c r="D156" s="20" t="str">
        <x:v>NY</x:v>
      </x:c>
      <x:c r="E156" s="20" t="str">
        <x:v>8392-NY-S-K-4K</x:v>
      </x:c>
      <x:c r="F156" s="20"/>
      <x:c r="G156" s="21" t="str">
        <x:f>"—"</x:f>
        <x:v>—</x:v>
      </x:c>
      <x:c r="H156" s="21" t="str">
        <x:f>"—"</x:f>
        <x:v>—</x:v>
      </x:c>
      <x:c r="I156" s="21" t="str">
        <x:f>"—"</x:f>
        <x:v>—</x:v>
      </x:c>
      <x:c r="J156" s="21" t="str">
        <x:f>"—"</x:f>
        <x:v>—</x:v>
      </x:c>
      <x:c r="K156" s="21" t="str">
        <x:f>"—"</x:f>
        <x:v>—</x:v>
      </x:c>
      <x:c r="L156" s="21" t="str">
        <x:f>"—"</x:f>
        <x:v>—</x:v>
      </x:c>
      <x:c r="M156" s="21" t="str">
        <x:f>"—"</x:f>
        <x:v>—</x:v>
      </x:c>
      <x:c r="N156" s="21" t="str">
        <x:f>IF(AND(COUNT(INDEX('SKU明细'!$H$9:$H$1592,MATCH("[6574,""8392-NY-S-K-4K""]",'SKU明细'!$AE$9:$AE$1592,0)))=1,COUNT(INDEX('SKU明细'!$G$9:$G$1592,MATCH("[6574,""8392-NY-S-K-4K""]",'SKU明细'!$AE$9:$AE$1592,0)))=1,SUM(INDEX('SKU明细'!$G$9:$G$1592,MATCH("[6574,""8392-NY-S-K-4K""]",'SKU明细'!$AE$9:$AE$1592,0)))&gt;0),SUM(INDEX('SKU明细'!$H$9:$H$1592,MATCH("[6574,""8392-NY-S-K-4K""]",'SKU明细'!$AE$9:$AE$1592,0)))/SUM(INDEX('SKU明细'!$G$9:$G$1592,MATCH("[6574,""8392-NY-S-K-4K""]",'SKU明细'!$AE$9:$AE$1592,0))),"待核")</x:f>
        <x:v>待核</x:v>
      </x:c>
      <x:c r="O156" s="21" t="str">
        <x:f>"—"</x:f>
        <x:v>—</x:v>
      </x:c>
      <x:c r="P156" s="21" t="str">
        <x:f>"—"</x:f>
        <x:v>—</x:v>
      </x:c>
      <x:c r="Q156" s="21" t="str">
        <x:f>"—"</x:f>
        <x:v>—</x:v>
      </x:c>
      <x:c r="R156" s="21" t="str">
        <x:f>"—"</x:f>
        <x:v>—</x:v>
      </x:c>
      <x:c r="S156" s="21" t="str">
        <x:f>"—"</x:f>
        <x:v>—</x:v>
      </x:c>
      <x:c r="T156" s="21" t="str">
        <x:f>"—"</x:f>
        <x:v>—</x:v>
      </x:c>
      <x:c r="U156" s="21" t="str">
        <x:f>IF(COUNT(S156:T156)=2,S156-T156,"待核")</x:f>
        <x:v>待核</x:v>
      </x:c>
      <x:c r="V156" s="22" t="str">
        <x:f>IF(AND(ISNUMBER(U156),ISNUMBER(T156),T156&lt;&gt;0),U156/T156,"")</x:f>
      </x:c>
      <x:c r="W156" s="23" t="n">
        <x:f>IF(COUNT(INDEX('SKU明细'!$H$9:$H$1592,MATCH("[6574,""8392-NY-S-K-4K""]",'SKU明细'!$AE$9:$AE$1592,0)))=0,"待核",SUM(INDEX('SKU明细'!$H$9:$H$1592,MATCH("[6574,""8392-NY-S-K-4K""]",'SKU明细'!$AE$9:$AE$1592,0))))</x:f>
        <x:v>0</x:v>
      </x:c>
      <x:c r="X156" s="24" t="str">
        <x:f>IF(COUNTIFS('SKU明细'!$AH$9:$AH$1592,"[""8392"",""8392-NY-S-K-4K"",""NY"",""藏青色""]",'SKU明细'!$E$9:$E$1592,"促销")&gt;0,"促销 ","")&amp;IF(COUNTIFS('SKU明细'!$AH$9:$AH$1592,"[""8392"",""8392-NY-S-K-4K"",""NY"",""藏青色""]",'SKU明细'!$E$9:$E$1592,"红线促销")&gt;0,"红线促销 ","")&amp;IF(COUNTIFS('SKU明细'!$AH$9:$AH$1592,"[""8392"",""8392-NY-S-K-4K"",""NY"",""藏青色""]",'SKU明细'!$E$9:$E$1592,"考虑清仓")&gt;0,"考虑清仓 ","")&amp;IF(COUNTIFS('SKU明细'!$AH$9:$AH$1592,"[""8392"",""8392-NY-S-K-4K"",""NY"",""藏青色""]",'SKU明细'!$E$9:$E$1592,"断货")&gt;0,"断货 ","")&amp;IF(COUNTIFS('SKU明细'!$AH$9:$AH$1592,"[""8392"",""8392-NY-S-K-4K"",""NY"",""藏青色""]",'SKU明细'!$E$9:$E$1592,"零日销待复核")&gt;0,"零日销待复核 ","")&amp;IF(COUNTIFS('SKU明细'!$AH$9:$AH$1592,"[""8392"",""8392-NY-S-K-4K"",""NY"",""藏青色""]",'SKU明细'!$E$9:$E$1592,"数据待核")&gt;0,"数据待核 ","")&amp;IF(COUNTIFS('SKU明细'!$AH$9:$AH$1592,"[""8392"",""8392-NY-S-K-4K"",""NY"",""藏青色""]",'SKU明细'!$E$9:$E$1592,"正常库存")&gt;0,"正常库存 ","")&amp;IF(COUNTIFS('SKU明细'!$AH$9:$AH$1592,"[""8392"",""8392-NY-S-K-4K"",""NY"",""藏青色""]",'SKU明细'!$E$9:$E$1592,"补货提醒")&gt;0,"补货提醒 ","")</x:f>
        <x:v>断货 </x:v>
      </x:c>
      <x:c r="Y156" s="24" t="str">
        <x:f>IF(NOT(ISNUMBER(U156)),"覆盖待核／无可比基准","仅共同SKU")</x:f>
        <x:v>覆盖待核／无可比基准</x:v>
      </x:c>
      <x:c r="Z156" s="24" t="str">
        <x:v>停售</x:v>
      </x:c>
      <x:c r="AA156" s="24" t="n">
        <x:f>IF(SUMIFS('SKU明细'!$AF$9:$AF$1592,'SKU明细'!$D$9:$D$1592,A156,'SKU明细'!$Z$9:$Z$1592,"&lt;&gt;移出")=0,"待核",SUMIFS('SKU明细'!$H$9:$H$1592,'SKU明细'!$D$9:$D$1592,A156,'SKU明细'!$Z$9:$Z$1592,"&lt;&gt;移出"))</x:f>
        <x:v>529</x:v>
      </x:c>
    </x:row>
    <x:row r="157" ht="54" customHeight="1">
      <x:c r="A157" s="20" t="str">
        <x:v>8392</x:v>
      </x:c>
      <x:c r="B157" s="20" t="str">
        <x:v>徐新怡</x:v>
      </x:c>
      <x:c r="C157" s="20" t="str">
        <x:v>藏青色</x:v>
      </x:c>
      <x:c r="D157" s="20" t="str">
        <x:v>NY</x:v>
      </x:c>
      <x:c r="E157" s="20" t="str">
        <x:v>8392-NY-S-K-4K.5</x:v>
      </x:c>
      <x:c r="F157" s="20"/>
      <x:c r="G157" s="21" t="str">
        <x:f>"—"</x:f>
        <x:v>—</x:v>
      </x:c>
      <x:c r="H157" s="21" t="str">
        <x:f>"—"</x:f>
        <x:v>—</x:v>
      </x:c>
      <x:c r="I157" s="21" t="str">
        <x:f>"—"</x:f>
        <x:v>—</x:v>
      </x:c>
      <x:c r="J157" s="21" t="str">
        <x:f>"—"</x:f>
        <x:v>—</x:v>
      </x:c>
      <x:c r="K157" s="21" t="str">
        <x:f>"—"</x:f>
        <x:v>—</x:v>
      </x:c>
      <x:c r="L157" s="21" t="str">
        <x:f>"—"</x:f>
        <x:v>—</x:v>
      </x:c>
      <x:c r="M157" s="21" t="str">
        <x:f>"—"</x:f>
        <x:v>—</x:v>
      </x:c>
      <x:c r="N157" s="21" t="str">
        <x:f>"—"</x:f>
        <x:v>—</x:v>
      </x:c>
      <x:c r="O157" s="21" t="str">
        <x:f>IF(AND(COUNT(INDEX('SKU明细'!$H$9:$H$1592,MATCH("[6574,""8392-NY-S-K-4K.5""]",'SKU明细'!$AE$9:$AE$1592,0)))=1,COUNT(INDEX('SKU明细'!$G$9:$G$1592,MATCH("[6574,""8392-NY-S-K-4K.5""]",'SKU明细'!$AE$9:$AE$1592,0)))=1,SUM(INDEX('SKU明细'!$G$9:$G$1592,MATCH("[6574,""8392-NY-S-K-4K.5""]",'SKU明细'!$AE$9:$AE$1592,0)))&gt;0),SUM(INDEX('SKU明细'!$H$9:$H$1592,MATCH("[6574,""8392-NY-S-K-4K.5""]",'SKU明细'!$AE$9:$AE$1592,0)))/SUM(INDEX('SKU明细'!$G$9:$G$1592,MATCH("[6574,""8392-NY-S-K-4K.5""]",'SKU明细'!$AE$9:$AE$1592,0))),"待核")</x:f>
        <x:v>待核</x:v>
      </x:c>
      <x:c r="P157" s="21" t="str">
        <x:f>"—"</x:f>
        <x:v>—</x:v>
      </x:c>
      <x:c r="Q157" s="21" t="str">
        <x:f>"—"</x:f>
        <x:v>—</x:v>
      </x:c>
      <x:c r="R157" s="21" t="str">
        <x:f>"—"</x:f>
        <x:v>—</x:v>
      </x:c>
      <x:c r="S157" s="21" t="str">
        <x:f>"—"</x:f>
        <x:v>—</x:v>
      </x:c>
      <x:c r="T157" s="21" t="str">
        <x:f>"—"</x:f>
        <x:v>—</x:v>
      </x:c>
      <x:c r="U157" s="21" t="str">
        <x:f>IF(COUNT(S157:T157)=2,S157-T157,"待核")</x:f>
        <x:v>待核</x:v>
      </x:c>
      <x:c r="V157" s="22" t="str">
        <x:f>IF(AND(ISNUMBER(U157),ISNUMBER(T157),T157&lt;&gt;0),U157/T157,"")</x:f>
      </x:c>
      <x:c r="W157" s="23" t="n">
        <x:f>IF(COUNT(INDEX('SKU明细'!$H$9:$H$1592,MATCH("[6574,""8392-NY-S-K-4K.5""]",'SKU明细'!$AE$9:$AE$1592,0)))=0,"待核",SUM(INDEX('SKU明细'!$H$9:$H$1592,MATCH("[6574,""8392-NY-S-K-4K.5""]",'SKU明细'!$AE$9:$AE$1592,0))))</x:f>
        <x:v>0</x:v>
      </x:c>
      <x:c r="X157" s="24" t="str">
        <x:f>IF(COUNTIFS('SKU明细'!$AH$9:$AH$1592,"[""8392"",""8392-NY-S-K-4K.5"",""NY"",""藏青色""]",'SKU明细'!$E$9:$E$1592,"促销")&gt;0,"促销 ","")&amp;IF(COUNTIFS('SKU明细'!$AH$9:$AH$1592,"[""8392"",""8392-NY-S-K-4K.5"",""NY"",""藏青色""]",'SKU明细'!$E$9:$E$1592,"红线促销")&gt;0,"红线促销 ","")&amp;IF(COUNTIFS('SKU明细'!$AH$9:$AH$1592,"[""8392"",""8392-NY-S-K-4K.5"",""NY"",""藏青色""]",'SKU明细'!$E$9:$E$1592,"考虑清仓")&gt;0,"考虑清仓 ","")&amp;IF(COUNTIFS('SKU明细'!$AH$9:$AH$1592,"[""8392"",""8392-NY-S-K-4K.5"",""NY"",""藏青色""]",'SKU明细'!$E$9:$E$1592,"断货")&gt;0,"断货 ","")&amp;IF(COUNTIFS('SKU明细'!$AH$9:$AH$1592,"[""8392"",""8392-NY-S-K-4K.5"",""NY"",""藏青色""]",'SKU明细'!$E$9:$E$1592,"零日销待复核")&gt;0,"零日销待复核 ","")&amp;IF(COUNTIFS('SKU明细'!$AH$9:$AH$1592,"[""8392"",""8392-NY-S-K-4K.5"",""NY"",""藏青色""]",'SKU明细'!$E$9:$E$1592,"数据待核")&gt;0,"数据待核 ","")&amp;IF(COUNTIFS('SKU明细'!$AH$9:$AH$1592,"[""8392"",""8392-NY-S-K-4K.5"",""NY"",""藏青色""]",'SKU明细'!$E$9:$E$1592,"正常库存")&gt;0,"正常库存 ","")&amp;IF(COUNTIFS('SKU明细'!$AH$9:$AH$1592,"[""8392"",""8392-NY-S-K-4K.5"",""NY"",""藏青色""]",'SKU明细'!$E$9:$E$1592,"补货提醒")&gt;0,"补货提醒 ","")</x:f>
        <x:v>断货 </x:v>
      </x:c>
      <x:c r="Y157" s="24" t="str">
        <x:f>IF(NOT(ISNUMBER(U157)),"覆盖待核／无可比基准","仅共同SKU")</x:f>
        <x:v>覆盖待核／无可比基准</x:v>
      </x:c>
      <x:c r="Z157" s="24" t="str">
        <x:v>停售</x:v>
      </x:c>
      <x:c r="AA157" s="24" t="n">
        <x:f>IF(SUMIFS('SKU明细'!$AF$9:$AF$1592,'SKU明细'!$D$9:$D$1592,A157,'SKU明细'!$Z$9:$Z$1592,"&lt;&gt;移出")=0,"待核",SUMIFS('SKU明细'!$H$9:$H$1592,'SKU明细'!$D$9:$D$1592,A157,'SKU明细'!$Z$9:$Z$1592,"&lt;&gt;移出"))</x:f>
        <x:v>529</x:v>
      </x:c>
    </x:row>
    <x:row r="158" ht="54" customHeight="1">
      <x:c r="A158" s="20" t="str">
        <x:v>8392</x:v>
      </x:c>
      <x:c r="B158" s="20" t="str">
        <x:v>徐新怡</x:v>
      </x:c>
      <x:c r="C158" s="20" t="str">
        <x:v>红色</x:v>
      </x:c>
      <x:c r="D158" s="20" t="str">
        <x:v>RD</x:v>
      </x:c>
      <x:c r="E158" s="20" t="str">
        <x:v>8392-RD-S-K</x:v>
      </x:c>
      <x:c r="F158" s="20"/>
      <x:c r="G158" s="21" t="str">
        <x:f>"—"</x:f>
        <x:v>—</x:v>
      </x:c>
      <x:c r="H158" s="21" t="str">
        <x:f>IF(AND(COUNT(INDEX('SKU明细'!$H$9:$H$1592,MATCH("[6574,""8392-RD-S-K-37""]",'SKU明细'!$AE$9:$AE$1592,0)))=1,COUNT(INDEX('SKU明细'!$G$9:$G$1592,MATCH("[6574,""8392-RD-S-K-37""]",'SKU明细'!$AE$9:$AE$1592,0)))=1,SUM(INDEX('SKU明细'!$G$9:$G$1592,MATCH("[6574,""8392-RD-S-K-37""]",'SKU明细'!$AE$9:$AE$1592,0)))&gt;0),SUM(INDEX('SKU明细'!$H$9:$H$1592,MATCH("[6574,""8392-RD-S-K-37""]",'SKU明细'!$AE$9:$AE$1592,0)))/SUM(INDEX('SKU明细'!$G$9:$G$1592,MATCH("[6574,""8392-RD-S-K-37""]",'SKU明细'!$AE$9:$AE$1592,0))),"待核")</x:f>
        <x:v>待核</x:v>
      </x:c>
      <x:c r="I158" s="21" t="str">
        <x:f>IF(AND(COUNT(INDEX('SKU明细'!$H$9:$H$1592,MATCH("[null,""8392-RD-S-K-37.5""]",'SKU明细'!$AE$9:$AE$1592,0)))=1,COUNT(INDEX('SKU明细'!$G$9:$G$1592,MATCH("[null,""8392-RD-S-K-37.5""]",'SKU明细'!$AE$9:$AE$1592,0)))=1,SUM(INDEX('SKU明细'!$G$9:$G$1592,MATCH("[null,""8392-RD-S-K-37.5""]",'SKU明细'!$AE$9:$AE$1592,0)))&gt;0),SUM(INDEX('SKU明细'!$H$9:$H$1592,MATCH("[null,""8392-RD-S-K-37.5""]",'SKU明细'!$AE$9:$AE$1592,0)))/SUM(INDEX('SKU明细'!$G$9:$G$1592,MATCH("[null,""8392-RD-S-K-37.5""]",'SKU明细'!$AE$9:$AE$1592,0))),"待核")</x:f>
        <x:v>待核</x:v>
      </x:c>
      <x:c r="J158" s="21" t="str">
        <x:f>IF(AND(COUNT(INDEX('SKU明细'!$H$9:$H$1592,MATCH("[6574,""8392-RD-S-K-38""]",'SKU明细'!$AE$9:$AE$1592,0)))=1,COUNT(INDEX('SKU明细'!$G$9:$G$1592,MATCH("[6574,""8392-RD-S-K-38""]",'SKU明细'!$AE$9:$AE$1592,0)))=1,SUM(INDEX('SKU明细'!$G$9:$G$1592,MATCH("[6574,""8392-RD-S-K-38""]",'SKU明细'!$AE$9:$AE$1592,0)))&gt;0),SUM(INDEX('SKU明细'!$H$9:$H$1592,MATCH("[6574,""8392-RD-S-K-38""]",'SKU明细'!$AE$9:$AE$1592,0)))/SUM(INDEX('SKU明细'!$G$9:$G$1592,MATCH("[6574,""8392-RD-S-K-38""]",'SKU明细'!$AE$9:$AE$1592,0))),"待核")</x:f>
        <x:v>待核</x:v>
      </x:c>
      <x:c r="K158" s="21" t="str">
        <x:f>IF(AND(COUNT(INDEX('SKU明细'!$H$9:$H$1592,MATCH("[null,""8392-RD-S-K-38.5""]",'SKU明细'!$AE$9:$AE$1592,0)))=1,COUNT(INDEX('SKU明细'!$G$9:$G$1592,MATCH("[null,""8392-RD-S-K-38.5""]",'SKU明细'!$AE$9:$AE$1592,0)))=1,SUM(INDEX('SKU明细'!$G$9:$G$1592,MATCH("[null,""8392-RD-S-K-38.5""]",'SKU明细'!$AE$9:$AE$1592,0)))&gt;0),SUM(INDEX('SKU明细'!$H$9:$H$1592,MATCH("[null,""8392-RD-S-K-38.5""]",'SKU明细'!$AE$9:$AE$1592,0)))/SUM(INDEX('SKU明细'!$G$9:$G$1592,MATCH("[null,""8392-RD-S-K-38.5""]",'SKU明细'!$AE$9:$AE$1592,0))),"待核")</x:f>
        <x:v>待核</x:v>
      </x:c>
      <x:c r="L158" s="21" t="str">
        <x:f>IF(AND(COUNT(INDEX('SKU明细'!$H$9:$H$1592,MATCH("[6574,""8392-RD-S-K-39""]",'SKU明细'!$AE$9:$AE$1592,0)))=1,COUNT(INDEX('SKU明细'!$G$9:$G$1592,MATCH("[6574,""8392-RD-S-K-39""]",'SKU明细'!$AE$9:$AE$1592,0)))=1,SUM(INDEX('SKU明细'!$G$9:$G$1592,MATCH("[6574,""8392-RD-S-K-39""]",'SKU明细'!$AE$9:$AE$1592,0)))&gt;0),SUM(INDEX('SKU明细'!$H$9:$H$1592,MATCH("[6574,""8392-RD-S-K-39""]",'SKU明细'!$AE$9:$AE$1592,0)))/SUM(INDEX('SKU明细'!$G$9:$G$1592,MATCH("[6574,""8392-RD-S-K-39""]",'SKU明细'!$AE$9:$AE$1592,0))),"待核")</x:f>
        <x:v>待核</x:v>
      </x:c>
      <x:c r="M158" s="21" t="str">
        <x:f>IF(AND(COUNT(INDEX('SKU明细'!$H$9:$H$1592,MATCH("[null,""8392-RD-S-K-39.5""]",'SKU明细'!$AE$9:$AE$1592,0)))=1,COUNT(INDEX('SKU明细'!$G$9:$G$1592,MATCH("[null,""8392-RD-S-K-39.5""]",'SKU明细'!$AE$9:$AE$1592,0)))=1,SUM(INDEX('SKU明细'!$G$9:$G$1592,MATCH("[null,""8392-RD-S-K-39.5""]",'SKU明细'!$AE$9:$AE$1592,0)))&gt;0),SUM(INDEX('SKU明细'!$H$9:$H$1592,MATCH("[null,""8392-RD-S-K-39.5""]",'SKU明细'!$AE$9:$AE$1592,0)))/SUM(INDEX('SKU明细'!$G$9:$G$1592,MATCH("[null,""8392-RD-S-K-39.5""]",'SKU明细'!$AE$9:$AE$1592,0))),"待核")</x:f>
        <x:v>待核</x:v>
      </x:c>
      <x:c r="N158" s="21" t="str">
        <x:f>IF(AND(COUNT(INDEX('SKU明细'!$H$9:$H$1592,MATCH("[null,""8392-RD-S-K-40""]",'SKU明细'!$AE$9:$AE$1592,0)))=1,COUNT(INDEX('SKU明细'!$G$9:$G$1592,MATCH("[null,""8392-RD-S-K-40""]",'SKU明细'!$AE$9:$AE$1592,0)))=1,SUM(INDEX('SKU明细'!$G$9:$G$1592,MATCH("[null,""8392-RD-S-K-40""]",'SKU明细'!$AE$9:$AE$1592,0)))&gt;0),SUM(INDEX('SKU明细'!$H$9:$H$1592,MATCH("[null,""8392-RD-S-K-40""]",'SKU明细'!$AE$9:$AE$1592,0)))/SUM(INDEX('SKU明细'!$G$9:$G$1592,MATCH("[null,""8392-RD-S-K-40""]",'SKU明细'!$AE$9:$AE$1592,0))),"待核")</x:f>
        <x:v>待核</x:v>
      </x:c>
      <x:c r="O158" s="21" t="str">
        <x:f>IF(AND(COUNT(INDEX('SKU明细'!$H$9:$H$1592,MATCH("[null,""8392-RD-S-K-40.5""]",'SKU明细'!$AE$9:$AE$1592,0)))=1,COUNT(INDEX('SKU明细'!$G$9:$G$1592,MATCH("[null,""8392-RD-S-K-40.5""]",'SKU明细'!$AE$9:$AE$1592,0)))=1,SUM(INDEX('SKU明细'!$G$9:$G$1592,MATCH("[null,""8392-RD-S-K-40.5""]",'SKU明细'!$AE$9:$AE$1592,0)))&gt;0),SUM(INDEX('SKU明细'!$H$9:$H$1592,MATCH("[null,""8392-RD-S-K-40.5""]",'SKU明细'!$AE$9:$AE$1592,0)))/SUM(INDEX('SKU明细'!$G$9:$G$1592,MATCH("[null,""8392-RD-S-K-40.5""]",'SKU明细'!$AE$9:$AE$1592,0))),"待核")</x:f>
        <x:v>待核</x:v>
      </x:c>
      <x:c r="P158" s="21" t="str">
        <x:f>IF(AND(COUNT(INDEX('SKU明细'!$H$9:$H$1592,MATCH("[6574,""8392-RD-S-K-41""]",'SKU明细'!$AE$9:$AE$1592,0)))=1,COUNT(INDEX('SKU明细'!$G$9:$G$1592,MATCH("[6574,""8392-RD-S-K-41""]",'SKU明细'!$AE$9:$AE$1592,0)))=1,SUM(INDEX('SKU明细'!$G$9:$G$1592,MATCH("[6574,""8392-RD-S-K-41""]",'SKU明细'!$AE$9:$AE$1592,0)))&gt;0),SUM(INDEX('SKU明细'!$H$9:$H$1592,MATCH("[6574,""8392-RD-S-K-41""]",'SKU明细'!$AE$9:$AE$1592,0)))/SUM(INDEX('SKU明细'!$G$9:$G$1592,MATCH("[6574,""8392-RD-S-K-41""]",'SKU明细'!$AE$9:$AE$1592,0))),"待核")</x:f>
        <x:v>待核</x:v>
      </x:c>
      <x:c r="Q158" s="21" t="str">
        <x:f>IF(AND(COUNT(INDEX('SKU明细'!$H$9:$H$1592,MATCH("[null,""8392-RD-S-K-41.5""]",'SKU明细'!$AE$9:$AE$1592,0)))=1,COUNT(INDEX('SKU明细'!$G$9:$G$1592,MATCH("[null,""8392-RD-S-K-41.5""]",'SKU明细'!$AE$9:$AE$1592,0)))=1,SUM(INDEX('SKU明细'!$G$9:$G$1592,MATCH("[null,""8392-RD-S-K-41.5""]",'SKU明细'!$AE$9:$AE$1592,0)))&gt;0),SUM(INDEX('SKU明细'!$H$9:$H$1592,MATCH("[null,""8392-RD-S-K-41.5""]",'SKU明细'!$AE$9:$AE$1592,0)))/SUM(INDEX('SKU明细'!$G$9:$G$1592,MATCH("[null,""8392-RD-S-K-41.5""]",'SKU明细'!$AE$9:$AE$1592,0))),"待核")</x:f>
        <x:v>待核</x:v>
      </x:c>
      <x:c r="R158" s="21" t="str">
        <x:f>IF(AND(COUNT(INDEX('SKU明细'!$H$9:$H$1592,MATCH("[null,""8392-RD-S-K-42""]",'SKU明细'!$AE$9:$AE$1592,0)))=1,COUNT(INDEX('SKU明细'!$G$9:$G$1592,MATCH("[null,""8392-RD-S-K-42""]",'SKU明细'!$AE$9:$AE$1592,0)))=1,SUM(INDEX('SKU明细'!$G$9:$G$1592,MATCH("[null,""8392-RD-S-K-42""]",'SKU明细'!$AE$9:$AE$1592,0)))&gt;0),SUM(INDEX('SKU明细'!$H$9:$H$1592,MATCH("[null,""8392-RD-S-K-42""]",'SKU明细'!$AE$9:$AE$1592,0)))/SUM(INDEX('SKU明细'!$G$9:$G$1592,MATCH("[null,""8392-RD-S-K-42""]",'SKU明细'!$AE$9:$AE$1592,0))),"待核")</x:f>
        <x:v>待核</x:v>
      </x:c>
      <x:c r="S158" s="21" t="str">
        <x:f>"—"</x:f>
        <x:v>—</x:v>
      </x:c>
      <x:c r="T158" s="21" t="str">
        <x:f>"—"</x:f>
        <x:v>—</x:v>
      </x:c>
      <x:c r="U158" s="21" t="str">
        <x:f>IF(COUNT(S158:T158)=2,S158-T158,"待核")</x:f>
        <x:v>待核</x:v>
      </x:c>
      <x:c r="V158" s="22" t="str">
        <x:f>IF(AND(ISNUMBER(U158),ISNUMBER(T158),T158&lt;&gt;0),U158/T158,"")</x:f>
      </x:c>
      <x:c r="W158" s="23" t="n">
        <x:f>IF(COUNT(INDEX('SKU明细'!$H$9:$H$1592,MATCH("[6574,""8392-RD-S-K-37""]",'SKU明细'!$AE$9:$AE$1592,0)),INDEX('SKU明细'!$H$9:$H$1592,MATCH("[6574,""8392-RD-S-K-38""]",'SKU明细'!$AE$9:$AE$1592,0)),INDEX('SKU明细'!$H$9:$H$1592,MATCH("[6574,""8392-RD-S-K-39""]",'SKU明细'!$AE$9:$AE$1592,0)),INDEX('SKU明细'!$H$9:$H$1592,MATCH("[6574,""8392-RD-S-K-41""]",'SKU明细'!$AE$9:$AE$1592,0)),INDEX('SKU明细'!$H$9:$H$1592,MATCH("[null,""8392-RD-S-K-37.5""]",'SKU明细'!$AE$9:$AE$1592,0)),INDEX('SKU明细'!$H$9:$H$1592,MATCH("[null,""8392-RD-S-K-38.5""]",'SKU明细'!$AE$9:$AE$1592,0)),INDEX('SKU明细'!$H$9:$H$1592,MATCH("[null,""8392-RD-S-K-39.5""]",'SKU明细'!$AE$9:$AE$1592,0)),INDEX('SKU明细'!$H$9:$H$1592,MATCH("[null,""8392-RD-S-K-40""]",'SKU明细'!$AE$9:$AE$1592,0)),INDEX('SKU明细'!$H$9:$H$1592,MATCH("[null,""8392-RD-S-K-40.5""]",'SKU明细'!$AE$9:$AE$1592,0)),INDEX('SKU明细'!$H$9:$H$1592,MATCH("[null,""8392-RD-S-K-41.5""]",'SKU明细'!$AE$9:$AE$1592,0)),INDEX('SKU明细'!$H$9:$H$1592,MATCH("[null,""8392-RD-S-K-42""]",'SKU明细'!$AE$9:$AE$1592,0)))=0,"待核",SUM(INDEX('SKU明细'!$H$9:$H$1592,MATCH("[6574,""8392-RD-S-K-37""]",'SKU明细'!$AE$9:$AE$1592,0)),INDEX('SKU明细'!$H$9:$H$1592,MATCH("[6574,""8392-RD-S-K-38""]",'SKU明细'!$AE$9:$AE$1592,0)),INDEX('SKU明细'!$H$9:$H$1592,MATCH("[6574,""8392-RD-S-K-39""]",'SKU明细'!$AE$9:$AE$1592,0)),INDEX('SKU明细'!$H$9:$H$1592,MATCH("[6574,""8392-RD-S-K-41""]",'SKU明细'!$AE$9:$AE$1592,0)),INDEX('SKU明细'!$H$9:$H$1592,MATCH("[null,""8392-RD-S-K-37.5""]",'SKU明细'!$AE$9:$AE$1592,0)),INDEX('SKU明细'!$H$9:$H$1592,MATCH("[null,""8392-RD-S-K-38.5""]",'SKU明细'!$AE$9:$AE$1592,0)),INDEX('SKU明细'!$H$9:$H$1592,MATCH("[null,""8392-RD-S-K-39.5""]",'SKU明细'!$AE$9:$AE$1592,0)),INDEX('SKU明细'!$H$9:$H$1592,MATCH("[null,""8392-RD-S-K-40""]",'SKU明细'!$AE$9:$AE$1592,0)),INDEX('SKU明细'!$H$9:$H$1592,MATCH("[null,""8392-RD-S-K-40.5""]",'SKU明细'!$AE$9:$AE$1592,0)),INDEX('SKU明细'!$H$9:$H$1592,MATCH("[null,""8392-RD-S-K-41.5""]",'SKU明细'!$AE$9:$AE$1592,0)),INDEX('SKU明细'!$H$9:$H$1592,MATCH("[null,""8392-RD-S-K-42""]",'SKU明细'!$AE$9:$AE$1592,0))))</x:f>
        <x:v>0</x:v>
      </x:c>
      <x:c r="X158" s="24" t="str">
        <x:f>IF(COUNTIFS('SKU明细'!$AH$9:$AH$1592,"[""8392"",""8392-RD-S-K"",""RD"",""红色""]",'SKU明细'!$E$9:$E$1592,"促销")&gt;0,"促销 ","")&amp;IF(COUNTIFS('SKU明细'!$AH$9:$AH$1592,"[""8392"",""8392-RD-S-K"",""RD"",""红色""]",'SKU明细'!$E$9:$E$1592,"红线促销")&gt;0,"红线促销 ","")&amp;IF(COUNTIFS('SKU明细'!$AH$9:$AH$1592,"[""8392"",""8392-RD-S-K"",""RD"",""红色""]",'SKU明细'!$E$9:$E$1592,"考虑清仓")&gt;0,"考虑清仓 ","")&amp;IF(COUNTIFS('SKU明细'!$AH$9:$AH$1592,"[""8392"",""8392-RD-S-K"",""RD"",""红色""]",'SKU明细'!$E$9:$E$1592,"断货")&gt;0,"断货 ","")&amp;IF(COUNTIFS('SKU明细'!$AH$9:$AH$1592,"[""8392"",""8392-RD-S-K"",""RD"",""红色""]",'SKU明细'!$E$9:$E$1592,"零日销待复核")&gt;0,"零日销待复核 ","")&amp;IF(COUNTIFS('SKU明细'!$AH$9:$AH$1592,"[""8392"",""8392-RD-S-K"",""RD"",""红色""]",'SKU明细'!$E$9:$E$1592,"数据待核")&gt;0,"数据待核 ","")&amp;IF(COUNTIFS('SKU明细'!$AH$9:$AH$1592,"[""8392"",""8392-RD-S-K"",""RD"",""红色""]",'SKU明细'!$E$9:$E$1592,"正常库存")&gt;0,"正常库存 ","")&amp;IF(COUNTIFS('SKU明细'!$AH$9:$AH$1592,"[""8392"",""8392-RD-S-K"",""RD"",""红色""]",'SKU明细'!$E$9:$E$1592,"补货提醒")&gt;0,"补货提醒 ","")</x:f>
        <x:v>断货 数据待核 </x:v>
      </x:c>
      <x:c r="Y158" s="24" t="str">
        <x:f>IF(NOT(ISNUMBER(U158)),"覆盖待核／无可比基准","仅共同SKU")</x:f>
        <x:v>覆盖待核／无可比基准</x:v>
      </x:c>
      <x:c r="Z158" s="24" t="str">
        <x:v>停售、未匹配Listing</x:v>
      </x:c>
      <x:c r="AA158" s="24" t="n">
        <x:f>IF(SUMIFS('SKU明细'!$AF$9:$AF$1592,'SKU明细'!$D$9:$D$1592,A158,'SKU明细'!$Z$9:$Z$1592,"&lt;&gt;移出")=0,"待核",SUMIFS('SKU明细'!$H$9:$H$1592,'SKU明细'!$D$9:$D$1592,A158,'SKU明细'!$Z$9:$Z$1592,"&lt;&gt;移出"))</x:f>
        <x:v>529</x:v>
      </x:c>
    </x:row>
    <x:row r="159" ht="54" customHeight="1">
      <x:c r="A159" s="20" t="str">
        <x:v>8392</x:v>
      </x:c>
      <x:c r="B159" s="20" t="str">
        <x:v>徐新怡</x:v>
      </x:c>
      <x:c r="C159" s="20" t="str">
        <x:v>驼色</x:v>
      </x:c>
      <x:c r="D159" s="20" t="str">
        <x:v>TN</x:v>
      </x:c>
      <x:c r="E159" s="20" t="str">
        <x:v>8392-TN</x:v>
      </x:c>
      <x:c r="F159" s="20"/>
      <x:c r="G159" s="21" t="str">
        <x:f>"—"</x:f>
        <x:v>—</x:v>
      </x:c>
      <x:c r="H159" s="21" t="str">
        <x:f>IF(AND(COUNT(INDEX('SKU明细'!$H$9:$H$1592,MATCH("[6574,""8392-TN-37""]",'SKU明细'!$AE$9:$AE$1592,0)))=1,COUNT(INDEX('SKU明细'!$G$9:$G$1592,MATCH("[6574,""8392-TN-37""]",'SKU明细'!$AE$9:$AE$1592,0)))=1,SUM(INDEX('SKU明细'!$G$9:$G$1592,MATCH("[6574,""8392-TN-37""]",'SKU明细'!$AE$9:$AE$1592,0)))&gt;0),SUM(INDEX('SKU明细'!$H$9:$H$1592,MATCH("[6574,""8392-TN-37""]",'SKU明细'!$AE$9:$AE$1592,0)))/SUM(INDEX('SKU明细'!$G$9:$G$1592,MATCH("[6574,""8392-TN-37""]",'SKU明细'!$AE$9:$AE$1592,0))),"待核")</x:f>
        <x:v>待核</x:v>
      </x:c>
      <x:c r="I159" s="21" t="str">
        <x:f>IF(AND(COUNT(INDEX('SKU明细'!$H$9:$H$1592,MATCH("[6574,""8392-TN-37.5""]",'SKU明细'!$AE$9:$AE$1592,0)))=1,COUNT(INDEX('SKU明细'!$G$9:$G$1592,MATCH("[6574,""8392-TN-37.5""]",'SKU明细'!$AE$9:$AE$1592,0)))=1,SUM(INDEX('SKU明细'!$G$9:$G$1592,MATCH("[6574,""8392-TN-37.5""]",'SKU明细'!$AE$9:$AE$1592,0)))&gt;0),SUM(INDEX('SKU明细'!$H$9:$H$1592,MATCH("[6574,""8392-TN-37.5""]",'SKU明细'!$AE$9:$AE$1592,0)))/SUM(INDEX('SKU明细'!$G$9:$G$1592,MATCH("[6574,""8392-TN-37.5""]",'SKU明细'!$AE$9:$AE$1592,0))),"待核")</x:f>
        <x:v>待核</x:v>
      </x:c>
      <x:c r="J159" s="21" t="str">
        <x:f>IF(AND(COUNT(INDEX('SKU明细'!$H$9:$H$1592,MATCH("[6574,""8392-TN-38""]",'SKU明细'!$AE$9:$AE$1592,0)))=1,COUNT(INDEX('SKU明细'!$G$9:$G$1592,MATCH("[6574,""8392-TN-38""]",'SKU明细'!$AE$9:$AE$1592,0)))=1,SUM(INDEX('SKU明细'!$G$9:$G$1592,MATCH("[6574,""8392-TN-38""]",'SKU明细'!$AE$9:$AE$1592,0)))&gt;0),SUM(INDEX('SKU明细'!$H$9:$H$1592,MATCH("[6574,""8392-TN-38""]",'SKU明细'!$AE$9:$AE$1592,0)))/SUM(INDEX('SKU明细'!$G$9:$G$1592,MATCH("[6574,""8392-TN-38""]",'SKU明细'!$AE$9:$AE$1592,0))),"待核")</x:f>
        <x:v>待核</x:v>
      </x:c>
      <x:c r="K159" s="21" t="n">
        <x:f>IF(AND(COUNT(INDEX('SKU明细'!$H$9:$H$1592,MATCH("[6574,""8392-TN-38.5""]",'SKU明细'!$AE$9:$AE$1592,0)))=1,COUNT(INDEX('SKU明细'!$G$9:$G$1592,MATCH("[6574,""8392-TN-38.5""]",'SKU明细'!$AE$9:$AE$1592,0)))=1,SUM(INDEX('SKU明细'!$G$9:$G$1592,MATCH("[6574,""8392-TN-38.5""]",'SKU明细'!$AE$9:$AE$1592,0)))&gt;0),SUM(INDEX('SKU明细'!$H$9:$H$1592,MATCH("[6574,""8392-TN-38.5""]",'SKU明细'!$AE$9:$AE$1592,0)))/SUM(INDEX('SKU明细'!$G$9:$G$1592,MATCH("[6574,""8392-TN-38.5""]",'SKU明细'!$AE$9:$AE$1592,0))),"待核")</x:f>
        <x:v>19.17808219178082</x:v>
      </x:c>
      <x:c r="L159" s="21" t="str">
        <x:f>IF(AND(COUNT(INDEX('SKU明细'!$H$9:$H$1592,MATCH("[6574,""8392-TN-39""]",'SKU明细'!$AE$9:$AE$1592,0)))=1,COUNT(INDEX('SKU明细'!$G$9:$G$1592,MATCH("[6574,""8392-TN-39""]",'SKU明细'!$AE$9:$AE$1592,0)))=1,SUM(INDEX('SKU明细'!$G$9:$G$1592,MATCH("[6574,""8392-TN-39""]",'SKU明细'!$AE$9:$AE$1592,0)))&gt;0),SUM(INDEX('SKU明细'!$H$9:$H$1592,MATCH("[6574,""8392-TN-39""]",'SKU明细'!$AE$9:$AE$1592,0)))/SUM(INDEX('SKU明细'!$G$9:$G$1592,MATCH("[6574,""8392-TN-39""]",'SKU明细'!$AE$9:$AE$1592,0))),"待核")</x:f>
        <x:v>待核</x:v>
      </x:c>
      <x:c r="M159" s="21" t="n">
        <x:f>IF(AND(COUNT(INDEX('SKU明细'!$H$9:$H$1592,MATCH("[6574,""8392-TN-39.5""]",'SKU明细'!$AE$9:$AE$1592,0)))=1,COUNT(INDEX('SKU明细'!$G$9:$G$1592,MATCH("[6574,""8392-TN-39.5""]",'SKU明细'!$AE$9:$AE$1592,0)))=1,SUM(INDEX('SKU明细'!$G$9:$G$1592,MATCH("[6574,""8392-TN-39.5""]",'SKU明细'!$AE$9:$AE$1592,0)))&gt;0),SUM(INDEX('SKU明细'!$H$9:$H$1592,MATCH("[6574,""8392-TN-39.5""]",'SKU明细'!$AE$9:$AE$1592,0)))/SUM(INDEX('SKU明细'!$G$9:$G$1592,MATCH("[6574,""8392-TN-39.5""]",'SKU明细'!$AE$9:$AE$1592,0))),"待核")</x:f>
        <x:v>0</x:v>
      </x:c>
      <x:c r="N159" s="21" t="n">
        <x:f>IF(AND(COUNT(INDEX('SKU明细'!$H$9:$H$1592,MATCH("[6574,""8392-TN-40""]",'SKU明细'!$AE$9:$AE$1592,0)))=1,COUNT(INDEX('SKU明细'!$G$9:$G$1592,MATCH("[6574,""8392-TN-40""]",'SKU明细'!$AE$9:$AE$1592,0)))=1,SUM(INDEX('SKU明细'!$G$9:$G$1592,MATCH("[6574,""8392-TN-40""]",'SKU明细'!$AE$9:$AE$1592,0)))&gt;0),SUM(INDEX('SKU明细'!$H$9:$H$1592,MATCH("[6574,""8392-TN-40""]",'SKU明细'!$AE$9:$AE$1592,0)))/SUM(INDEX('SKU明细'!$G$9:$G$1592,MATCH("[6574,""8392-TN-40""]",'SKU明细'!$AE$9:$AE$1592,0))),"待核")</x:f>
        <x:v>79.31034482758619</x:v>
      </x:c>
      <x:c r="O159" s="21" t="n">
        <x:f>IF(AND(COUNT(INDEX('SKU明细'!$H$9:$H$1592,MATCH("[6574,""8392-TN-40.5""]",'SKU明细'!$AE$9:$AE$1592,0)))=1,COUNT(INDEX('SKU明细'!$G$9:$G$1592,MATCH("[6574,""8392-TN-40.5""]",'SKU明细'!$AE$9:$AE$1592,0)))=1,SUM(INDEX('SKU明细'!$G$9:$G$1592,MATCH("[6574,""8392-TN-40.5""]",'SKU明细'!$AE$9:$AE$1592,0)))&gt;0),SUM(INDEX('SKU明细'!$H$9:$H$1592,MATCH("[6574,""8392-TN-40.5""]",'SKU明细'!$AE$9:$AE$1592,0)))/SUM(INDEX('SKU明细'!$G$9:$G$1592,MATCH("[6574,""8392-TN-40.5""]",'SKU明细'!$AE$9:$AE$1592,0))),"待核")</x:f>
        <x:v>67.74193548387098</x:v>
      </x:c>
      <x:c r="P159" s="21" t="str">
        <x:f>IF(AND(COUNT(INDEX('SKU明细'!$H$9:$H$1592,MATCH("[6574,""8392-TN-41""]",'SKU明细'!$AE$9:$AE$1592,0)))=1,COUNT(INDEX('SKU明细'!$G$9:$G$1592,MATCH("[6574,""8392-TN-41""]",'SKU明细'!$AE$9:$AE$1592,0)))=1,SUM(INDEX('SKU明细'!$G$9:$G$1592,MATCH("[6574,""8392-TN-41""]",'SKU明细'!$AE$9:$AE$1592,0)))&gt;0),SUM(INDEX('SKU明细'!$H$9:$H$1592,MATCH("[6574,""8392-TN-41""]",'SKU明细'!$AE$9:$AE$1592,0)))/SUM(INDEX('SKU明细'!$G$9:$G$1592,MATCH("[6574,""8392-TN-41""]",'SKU明细'!$AE$9:$AE$1592,0))),"待核")</x:f>
        <x:v>待核</x:v>
      </x:c>
      <x:c r="Q159" s="21" t="str">
        <x:f>IF(AND(COUNT(INDEX('SKU明细'!$H$9:$H$1592,MATCH("[6574,""8392-TN-41.5""]",'SKU明细'!$AE$9:$AE$1592,0)))=1,COUNT(INDEX('SKU明细'!$G$9:$G$1592,MATCH("[6574,""8392-TN-41.5""]",'SKU明细'!$AE$9:$AE$1592,0)))=1,SUM(INDEX('SKU明细'!$G$9:$G$1592,MATCH("[6574,""8392-TN-41.5""]",'SKU明细'!$AE$9:$AE$1592,0)))&gt;0),SUM(INDEX('SKU明细'!$H$9:$H$1592,MATCH("[6574,""8392-TN-41.5""]",'SKU明细'!$AE$9:$AE$1592,0)))/SUM(INDEX('SKU明细'!$G$9:$G$1592,MATCH("[6574,""8392-TN-41.5""]",'SKU明细'!$AE$9:$AE$1592,0))),"待核")</x:f>
        <x:v>待核</x:v>
      </x:c>
      <x:c r="R159" s="21" t="str">
        <x:f>IF(AND(COUNT(INDEX('SKU明细'!$H$9:$H$1592,MATCH("[null,""8392-TN-42""]",'SKU明细'!$AE$9:$AE$1592,0)))=1,COUNT(INDEX('SKU明细'!$G$9:$G$1592,MATCH("[null,""8392-TN-42""]",'SKU明细'!$AE$9:$AE$1592,0)))=1,SUM(INDEX('SKU明细'!$G$9:$G$1592,MATCH("[null,""8392-TN-42""]",'SKU明细'!$AE$9:$AE$1592,0)))&gt;0),SUM(INDEX('SKU明细'!$H$9:$H$1592,MATCH("[null,""8392-TN-42""]",'SKU明细'!$AE$9:$AE$1592,0)))/SUM(INDEX('SKU明细'!$G$9:$G$1592,MATCH("[null,""8392-TN-42""]",'SKU明细'!$AE$9:$AE$1592,0))),"待核")</x:f>
        <x:v>待核</x:v>
      </x:c>
      <x:c r="S159" s="21" t="str">
        <x:f>"—"</x:f>
        <x:v>—</x:v>
      </x:c>
      <x:c r="T159" s="21" t="str">
        <x:f>"—"</x:f>
        <x:v>—</x:v>
      </x:c>
      <x:c r="U159" s="21" t="str">
        <x:f>IF(COUNT(S159:T159)=2,S159-T159,"待核")</x:f>
        <x:v>待核</x:v>
      </x:c>
      <x:c r="V159" s="22" t="str">
        <x:f>IF(AND(ISNUMBER(U159),ISNUMBER(T159),T159&lt;&gt;0),U159/T159,"")</x:f>
      </x:c>
      <x:c r="W159" s="23" t="n">
        <x:f>IF(COUNT(INDEX('SKU明细'!$H$9:$H$1592,MATCH("[6574,""8392-TN-37""]",'SKU明细'!$AE$9:$AE$1592,0)),INDEX('SKU明细'!$H$9:$H$1592,MATCH("[6574,""8392-TN-37.5""]",'SKU明细'!$AE$9:$AE$1592,0)),INDEX('SKU明细'!$H$9:$H$1592,MATCH("[6574,""8392-TN-38""]",'SKU明细'!$AE$9:$AE$1592,0)),INDEX('SKU明细'!$H$9:$H$1592,MATCH("[6574,""8392-TN-39""]",'SKU明细'!$AE$9:$AE$1592,0)),INDEX('SKU明细'!$H$9:$H$1592,MATCH("[6574,""8392-TN-39.5""]",'SKU明细'!$AE$9:$AE$1592,0)),INDEX('SKU明细'!$H$9:$H$1592,MATCH("[6574,""8392-TN-41""]",'SKU明细'!$AE$9:$AE$1592,0)),INDEX('SKU明细'!$H$9:$H$1592,MATCH("[6574,""8392-TN-41.5""]",'SKU明细'!$AE$9:$AE$1592,0)),INDEX('SKU明细'!$H$9:$H$1592,MATCH("[null,""8392-TN-42""]",'SKU明细'!$AE$9:$AE$1592,0)),INDEX('SKU明细'!$H$9:$H$1592,MATCH("[6574,""8392-TN-40""]",'SKU明细'!$AE$9:$AE$1592,0)),INDEX('SKU明细'!$H$9:$H$1592,MATCH("[6574,""8392-TN-40.5""]",'SKU明细'!$AE$9:$AE$1592,0)),INDEX('SKU明细'!$H$9:$H$1592,MATCH("[6574,""8392-TN-38.5""]",'SKU明细'!$AE$9:$AE$1592,0)))=0,"待核",SUM(INDEX('SKU明细'!$H$9:$H$1592,MATCH("[6574,""8392-TN-37""]",'SKU明细'!$AE$9:$AE$1592,0)),INDEX('SKU明细'!$H$9:$H$1592,MATCH("[6574,""8392-TN-37.5""]",'SKU明细'!$AE$9:$AE$1592,0)),INDEX('SKU明细'!$H$9:$H$1592,MATCH("[6574,""8392-TN-38""]",'SKU明细'!$AE$9:$AE$1592,0)),INDEX('SKU明细'!$H$9:$H$1592,MATCH("[6574,""8392-TN-39""]",'SKU明细'!$AE$9:$AE$1592,0)),INDEX('SKU明细'!$H$9:$H$1592,MATCH("[6574,""8392-TN-39.5""]",'SKU明细'!$AE$9:$AE$1592,0)),INDEX('SKU明细'!$H$9:$H$1592,MATCH("[6574,""8392-TN-41""]",'SKU明细'!$AE$9:$AE$1592,0)),INDEX('SKU明细'!$H$9:$H$1592,MATCH("[6574,""8392-TN-41.5""]",'SKU明细'!$AE$9:$AE$1592,0)),INDEX('SKU明细'!$H$9:$H$1592,MATCH("[null,""8392-TN-42""]",'SKU明细'!$AE$9:$AE$1592,0)),INDEX('SKU明细'!$H$9:$H$1592,MATCH("[6574,""8392-TN-40""]",'SKU明细'!$AE$9:$AE$1592,0)),INDEX('SKU明细'!$H$9:$H$1592,MATCH("[6574,""8392-TN-40.5""]",'SKU明细'!$AE$9:$AE$1592,0)),INDEX('SKU明细'!$H$9:$H$1592,MATCH("[6574,""8392-TN-38.5""]",'SKU明细'!$AE$9:$AE$1592,0))))</x:f>
        <x:v>36</x:v>
      </x:c>
      <x:c r="X159" s="24" t="str">
        <x:f>IF(COUNTIFS('SKU明细'!$AH$9:$AH$1592,"[""8392"",""8392-TN"",""TN"",""驼色""]",'SKU明细'!$E$9:$E$1592,"促销")&gt;0,"促销 ","")&amp;IF(COUNTIFS('SKU明细'!$AH$9:$AH$1592,"[""8392"",""8392-TN"",""TN"",""驼色""]",'SKU明细'!$E$9:$E$1592,"红线促销")&gt;0,"红线促销 ","")&amp;IF(COUNTIFS('SKU明细'!$AH$9:$AH$1592,"[""8392"",""8392-TN"",""TN"",""驼色""]",'SKU明细'!$E$9:$E$1592,"考虑清仓")&gt;0,"考虑清仓 ","")&amp;IF(COUNTIFS('SKU明细'!$AH$9:$AH$1592,"[""8392"",""8392-TN"",""TN"",""驼色""]",'SKU明细'!$E$9:$E$1592,"断货")&gt;0,"断货 ","")&amp;IF(COUNTIFS('SKU明细'!$AH$9:$AH$1592,"[""8392"",""8392-TN"",""TN"",""驼色""]",'SKU明细'!$E$9:$E$1592,"零日销待复核")&gt;0,"零日销待复核 ","")&amp;IF(COUNTIFS('SKU明细'!$AH$9:$AH$1592,"[""8392"",""8392-TN"",""TN"",""驼色""]",'SKU明细'!$E$9:$E$1592,"数据待核")&gt;0,"数据待核 ","")&amp;IF(COUNTIFS('SKU明细'!$AH$9:$AH$1592,"[""8392"",""8392-TN"",""TN"",""驼色""]",'SKU明细'!$E$9:$E$1592,"正常库存")&gt;0,"正常库存 ","")&amp;IF(COUNTIFS('SKU明细'!$AH$9:$AH$1592,"[""8392"",""8392-TN"",""TN"",""驼色""]",'SKU明细'!$E$9:$E$1592,"补货提醒")&gt;0,"补货提醒 ","")</x:f>
        <x:v>断货 数据待核 正常库存 补货提醒 </x:v>
      </x:c>
      <x:c r="Y159" s="24" t="str">
        <x:f>IF(NOT(ISNUMBER(U159)),"覆盖待核／无可比基准","仅共同SKU")</x:f>
        <x:v>覆盖待核／无可比基准</x:v>
      </x:c>
      <x:c r="Z159" s="24" t="str">
        <x:v>停售、未匹配Listing、在售</x:v>
      </x:c>
      <x:c r="AA159" s="24" t="n">
        <x:f>IF(SUMIFS('SKU明细'!$AF$9:$AF$1592,'SKU明细'!$D$9:$D$1592,A159,'SKU明细'!$Z$9:$Z$1592,"&lt;&gt;移出")=0,"待核",SUMIFS('SKU明细'!$H$9:$H$1592,'SKU明细'!$D$9:$D$1592,A159,'SKU明细'!$Z$9:$Z$1592,"&lt;&gt;移出"))</x:f>
        <x:v>529</x:v>
      </x:c>
    </x:row>
    <x:row r="160" ht="54" customHeight="1">
      <x:c r="A160" s="15" t="str">
        <x:v>1S01</x:v>
      </x:c>
      <x:c r="B160" s="15" t="str">
        <x:v>徐新怡</x:v>
      </x:c>
      <x:c r="C160" s="15" t="str">
        <x:v>牛仔蓝</x:v>
      </x:c>
      <x:c r="D160" s="15" t="str">
        <x:v>BEP</x:v>
      </x:c>
      <x:c r="E160" s="15" t="str">
        <x:v>1S01-BEP</x:v>
      </x:c>
      <x:c r="F160" s="15"/>
      <x:c r="G160" s="16" t="str">
        <x:f>"—"</x:f>
        <x:v>—</x:v>
      </x:c>
      <x:c r="H160" s="16" t="str">
        <x:f>IF(AND(COUNT(INDEX('SKU明细'!$H$9:$H$1592,MATCH("[6574,""1S01-BEP-37""]",'SKU明细'!$AE$9:$AE$1592,0)))=1,COUNT(INDEX('SKU明细'!$G$9:$G$1592,MATCH("[6574,""1S01-BEP-37""]",'SKU明细'!$AE$9:$AE$1592,0)))=1,SUM(INDEX('SKU明细'!$G$9:$G$1592,MATCH("[6574,""1S01-BEP-37""]",'SKU明细'!$AE$9:$AE$1592,0)))&gt;0),SUM(INDEX('SKU明细'!$H$9:$H$1592,MATCH("[6574,""1S01-BEP-37""]",'SKU明细'!$AE$9:$AE$1592,0)))/SUM(INDEX('SKU明细'!$G$9:$G$1592,MATCH("[6574,""1S01-BEP-37""]",'SKU明细'!$AE$9:$AE$1592,0))),"待核")</x:f>
        <x:v>待核</x:v>
      </x:c>
      <x:c r="I160" s="16" t="str">
        <x:f>IF(AND(COUNT(INDEX('SKU明细'!$H$9:$H$1592,MATCH("[6574,""1S01-BEP-37.5""]",'SKU明细'!$AE$9:$AE$1592,0)))=1,COUNT(INDEX('SKU明细'!$G$9:$G$1592,MATCH("[6574,""1S01-BEP-37.5""]",'SKU明细'!$AE$9:$AE$1592,0)))=1,SUM(INDEX('SKU明细'!$G$9:$G$1592,MATCH("[6574,""1S01-BEP-37.5""]",'SKU明细'!$AE$9:$AE$1592,0)))&gt;0),SUM(INDEX('SKU明细'!$H$9:$H$1592,MATCH("[6574,""1S01-BEP-37.5""]",'SKU明细'!$AE$9:$AE$1592,0)))/SUM(INDEX('SKU明细'!$G$9:$G$1592,MATCH("[6574,""1S01-BEP-37.5""]",'SKU明细'!$AE$9:$AE$1592,0))),"待核")</x:f>
        <x:v>待核</x:v>
      </x:c>
      <x:c r="J160" s="16" t="n">
        <x:f>IF(AND(COUNT(INDEX('SKU明细'!$H$9:$H$1592,MATCH("[6574,""1S01-BEP-38""]",'SKU明细'!$AE$9:$AE$1592,0)))=1,COUNT(INDEX('SKU明细'!$G$9:$G$1592,MATCH("[6574,""1S01-BEP-38""]",'SKU明细'!$AE$9:$AE$1592,0)))=1,SUM(INDEX('SKU明细'!$G$9:$G$1592,MATCH("[6574,""1S01-BEP-38""]",'SKU明细'!$AE$9:$AE$1592,0)))&gt;0),SUM(INDEX('SKU明细'!$H$9:$H$1592,MATCH("[6574,""1S01-BEP-38""]",'SKU明细'!$AE$9:$AE$1592,0)))/SUM(INDEX('SKU明细'!$G$9:$G$1592,MATCH("[6574,""1S01-BEP-38""]",'SKU明细'!$AE$9:$AE$1592,0))),"待核")</x:f>
        <x:v>0</x:v>
      </x:c>
      <x:c r="K160" s="16" t="str">
        <x:f>IF(AND(COUNT(INDEX('SKU明细'!$H$9:$H$1592,MATCH("[6574,""1S01-BEP-38.5""]",'SKU明细'!$AE$9:$AE$1592,0)))=1,COUNT(INDEX('SKU明细'!$G$9:$G$1592,MATCH("[6574,""1S01-BEP-38.5""]",'SKU明细'!$AE$9:$AE$1592,0)))=1,SUM(INDEX('SKU明细'!$G$9:$G$1592,MATCH("[6574,""1S01-BEP-38.5""]",'SKU明细'!$AE$9:$AE$1592,0)))&gt;0),SUM(INDEX('SKU明细'!$H$9:$H$1592,MATCH("[6574,""1S01-BEP-38.5""]",'SKU明细'!$AE$9:$AE$1592,0)))/SUM(INDEX('SKU明细'!$G$9:$G$1592,MATCH("[6574,""1S01-BEP-38.5""]",'SKU明细'!$AE$9:$AE$1592,0))),"待核")</x:f>
        <x:v>待核</x:v>
      </x:c>
      <x:c r="L160" s="16" t="n">
        <x:f>IF(AND(COUNT(INDEX('SKU明细'!$H$9:$H$1592,MATCH("[6574,""1S01-BEP-39""]",'SKU明细'!$AE$9:$AE$1592,0)))=1,COUNT(INDEX('SKU明细'!$G$9:$G$1592,MATCH("[6574,""1S01-BEP-39""]",'SKU明细'!$AE$9:$AE$1592,0)))=1,SUM(INDEX('SKU明细'!$G$9:$G$1592,MATCH("[6574,""1S01-BEP-39""]",'SKU明细'!$AE$9:$AE$1592,0)))&gt;0),SUM(INDEX('SKU明细'!$H$9:$H$1592,MATCH("[6574,""1S01-BEP-39""]",'SKU明细'!$AE$9:$AE$1592,0)))/SUM(INDEX('SKU明细'!$G$9:$G$1592,MATCH("[6574,""1S01-BEP-39""]",'SKU明细'!$AE$9:$AE$1592,0))),"待核")</x:f>
        <x:v>46.183699870633895</x:v>
      </x:c>
      <x:c r="M160" s="16" t="str">
        <x:f>IF(AND(COUNT(INDEX('SKU明细'!$H$9:$H$1592,MATCH("[6574,""1S01-BEP-39.5""]",'SKU明细'!$AE$9:$AE$1592,0)))=1,COUNT(INDEX('SKU明细'!$G$9:$G$1592,MATCH("[6574,""1S01-BEP-39.5""]",'SKU明细'!$AE$9:$AE$1592,0)))=1,SUM(INDEX('SKU明细'!$G$9:$G$1592,MATCH("[6574,""1S01-BEP-39.5""]",'SKU明细'!$AE$9:$AE$1592,0)))&gt;0),SUM(INDEX('SKU明细'!$H$9:$H$1592,MATCH("[6574,""1S01-BEP-39.5""]",'SKU明细'!$AE$9:$AE$1592,0)))/SUM(INDEX('SKU明细'!$G$9:$G$1592,MATCH("[6574,""1S01-BEP-39.5""]",'SKU明细'!$AE$9:$AE$1592,0))),"待核")</x:f>
        <x:v>待核</x:v>
      </x:c>
      <x:c r="N160" s="16" t="n">
        <x:f>IF(AND(COUNT(INDEX('SKU明细'!$H$9:$H$1592,MATCH("[6574,""1S01-BEP-40""]",'SKU明细'!$AE$9:$AE$1592,0)))=1,COUNT(INDEX('SKU明细'!$G$9:$G$1592,MATCH("[6574,""1S01-BEP-40""]",'SKU明细'!$AE$9:$AE$1592,0)))=1,SUM(INDEX('SKU明细'!$G$9:$G$1592,MATCH("[6574,""1S01-BEP-40""]",'SKU明细'!$AE$9:$AE$1592,0)))&gt;0),SUM(INDEX('SKU明细'!$H$9:$H$1592,MATCH("[6574,""1S01-BEP-40""]",'SKU明细'!$AE$9:$AE$1592,0)))/SUM(INDEX('SKU明细'!$G$9:$G$1592,MATCH("[6574,""1S01-BEP-40""]",'SKU明细'!$AE$9:$AE$1592,0))),"待核")</x:f>
        <x:v>0</x:v>
      </x:c>
      <x:c r="O160" s="16" t="str">
        <x:f>IF(AND(COUNT(INDEX('SKU明细'!$H$9:$H$1592,MATCH("[6574,""1S01-BEP-40.5""]",'SKU明细'!$AE$9:$AE$1592,0)))=1,COUNT(INDEX('SKU明细'!$G$9:$G$1592,MATCH("[6574,""1S01-BEP-40.5""]",'SKU明细'!$AE$9:$AE$1592,0)))=1,SUM(INDEX('SKU明细'!$G$9:$G$1592,MATCH("[6574,""1S01-BEP-40.5""]",'SKU明细'!$AE$9:$AE$1592,0)))&gt;0),SUM(INDEX('SKU明细'!$H$9:$H$1592,MATCH("[6574,""1S01-BEP-40.5""]",'SKU明细'!$AE$9:$AE$1592,0)))/SUM(INDEX('SKU明细'!$G$9:$G$1592,MATCH("[6574,""1S01-BEP-40.5""]",'SKU明细'!$AE$9:$AE$1592,0))),"待核")</x:f>
        <x:v>待核</x:v>
      </x:c>
      <x:c r="P160" s="16" t="n">
        <x:f>IF(AND(COUNT(INDEX('SKU明细'!$H$9:$H$1592,MATCH("[6574,""1S01-BEP-41""]",'SKU明细'!$AE$9:$AE$1592,0)))=1,COUNT(INDEX('SKU明细'!$G$9:$G$1592,MATCH("[6574,""1S01-BEP-41""]",'SKU明细'!$AE$9:$AE$1592,0)))=1,SUM(INDEX('SKU明细'!$G$9:$G$1592,MATCH("[6574,""1S01-BEP-41""]",'SKU明细'!$AE$9:$AE$1592,0)))&gt;0),SUM(INDEX('SKU明细'!$H$9:$H$1592,MATCH("[6574,""1S01-BEP-41""]",'SKU明细'!$AE$9:$AE$1592,0)))/SUM(INDEX('SKU明细'!$G$9:$G$1592,MATCH("[6574,""1S01-BEP-41""]",'SKU明细'!$AE$9:$AE$1592,0))),"待核")</x:f>
        <x:v>39.28905519176801</x:v>
      </x:c>
      <x:c r="Q160" s="16" t="str">
        <x:f>IF(AND(COUNT(INDEX('SKU明细'!$H$9:$H$1592,MATCH("[6574,""1S01-BEP-41.5""]",'SKU明细'!$AE$9:$AE$1592,0)))=1,COUNT(INDEX('SKU明细'!$G$9:$G$1592,MATCH("[6574,""1S01-BEP-41.5""]",'SKU明细'!$AE$9:$AE$1592,0)))=1,SUM(INDEX('SKU明细'!$G$9:$G$1592,MATCH("[6574,""1S01-BEP-41.5""]",'SKU明细'!$AE$9:$AE$1592,0)))&gt;0),SUM(INDEX('SKU明细'!$H$9:$H$1592,MATCH("[6574,""1S01-BEP-41.5""]",'SKU明细'!$AE$9:$AE$1592,0)))/SUM(INDEX('SKU明细'!$G$9:$G$1592,MATCH("[6574,""1S01-BEP-41.5""]",'SKU明细'!$AE$9:$AE$1592,0))),"待核")</x:f>
        <x:v>待核</x:v>
      </x:c>
      <x:c r="R160" s="16" t="str">
        <x:f>IF(AND(COUNT(INDEX('SKU明细'!$H$9:$H$1592,MATCH("[6574,""1S01-BEP-42""]",'SKU明细'!$AE$9:$AE$1592,0)))=1,COUNT(INDEX('SKU明细'!$G$9:$G$1592,MATCH("[6574,""1S01-BEP-42""]",'SKU明细'!$AE$9:$AE$1592,0)))=1,SUM(INDEX('SKU明细'!$G$9:$G$1592,MATCH("[6574,""1S01-BEP-42""]",'SKU明细'!$AE$9:$AE$1592,0)))&gt;0),SUM(INDEX('SKU明细'!$H$9:$H$1592,MATCH("[6574,""1S01-BEP-42""]",'SKU明细'!$AE$9:$AE$1592,0)))/SUM(INDEX('SKU明细'!$G$9:$G$1592,MATCH("[6574,""1S01-BEP-42""]",'SKU明细'!$AE$9:$AE$1592,0))),"待核")</x:f>
        <x:v>待核</x:v>
      </x:c>
      <x:c r="S160" s="16" t="n">
        <x:f>IF(AND(COUNT(INDEX('SKU明细'!$H$9:$H$1592,MATCH("[6574,""1S01-BEP-37""]",'SKU明细'!$AE$9:$AE$1592,0)),INDEX('SKU明细'!$H$9:$H$1592,MATCH("[6574,""1S01-BEP-38""]",'SKU明细'!$AE$9:$AE$1592,0)),INDEX('SKU明细'!$H$9:$H$1592,MATCH("[6574,""1S01-BEP-40""]",'SKU明细'!$AE$9:$AE$1592,0)),INDEX('SKU明细'!$H$9:$H$1592,MATCH("[6574,""1S01-BEP-42""]",'SKU明细'!$AE$9:$AE$1592,0)),INDEX('SKU明细'!$H$9:$H$1592,MATCH("[6574,""1S01-BEP-39""]",'SKU明细'!$AE$9:$AE$1592,0)),INDEX('SKU明细'!$H$9:$H$1592,MATCH("[6574,""1S01-BEP-41""]",'SKU明细'!$AE$9:$AE$1592,0)))=6,COUNT(INDEX('SKU明细'!$G$9:$G$1592,MATCH("[6574,""1S01-BEP-37""]",'SKU明细'!$AE$9:$AE$1592,0)),INDEX('SKU明细'!$G$9:$G$1592,MATCH("[6574,""1S01-BEP-38""]",'SKU明细'!$AE$9:$AE$1592,0)),INDEX('SKU明细'!$G$9:$G$1592,MATCH("[6574,""1S01-BEP-40""]",'SKU明细'!$AE$9:$AE$1592,0)),INDEX('SKU明细'!$G$9:$G$1592,MATCH("[6574,""1S01-BEP-42""]",'SKU明细'!$AE$9:$AE$1592,0)),INDEX('SKU明细'!$G$9:$G$1592,MATCH("[6574,""1S01-BEP-39""]",'SKU明细'!$AE$9:$AE$1592,0)),INDEX('SKU明细'!$G$9:$G$1592,MATCH("[6574,""1S01-BEP-41""]",'SKU明细'!$AE$9:$AE$1592,0)))=6,SUM(INDEX('SKU明细'!$G$9:$G$1592,MATCH("[6574,""1S01-BEP-37""]",'SKU明细'!$AE$9:$AE$1592,0)),INDEX('SKU明细'!$G$9:$G$1592,MATCH("[6574,""1S01-BEP-38""]",'SKU明细'!$AE$9:$AE$1592,0)),INDEX('SKU明细'!$G$9:$G$1592,MATCH("[6574,""1S01-BEP-40""]",'SKU明细'!$AE$9:$AE$1592,0)),INDEX('SKU明细'!$G$9:$G$1592,MATCH("[6574,""1S01-BEP-42""]",'SKU明细'!$AE$9:$AE$1592,0)),INDEX('SKU明细'!$G$9:$G$1592,MATCH("[6574,""1S01-BEP-39""]",'SKU明细'!$AE$9:$AE$1592,0)),INDEX('SKU明细'!$G$9:$G$1592,MATCH("[6574,""1S01-BEP-41""]",'SKU明细'!$AE$9:$AE$1592,0)))&gt;0),SUM(INDEX('SKU明细'!$H$9:$H$1592,MATCH("[6574,""1S01-BEP-37""]",'SKU明细'!$AE$9:$AE$1592,0)),INDEX('SKU明细'!$H$9:$H$1592,MATCH("[6574,""1S01-BEP-38""]",'SKU明细'!$AE$9:$AE$1592,0)),INDEX('SKU明细'!$H$9:$H$1592,MATCH("[6574,""1S01-BEP-40""]",'SKU明细'!$AE$9:$AE$1592,0)),INDEX('SKU明细'!$H$9:$H$1592,MATCH("[6574,""1S01-BEP-42""]",'SKU明细'!$AE$9:$AE$1592,0)),INDEX('SKU明细'!$H$9:$H$1592,MATCH("[6574,""1S01-BEP-39""]",'SKU明细'!$AE$9:$AE$1592,0)),INDEX('SKU明细'!$H$9:$H$1592,MATCH("[6574,""1S01-BEP-41""]",'SKU明细'!$AE$9:$AE$1592,0)))/SUM(INDEX('SKU明细'!$G$9:$G$1592,MATCH("[6574,""1S01-BEP-37""]",'SKU明细'!$AE$9:$AE$1592,0)),INDEX('SKU明细'!$G$9:$G$1592,MATCH("[6574,""1S01-BEP-38""]",'SKU明细'!$AE$9:$AE$1592,0)),INDEX('SKU明细'!$G$9:$G$1592,MATCH("[6574,""1S01-BEP-40""]",'SKU明细'!$AE$9:$AE$1592,0)),INDEX('SKU明细'!$G$9:$G$1592,MATCH("[6574,""1S01-BEP-42""]",'SKU明细'!$AE$9:$AE$1592,0)),INDEX('SKU明细'!$G$9:$G$1592,MATCH("[6574,""1S01-BEP-39""]",'SKU明细'!$AE$9:$AE$1592,0)),INDEX('SKU明细'!$G$9:$G$1592,MATCH("[6574,""1S01-BEP-41""]",'SKU明细'!$AE$9:$AE$1592,0))),"待核")</x:f>
        <x:v>41.2420382165605</x:v>
      </x:c>
      <x:c r="T160" s="16" t="str">
        <x:f>IF(AND(COUNT(INDEX('SKU明细'!$I$9:$I$1592,MATCH("[6574,""1S01-BEP-37""]",'SKU明细'!$AE$9:$AE$1592,0)),INDEX('SKU明细'!$I$9:$I$1592,MATCH("[6574,""1S01-BEP-38""]",'SKU明细'!$AE$9:$AE$1592,0)),INDEX('SKU明细'!$I$9:$I$1592,MATCH("[6574,""1S01-BEP-40""]",'SKU明细'!$AE$9:$AE$1592,0)),INDEX('SKU明细'!$I$9:$I$1592,MATCH("[6574,""1S01-BEP-42""]",'SKU明细'!$AE$9:$AE$1592,0)),INDEX('SKU明细'!$I$9:$I$1592,MATCH("[6574,""1S01-BEP-39""]",'SKU明细'!$AE$9:$AE$1592,0)),INDEX('SKU明细'!$I$9:$I$1592,MATCH("[6574,""1S01-BEP-41""]",'SKU明细'!$AE$9:$AE$1592,0)))=6,COUNT(INDEX('SKU明细'!$AD$9:$AD$1592,MATCH("[6574,""1S01-BEP-37""]",'SKU明细'!$AE$9:$AE$1592,0)),INDEX('SKU明细'!$AD$9:$AD$1592,MATCH("[6574,""1S01-BEP-38""]",'SKU明细'!$AE$9:$AE$1592,0)),INDEX('SKU明细'!$AD$9:$AD$1592,MATCH("[6574,""1S01-BEP-40""]",'SKU明细'!$AE$9:$AE$1592,0)),INDEX('SKU明细'!$AD$9:$AD$1592,MATCH("[6574,""1S01-BEP-42""]",'SKU明细'!$AE$9:$AE$1592,0)),INDEX('SKU明细'!$AD$9:$AD$1592,MATCH("[6574,""1S01-BEP-39""]",'SKU明细'!$AE$9:$AE$1592,0)),INDEX('SKU明细'!$AD$9:$AD$1592,MATCH("[6574,""1S01-BEP-41""]",'SKU明细'!$AE$9:$AE$1592,0)))=6,SUM(INDEX('SKU明细'!$AD$9:$AD$1592,MATCH("[6574,""1S01-BEP-37""]",'SKU明细'!$AE$9:$AE$1592,0)),INDEX('SKU明细'!$AD$9:$AD$1592,MATCH("[6574,""1S01-BEP-38""]",'SKU明细'!$AE$9:$AE$1592,0)),INDEX('SKU明细'!$AD$9:$AD$1592,MATCH("[6574,""1S01-BEP-40""]",'SKU明细'!$AE$9:$AE$1592,0)),INDEX('SKU明细'!$AD$9:$AD$1592,MATCH("[6574,""1S01-BEP-42""]",'SKU明细'!$AE$9:$AE$1592,0)),INDEX('SKU明细'!$AD$9:$AD$1592,MATCH("[6574,""1S01-BEP-39""]",'SKU明细'!$AE$9:$AE$1592,0)),INDEX('SKU明细'!$AD$9:$AD$1592,MATCH("[6574,""1S01-BEP-41""]",'SKU明细'!$AE$9:$AE$1592,0)))&gt;0),SUM(INDEX('SKU明细'!$I$9:$I$1592,MATCH("[6574,""1S01-BEP-37""]",'SKU明细'!$AE$9:$AE$1592,0)),INDEX('SKU明细'!$I$9:$I$1592,MATCH("[6574,""1S01-BEP-38""]",'SKU明细'!$AE$9:$AE$1592,0)),INDEX('SKU明细'!$I$9:$I$1592,MATCH("[6574,""1S01-BEP-40""]",'SKU明细'!$AE$9:$AE$1592,0)),INDEX('SKU明细'!$I$9:$I$1592,MATCH("[6574,""1S01-BEP-42""]",'SKU明细'!$AE$9:$AE$1592,0)),INDEX('SKU明细'!$I$9:$I$1592,MATCH("[6574,""1S01-BEP-39""]",'SKU明细'!$AE$9:$AE$1592,0)),INDEX('SKU明细'!$I$9:$I$1592,MATCH("[6574,""1S01-BEP-41""]",'SKU明细'!$AE$9:$AE$1592,0)))/SUM(INDEX('SKU明细'!$AD$9:$AD$1592,MATCH("[6574,""1S01-BEP-37""]",'SKU明细'!$AE$9:$AE$1592,0)),INDEX('SKU明细'!$AD$9:$AD$1592,MATCH("[6574,""1S01-BEP-38""]",'SKU明细'!$AE$9:$AE$1592,0)),INDEX('SKU明细'!$AD$9:$AD$1592,MATCH("[6574,""1S01-BEP-40""]",'SKU明细'!$AE$9:$AE$1592,0)),INDEX('SKU明细'!$AD$9:$AD$1592,MATCH("[6574,""1S01-BEP-42""]",'SKU明细'!$AE$9:$AE$1592,0)),INDEX('SKU明细'!$AD$9:$AD$1592,MATCH("[6574,""1S01-BEP-39""]",'SKU明细'!$AE$9:$AE$1592,0)),INDEX('SKU明细'!$AD$9:$AD$1592,MATCH("[6574,""1S01-BEP-41""]",'SKU明细'!$AE$9:$AE$1592,0))),"待核")</x:f>
        <x:v>待核</x:v>
      </x:c>
      <x:c r="U160" s="16" t="str">
        <x:f>IF(COUNT(S160:T160)=2,S160-T160,"待核")</x:f>
        <x:v>待核</x:v>
      </x:c>
      <x:c r="V160" s="17" t="str">
        <x:f>IF(AND(ISNUMBER(U160),ISNUMBER(T160),T160&lt;&gt;0),U160/T160,"")</x:f>
      </x:c>
      <x:c r="W160" s="18" t="n">
        <x:f>IF(COUNT(INDEX('SKU明细'!$H$9:$H$1592,MATCH("[6574,""1S01-BEP-37""]",'SKU明细'!$AE$9:$AE$1592,0)),INDEX('SKU明细'!$H$9:$H$1592,MATCH("[6574,""1S01-BEP-37.5""]",'SKU明细'!$AE$9:$AE$1592,0)),INDEX('SKU明细'!$H$9:$H$1592,MATCH("[6574,""1S01-BEP-38""]",'SKU明细'!$AE$9:$AE$1592,0)),INDEX('SKU明细'!$H$9:$H$1592,MATCH("[6574,""1S01-BEP-38.5""]",'SKU明细'!$AE$9:$AE$1592,0)),INDEX('SKU明细'!$H$9:$H$1592,MATCH("[6574,""1S01-BEP-39.5""]",'SKU明细'!$AE$9:$AE$1592,0)),INDEX('SKU明细'!$H$9:$H$1592,MATCH("[6574,""1S01-BEP-40""]",'SKU明细'!$AE$9:$AE$1592,0)),INDEX('SKU明细'!$H$9:$H$1592,MATCH("[6574,""1S01-BEP-40.5""]",'SKU明细'!$AE$9:$AE$1592,0)),INDEX('SKU明细'!$H$9:$H$1592,MATCH("[6574,""1S01-BEP-41.5""]",'SKU明细'!$AE$9:$AE$1592,0)),INDEX('SKU明细'!$H$9:$H$1592,MATCH("[6574,""1S01-BEP-42""]",'SKU明细'!$AE$9:$AE$1592,0)),INDEX('SKU明细'!$H$9:$H$1592,MATCH("[6574,""1S01-BEP-39""]",'SKU明细'!$AE$9:$AE$1592,0)),INDEX('SKU明细'!$H$9:$H$1592,MATCH("[6574,""1S01-BEP-41""]",'SKU明细'!$AE$9:$AE$1592,0)))=0,"待核",SUM(INDEX('SKU明细'!$H$9:$H$1592,MATCH("[6574,""1S01-BEP-37""]",'SKU明细'!$AE$9:$AE$1592,0)),INDEX('SKU明细'!$H$9:$H$1592,MATCH("[6574,""1S01-BEP-37.5""]",'SKU明细'!$AE$9:$AE$1592,0)),INDEX('SKU明细'!$H$9:$H$1592,MATCH("[6574,""1S01-BEP-38""]",'SKU明细'!$AE$9:$AE$1592,0)),INDEX('SKU明细'!$H$9:$H$1592,MATCH("[6574,""1S01-BEP-38.5""]",'SKU明细'!$AE$9:$AE$1592,0)),INDEX('SKU明细'!$H$9:$H$1592,MATCH("[6574,""1S01-BEP-39.5""]",'SKU明细'!$AE$9:$AE$1592,0)),INDEX('SKU明细'!$H$9:$H$1592,MATCH("[6574,""1S01-BEP-40""]",'SKU明细'!$AE$9:$AE$1592,0)),INDEX('SKU明细'!$H$9:$H$1592,MATCH("[6574,""1S01-BEP-40.5""]",'SKU明细'!$AE$9:$AE$1592,0)),INDEX('SKU明细'!$H$9:$H$1592,MATCH("[6574,""1S01-BEP-41.5""]",'SKU明细'!$AE$9:$AE$1592,0)),INDEX('SKU明细'!$H$9:$H$1592,MATCH("[6574,""1S01-BEP-42""]",'SKU明细'!$AE$9:$AE$1592,0)),INDEX('SKU明细'!$H$9:$H$1592,MATCH("[6574,""1S01-BEP-39""]",'SKU明细'!$AE$9:$AE$1592,0)),INDEX('SKU明细'!$H$9:$H$1592,MATCH("[6574,""1S01-BEP-41""]",'SKU明细'!$AE$9:$AE$1592,0))))</x:f>
        <x:v>37</x:v>
      </x:c>
      <x:c r="X160" s="19" t="str">
        <x:f>IF(COUNTIFS('SKU明细'!$AH$9:$AH$1592,"[""1S01"",""1S01-BEP"",""BEP"",""牛仔蓝""]",'SKU明细'!$E$9:$E$1592,"促销")&gt;0,"促销 ","")&amp;IF(COUNTIFS('SKU明细'!$AH$9:$AH$1592,"[""1S01"",""1S01-BEP"",""BEP"",""牛仔蓝""]",'SKU明细'!$E$9:$E$1592,"红线促销")&gt;0,"红线促销 ","")&amp;IF(COUNTIFS('SKU明细'!$AH$9:$AH$1592,"[""1S01"",""1S01-BEP"",""BEP"",""牛仔蓝""]",'SKU明细'!$E$9:$E$1592,"考虑清仓")&gt;0,"考虑清仓 ","")&amp;IF(COUNTIFS('SKU明细'!$AH$9:$AH$1592,"[""1S01"",""1S01-BEP"",""BEP"",""牛仔蓝""]",'SKU明细'!$E$9:$E$1592,"断货")&gt;0,"断货 ","")&amp;IF(COUNTIFS('SKU明细'!$AH$9:$AH$1592,"[""1S01"",""1S01-BEP"",""BEP"",""牛仔蓝""]",'SKU明细'!$E$9:$E$1592,"零日销待复核")&gt;0,"零日销待复核 ","")&amp;IF(COUNTIFS('SKU明细'!$AH$9:$AH$1592,"[""1S01"",""1S01-BEP"",""BEP"",""牛仔蓝""]",'SKU明细'!$E$9:$E$1592,"数据待核")&gt;0,"数据待核 ","")&amp;IF(COUNTIFS('SKU明细'!$AH$9:$AH$1592,"[""1S01"",""1S01-BEP"",""BEP"",""牛仔蓝""]",'SKU明细'!$E$9:$E$1592,"正常库存")&gt;0,"正常库存 ","")&amp;IF(COUNTIFS('SKU明细'!$AH$9:$AH$1592,"[""1S01"",""1S01-BEP"",""BEP"",""牛仔蓝""]",'SKU明细'!$E$9:$E$1592,"补货提醒")&gt;0,"补货提醒 ","")</x:f>
        <x:v>断货 补货提醒 </x:v>
      </x:c>
      <x:c r="Y160" s="19" t="str">
        <x:f>IF(NOT(ISNUMBER(U160)),"覆盖待核／无可比基准","仅共同SKU")</x:f>
        <x:v>覆盖待核／无可比基准</x:v>
      </x:c>
      <x:c r="Z160" s="19" t="str">
        <x:v>在售、停售</x:v>
      </x:c>
      <x:c r="AA160" s="19" t="n">
        <x:f>IF(SUMIFS('SKU明细'!$AF$9:$AF$1592,'SKU明细'!$D$9:$D$1592,A160,'SKU明细'!$Z$9:$Z$1592,"&lt;&gt;移出")=0,"待核",SUMIFS('SKU明细'!$H$9:$H$1592,'SKU明细'!$D$9:$D$1592,A160,'SKU明细'!$Z$9:$Z$1592,"&lt;&gt;移出"))</x:f>
        <x:v>476</x:v>
      </x:c>
    </x:row>
    <x:row r="161" ht="54" customHeight="1">
      <x:c r="A161" s="15" t="str">
        <x:v>1S01</x:v>
      </x:c>
      <x:c r="B161" s="15" t="str">
        <x:v>徐新怡</x:v>
      </x:c>
      <x:c r="C161" s="15" t="str">
        <x:v>米色</x:v>
      </x:c>
      <x:c r="D161" s="15" t="str">
        <x:v>BG</x:v>
      </x:c>
      <x:c r="E161" s="15" t="str">
        <x:v>1S01-BG</x:v>
      </x:c>
      <x:c r="F161" s="15"/>
      <x:c r="G161" s="16" t="str">
        <x:f>IF(AND(COUNT(INDEX('SKU明细'!$H$9:$H$1592,MATCH("[6574,""1S01-BG-36""]",'SKU明细'!$AE$9:$AE$1592,0)))=1,COUNT(INDEX('SKU明细'!$G$9:$G$1592,MATCH("[6574,""1S01-BG-36""]",'SKU明细'!$AE$9:$AE$1592,0)))=1,SUM(INDEX('SKU明细'!$G$9:$G$1592,MATCH("[6574,""1S01-BG-36""]",'SKU明细'!$AE$9:$AE$1592,0)))&gt;0),SUM(INDEX('SKU明细'!$H$9:$H$1592,MATCH("[6574,""1S01-BG-36""]",'SKU明细'!$AE$9:$AE$1592,0)))/SUM(INDEX('SKU明细'!$G$9:$G$1592,MATCH("[6574,""1S01-BG-36""]",'SKU明细'!$AE$9:$AE$1592,0))),"待核")</x:f>
        <x:v>待核</x:v>
      </x:c>
      <x:c r="H161" s="16" t="n">
        <x:f>IF(AND(COUNT(INDEX('SKU明细'!$H$9:$H$1592,MATCH("[6574,""1S01-BG-37""]",'SKU明细'!$AE$9:$AE$1592,0)))=1,COUNT(INDEX('SKU明细'!$G$9:$G$1592,MATCH("[6574,""1S01-BG-37""]",'SKU明细'!$AE$9:$AE$1592,0)))=1,SUM(INDEX('SKU明细'!$G$9:$G$1592,MATCH("[6574,""1S01-BG-37""]",'SKU明细'!$AE$9:$AE$1592,0)))&gt;0),SUM(INDEX('SKU明细'!$H$9:$H$1592,MATCH("[6574,""1S01-BG-37""]",'SKU明细'!$AE$9:$AE$1592,0)))/SUM(INDEX('SKU明细'!$G$9:$G$1592,MATCH("[6574,""1S01-BG-37""]",'SKU明细'!$AE$9:$AE$1592,0))),"待核")</x:f>
        <x:v>5.836035201482167</x:v>
      </x:c>
      <x:c r="I161" s="16" t="str">
        <x:f>IF(AND(COUNT(INDEX('SKU明细'!$H$9:$H$1592,MATCH("[6574,""1S01-BG-37.5""]",'SKU明细'!$AE$9:$AE$1592,0)))=1,COUNT(INDEX('SKU明细'!$G$9:$G$1592,MATCH("[6574,""1S01-BG-37.5""]",'SKU明细'!$AE$9:$AE$1592,0)))=1,SUM(INDEX('SKU明细'!$G$9:$G$1592,MATCH("[6574,""1S01-BG-37.5""]",'SKU明细'!$AE$9:$AE$1592,0)))&gt;0),SUM(INDEX('SKU明细'!$H$9:$H$1592,MATCH("[6574,""1S01-BG-37.5""]",'SKU明细'!$AE$9:$AE$1592,0)))/SUM(INDEX('SKU明细'!$G$9:$G$1592,MATCH("[6574,""1S01-BG-37.5""]",'SKU明细'!$AE$9:$AE$1592,0))),"待核")</x:f>
        <x:v>待核</x:v>
      </x:c>
      <x:c r="J161" s="16" t="n">
        <x:f>IF(AND(COUNT(INDEX('SKU明细'!$H$9:$H$1592,MATCH("[6574,""1S01-BG-38""]",'SKU明细'!$AE$9:$AE$1592,0)))=1,COUNT(INDEX('SKU明细'!$G$9:$G$1592,MATCH("[6574,""1S01-BG-38""]",'SKU明细'!$AE$9:$AE$1592,0)))=1,SUM(INDEX('SKU明细'!$G$9:$G$1592,MATCH("[6574,""1S01-BG-38""]",'SKU明细'!$AE$9:$AE$1592,0)))&gt;0),SUM(INDEX('SKU明细'!$H$9:$H$1592,MATCH("[6574,""1S01-BG-38""]",'SKU明细'!$AE$9:$AE$1592,0)))/SUM(INDEX('SKU明细'!$G$9:$G$1592,MATCH("[6574,""1S01-BG-38""]",'SKU明细'!$AE$9:$AE$1592,0))),"待核")</x:f>
        <x:v>4.490377761938703</x:v>
      </x:c>
      <x:c r="K161" s="16" t="str">
        <x:f>IF(AND(COUNT(INDEX('SKU明细'!$H$9:$H$1592,MATCH("[6574,""1S01-BG-38.5""]",'SKU明细'!$AE$9:$AE$1592,0)))=1,COUNT(INDEX('SKU明细'!$G$9:$G$1592,MATCH("[6574,""1S01-BG-38.5""]",'SKU明细'!$AE$9:$AE$1592,0)))=1,SUM(INDEX('SKU明细'!$G$9:$G$1592,MATCH("[6574,""1S01-BG-38.5""]",'SKU明细'!$AE$9:$AE$1592,0)))&gt;0),SUM(INDEX('SKU明细'!$H$9:$H$1592,MATCH("[6574,""1S01-BG-38.5""]",'SKU明细'!$AE$9:$AE$1592,0)))/SUM(INDEX('SKU明细'!$G$9:$G$1592,MATCH("[6574,""1S01-BG-38.5""]",'SKU明细'!$AE$9:$AE$1592,0))),"待核")</x:f>
        <x:v>待核</x:v>
      </x:c>
      <x:c r="L161" s="16" t="n">
        <x:f>IF(AND(COUNT(INDEX('SKU明细'!$H$9:$H$1592,MATCH("[6574,""1S01-BG-39""]",'SKU明细'!$AE$9:$AE$1592,0)))=1,COUNT(INDEX('SKU明细'!$G$9:$G$1592,MATCH("[6574,""1S01-BG-39""]",'SKU明细'!$AE$9:$AE$1592,0)))=1,SUM(INDEX('SKU明细'!$G$9:$G$1592,MATCH("[6574,""1S01-BG-39""]",'SKU明细'!$AE$9:$AE$1592,0)))&gt;0),SUM(INDEX('SKU明细'!$H$9:$H$1592,MATCH("[6574,""1S01-BG-39""]",'SKU明细'!$AE$9:$AE$1592,0)))/SUM(INDEX('SKU明细'!$G$9:$G$1592,MATCH("[6574,""1S01-BG-39""]",'SKU明细'!$AE$9:$AE$1592,0))),"待核")</x:f>
        <x:v>0</x:v>
      </x:c>
      <x:c r="M161" s="16" t="str">
        <x:f>IF(AND(COUNT(INDEX('SKU明细'!$H$9:$H$1592,MATCH("[6574,""1S01-BG-39.5""]",'SKU明细'!$AE$9:$AE$1592,0)))=1,COUNT(INDEX('SKU明细'!$G$9:$G$1592,MATCH("[6574,""1S01-BG-39.5""]",'SKU明细'!$AE$9:$AE$1592,0)))=1,SUM(INDEX('SKU明细'!$G$9:$G$1592,MATCH("[6574,""1S01-BG-39.5""]",'SKU明细'!$AE$9:$AE$1592,0)))&gt;0),SUM(INDEX('SKU明细'!$H$9:$H$1592,MATCH("[6574,""1S01-BG-39.5""]",'SKU明细'!$AE$9:$AE$1592,0)))/SUM(INDEX('SKU明细'!$G$9:$G$1592,MATCH("[6574,""1S01-BG-39.5""]",'SKU明细'!$AE$9:$AE$1592,0))),"待核")</x:f>
        <x:v>待核</x:v>
      </x:c>
      <x:c r="N161" s="16" t="n">
        <x:f>IF(AND(COUNT(INDEX('SKU明细'!$H$9:$H$1592,MATCH("[6574,""1S01-BG-40""]",'SKU明细'!$AE$9:$AE$1592,0)))=1,COUNT(INDEX('SKU明细'!$G$9:$G$1592,MATCH("[6574,""1S01-BG-40""]",'SKU明细'!$AE$9:$AE$1592,0)))=1,SUM(INDEX('SKU明细'!$G$9:$G$1592,MATCH("[6574,""1S01-BG-40""]",'SKU明细'!$AE$9:$AE$1592,0)))&gt;0),SUM(INDEX('SKU明细'!$H$9:$H$1592,MATCH("[6574,""1S01-BG-40""]",'SKU明细'!$AE$9:$AE$1592,0)))/SUM(INDEX('SKU明细'!$G$9:$G$1592,MATCH("[6574,""1S01-BG-40""]",'SKU明细'!$AE$9:$AE$1592,0))),"待核")</x:f>
        <x:v>8.158995815899582</x:v>
      </x:c>
      <x:c r="O161" s="16" t="str">
        <x:f>IF(AND(COUNT(INDEX('SKU明细'!$H$9:$H$1592,MATCH("[6574,""1S01-BG-40.5""]",'SKU明细'!$AE$9:$AE$1592,0)))=1,COUNT(INDEX('SKU明细'!$G$9:$G$1592,MATCH("[6574,""1S01-BG-40.5""]",'SKU明细'!$AE$9:$AE$1592,0)))=1,SUM(INDEX('SKU明细'!$G$9:$G$1592,MATCH("[6574,""1S01-BG-40.5""]",'SKU明细'!$AE$9:$AE$1592,0)))&gt;0),SUM(INDEX('SKU明细'!$H$9:$H$1592,MATCH("[6574,""1S01-BG-40.5""]",'SKU明细'!$AE$9:$AE$1592,0)))/SUM(INDEX('SKU明细'!$G$9:$G$1592,MATCH("[6574,""1S01-BG-40.5""]",'SKU明细'!$AE$9:$AE$1592,0))),"待核")</x:f>
        <x:v>待核</x:v>
      </x:c>
      <x:c r="P161" s="16" t="n">
        <x:f>IF(AND(COUNT(INDEX('SKU明细'!$H$9:$H$1592,MATCH("[6574,""1S01-BG-41""]",'SKU明细'!$AE$9:$AE$1592,0)))=1,COUNT(INDEX('SKU明细'!$G$9:$G$1592,MATCH("[6574,""1S01-BG-41""]",'SKU明细'!$AE$9:$AE$1592,0)))=1,SUM(INDEX('SKU明细'!$G$9:$G$1592,MATCH("[6574,""1S01-BG-41""]",'SKU明细'!$AE$9:$AE$1592,0)))&gt;0),SUM(INDEX('SKU明细'!$H$9:$H$1592,MATCH("[6574,""1S01-BG-41""]",'SKU明细'!$AE$9:$AE$1592,0)))/SUM(INDEX('SKU明细'!$G$9:$G$1592,MATCH("[6574,""1S01-BG-41""]",'SKU明细'!$AE$9:$AE$1592,0))),"待核")</x:f>
        <x:v>21.70542635658915</x:v>
      </x:c>
      <x:c r="Q161" s="16" t="str">
        <x:f>IF(AND(COUNT(INDEX('SKU明细'!$H$9:$H$1592,MATCH("[6574,""1S01-BG-41.5""]",'SKU明细'!$AE$9:$AE$1592,0)))=1,COUNT(INDEX('SKU明细'!$G$9:$G$1592,MATCH("[6574,""1S01-BG-41.5""]",'SKU明细'!$AE$9:$AE$1592,0)))=1,SUM(INDEX('SKU明细'!$G$9:$G$1592,MATCH("[6574,""1S01-BG-41.5""]",'SKU明细'!$AE$9:$AE$1592,0)))&gt;0),SUM(INDEX('SKU明细'!$H$9:$H$1592,MATCH("[6574,""1S01-BG-41.5""]",'SKU明细'!$AE$9:$AE$1592,0)))/SUM(INDEX('SKU明细'!$G$9:$G$1592,MATCH("[6574,""1S01-BG-41.5""]",'SKU明细'!$AE$9:$AE$1592,0))),"待核")</x:f>
        <x:v>待核</x:v>
      </x:c>
      <x:c r="R161" s="16" t="n">
        <x:f>IF(AND(COUNT(INDEX('SKU明细'!$H$9:$H$1592,MATCH("[6574,""1S01-BG-42""]",'SKU明细'!$AE$9:$AE$1592,0)))=1,COUNT(INDEX('SKU明细'!$G$9:$G$1592,MATCH("[6574,""1S01-BG-42""]",'SKU明细'!$AE$9:$AE$1592,0)))=1,SUM(INDEX('SKU明细'!$G$9:$G$1592,MATCH("[6574,""1S01-BG-42""]",'SKU明细'!$AE$9:$AE$1592,0)))&gt;0),SUM(INDEX('SKU明细'!$H$9:$H$1592,MATCH("[6574,""1S01-BG-42""]",'SKU明细'!$AE$9:$AE$1592,0)))/SUM(INDEX('SKU明细'!$G$9:$G$1592,MATCH("[6574,""1S01-BG-42""]",'SKU明细'!$AE$9:$AE$1592,0))),"待核")</x:f>
        <x:v>47.60705289672544</x:v>
      </x:c>
      <x:c r="S161" s="16" t="n">
        <x:f>IF(AND(COUNT(INDEX('SKU明细'!$H$9:$H$1592,MATCH("[6574,""1S01-BG-39""]",'SKU明细'!$AE$9:$AE$1592,0)),INDEX('SKU明细'!$H$9:$H$1592,MATCH("[6574,""1S01-BG-37""]",'SKU明细'!$AE$9:$AE$1592,0)),INDEX('SKU明细'!$H$9:$H$1592,MATCH("[6574,""1S01-BG-38""]",'SKU明细'!$AE$9:$AE$1592,0)),INDEX('SKU明细'!$H$9:$H$1592,MATCH("[6574,""1S01-BG-40""]",'SKU明细'!$AE$9:$AE$1592,0)),INDEX('SKU明细'!$H$9:$H$1592,MATCH("[6574,""1S01-BG-41""]",'SKU明细'!$AE$9:$AE$1592,0)),INDEX('SKU明细'!$H$9:$H$1592,MATCH("[6574,""1S01-BG-42""]",'SKU明细'!$AE$9:$AE$1592,0)))=6,COUNT(INDEX('SKU明细'!$G$9:$G$1592,MATCH("[6574,""1S01-BG-39""]",'SKU明细'!$AE$9:$AE$1592,0)),INDEX('SKU明细'!$G$9:$G$1592,MATCH("[6574,""1S01-BG-37""]",'SKU明细'!$AE$9:$AE$1592,0)),INDEX('SKU明细'!$G$9:$G$1592,MATCH("[6574,""1S01-BG-38""]",'SKU明细'!$AE$9:$AE$1592,0)),INDEX('SKU明细'!$G$9:$G$1592,MATCH("[6574,""1S01-BG-40""]",'SKU明细'!$AE$9:$AE$1592,0)),INDEX('SKU明细'!$G$9:$G$1592,MATCH("[6574,""1S01-BG-41""]",'SKU明细'!$AE$9:$AE$1592,0)),INDEX('SKU明细'!$G$9:$G$1592,MATCH("[6574,""1S01-BG-42""]",'SKU明细'!$AE$9:$AE$1592,0)))=6,SUM(INDEX('SKU明细'!$G$9:$G$1592,MATCH("[6574,""1S01-BG-39""]",'SKU明细'!$AE$9:$AE$1592,0)),INDEX('SKU明细'!$G$9:$G$1592,MATCH("[6574,""1S01-BG-37""]",'SKU明细'!$AE$9:$AE$1592,0)),INDEX('SKU明细'!$G$9:$G$1592,MATCH("[6574,""1S01-BG-38""]",'SKU明细'!$AE$9:$AE$1592,0)),INDEX('SKU明细'!$G$9:$G$1592,MATCH("[6574,""1S01-BG-40""]",'SKU明细'!$AE$9:$AE$1592,0)),INDEX('SKU明细'!$G$9:$G$1592,MATCH("[6574,""1S01-BG-41""]",'SKU明细'!$AE$9:$AE$1592,0)),INDEX('SKU明细'!$G$9:$G$1592,MATCH("[6574,""1S01-BG-42""]",'SKU明细'!$AE$9:$AE$1592,0)))&gt;0),SUM(INDEX('SKU明细'!$H$9:$H$1592,MATCH("[6574,""1S01-BG-39""]",'SKU明细'!$AE$9:$AE$1592,0)),INDEX('SKU明细'!$H$9:$H$1592,MATCH("[6574,""1S01-BG-37""]",'SKU明细'!$AE$9:$AE$1592,0)),INDEX('SKU明细'!$H$9:$H$1592,MATCH("[6574,""1S01-BG-38""]",'SKU明细'!$AE$9:$AE$1592,0)),INDEX('SKU明细'!$H$9:$H$1592,MATCH("[6574,""1S01-BG-40""]",'SKU明细'!$AE$9:$AE$1592,0)),INDEX('SKU明细'!$H$9:$H$1592,MATCH("[6574,""1S01-BG-41""]",'SKU明细'!$AE$9:$AE$1592,0)),INDEX('SKU明细'!$H$9:$H$1592,MATCH("[6574,""1S01-BG-42""]",'SKU明细'!$AE$9:$AE$1592,0)))/SUM(INDEX('SKU明细'!$G$9:$G$1592,MATCH("[6574,""1S01-BG-39""]",'SKU明细'!$AE$9:$AE$1592,0)),INDEX('SKU明细'!$G$9:$G$1592,MATCH("[6574,""1S01-BG-37""]",'SKU明细'!$AE$9:$AE$1592,0)),INDEX('SKU明细'!$G$9:$G$1592,MATCH("[6574,""1S01-BG-38""]",'SKU明细'!$AE$9:$AE$1592,0)),INDEX('SKU明细'!$G$9:$G$1592,MATCH("[6574,""1S01-BG-40""]",'SKU明细'!$AE$9:$AE$1592,0)),INDEX('SKU明细'!$G$9:$G$1592,MATCH("[6574,""1S01-BG-41""]",'SKU明细'!$AE$9:$AE$1592,0)),INDEX('SKU明细'!$G$9:$G$1592,MATCH("[6574,""1S01-BG-42""]",'SKU明细'!$AE$9:$AE$1592,0))),"待核")</x:f>
        <x:v>9.304812834224599</x:v>
      </x:c>
      <x:c r="T161" s="16" t="n">
        <x:f>IF(AND(COUNT(INDEX('SKU明细'!$I$9:$I$1592,MATCH("[6574,""1S01-BG-39""]",'SKU明细'!$AE$9:$AE$1592,0)),INDEX('SKU明细'!$I$9:$I$1592,MATCH("[6574,""1S01-BG-37""]",'SKU明细'!$AE$9:$AE$1592,0)),INDEX('SKU明细'!$I$9:$I$1592,MATCH("[6574,""1S01-BG-38""]",'SKU明细'!$AE$9:$AE$1592,0)),INDEX('SKU明细'!$I$9:$I$1592,MATCH("[6574,""1S01-BG-40""]",'SKU明细'!$AE$9:$AE$1592,0)),INDEX('SKU明细'!$I$9:$I$1592,MATCH("[6574,""1S01-BG-41""]",'SKU明细'!$AE$9:$AE$1592,0)),INDEX('SKU明细'!$I$9:$I$1592,MATCH("[6574,""1S01-BG-42""]",'SKU明细'!$AE$9:$AE$1592,0)))=6,COUNT(INDEX('SKU明细'!$AD$9:$AD$1592,MATCH("[6574,""1S01-BG-39""]",'SKU明细'!$AE$9:$AE$1592,0)),INDEX('SKU明细'!$AD$9:$AD$1592,MATCH("[6574,""1S01-BG-37""]",'SKU明细'!$AE$9:$AE$1592,0)),INDEX('SKU明细'!$AD$9:$AD$1592,MATCH("[6574,""1S01-BG-38""]",'SKU明细'!$AE$9:$AE$1592,0)),INDEX('SKU明细'!$AD$9:$AD$1592,MATCH("[6574,""1S01-BG-40""]",'SKU明细'!$AE$9:$AE$1592,0)),INDEX('SKU明细'!$AD$9:$AD$1592,MATCH("[6574,""1S01-BG-41""]",'SKU明细'!$AE$9:$AE$1592,0)),INDEX('SKU明细'!$AD$9:$AD$1592,MATCH("[6574,""1S01-BG-42""]",'SKU明细'!$AE$9:$AE$1592,0)))=6,SUM(INDEX('SKU明细'!$AD$9:$AD$1592,MATCH("[6574,""1S01-BG-39""]",'SKU明细'!$AE$9:$AE$1592,0)),INDEX('SKU明细'!$AD$9:$AD$1592,MATCH("[6574,""1S01-BG-37""]",'SKU明细'!$AE$9:$AE$1592,0)),INDEX('SKU明细'!$AD$9:$AD$1592,MATCH("[6574,""1S01-BG-38""]",'SKU明细'!$AE$9:$AE$1592,0)),INDEX('SKU明细'!$AD$9:$AD$1592,MATCH("[6574,""1S01-BG-40""]",'SKU明细'!$AE$9:$AE$1592,0)),INDEX('SKU明细'!$AD$9:$AD$1592,MATCH("[6574,""1S01-BG-41""]",'SKU明细'!$AE$9:$AE$1592,0)),INDEX('SKU明细'!$AD$9:$AD$1592,MATCH("[6574,""1S01-BG-42""]",'SKU明细'!$AE$9:$AE$1592,0)))&gt;0),SUM(INDEX('SKU明细'!$I$9:$I$1592,MATCH("[6574,""1S01-BG-39""]",'SKU明细'!$AE$9:$AE$1592,0)),INDEX('SKU明细'!$I$9:$I$1592,MATCH("[6574,""1S01-BG-37""]",'SKU明细'!$AE$9:$AE$1592,0)),INDEX('SKU明细'!$I$9:$I$1592,MATCH("[6574,""1S01-BG-38""]",'SKU明细'!$AE$9:$AE$1592,0)),INDEX('SKU明细'!$I$9:$I$1592,MATCH("[6574,""1S01-BG-40""]",'SKU明细'!$AE$9:$AE$1592,0)),INDEX('SKU明细'!$I$9:$I$1592,MATCH("[6574,""1S01-BG-41""]",'SKU明细'!$AE$9:$AE$1592,0)),INDEX('SKU明细'!$I$9:$I$1592,MATCH("[6574,""1S01-BG-42""]",'SKU明细'!$AE$9:$AE$1592,0)))/SUM(INDEX('SKU明细'!$AD$9:$AD$1592,MATCH("[6574,""1S01-BG-39""]",'SKU明细'!$AE$9:$AE$1592,0)),INDEX('SKU明细'!$AD$9:$AD$1592,MATCH("[6574,""1S01-BG-37""]",'SKU明细'!$AE$9:$AE$1592,0)),INDEX('SKU明细'!$AD$9:$AD$1592,MATCH("[6574,""1S01-BG-38""]",'SKU明细'!$AE$9:$AE$1592,0)),INDEX('SKU明细'!$AD$9:$AD$1592,MATCH("[6574,""1S01-BG-40""]",'SKU明细'!$AE$9:$AE$1592,0)),INDEX('SKU明细'!$AD$9:$AD$1592,MATCH("[6574,""1S01-BG-41""]",'SKU明细'!$AE$9:$AE$1592,0)),INDEX('SKU明细'!$AD$9:$AD$1592,MATCH("[6574,""1S01-BG-42""]",'SKU明细'!$AE$9:$AE$1592,0))),"待核")</x:f>
        <x:v>8.035111411208643</x:v>
      </x:c>
      <x:c r="U161" s="16" t="n">
        <x:f>IF(COUNT(S161:T161)=2,S161-T161,"待核")</x:f>
        <x:v>1.269701423015956</x:v>
      </x:c>
      <x:c r="V161" s="17" t="n">
        <x:f>IF(AND(ISNUMBER(U161),ISNUMBER(T161),T161&lt;&gt;0),U161/T161,"")</x:f>
        <x:v>0.1580191434862715</x:v>
      </x:c>
      <x:c r="W161" s="18" t="n">
        <x:f>IF(COUNT(INDEX('SKU明细'!$H$9:$H$1592,MATCH("[6574,""1S01-BG-36""]",'SKU明细'!$AE$9:$AE$1592,0)),INDEX('SKU明细'!$H$9:$H$1592,MATCH("[6574,""1S01-BG-37.5""]",'SKU明细'!$AE$9:$AE$1592,0)),INDEX('SKU明细'!$H$9:$H$1592,MATCH("[6574,""1S01-BG-38.5""]",'SKU明细'!$AE$9:$AE$1592,0)),INDEX('SKU明细'!$H$9:$H$1592,MATCH("[6574,""1S01-BG-39""]",'SKU明细'!$AE$9:$AE$1592,0)),INDEX('SKU明细'!$H$9:$H$1592,MATCH("[6574,""1S01-BG-39.5""]",'SKU明细'!$AE$9:$AE$1592,0)),INDEX('SKU明细'!$H$9:$H$1592,MATCH("[6574,""1S01-BG-40.5""]",'SKU明细'!$AE$9:$AE$1592,0)),INDEX('SKU明细'!$H$9:$H$1592,MATCH("[6574,""1S01-BG-41.5""]",'SKU明细'!$AE$9:$AE$1592,0)),INDEX('SKU明细'!$H$9:$H$1592,MATCH("[6574,""1S01-BG-37""]",'SKU明细'!$AE$9:$AE$1592,0)),INDEX('SKU明细'!$H$9:$H$1592,MATCH("[6574,""1S01-BG-38""]",'SKU明细'!$AE$9:$AE$1592,0)),INDEX('SKU明细'!$H$9:$H$1592,MATCH("[6574,""1S01-BG-40""]",'SKU明细'!$AE$9:$AE$1592,0)),INDEX('SKU明细'!$H$9:$H$1592,MATCH("[6574,""1S01-BG-41""]",'SKU明细'!$AE$9:$AE$1592,0)),INDEX('SKU明细'!$H$9:$H$1592,MATCH("[6574,""1S01-BG-42""]",'SKU明细'!$AE$9:$AE$1592,0)))=0,"待核",SUM(INDEX('SKU明细'!$H$9:$H$1592,MATCH("[6574,""1S01-BG-36""]",'SKU明细'!$AE$9:$AE$1592,0)),INDEX('SKU明细'!$H$9:$H$1592,MATCH("[6574,""1S01-BG-37.5""]",'SKU明细'!$AE$9:$AE$1592,0)),INDEX('SKU明细'!$H$9:$H$1592,MATCH("[6574,""1S01-BG-38.5""]",'SKU明细'!$AE$9:$AE$1592,0)),INDEX('SKU明细'!$H$9:$H$1592,MATCH("[6574,""1S01-BG-39""]",'SKU明细'!$AE$9:$AE$1592,0)),INDEX('SKU明细'!$H$9:$H$1592,MATCH("[6574,""1S01-BG-39.5""]",'SKU明细'!$AE$9:$AE$1592,0)),INDEX('SKU明细'!$H$9:$H$1592,MATCH("[6574,""1S01-BG-40.5""]",'SKU明细'!$AE$9:$AE$1592,0)),INDEX('SKU明细'!$H$9:$H$1592,MATCH("[6574,""1S01-BG-41.5""]",'SKU明细'!$AE$9:$AE$1592,0)),INDEX('SKU明细'!$H$9:$H$1592,MATCH("[6574,""1S01-BG-37""]",'SKU明细'!$AE$9:$AE$1592,0)),INDEX('SKU明细'!$H$9:$H$1592,MATCH("[6574,""1S01-BG-38""]",'SKU明细'!$AE$9:$AE$1592,0)),INDEX('SKU明细'!$H$9:$H$1592,MATCH("[6574,""1S01-BG-40""]",'SKU明细'!$AE$9:$AE$1592,0)),INDEX('SKU明细'!$H$9:$H$1592,MATCH("[6574,""1S01-BG-41""]",'SKU明细'!$AE$9:$AE$1592,0)),INDEX('SKU明细'!$H$9:$H$1592,MATCH("[6574,""1S01-BG-42""]",'SKU明细'!$AE$9:$AE$1592,0))))</x:f>
        <x:v>58</x:v>
      </x:c>
      <x:c r="X161" s="19" t="str">
        <x:f>IF(COUNTIFS('SKU明细'!$AH$9:$AH$1592,"[""1S01"",""1S01-BG"",""BG"",""米色""]",'SKU明细'!$E$9:$E$1592,"促销")&gt;0,"促销 ","")&amp;IF(COUNTIFS('SKU明细'!$AH$9:$AH$1592,"[""1S01"",""1S01-BG"",""BG"",""米色""]",'SKU明细'!$E$9:$E$1592,"红线促销")&gt;0,"红线促销 ","")&amp;IF(COUNTIFS('SKU明细'!$AH$9:$AH$1592,"[""1S01"",""1S01-BG"",""BG"",""米色""]",'SKU明细'!$E$9:$E$1592,"考虑清仓")&gt;0,"考虑清仓 ","")&amp;IF(COUNTIFS('SKU明细'!$AH$9:$AH$1592,"[""1S01"",""1S01-BG"",""BG"",""米色""]",'SKU明细'!$E$9:$E$1592,"断货")&gt;0,"断货 ","")&amp;IF(COUNTIFS('SKU明细'!$AH$9:$AH$1592,"[""1S01"",""1S01-BG"",""BG"",""米色""]",'SKU明细'!$E$9:$E$1592,"零日销待复核")&gt;0,"零日销待复核 ","")&amp;IF(COUNTIFS('SKU明细'!$AH$9:$AH$1592,"[""1S01"",""1S01-BG"",""BG"",""米色""]",'SKU明细'!$E$9:$E$1592,"数据待核")&gt;0,"数据待核 ","")&amp;IF(COUNTIFS('SKU明细'!$AH$9:$AH$1592,"[""1S01"",""1S01-BG"",""BG"",""米色""]",'SKU明细'!$E$9:$E$1592,"正常库存")&gt;0,"正常库存 ","")&amp;IF(COUNTIFS('SKU明细'!$AH$9:$AH$1592,"[""1S01"",""1S01-BG"",""BG"",""米色""]",'SKU明细'!$E$9:$E$1592,"补货提醒")&gt;0,"补货提醒 ","")</x:f>
        <x:v>断货 补货提醒 </x:v>
      </x:c>
      <x:c r="Y161" s="19" t="str">
        <x:f>IF(NOT(ISNUMBER(U161)),"覆盖待核／无可比基准","仅共同SKU")</x:f>
        <x:v>仅共同SKU</x:v>
      </x:c>
      <x:c r="Z161" s="19" t="str">
        <x:v>停售、在售</x:v>
      </x:c>
      <x:c r="AA161" s="19" t="n">
        <x:f>IF(SUMIFS('SKU明细'!$AF$9:$AF$1592,'SKU明细'!$D$9:$D$1592,A161,'SKU明细'!$Z$9:$Z$1592,"&lt;&gt;移出")=0,"待核",SUMIFS('SKU明细'!$H$9:$H$1592,'SKU明细'!$D$9:$D$1592,A161,'SKU明细'!$Z$9:$Z$1592,"&lt;&gt;移出"))</x:f>
        <x:v>476</x:v>
      </x:c>
    </x:row>
    <x:row r="162" ht="54" customHeight="1">
      <x:c r="A162" s="15" t="str">
        <x:v>1S01</x:v>
      </x:c>
      <x:c r="B162" s="15" t="str">
        <x:v>徐新怡</x:v>
      </x:c>
      <x:c r="C162" s="15" t="str">
        <x:v>黑色</x:v>
      </x:c>
      <x:c r="D162" s="15" t="str">
        <x:v>BKP</x:v>
      </x:c>
      <x:c r="E162" s="15" t="str">
        <x:v>1S01-BKP</x:v>
      </x:c>
      <x:c r="F162" s="15"/>
      <x:c r="G162" s="16" t="str">
        <x:f>IF(AND(COUNT(INDEX('SKU明细'!$H$9:$H$1592,MATCH("[6574,""1S01-BKP-36""]",'SKU明细'!$AE$9:$AE$1592,0)))=1,COUNT(INDEX('SKU明细'!$G$9:$G$1592,MATCH("[6574,""1S01-BKP-36""]",'SKU明细'!$AE$9:$AE$1592,0)))=1,SUM(INDEX('SKU明细'!$G$9:$G$1592,MATCH("[6574,""1S01-BKP-36""]",'SKU明细'!$AE$9:$AE$1592,0)))&gt;0),SUM(INDEX('SKU明细'!$H$9:$H$1592,MATCH("[6574,""1S01-BKP-36""]",'SKU明细'!$AE$9:$AE$1592,0)))/SUM(INDEX('SKU明细'!$G$9:$G$1592,MATCH("[6574,""1S01-BKP-36""]",'SKU明细'!$AE$9:$AE$1592,0))),"待核")</x:f>
        <x:v>待核</x:v>
      </x:c>
      <x:c r="H162" s="16" t="n">
        <x:f>IF(AND(COUNT(INDEX('SKU明细'!$H$9:$H$1592,MATCH("[6574,""1S01-BKP-37""]",'SKU明细'!$AE$9:$AE$1592,0)))=1,COUNT(INDEX('SKU明细'!$G$9:$G$1592,MATCH("[6574,""1S01-BKP-37""]",'SKU明细'!$AE$9:$AE$1592,0)))=1,SUM(INDEX('SKU明细'!$G$9:$G$1592,MATCH("[6574,""1S01-BKP-37""]",'SKU明细'!$AE$9:$AE$1592,0)))&gt;0),SUM(INDEX('SKU明细'!$H$9:$H$1592,MATCH("[6574,""1S01-BKP-37""]",'SKU明细'!$AE$9:$AE$1592,0)))/SUM(INDEX('SKU明细'!$G$9:$G$1592,MATCH("[6574,""1S01-BKP-37""]",'SKU明细'!$AE$9:$AE$1592,0))),"待核")</x:f>
        <x:v>130.622009569378</x:v>
      </x:c>
      <x:c r="I162" s="16" t="str">
        <x:f>IF(AND(COUNT(INDEX('SKU明细'!$H$9:$H$1592,MATCH("[6574,""1S01-BKP-37.5""]",'SKU明细'!$AE$9:$AE$1592,0)))=1,COUNT(INDEX('SKU明细'!$G$9:$G$1592,MATCH("[6574,""1S01-BKP-37.5""]",'SKU明细'!$AE$9:$AE$1592,0)))=1,SUM(INDEX('SKU明细'!$G$9:$G$1592,MATCH("[6574,""1S01-BKP-37.5""]",'SKU明细'!$AE$9:$AE$1592,0)))&gt;0),SUM(INDEX('SKU明细'!$H$9:$H$1592,MATCH("[6574,""1S01-BKP-37.5""]",'SKU明细'!$AE$9:$AE$1592,0)))/SUM(INDEX('SKU明细'!$G$9:$G$1592,MATCH("[6574,""1S01-BKP-37.5""]",'SKU明细'!$AE$9:$AE$1592,0))),"待核")</x:f>
        <x:v>待核</x:v>
      </x:c>
      <x:c r="J162" s="16" t="str">
        <x:f>IF(AND(COUNT(INDEX('SKU明细'!$H$9:$H$1592,MATCH("[6574,""1S01-BKP-38""]",'SKU明细'!$AE$9:$AE$1592,0)))=1,COUNT(INDEX('SKU明细'!$G$9:$G$1592,MATCH("[6574,""1S01-BKP-38""]",'SKU明细'!$AE$9:$AE$1592,0)))=1,SUM(INDEX('SKU明细'!$G$9:$G$1592,MATCH("[6574,""1S01-BKP-38""]",'SKU明细'!$AE$9:$AE$1592,0)))&gt;0),SUM(INDEX('SKU明细'!$H$9:$H$1592,MATCH("[6574,""1S01-BKP-38""]",'SKU明细'!$AE$9:$AE$1592,0)))/SUM(INDEX('SKU明细'!$G$9:$G$1592,MATCH("[6574,""1S01-BKP-38""]",'SKU明细'!$AE$9:$AE$1592,0))),"待核")</x:f>
        <x:v>待核</x:v>
      </x:c>
      <x:c r="K162" s="16" t="str">
        <x:f>IF(AND(COUNT(INDEX('SKU明细'!$H$9:$H$1592,MATCH("[6574,""1S01-BKP-38.5""]",'SKU明细'!$AE$9:$AE$1592,0)))=1,COUNT(INDEX('SKU明细'!$G$9:$G$1592,MATCH("[6574,""1S01-BKP-38.5""]",'SKU明细'!$AE$9:$AE$1592,0)))=1,SUM(INDEX('SKU明细'!$G$9:$G$1592,MATCH("[6574,""1S01-BKP-38.5""]",'SKU明细'!$AE$9:$AE$1592,0)))&gt;0),SUM(INDEX('SKU明细'!$H$9:$H$1592,MATCH("[6574,""1S01-BKP-38.5""]",'SKU明细'!$AE$9:$AE$1592,0)))/SUM(INDEX('SKU明细'!$G$9:$G$1592,MATCH("[6574,""1S01-BKP-38.5""]",'SKU明细'!$AE$9:$AE$1592,0))),"待核")</x:f>
        <x:v>待核</x:v>
      </x:c>
      <x:c r="L162" s="16" t="n">
        <x:f>IF(AND(COUNT(INDEX('SKU明细'!$H$9:$H$1592,MATCH("[6574,""1S01-BKP-39""]",'SKU明细'!$AE$9:$AE$1592,0)))=1,COUNT(INDEX('SKU明细'!$G$9:$G$1592,MATCH("[6574,""1S01-BKP-39""]",'SKU明细'!$AE$9:$AE$1592,0)))=1,SUM(INDEX('SKU明细'!$G$9:$G$1592,MATCH("[6574,""1S01-BKP-39""]",'SKU明细'!$AE$9:$AE$1592,0)))&gt;0),SUM(INDEX('SKU明细'!$H$9:$H$1592,MATCH("[6574,""1S01-BKP-39""]",'SKU明细'!$AE$9:$AE$1592,0)))/SUM(INDEX('SKU明细'!$G$9:$G$1592,MATCH("[6574,""1S01-BKP-39""]",'SKU明细'!$AE$9:$AE$1592,0))),"待核")</x:f>
        <x:v>345.2054794520548</x:v>
      </x:c>
      <x:c r="M162" s="16" t="str">
        <x:f>IF(AND(COUNT(INDEX('SKU明细'!$H$9:$H$1592,MATCH("[6574,""1S01-BKP-39.5""]",'SKU明细'!$AE$9:$AE$1592,0)))=1,COUNT(INDEX('SKU明细'!$G$9:$G$1592,MATCH("[6574,""1S01-BKP-39.5""]",'SKU明细'!$AE$9:$AE$1592,0)))=1,SUM(INDEX('SKU明细'!$G$9:$G$1592,MATCH("[6574,""1S01-BKP-39.5""]",'SKU明细'!$AE$9:$AE$1592,0)))&gt;0),SUM(INDEX('SKU明细'!$H$9:$H$1592,MATCH("[6574,""1S01-BKP-39.5""]",'SKU明细'!$AE$9:$AE$1592,0)))/SUM(INDEX('SKU明细'!$G$9:$G$1592,MATCH("[6574,""1S01-BKP-39.5""]",'SKU明细'!$AE$9:$AE$1592,0))),"待核")</x:f>
        <x:v>待核</x:v>
      </x:c>
      <x:c r="N162" s="16" t="str">
        <x:f>IF(AND(COUNT(INDEX('SKU明细'!$H$9:$H$1592,MATCH("[6574,""1S01-BKP-40""]",'SKU明细'!$AE$9:$AE$1592,0)))=1,COUNT(INDEX('SKU明细'!$G$9:$G$1592,MATCH("[6574,""1S01-BKP-40""]",'SKU明细'!$AE$9:$AE$1592,0)))=1,SUM(INDEX('SKU明细'!$G$9:$G$1592,MATCH("[6574,""1S01-BKP-40""]",'SKU明细'!$AE$9:$AE$1592,0)))&gt;0),SUM(INDEX('SKU明细'!$H$9:$H$1592,MATCH("[6574,""1S01-BKP-40""]",'SKU明细'!$AE$9:$AE$1592,0)))/SUM(INDEX('SKU明细'!$G$9:$G$1592,MATCH("[6574,""1S01-BKP-40""]",'SKU明细'!$AE$9:$AE$1592,0))),"待核")</x:f>
        <x:v>待核</x:v>
      </x:c>
      <x:c r="O162" s="16" t="str">
        <x:f>IF(AND(COUNT(INDEX('SKU明细'!$H$9:$H$1592,MATCH("[6574,""1S01-BKP-40.5""]",'SKU明细'!$AE$9:$AE$1592,0)))=1,COUNT(INDEX('SKU明细'!$G$9:$G$1592,MATCH("[6574,""1S01-BKP-40.5""]",'SKU明细'!$AE$9:$AE$1592,0)))=1,SUM(INDEX('SKU明细'!$G$9:$G$1592,MATCH("[6574,""1S01-BKP-40.5""]",'SKU明细'!$AE$9:$AE$1592,0)))&gt;0),SUM(INDEX('SKU明细'!$H$9:$H$1592,MATCH("[6574,""1S01-BKP-40.5""]",'SKU明细'!$AE$9:$AE$1592,0)))/SUM(INDEX('SKU明细'!$G$9:$G$1592,MATCH("[6574,""1S01-BKP-40.5""]",'SKU明细'!$AE$9:$AE$1592,0))),"待核")</x:f>
        <x:v>待核</x:v>
      </x:c>
      <x:c r="P162" s="16" t="n">
        <x:f>IF(AND(COUNT(INDEX('SKU明细'!$H$9:$H$1592,MATCH("[6574,""1S01-BKP-41""]",'SKU明细'!$AE$9:$AE$1592,0)))=1,COUNT(INDEX('SKU明细'!$G$9:$G$1592,MATCH("[6574,""1S01-BKP-41""]",'SKU明细'!$AE$9:$AE$1592,0)))=1,SUM(INDEX('SKU明细'!$G$9:$G$1592,MATCH("[6574,""1S01-BKP-41""]",'SKU明细'!$AE$9:$AE$1592,0)))&gt;0),SUM(INDEX('SKU明细'!$H$9:$H$1592,MATCH("[6574,""1S01-BKP-41""]",'SKU明细'!$AE$9:$AE$1592,0)))/SUM(INDEX('SKU明细'!$G$9:$G$1592,MATCH("[6574,""1S01-BKP-41""]",'SKU明细'!$AE$9:$AE$1592,0))),"待核")</x:f>
        <x:v>0</x:v>
      </x:c>
      <x:c r="Q162" s="16" t="str">
        <x:f>IF(AND(COUNT(INDEX('SKU明细'!$H$9:$H$1592,MATCH("[6574,""1S01-BKP-41.5""]",'SKU明细'!$AE$9:$AE$1592,0)))=1,COUNT(INDEX('SKU明细'!$G$9:$G$1592,MATCH("[6574,""1S01-BKP-41.5""]",'SKU明细'!$AE$9:$AE$1592,0)))=1,SUM(INDEX('SKU明细'!$G$9:$G$1592,MATCH("[6574,""1S01-BKP-41.5""]",'SKU明细'!$AE$9:$AE$1592,0)))&gt;0),SUM(INDEX('SKU明细'!$H$9:$H$1592,MATCH("[6574,""1S01-BKP-41.5""]",'SKU明细'!$AE$9:$AE$1592,0)))/SUM(INDEX('SKU明细'!$G$9:$G$1592,MATCH("[6574,""1S01-BKP-41.5""]",'SKU明细'!$AE$9:$AE$1592,0))),"待核")</x:f>
        <x:v>待核</x:v>
      </x:c>
      <x:c r="R162" s="16" t="str">
        <x:f>IF(AND(COUNT(INDEX('SKU明细'!$H$9:$H$1592,MATCH("[6574,""1S01-BKP-42""]",'SKU明细'!$AE$9:$AE$1592,0)))=1,COUNT(INDEX('SKU明细'!$G$9:$G$1592,MATCH("[6574,""1S01-BKP-42""]",'SKU明细'!$AE$9:$AE$1592,0)))=1,SUM(INDEX('SKU明细'!$G$9:$G$1592,MATCH("[6574,""1S01-BKP-42""]",'SKU明细'!$AE$9:$AE$1592,0)))&gt;0),SUM(INDEX('SKU明细'!$H$9:$H$1592,MATCH("[6574,""1S01-BKP-42""]",'SKU明细'!$AE$9:$AE$1592,0)))/SUM(INDEX('SKU明细'!$G$9:$G$1592,MATCH("[6574,""1S01-BKP-42""]",'SKU明细'!$AE$9:$AE$1592,0))),"待核")</x:f>
        <x:v>待核</x:v>
      </x:c>
      <x:c r="S162" s="16" t="n">
        <x:f>IF(AND(COUNT(INDEX('SKU明细'!$H$9:$H$1592,MATCH("[6574,""1S01-BKP-39""]",'SKU明细'!$AE$9:$AE$1592,0)),INDEX('SKU明细'!$H$9:$H$1592,MATCH("[6574,""1S01-BKP-37""]",'SKU明细'!$AE$9:$AE$1592,0)),INDEX('SKU明细'!$H$9:$H$1592,MATCH("[6574,""1S01-BKP-38""]",'SKU明细'!$AE$9:$AE$1592,0)),INDEX('SKU明细'!$H$9:$H$1592,MATCH("[6574,""1S01-BKP-38.5""]",'SKU明细'!$AE$9:$AE$1592,0)),INDEX('SKU明细'!$H$9:$H$1592,MATCH("[6574,""1S01-BKP-40""]",'SKU明细'!$AE$9:$AE$1592,0)),INDEX('SKU明细'!$H$9:$H$1592,MATCH("[6574,""1S01-BKP-41""]",'SKU明细'!$AE$9:$AE$1592,0)),INDEX('SKU明细'!$H$9:$H$1592,MATCH("[6574,""1S01-BKP-42""]",'SKU明细'!$AE$9:$AE$1592,0)))=7,COUNT(INDEX('SKU明细'!$G$9:$G$1592,MATCH("[6574,""1S01-BKP-39""]",'SKU明细'!$AE$9:$AE$1592,0)),INDEX('SKU明细'!$G$9:$G$1592,MATCH("[6574,""1S01-BKP-37""]",'SKU明细'!$AE$9:$AE$1592,0)),INDEX('SKU明细'!$G$9:$G$1592,MATCH("[6574,""1S01-BKP-38""]",'SKU明细'!$AE$9:$AE$1592,0)),INDEX('SKU明细'!$G$9:$G$1592,MATCH("[6574,""1S01-BKP-38.5""]",'SKU明细'!$AE$9:$AE$1592,0)),INDEX('SKU明细'!$G$9:$G$1592,MATCH("[6574,""1S01-BKP-40""]",'SKU明细'!$AE$9:$AE$1592,0)),INDEX('SKU明细'!$G$9:$G$1592,MATCH("[6574,""1S01-BKP-41""]",'SKU明细'!$AE$9:$AE$1592,0)),INDEX('SKU明细'!$G$9:$G$1592,MATCH("[6574,""1S01-BKP-42""]",'SKU明细'!$AE$9:$AE$1592,0)))=7,SUM(INDEX('SKU明细'!$G$9:$G$1592,MATCH("[6574,""1S01-BKP-39""]",'SKU明细'!$AE$9:$AE$1592,0)),INDEX('SKU明细'!$G$9:$G$1592,MATCH("[6574,""1S01-BKP-37""]",'SKU明细'!$AE$9:$AE$1592,0)),INDEX('SKU明细'!$G$9:$G$1592,MATCH("[6574,""1S01-BKP-38""]",'SKU明细'!$AE$9:$AE$1592,0)),INDEX('SKU明细'!$G$9:$G$1592,MATCH("[6574,""1S01-BKP-38.5""]",'SKU明细'!$AE$9:$AE$1592,0)),INDEX('SKU明细'!$G$9:$G$1592,MATCH("[6574,""1S01-BKP-40""]",'SKU明细'!$AE$9:$AE$1592,0)),INDEX('SKU明细'!$G$9:$G$1592,MATCH("[6574,""1S01-BKP-41""]",'SKU明细'!$AE$9:$AE$1592,0)),INDEX('SKU明细'!$G$9:$G$1592,MATCH("[6574,""1S01-BKP-42""]",'SKU明细'!$AE$9:$AE$1592,0)))&gt;0),SUM(INDEX('SKU明细'!$H$9:$H$1592,MATCH("[6574,""1S01-BKP-39""]",'SKU明细'!$AE$9:$AE$1592,0)),INDEX('SKU明细'!$H$9:$H$1592,MATCH("[6574,""1S01-BKP-37""]",'SKU明细'!$AE$9:$AE$1592,0)),INDEX('SKU明细'!$H$9:$H$1592,MATCH("[6574,""1S01-BKP-38""]",'SKU明细'!$AE$9:$AE$1592,0)),INDEX('SKU明细'!$H$9:$H$1592,MATCH("[6574,""1S01-BKP-38.5""]",'SKU明细'!$AE$9:$AE$1592,0)),INDEX('SKU明细'!$H$9:$H$1592,MATCH("[6574,""1S01-BKP-40""]",'SKU明细'!$AE$9:$AE$1592,0)),INDEX('SKU明细'!$H$9:$H$1592,MATCH("[6574,""1S01-BKP-41""]",'SKU明细'!$AE$9:$AE$1592,0)),INDEX('SKU明细'!$H$9:$H$1592,MATCH("[6574,""1S01-BKP-42""]",'SKU明细'!$AE$9:$AE$1592,0)))/SUM(INDEX('SKU明细'!$G$9:$G$1592,MATCH("[6574,""1S01-BKP-39""]",'SKU明细'!$AE$9:$AE$1592,0)),INDEX('SKU明细'!$G$9:$G$1592,MATCH("[6574,""1S01-BKP-37""]",'SKU明细'!$AE$9:$AE$1592,0)),INDEX('SKU明细'!$G$9:$G$1592,MATCH("[6574,""1S01-BKP-38""]",'SKU明细'!$AE$9:$AE$1592,0)),INDEX('SKU明细'!$G$9:$G$1592,MATCH("[6574,""1S01-BKP-38.5""]",'SKU明细'!$AE$9:$AE$1592,0)),INDEX('SKU明细'!$G$9:$G$1592,MATCH("[6574,""1S01-BKP-40""]",'SKU明细'!$AE$9:$AE$1592,0)),INDEX('SKU明细'!$G$9:$G$1592,MATCH("[6574,""1S01-BKP-41""]",'SKU明细'!$AE$9:$AE$1592,0)),INDEX('SKU明细'!$G$9:$G$1592,MATCH("[6574,""1S01-BKP-42""]",'SKU明细'!$AE$9:$AE$1592,0))),"待核")</x:f>
        <x:v>66.70902160101652</x:v>
      </x:c>
      <x:c r="T162" s="16" t="str">
        <x:f>IF(AND(COUNT(INDEX('SKU明细'!$I$9:$I$1592,MATCH("[6574,""1S01-BKP-39""]",'SKU明细'!$AE$9:$AE$1592,0)),INDEX('SKU明细'!$I$9:$I$1592,MATCH("[6574,""1S01-BKP-37""]",'SKU明细'!$AE$9:$AE$1592,0)),INDEX('SKU明细'!$I$9:$I$1592,MATCH("[6574,""1S01-BKP-38""]",'SKU明细'!$AE$9:$AE$1592,0)),INDEX('SKU明细'!$I$9:$I$1592,MATCH("[6574,""1S01-BKP-38.5""]",'SKU明细'!$AE$9:$AE$1592,0)),INDEX('SKU明细'!$I$9:$I$1592,MATCH("[6574,""1S01-BKP-40""]",'SKU明细'!$AE$9:$AE$1592,0)),INDEX('SKU明细'!$I$9:$I$1592,MATCH("[6574,""1S01-BKP-41""]",'SKU明细'!$AE$9:$AE$1592,0)),INDEX('SKU明细'!$I$9:$I$1592,MATCH("[6574,""1S01-BKP-42""]",'SKU明细'!$AE$9:$AE$1592,0)))=7,COUNT(INDEX('SKU明细'!$AD$9:$AD$1592,MATCH("[6574,""1S01-BKP-39""]",'SKU明细'!$AE$9:$AE$1592,0)),INDEX('SKU明细'!$AD$9:$AD$1592,MATCH("[6574,""1S01-BKP-37""]",'SKU明细'!$AE$9:$AE$1592,0)),INDEX('SKU明细'!$AD$9:$AD$1592,MATCH("[6574,""1S01-BKP-38""]",'SKU明细'!$AE$9:$AE$1592,0)),INDEX('SKU明细'!$AD$9:$AD$1592,MATCH("[6574,""1S01-BKP-38.5""]",'SKU明细'!$AE$9:$AE$1592,0)),INDEX('SKU明细'!$AD$9:$AD$1592,MATCH("[6574,""1S01-BKP-40""]",'SKU明细'!$AE$9:$AE$1592,0)),INDEX('SKU明细'!$AD$9:$AD$1592,MATCH("[6574,""1S01-BKP-41""]",'SKU明细'!$AE$9:$AE$1592,0)),INDEX('SKU明细'!$AD$9:$AD$1592,MATCH("[6574,""1S01-BKP-42""]",'SKU明细'!$AE$9:$AE$1592,0)))=7,SUM(INDEX('SKU明细'!$AD$9:$AD$1592,MATCH("[6574,""1S01-BKP-39""]",'SKU明细'!$AE$9:$AE$1592,0)),INDEX('SKU明细'!$AD$9:$AD$1592,MATCH("[6574,""1S01-BKP-37""]",'SKU明细'!$AE$9:$AE$1592,0)),INDEX('SKU明细'!$AD$9:$AD$1592,MATCH("[6574,""1S01-BKP-38""]",'SKU明细'!$AE$9:$AE$1592,0)),INDEX('SKU明细'!$AD$9:$AD$1592,MATCH("[6574,""1S01-BKP-38.5""]",'SKU明细'!$AE$9:$AE$1592,0)),INDEX('SKU明细'!$AD$9:$AD$1592,MATCH("[6574,""1S01-BKP-40""]",'SKU明细'!$AE$9:$AE$1592,0)),INDEX('SKU明细'!$AD$9:$AD$1592,MATCH("[6574,""1S01-BKP-41""]",'SKU明细'!$AE$9:$AE$1592,0)),INDEX('SKU明细'!$AD$9:$AD$1592,MATCH("[6574,""1S01-BKP-42""]",'SKU明细'!$AE$9:$AE$1592,0)))&gt;0),SUM(INDEX('SKU明细'!$I$9:$I$1592,MATCH("[6574,""1S01-BKP-39""]",'SKU明细'!$AE$9:$AE$1592,0)),INDEX('SKU明细'!$I$9:$I$1592,MATCH("[6574,""1S01-BKP-37""]",'SKU明细'!$AE$9:$AE$1592,0)),INDEX('SKU明细'!$I$9:$I$1592,MATCH("[6574,""1S01-BKP-38""]",'SKU明细'!$AE$9:$AE$1592,0)),INDEX('SKU明细'!$I$9:$I$1592,MATCH("[6574,""1S01-BKP-38.5""]",'SKU明细'!$AE$9:$AE$1592,0)),INDEX('SKU明细'!$I$9:$I$1592,MATCH("[6574,""1S01-BKP-40""]",'SKU明细'!$AE$9:$AE$1592,0)),INDEX('SKU明细'!$I$9:$I$1592,MATCH("[6574,""1S01-BKP-41""]",'SKU明细'!$AE$9:$AE$1592,0)),INDEX('SKU明细'!$I$9:$I$1592,MATCH("[6574,""1S01-BKP-42""]",'SKU明细'!$AE$9:$AE$1592,0)))/SUM(INDEX('SKU明细'!$AD$9:$AD$1592,MATCH("[6574,""1S01-BKP-39""]",'SKU明细'!$AE$9:$AE$1592,0)),INDEX('SKU明细'!$AD$9:$AD$1592,MATCH("[6574,""1S01-BKP-37""]",'SKU明细'!$AE$9:$AE$1592,0)),INDEX('SKU明细'!$AD$9:$AD$1592,MATCH("[6574,""1S01-BKP-38""]",'SKU明细'!$AE$9:$AE$1592,0)),INDEX('SKU明细'!$AD$9:$AD$1592,MATCH("[6574,""1S01-BKP-38.5""]",'SKU明细'!$AE$9:$AE$1592,0)),INDEX('SKU明细'!$AD$9:$AD$1592,MATCH("[6574,""1S01-BKP-40""]",'SKU明细'!$AE$9:$AE$1592,0)),INDEX('SKU明细'!$AD$9:$AD$1592,MATCH("[6574,""1S01-BKP-41""]",'SKU明细'!$AE$9:$AE$1592,0)),INDEX('SKU明细'!$AD$9:$AD$1592,MATCH("[6574,""1S01-BKP-42""]",'SKU明细'!$AE$9:$AE$1592,0))),"待核")</x:f>
        <x:v>待核</x:v>
      </x:c>
      <x:c r="U162" s="16" t="str">
        <x:f>IF(COUNT(S162:T162)=2,S162-T162,"待核")</x:f>
        <x:v>待核</x:v>
      </x:c>
      <x:c r="V162" s="17" t="str">
        <x:f>IF(AND(ISNUMBER(U162),ISNUMBER(T162),T162&lt;&gt;0),U162/T162,"")</x:f>
      </x:c>
      <x:c r="W162" s="18" t="n">
        <x:f>IF(COUNT(INDEX('SKU明细'!$H$9:$H$1592,MATCH("[6574,""1S01-BKP-39""]",'SKU明细'!$AE$9:$AE$1592,0)),INDEX('SKU明细'!$H$9:$H$1592,MATCH("[6574,""1S01-BKP-37""]",'SKU明细'!$AE$9:$AE$1592,0)),INDEX('SKU明细'!$H$9:$H$1592,MATCH("[6574,""1S01-BKP-36""]",'SKU明细'!$AE$9:$AE$1592,0)),INDEX('SKU明细'!$H$9:$H$1592,MATCH("[6574,""1S01-BKP-37.5""]",'SKU明细'!$AE$9:$AE$1592,0)),INDEX('SKU明细'!$H$9:$H$1592,MATCH("[6574,""1S01-BKP-38""]",'SKU明细'!$AE$9:$AE$1592,0)),INDEX('SKU明细'!$H$9:$H$1592,MATCH("[6574,""1S01-BKP-38.5""]",'SKU明细'!$AE$9:$AE$1592,0)),INDEX('SKU明细'!$H$9:$H$1592,MATCH("[6574,""1S01-BKP-39.5""]",'SKU明细'!$AE$9:$AE$1592,0)),INDEX('SKU明细'!$H$9:$H$1592,MATCH("[6574,""1S01-BKP-40""]",'SKU明细'!$AE$9:$AE$1592,0)),INDEX('SKU明细'!$H$9:$H$1592,MATCH("[6574,""1S01-BKP-40.5""]",'SKU明细'!$AE$9:$AE$1592,0)),INDEX('SKU明细'!$H$9:$H$1592,MATCH("[6574,""1S01-BKP-41""]",'SKU明细'!$AE$9:$AE$1592,0)),INDEX('SKU明细'!$H$9:$H$1592,MATCH("[6574,""1S01-BKP-41.5""]",'SKU明细'!$AE$9:$AE$1592,0)),INDEX('SKU明细'!$H$9:$H$1592,MATCH("[6574,""1S01-BKP-42""]",'SKU明细'!$AE$9:$AE$1592,0)))=0,"待核",SUM(INDEX('SKU明细'!$H$9:$H$1592,MATCH("[6574,""1S01-BKP-39""]",'SKU明细'!$AE$9:$AE$1592,0)),INDEX('SKU明细'!$H$9:$H$1592,MATCH("[6574,""1S01-BKP-37""]",'SKU明细'!$AE$9:$AE$1592,0)),INDEX('SKU明细'!$H$9:$H$1592,MATCH("[6574,""1S01-BKP-36""]",'SKU明细'!$AE$9:$AE$1592,0)),INDEX('SKU明细'!$H$9:$H$1592,MATCH("[6574,""1S01-BKP-37.5""]",'SKU明细'!$AE$9:$AE$1592,0)),INDEX('SKU明细'!$H$9:$H$1592,MATCH("[6574,""1S01-BKP-38""]",'SKU明细'!$AE$9:$AE$1592,0)),INDEX('SKU明细'!$H$9:$H$1592,MATCH("[6574,""1S01-BKP-38.5""]",'SKU明细'!$AE$9:$AE$1592,0)),INDEX('SKU明细'!$H$9:$H$1592,MATCH("[6574,""1S01-BKP-39.5""]",'SKU明细'!$AE$9:$AE$1592,0)),INDEX('SKU明细'!$H$9:$H$1592,MATCH("[6574,""1S01-BKP-40""]",'SKU明细'!$AE$9:$AE$1592,0)),INDEX('SKU明细'!$H$9:$H$1592,MATCH("[6574,""1S01-BKP-40.5""]",'SKU明细'!$AE$9:$AE$1592,0)),INDEX('SKU明细'!$H$9:$H$1592,MATCH("[6574,""1S01-BKP-41""]",'SKU明细'!$AE$9:$AE$1592,0)),INDEX('SKU明细'!$H$9:$H$1592,MATCH("[6574,""1S01-BKP-41.5""]",'SKU明细'!$AE$9:$AE$1592,0)),INDEX('SKU明细'!$H$9:$H$1592,MATCH("[6574,""1S01-BKP-42""]",'SKU明细'!$AE$9:$AE$1592,0))))</x:f>
        <x:v>25</x:v>
      </x:c>
      <x:c r="X162" s="19" t="str">
        <x:f>IF(COUNTIFS('SKU明细'!$AH$9:$AH$1592,"[""1S01"",""1S01-BKP"",""BKP"",""黑色""]",'SKU明细'!$E$9:$E$1592,"促销")&gt;0,"促销 ","")&amp;IF(COUNTIFS('SKU明细'!$AH$9:$AH$1592,"[""1S01"",""1S01-BKP"",""BKP"",""黑色""]",'SKU明细'!$E$9:$E$1592,"红线促销")&gt;0,"红线促销 ","")&amp;IF(COUNTIFS('SKU明细'!$AH$9:$AH$1592,"[""1S01"",""1S01-BKP"",""BKP"",""黑色""]",'SKU明细'!$E$9:$E$1592,"考虑清仓")&gt;0,"考虑清仓 ","")&amp;IF(COUNTIFS('SKU明细'!$AH$9:$AH$1592,"[""1S01"",""1S01-BKP"",""BKP"",""黑色""]",'SKU明细'!$E$9:$E$1592,"断货")&gt;0,"断货 ","")&amp;IF(COUNTIFS('SKU明细'!$AH$9:$AH$1592,"[""1S01"",""1S01-BKP"",""BKP"",""黑色""]",'SKU明细'!$E$9:$E$1592,"零日销待复核")&gt;0,"零日销待复核 ","")&amp;IF(COUNTIFS('SKU明细'!$AH$9:$AH$1592,"[""1S01"",""1S01-BKP"",""BKP"",""黑色""]",'SKU明细'!$E$9:$E$1592,"数据待核")&gt;0,"数据待核 ","")&amp;IF(COUNTIFS('SKU明细'!$AH$9:$AH$1592,"[""1S01"",""1S01-BKP"",""BKP"",""黑色""]",'SKU明细'!$E$9:$E$1592,"正常库存")&gt;0,"正常库存 ","")&amp;IF(COUNTIFS('SKU明细'!$AH$9:$AH$1592,"[""1S01"",""1S01-BKP"",""BKP"",""黑色""]",'SKU明细'!$E$9:$E$1592,"补货提醒")&gt;0,"补货提醒 ","")</x:f>
        <x:v>促销 红线促销 断货 </x:v>
      </x:c>
      <x:c r="Y162" s="19" t="str">
        <x:f>IF(NOT(ISNUMBER(U162)),"覆盖待核／无可比基准","仅共同SKU")</x:f>
        <x:v>覆盖待核／无可比基准</x:v>
      </x:c>
      <x:c r="Z162" s="19" t="str">
        <x:v>在售、停售</x:v>
      </x:c>
      <x:c r="AA162" s="19" t="n">
        <x:f>IF(SUMIFS('SKU明细'!$AF$9:$AF$1592,'SKU明细'!$D$9:$D$1592,A162,'SKU明细'!$Z$9:$Z$1592,"&lt;&gt;移出")=0,"待核",SUMIFS('SKU明细'!$H$9:$H$1592,'SKU明细'!$D$9:$D$1592,A162,'SKU明细'!$Z$9:$Z$1592,"&lt;&gt;移出"))</x:f>
        <x:v>476</x:v>
      </x:c>
    </x:row>
    <x:row r="163" ht="54" customHeight="1">
      <x:c r="A163" s="15" t="str">
        <x:v>1S01</x:v>
      </x:c>
      <x:c r="B163" s="15" t="str">
        <x:v>徐新怡</x:v>
      </x:c>
      <x:c r="C163" s="15" t="str">
        <x:v>黑色石头纹</x:v>
      </x:c>
      <x:c r="D163" s="15" t="str">
        <x:v>BKX</x:v>
      </x:c>
      <x:c r="E163" s="15" t="str">
        <x:v>1S01-BKX</x:v>
      </x:c>
      <x:c r="F163" s="15"/>
      <x:c r="G163" s="16" t="str">
        <x:f>"—"</x:f>
        <x:v>—</x:v>
      </x:c>
      <x:c r="H163" s="16" t="str">
        <x:f>IF(AND(COUNT(INDEX('SKU明细'!$H$9:$H$1592,MATCH("[null,""1S01-BKX-37""]",'SKU明细'!$AE$9:$AE$1592,0)))=1,COUNT(INDEX('SKU明细'!$G$9:$G$1592,MATCH("[null,""1S01-BKX-37""]",'SKU明细'!$AE$9:$AE$1592,0)))=1,SUM(INDEX('SKU明细'!$G$9:$G$1592,MATCH("[null,""1S01-BKX-37""]",'SKU明细'!$AE$9:$AE$1592,0)))&gt;0),SUM(INDEX('SKU明细'!$H$9:$H$1592,MATCH("[null,""1S01-BKX-37""]",'SKU明细'!$AE$9:$AE$1592,0)))/SUM(INDEX('SKU明细'!$G$9:$G$1592,MATCH("[null,""1S01-BKX-37""]",'SKU明细'!$AE$9:$AE$1592,0))),"待核")</x:f>
        <x:v>待核</x:v>
      </x:c>
      <x:c r="I163" s="16" t="str">
        <x:f>IF(AND(COUNT(INDEX('SKU明细'!$H$9:$H$1592,MATCH("[null,""1S01-BKX-37.5""]",'SKU明细'!$AE$9:$AE$1592,0)))=1,COUNT(INDEX('SKU明细'!$G$9:$G$1592,MATCH("[null,""1S01-BKX-37.5""]",'SKU明细'!$AE$9:$AE$1592,0)))=1,SUM(INDEX('SKU明细'!$G$9:$G$1592,MATCH("[null,""1S01-BKX-37.5""]",'SKU明细'!$AE$9:$AE$1592,0)))&gt;0),SUM(INDEX('SKU明细'!$H$9:$H$1592,MATCH("[null,""1S01-BKX-37.5""]",'SKU明细'!$AE$9:$AE$1592,0)))/SUM(INDEX('SKU明细'!$G$9:$G$1592,MATCH("[null,""1S01-BKX-37.5""]",'SKU明细'!$AE$9:$AE$1592,0))),"待核")</x:f>
        <x:v>待核</x:v>
      </x:c>
      <x:c r="J163" s="16" t="str">
        <x:f>IF(AND(COUNT(INDEX('SKU明细'!$H$9:$H$1592,MATCH("[null,""1S01-BKX-38""]",'SKU明细'!$AE$9:$AE$1592,0)))=1,COUNT(INDEX('SKU明细'!$G$9:$G$1592,MATCH("[null,""1S01-BKX-38""]",'SKU明细'!$AE$9:$AE$1592,0)))=1,SUM(INDEX('SKU明细'!$G$9:$G$1592,MATCH("[null,""1S01-BKX-38""]",'SKU明细'!$AE$9:$AE$1592,0)))&gt;0),SUM(INDEX('SKU明细'!$H$9:$H$1592,MATCH("[null,""1S01-BKX-38""]",'SKU明细'!$AE$9:$AE$1592,0)))/SUM(INDEX('SKU明细'!$G$9:$G$1592,MATCH("[null,""1S01-BKX-38""]",'SKU明细'!$AE$9:$AE$1592,0))),"待核")</x:f>
        <x:v>待核</x:v>
      </x:c>
      <x:c r="K163" s="16" t="str">
        <x:f>IF(AND(COUNT(INDEX('SKU明细'!$H$9:$H$1592,MATCH("[null,""1S01-BKX-38.5""]",'SKU明细'!$AE$9:$AE$1592,0)))=1,COUNT(INDEX('SKU明细'!$G$9:$G$1592,MATCH("[null,""1S01-BKX-38.5""]",'SKU明细'!$AE$9:$AE$1592,0)))=1,SUM(INDEX('SKU明细'!$G$9:$G$1592,MATCH("[null,""1S01-BKX-38.5""]",'SKU明细'!$AE$9:$AE$1592,0)))&gt;0),SUM(INDEX('SKU明细'!$H$9:$H$1592,MATCH("[null,""1S01-BKX-38.5""]",'SKU明细'!$AE$9:$AE$1592,0)))/SUM(INDEX('SKU明细'!$G$9:$G$1592,MATCH("[null,""1S01-BKX-38.5""]",'SKU明细'!$AE$9:$AE$1592,0))),"待核")</x:f>
        <x:v>待核</x:v>
      </x:c>
      <x:c r="L163" s="16" t="str">
        <x:f>IF(AND(COUNT(INDEX('SKU明细'!$H$9:$H$1592,MATCH("[null,""1S01-BKX-39""]",'SKU明细'!$AE$9:$AE$1592,0)))=1,COUNT(INDEX('SKU明细'!$G$9:$G$1592,MATCH("[null,""1S01-BKX-39""]",'SKU明细'!$AE$9:$AE$1592,0)))=1,SUM(INDEX('SKU明细'!$G$9:$G$1592,MATCH("[null,""1S01-BKX-39""]",'SKU明细'!$AE$9:$AE$1592,0)))&gt;0),SUM(INDEX('SKU明细'!$H$9:$H$1592,MATCH("[null,""1S01-BKX-39""]",'SKU明细'!$AE$9:$AE$1592,0)))/SUM(INDEX('SKU明细'!$G$9:$G$1592,MATCH("[null,""1S01-BKX-39""]",'SKU明细'!$AE$9:$AE$1592,0))),"待核")</x:f>
        <x:v>待核</x:v>
      </x:c>
      <x:c r="M163" s="16" t="str">
        <x:f>IF(AND(COUNT(INDEX('SKU明细'!$H$9:$H$1592,MATCH("[null,""1S01-BKX-39.5""]",'SKU明细'!$AE$9:$AE$1592,0)))=1,COUNT(INDEX('SKU明细'!$G$9:$G$1592,MATCH("[null,""1S01-BKX-39.5""]",'SKU明细'!$AE$9:$AE$1592,0)))=1,SUM(INDEX('SKU明细'!$G$9:$G$1592,MATCH("[null,""1S01-BKX-39.5""]",'SKU明细'!$AE$9:$AE$1592,0)))&gt;0),SUM(INDEX('SKU明细'!$H$9:$H$1592,MATCH("[null,""1S01-BKX-39.5""]",'SKU明细'!$AE$9:$AE$1592,0)))/SUM(INDEX('SKU明细'!$G$9:$G$1592,MATCH("[null,""1S01-BKX-39.5""]",'SKU明细'!$AE$9:$AE$1592,0))),"待核")</x:f>
        <x:v>待核</x:v>
      </x:c>
      <x:c r="N163" s="16" t="str">
        <x:f>IF(AND(COUNT(INDEX('SKU明细'!$H$9:$H$1592,MATCH("[null,""1S01-BKX-40""]",'SKU明细'!$AE$9:$AE$1592,0)))=1,COUNT(INDEX('SKU明细'!$G$9:$G$1592,MATCH("[null,""1S01-BKX-40""]",'SKU明细'!$AE$9:$AE$1592,0)))=1,SUM(INDEX('SKU明细'!$G$9:$G$1592,MATCH("[null,""1S01-BKX-40""]",'SKU明细'!$AE$9:$AE$1592,0)))&gt;0),SUM(INDEX('SKU明细'!$H$9:$H$1592,MATCH("[null,""1S01-BKX-40""]",'SKU明细'!$AE$9:$AE$1592,0)))/SUM(INDEX('SKU明细'!$G$9:$G$1592,MATCH("[null,""1S01-BKX-40""]",'SKU明细'!$AE$9:$AE$1592,0))),"待核")</x:f>
        <x:v>待核</x:v>
      </x:c>
      <x:c r="O163" s="16" t="str">
        <x:f>IF(AND(COUNT(INDEX('SKU明细'!$H$9:$H$1592,MATCH("[null,""1S01-BKX-40.5""]",'SKU明细'!$AE$9:$AE$1592,0)))=1,COUNT(INDEX('SKU明细'!$G$9:$G$1592,MATCH("[null,""1S01-BKX-40.5""]",'SKU明细'!$AE$9:$AE$1592,0)))=1,SUM(INDEX('SKU明细'!$G$9:$G$1592,MATCH("[null,""1S01-BKX-40.5""]",'SKU明细'!$AE$9:$AE$1592,0)))&gt;0),SUM(INDEX('SKU明细'!$H$9:$H$1592,MATCH("[null,""1S01-BKX-40.5""]",'SKU明细'!$AE$9:$AE$1592,0)))/SUM(INDEX('SKU明细'!$G$9:$G$1592,MATCH("[null,""1S01-BKX-40.5""]",'SKU明细'!$AE$9:$AE$1592,0))),"待核")</x:f>
        <x:v>待核</x:v>
      </x:c>
      <x:c r="P163" s="16" t="str">
        <x:f>IF(AND(COUNT(INDEX('SKU明细'!$H$9:$H$1592,MATCH("[null,""1S01-BKX-41""]",'SKU明细'!$AE$9:$AE$1592,0)))=1,COUNT(INDEX('SKU明细'!$G$9:$G$1592,MATCH("[null,""1S01-BKX-41""]",'SKU明细'!$AE$9:$AE$1592,0)))=1,SUM(INDEX('SKU明细'!$G$9:$G$1592,MATCH("[null,""1S01-BKX-41""]",'SKU明细'!$AE$9:$AE$1592,0)))&gt;0),SUM(INDEX('SKU明细'!$H$9:$H$1592,MATCH("[null,""1S01-BKX-41""]",'SKU明细'!$AE$9:$AE$1592,0)))/SUM(INDEX('SKU明细'!$G$9:$G$1592,MATCH("[null,""1S01-BKX-41""]",'SKU明细'!$AE$9:$AE$1592,0))),"待核")</x:f>
        <x:v>待核</x:v>
      </x:c>
      <x:c r="Q163" s="16" t="str">
        <x:f>IF(AND(COUNT(INDEX('SKU明细'!$H$9:$H$1592,MATCH("[null,""1S01-BKX-41.5""]",'SKU明细'!$AE$9:$AE$1592,0)))=1,COUNT(INDEX('SKU明细'!$G$9:$G$1592,MATCH("[null,""1S01-BKX-41.5""]",'SKU明细'!$AE$9:$AE$1592,0)))=1,SUM(INDEX('SKU明细'!$G$9:$G$1592,MATCH("[null,""1S01-BKX-41.5""]",'SKU明细'!$AE$9:$AE$1592,0)))&gt;0),SUM(INDEX('SKU明细'!$H$9:$H$1592,MATCH("[null,""1S01-BKX-41.5""]",'SKU明细'!$AE$9:$AE$1592,0)))/SUM(INDEX('SKU明细'!$G$9:$G$1592,MATCH("[null,""1S01-BKX-41.5""]",'SKU明细'!$AE$9:$AE$1592,0))),"待核")</x:f>
        <x:v>待核</x:v>
      </x:c>
      <x:c r="R163" s="16" t="str">
        <x:f>IF(AND(COUNT(INDEX('SKU明细'!$H$9:$H$1592,MATCH("[null,""1S01-BKX-42""]",'SKU明细'!$AE$9:$AE$1592,0)))=1,COUNT(INDEX('SKU明细'!$G$9:$G$1592,MATCH("[null,""1S01-BKX-42""]",'SKU明细'!$AE$9:$AE$1592,0)))=1,SUM(INDEX('SKU明细'!$G$9:$G$1592,MATCH("[null,""1S01-BKX-42""]",'SKU明细'!$AE$9:$AE$1592,0)))&gt;0),SUM(INDEX('SKU明细'!$H$9:$H$1592,MATCH("[null,""1S01-BKX-42""]",'SKU明细'!$AE$9:$AE$1592,0)))/SUM(INDEX('SKU明细'!$G$9:$G$1592,MATCH("[null,""1S01-BKX-42""]",'SKU明细'!$AE$9:$AE$1592,0))),"待核")</x:f>
        <x:v>待核</x:v>
      </x:c>
      <x:c r="S163" s="16" t="str">
        <x:f>"—"</x:f>
        <x:v>—</x:v>
      </x:c>
      <x:c r="T163" s="16" t="str">
        <x:f>"—"</x:f>
        <x:v>—</x:v>
      </x:c>
      <x:c r="U163" s="16" t="str">
        <x:f>IF(COUNT(S163:T163)=2,S163-T163,"待核")</x:f>
        <x:v>待核</x:v>
      </x:c>
      <x:c r="V163" s="17" t="str">
        <x:f>IF(AND(ISNUMBER(U163),ISNUMBER(T163),T163&lt;&gt;0),U163/T163,"")</x:f>
      </x:c>
      <x:c r="W163" s="18" t="str">
        <x:f>IF(COUNT(INDEX('SKU明细'!$H$9:$H$1592,MATCH("[null,""1S01-BKX-37""]",'SKU明细'!$AE$9:$AE$1592,0)),INDEX('SKU明细'!$H$9:$H$1592,MATCH("[null,""1S01-BKX-37.5""]",'SKU明细'!$AE$9:$AE$1592,0)),INDEX('SKU明细'!$H$9:$H$1592,MATCH("[null,""1S01-BKX-38""]",'SKU明细'!$AE$9:$AE$1592,0)),INDEX('SKU明细'!$H$9:$H$1592,MATCH("[null,""1S01-BKX-38.5""]",'SKU明细'!$AE$9:$AE$1592,0)),INDEX('SKU明细'!$H$9:$H$1592,MATCH("[null,""1S01-BKX-39""]",'SKU明细'!$AE$9:$AE$1592,0)),INDEX('SKU明细'!$H$9:$H$1592,MATCH("[null,""1S01-BKX-39.5""]",'SKU明细'!$AE$9:$AE$1592,0)),INDEX('SKU明细'!$H$9:$H$1592,MATCH("[null,""1S01-BKX-40""]",'SKU明细'!$AE$9:$AE$1592,0)),INDEX('SKU明细'!$H$9:$H$1592,MATCH("[null,""1S01-BKX-40.5""]",'SKU明细'!$AE$9:$AE$1592,0)),INDEX('SKU明细'!$H$9:$H$1592,MATCH("[null,""1S01-BKX-41""]",'SKU明细'!$AE$9:$AE$1592,0)),INDEX('SKU明细'!$H$9:$H$1592,MATCH("[null,""1S01-BKX-41.5""]",'SKU明细'!$AE$9:$AE$1592,0)),INDEX('SKU明细'!$H$9:$H$1592,MATCH("[null,""1S01-BKX-42""]",'SKU明细'!$AE$9:$AE$1592,0)))=0,"待核",SUM(INDEX('SKU明细'!$H$9:$H$1592,MATCH("[null,""1S01-BKX-37""]",'SKU明细'!$AE$9:$AE$1592,0)),INDEX('SKU明细'!$H$9:$H$1592,MATCH("[null,""1S01-BKX-37.5""]",'SKU明细'!$AE$9:$AE$1592,0)),INDEX('SKU明细'!$H$9:$H$1592,MATCH("[null,""1S01-BKX-38""]",'SKU明细'!$AE$9:$AE$1592,0)),INDEX('SKU明细'!$H$9:$H$1592,MATCH("[null,""1S01-BKX-38.5""]",'SKU明细'!$AE$9:$AE$1592,0)),INDEX('SKU明细'!$H$9:$H$1592,MATCH("[null,""1S01-BKX-39""]",'SKU明细'!$AE$9:$AE$1592,0)),INDEX('SKU明细'!$H$9:$H$1592,MATCH("[null,""1S01-BKX-39.5""]",'SKU明细'!$AE$9:$AE$1592,0)),INDEX('SKU明细'!$H$9:$H$1592,MATCH("[null,""1S01-BKX-40""]",'SKU明细'!$AE$9:$AE$1592,0)),INDEX('SKU明细'!$H$9:$H$1592,MATCH("[null,""1S01-BKX-40.5""]",'SKU明细'!$AE$9:$AE$1592,0)),INDEX('SKU明细'!$H$9:$H$1592,MATCH("[null,""1S01-BKX-41""]",'SKU明细'!$AE$9:$AE$1592,0)),INDEX('SKU明细'!$H$9:$H$1592,MATCH("[null,""1S01-BKX-41.5""]",'SKU明细'!$AE$9:$AE$1592,0)),INDEX('SKU明细'!$H$9:$H$1592,MATCH("[null,""1S01-BKX-42""]",'SKU明细'!$AE$9:$AE$1592,0))))</x:f>
        <x:v>待核</x:v>
      </x:c>
      <x:c r="X163" s="19" t="str">
        <x:f>IF(COUNTIFS('SKU明细'!$AH$9:$AH$1592,"[""1S01"",""1S01-BKX"",""BKX"",""黑色石头纹""]",'SKU明细'!$E$9:$E$1592,"促销")&gt;0,"促销 ","")&amp;IF(COUNTIFS('SKU明细'!$AH$9:$AH$1592,"[""1S01"",""1S01-BKX"",""BKX"",""黑色石头纹""]",'SKU明细'!$E$9:$E$1592,"红线促销")&gt;0,"红线促销 ","")&amp;IF(COUNTIFS('SKU明细'!$AH$9:$AH$1592,"[""1S01"",""1S01-BKX"",""BKX"",""黑色石头纹""]",'SKU明细'!$E$9:$E$1592,"考虑清仓")&gt;0,"考虑清仓 ","")&amp;IF(COUNTIFS('SKU明细'!$AH$9:$AH$1592,"[""1S01"",""1S01-BKX"",""BKX"",""黑色石头纹""]",'SKU明细'!$E$9:$E$1592,"断货")&gt;0,"断货 ","")&amp;IF(COUNTIFS('SKU明细'!$AH$9:$AH$1592,"[""1S01"",""1S01-BKX"",""BKX"",""黑色石头纹""]",'SKU明细'!$E$9:$E$1592,"零日销待复核")&gt;0,"零日销待复核 ","")&amp;IF(COUNTIFS('SKU明细'!$AH$9:$AH$1592,"[""1S01"",""1S01-BKX"",""BKX"",""黑色石头纹""]",'SKU明细'!$E$9:$E$1592,"数据待核")&gt;0,"数据待核 ","")&amp;IF(COUNTIFS('SKU明细'!$AH$9:$AH$1592,"[""1S01"",""1S01-BKX"",""BKX"",""黑色石头纹""]",'SKU明细'!$E$9:$E$1592,"正常库存")&gt;0,"正常库存 ","")&amp;IF(COUNTIFS('SKU明细'!$AH$9:$AH$1592,"[""1S01"",""1S01-BKX"",""BKX"",""黑色石头纹""]",'SKU明细'!$E$9:$E$1592,"补货提醒")&gt;0,"补货提醒 ","")</x:f>
        <x:v>数据待核 </x:v>
      </x:c>
      <x:c r="Y163" s="19" t="str">
        <x:f>IF(NOT(ISNUMBER(U163)),"覆盖待核／无可比基准","仅共同SKU")</x:f>
        <x:v>覆盖待核／无可比基准</x:v>
      </x:c>
      <x:c r="Z163" s="19" t="str">
        <x:v>未匹配Listing</x:v>
      </x:c>
      <x:c r="AA163" s="19" t="n">
        <x:f>IF(SUMIFS('SKU明细'!$AF$9:$AF$1592,'SKU明细'!$D$9:$D$1592,A163,'SKU明细'!$Z$9:$Z$1592,"&lt;&gt;移出")=0,"待核",SUMIFS('SKU明细'!$H$9:$H$1592,'SKU明细'!$D$9:$D$1592,A163,'SKU明细'!$Z$9:$Z$1592,"&lt;&gt;移出"))</x:f>
        <x:v>476</x:v>
      </x:c>
    </x:row>
    <x:row r="164" ht="54" customHeight="1">
      <x:c r="A164" s="15" t="str">
        <x:v>1S01</x:v>
      </x:c>
      <x:c r="B164" s="15" t="str">
        <x:v>徐新怡</x:v>
      </x:c>
      <x:c r="C164" s="15" t="str">
        <x:v>黑色</x:v>
      </x:c>
      <x:c r="D164" s="15" t="str">
        <x:v>BLK</x:v>
      </x:c>
      <x:c r="E164" s="15" t="str">
        <x:v>1S01-BLK</x:v>
      </x:c>
      <x:c r="F164" s="15"/>
      <x:c r="G164" s="16" t="str">
        <x:f>IF(AND(COUNT(INDEX('SKU明细'!$H$9:$H$1592,MATCH("[6574,""1S01-BLK-36""]",'SKU明细'!$AE$9:$AE$1592,0)))=1,COUNT(INDEX('SKU明细'!$G$9:$G$1592,MATCH("[6574,""1S01-BLK-36""]",'SKU明细'!$AE$9:$AE$1592,0)))=1,SUM(INDEX('SKU明细'!$G$9:$G$1592,MATCH("[6574,""1S01-BLK-36""]",'SKU明细'!$AE$9:$AE$1592,0)))&gt;0),SUM(INDEX('SKU明细'!$H$9:$H$1592,MATCH("[6574,""1S01-BLK-36""]",'SKU明细'!$AE$9:$AE$1592,0)))/SUM(INDEX('SKU明细'!$G$9:$G$1592,MATCH("[6574,""1S01-BLK-36""]",'SKU明细'!$AE$9:$AE$1592,0))),"待核")</x:f>
        <x:v>待核</x:v>
      </x:c>
      <x:c r="H164" s="16" t="n">
        <x:f>IF(AND(COUNT(INDEX('SKU明细'!$H$9:$H$1592,MATCH("[6574,""1S01-BLK-37""]",'SKU明细'!$AE$9:$AE$1592,0)))=1,COUNT(INDEX('SKU明细'!$G$9:$G$1592,MATCH("[6574,""1S01-BLK-37""]",'SKU明细'!$AE$9:$AE$1592,0)))=1,SUM(INDEX('SKU明细'!$G$9:$G$1592,MATCH("[6574,""1S01-BLK-37""]",'SKU明细'!$AE$9:$AE$1592,0)))&gt;0),SUM(INDEX('SKU明细'!$H$9:$H$1592,MATCH("[6574,""1S01-BLK-37""]",'SKU明细'!$AE$9:$AE$1592,0)))/SUM(INDEX('SKU明细'!$G$9:$G$1592,MATCH("[6574,""1S01-BLK-37""]",'SKU明细'!$AE$9:$AE$1592,0))),"待核")</x:f>
        <x:v>0</x:v>
      </x:c>
      <x:c r="I164" s="16" t="n">
        <x:f>IF(AND(COUNT(INDEX('SKU明细'!$H$9:$H$1592,MATCH("[6574,""1S01-BLK-37.5""]",'SKU明细'!$AE$9:$AE$1592,0)))=1,COUNT(INDEX('SKU明细'!$G$9:$G$1592,MATCH("[6574,""1S01-BLK-37.5""]",'SKU明细'!$AE$9:$AE$1592,0)))=1,SUM(INDEX('SKU明细'!$G$9:$G$1592,MATCH("[6574,""1S01-BLK-37.5""]",'SKU明细'!$AE$9:$AE$1592,0)))&gt;0),SUM(INDEX('SKU明细'!$H$9:$H$1592,MATCH("[6574,""1S01-BLK-37.5""]",'SKU明细'!$AE$9:$AE$1592,0)))/SUM(INDEX('SKU明细'!$G$9:$G$1592,MATCH("[6574,""1S01-BLK-37.5""]",'SKU明细'!$AE$9:$AE$1592,0))),"待核")</x:f>
        <x:v>0</x:v>
      </x:c>
      <x:c r="J164" s="16" t="n">
        <x:f>IF(AND(COUNT(INDEX('SKU明细'!$H$9:$H$1592,MATCH("[6574,""1S01-BLK-38""]",'SKU明细'!$AE$9:$AE$1592,0)))=1,COUNT(INDEX('SKU明细'!$G$9:$G$1592,MATCH("[6574,""1S01-BLK-38""]",'SKU明细'!$AE$9:$AE$1592,0)))=1,SUM(INDEX('SKU明细'!$G$9:$G$1592,MATCH("[6574,""1S01-BLK-38""]",'SKU明细'!$AE$9:$AE$1592,0)))&gt;0),SUM(INDEX('SKU明细'!$H$9:$H$1592,MATCH("[6574,""1S01-BLK-38""]",'SKU明细'!$AE$9:$AE$1592,0)))/SUM(INDEX('SKU明细'!$G$9:$G$1592,MATCH("[6574,""1S01-BLK-38""]",'SKU明细'!$AE$9:$AE$1592,0))),"待核")</x:f>
        <x:v>17.242355605889014</x:v>
      </x:c>
      <x:c r="K164" s="16" t="str">
        <x:f>IF(AND(COUNT(INDEX('SKU明细'!$H$9:$H$1592,MATCH("[6574,""1S01-BLK-38.5""]",'SKU明细'!$AE$9:$AE$1592,0)))=1,COUNT(INDEX('SKU明细'!$G$9:$G$1592,MATCH("[6574,""1S01-BLK-38.5""]",'SKU明细'!$AE$9:$AE$1592,0)))=1,SUM(INDEX('SKU明细'!$G$9:$G$1592,MATCH("[6574,""1S01-BLK-38.5""]",'SKU明细'!$AE$9:$AE$1592,0)))&gt;0),SUM(INDEX('SKU明细'!$H$9:$H$1592,MATCH("[6574,""1S01-BLK-38.5""]",'SKU明细'!$AE$9:$AE$1592,0)))/SUM(INDEX('SKU明细'!$G$9:$G$1592,MATCH("[6574,""1S01-BLK-38.5""]",'SKU明细'!$AE$9:$AE$1592,0))),"待核")</x:f>
        <x:v>待核</x:v>
      </x:c>
      <x:c r="L164" s="16" t="n">
        <x:f>IF(AND(COUNT(INDEX('SKU明细'!$H$9:$H$1592,MATCH("[6574,""1S01-BLK-39""]",'SKU明细'!$AE$9:$AE$1592,0)))=1,COUNT(INDEX('SKU明细'!$G$9:$G$1592,MATCH("[6574,""1S01-BLK-39""]",'SKU明细'!$AE$9:$AE$1592,0)))=1,SUM(INDEX('SKU明细'!$G$9:$G$1592,MATCH("[6574,""1S01-BLK-39""]",'SKU明细'!$AE$9:$AE$1592,0)))&gt;0),SUM(INDEX('SKU明细'!$H$9:$H$1592,MATCH("[6574,""1S01-BLK-39""]",'SKU明细'!$AE$9:$AE$1592,0)))/SUM(INDEX('SKU明细'!$G$9:$G$1592,MATCH("[6574,""1S01-BLK-39""]",'SKU明细'!$AE$9:$AE$1592,0))),"待核")</x:f>
        <x:v>2.6326786460509823</x:v>
      </x:c>
      <x:c r="M164" s="16" t="n">
        <x:f>IF(AND(COUNT(INDEX('SKU明细'!$H$9:$H$1592,MATCH("[6574,""1S01-BLK-39.5""]",'SKU明细'!$AE$9:$AE$1592,0)))=1,COUNT(INDEX('SKU明细'!$G$9:$G$1592,MATCH("[6574,""1S01-BLK-39.5""]",'SKU明细'!$AE$9:$AE$1592,0)))=1,SUM(INDEX('SKU明细'!$G$9:$G$1592,MATCH("[6574,""1S01-BLK-39.5""]",'SKU明细'!$AE$9:$AE$1592,0)))&gt;0),SUM(INDEX('SKU明细'!$H$9:$H$1592,MATCH("[6574,""1S01-BLK-39.5""]",'SKU明细'!$AE$9:$AE$1592,0)))/SUM(INDEX('SKU明细'!$G$9:$G$1592,MATCH("[6574,""1S01-BLK-39.5""]",'SKU明细'!$AE$9:$AE$1592,0))),"待核")</x:f>
        <x:v>0</x:v>
      </x:c>
      <x:c r="N164" s="16" t="n">
        <x:f>IF(AND(COUNT(INDEX('SKU明细'!$H$9:$H$1592,MATCH("[6574,""1S01-BLK-40""]",'SKU明细'!$AE$9:$AE$1592,0)))=1,COUNT(INDEX('SKU明细'!$G$9:$G$1592,MATCH("[6574,""1S01-BLK-40""]",'SKU明细'!$AE$9:$AE$1592,0)))=1,SUM(INDEX('SKU明细'!$G$9:$G$1592,MATCH("[6574,""1S01-BLK-40""]",'SKU明细'!$AE$9:$AE$1592,0)))&gt;0),SUM(INDEX('SKU明细'!$H$9:$H$1592,MATCH("[6574,""1S01-BLK-40""]",'SKU明细'!$AE$9:$AE$1592,0)))/SUM(INDEX('SKU明细'!$G$9:$G$1592,MATCH("[6574,""1S01-BLK-40""]",'SKU明细'!$AE$9:$AE$1592,0))),"待核")</x:f>
        <x:v>5.7502738225629795</x:v>
      </x:c>
      <x:c r="O164" s="16" t="n">
        <x:f>IF(AND(COUNT(INDEX('SKU明细'!$H$9:$H$1592,MATCH("[6574,""1S01-BLK-40.5""]",'SKU明细'!$AE$9:$AE$1592,0)))=1,COUNT(INDEX('SKU明细'!$G$9:$G$1592,MATCH("[6574,""1S01-BLK-40.5""]",'SKU明细'!$AE$9:$AE$1592,0)))=1,SUM(INDEX('SKU明细'!$G$9:$G$1592,MATCH("[6574,""1S01-BLK-40.5""]",'SKU明细'!$AE$9:$AE$1592,0)))&gt;0),SUM(INDEX('SKU明细'!$H$9:$H$1592,MATCH("[6574,""1S01-BLK-40.5""]",'SKU明细'!$AE$9:$AE$1592,0)))/SUM(INDEX('SKU明细'!$G$9:$G$1592,MATCH("[6574,""1S01-BLK-40.5""]",'SKU明细'!$AE$9:$AE$1592,0))),"待核")</x:f>
        <x:v>24.838709677419356</x:v>
      </x:c>
      <x:c r="P164" s="16" t="n">
        <x:f>IF(AND(COUNT(INDEX('SKU明细'!$H$9:$H$1592,MATCH("[6574,""1S01-BLK-41""]",'SKU明细'!$AE$9:$AE$1592,0)))=1,COUNT(INDEX('SKU明细'!$G$9:$G$1592,MATCH("[6574,""1S01-BLK-41""]",'SKU明细'!$AE$9:$AE$1592,0)))=1,SUM(INDEX('SKU明细'!$G$9:$G$1592,MATCH("[6574,""1S01-BLK-41""]",'SKU明细'!$AE$9:$AE$1592,0)))&gt;0),SUM(INDEX('SKU明细'!$H$9:$H$1592,MATCH("[6574,""1S01-BLK-41""]",'SKU明细'!$AE$9:$AE$1592,0)))/SUM(INDEX('SKU明细'!$G$9:$G$1592,MATCH("[6574,""1S01-BLK-41""]",'SKU明细'!$AE$9:$AE$1592,0))),"待核")</x:f>
        <x:v>14.969450101832994</x:v>
      </x:c>
      <x:c r="Q164" s="16" t="n">
        <x:f>IF(AND(COUNT(INDEX('SKU明细'!$H$9:$H$1592,MATCH("[6574,""1S01-BLK-41.5""]",'SKU明细'!$AE$9:$AE$1592,0)))=1,COUNT(INDEX('SKU明细'!$G$9:$G$1592,MATCH("[6574,""1S01-BLK-41.5""]",'SKU明细'!$AE$9:$AE$1592,0)))=1,SUM(INDEX('SKU明细'!$G$9:$G$1592,MATCH("[6574,""1S01-BLK-41.5""]",'SKU明细'!$AE$9:$AE$1592,0)))&gt;0),SUM(INDEX('SKU明细'!$H$9:$H$1592,MATCH("[6574,""1S01-BLK-41.5""]",'SKU明细'!$AE$9:$AE$1592,0)))/SUM(INDEX('SKU明细'!$G$9:$G$1592,MATCH("[6574,""1S01-BLK-41.5""]",'SKU明细'!$AE$9:$AE$1592,0))),"待核")</x:f>
        <x:v>0</x:v>
      </x:c>
      <x:c r="R164" s="16" t="n">
        <x:f>IF(AND(COUNT(INDEX('SKU明细'!$H$9:$H$1592,MATCH("[6574,""1S01-BLK-42""]",'SKU明细'!$AE$9:$AE$1592,0)))=1,COUNT(INDEX('SKU明细'!$G$9:$G$1592,MATCH("[6574,""1S01-BLK-42""]",'SKU明细'!$AE$9:$AE$1592,0)))=1,SUM(INDEX('SKU明细'!$G$9:$G$1592,MATCH("[6574,""1S01-BLK-42""]",'SKU明细'!$AE$9:$AE$1592,0)))&gt;0),SUM(INDEX('SKU明细'!$H$9:$H$1592,MATCH("[6574,""1S01-BLK-42""]",'SKU明细'!$AE$9:$AE$1592,0)))/SUM(INDEX('SKU明细'!$G$9:$G$1592,MATCH("[6574,""1S01-BLK-42""]",'SKU明细'!$AE$9:$AE$1592,0))),"待核")</x:f>
        <x:v>13.375796178343949</x:v>
      </x:c>
      <x:c r="S164" s="16" t="n">
        <x:f>IF(AND(COUNT(INDEX('SKU明细'!$H$9:$H$1592,MATCH("[6574,""1S01-BLK-37""]",'SKU明细'!$AE$9:$AE$1592,0)),INDEX('SKU明细'!$H$9:$H$1592,MATCH("[6574,""1S01-BLK-37.5""]",'SKU明细'!$AE$9:$AE$1592,0)),INDEX('SKU明细'!$H$9:$H$1592,MATCH("[6574,""1S01-BLK-39.5""]",'SKU明细'!$AE$9:$AE$1592,0)),INDEX('SKU明细'!$H$9:$H$1592,MATCH("[6574,""1S01-BLK-41.5""]",'SKU明细'!$AE$9:$AE$1592,0)),INDEX('SKU明细'!$H$9:$H$1592,MATCH("[6574,""1S01-BLK-38""]",'SKU明细'!$AE$9:$AE$1592,0)),INDEX('SKU明细'!$H$9:$H$1592,MATCH("[6574,""1S01-BLK-39""]",'SKU明细'!$AE$9:$AE$1592,0)),INDEX('SKU明细'!$H$9:$H$1592,MATCH("[6574,""1S01-BLK-40""]",'SKU明细'!$AE$9:$AE$1592,0)),INDEX('SKU明细'!$H$9:$H$1592,MATCH("[6574,""1S01-BLK-40.5""]",'SKU明细'!$AE$9:$AE$1592,0)),INDEX('SKU明细'!$H$9:$H$1592,MATCH("[6574,""1S01-BLK-41""]",'SKU明细'!$AE$9:$AE$1592,0)),INDEX('SKU明细'!$H$9:$H$1592,MATCH("[6574,""1S01-BLK-42""]",'SKU明细'!$AE$9:$AE$1592,0)))=10,COUNT(INDEX('SKU明细'!$G$9:$G$1592,MATCH("[6574,""1S01-BLK-37""]",'SKU明细'!$AE$9:$AE$1592,0)),INDEX('SKU明细'!$G$9:$G$1592,MATCH("[6574,""1S01-BLK-37.5""]",'SKU明细'!$AE$9:$AE$1592,0)),INDEX('SKU明细'!$G$9:$G$1592,MATCH("[6574,""1S01-BLK-39.5""]",'SKU明细'!$AE$9:$AE$1592,0)),INDEX('SKU明细'!$G$9:$G$1592,MATCH("[6574,""1S01-BLK-41.5""]",'SKU明细'!$AE$9:$AE$1592,0)),INDEX('SKU明细'!$G$9:$G$1592,MATCH("[6574,""1S01-BLK-38""]",'SKU明细'!$AE$9:$AE$1592,0)),INDEX('SKU明细'!$G$9:$G$1592,MATCH("[6574,""1S01-BLK-39""]",'SKU明细'!$AE$9:$AE$1592,0)),INDEX('SKU明细'!$G$9:$G$1592,MATCH("[6574,""1S01-BLK-40""]",'SKU明细'!$AE$9:$AE$1592,0)),INDEX('SKU明细'!$G$9:$G$1592,MATCH("[6574,""1S01-BLK-40.5""]",'SKU明细'!$AE$9:$AE$1592,0)),INDEX('SKU明细'!$G$9:$G$1592,MATCH("[6574,""1S01-BLK-41""]",'SKU明细'!$AE$9:$AE$1592,0)),INDEX('SKU明细'!$G$9:$G$1592,MATCH("[6574,""1S01-BLK-42""]",'SKU明细'!$AE$9:$AE$1592,0)))=10,SUM(INDEX('SKU明细'!$G$9:$G$1592,MATCH("[6574,""1S01-BLK-37""]",'SKU明细'!$AE$9:$AE$1592,0)),INDEX('SKU明细'!$G$9:$G$1592,MATCH("[6574,""1S01-BLK-37.5""]",'SKU明细'!$AE$9:$AE$1592,0)),INDEX('SKU明细'!$G$9:$G$1592,MATCH("[6574,""1S01-BLK-39.5""]",'SKU明细'!$AE$9:$AE$1592,0)),INDEX('SKU明细'!$G$9:$G$1592,MATCH("[6574,""1S01-BLK-41.5""]",'SKU明细'!$AE$9:$AE$1592,0)),INDEX('SKU明细'!$G$9:$G$1592,MATCH("[6574,""1S01-BLK-38""]",'SKU明细'!$AE$9:$AE$1592,0)),INDEX('SKU明细'!$G$9:$G$1592,MATCH("[6574,""1S01-BLK-39""]",'SKU明细'!$AE$9:$AE$1592,0)),INDEX('SKU明细'!$G$9:$G$1592,MATCH("[6574,""1S01-BLK-40""]",'SKU明细'!$AE$9:$AE$1592,0)),INDEX('SKU明细'!$G$9:$G$1592,MATCH("[6574,""1S01-BLK-40.5""]",'SKU明细'!$AE$9:$AE$1592,0)),INDEX('SKU明细'!$G$9:$G$1592,MATCH("[6574,""1S01-BLK-41""]",'SKU明细'!$AE$9:$AE$1592,0)),INDEX('SKU明细'!$G$9:$G$1592,MATCH("[6574,""1S01-BLK-42""]",'SKU明细'!$AE$9:$AE$1592,0)))&gt;0),SUM(INDEX('SKU明细'!$H$9:$H$1592,MATCH("[6574,""1S01-BLK-37""]",'SKU明细'!$AE$9:$AE$1592,0)),INDEX('SKU明细'!$H$9:$H$1592,MATCH("[6574,""1S01-BLK-37.5""]",'SKU明细'!$AE$9:$AE$1592,0)),INDEX('SKU明细'!$H$9:$H$1592,MATCH("[6574,""1S01-BLK-39.5""]",'SKU明细'!$AE$9:$AE$1592,0)),INDEX('SKU明细'!$H$9:$H$1592,MATCH("[6574,""1S01-BLK-41.5""]",'SKU明细'!$AE$9:$AE$1592,0)),INDEX('SKU明细'!$H$9:$H$1592,MATCH("[6574,""1S01-BLK-38""]",'SKU明细'!$AE$9:$AE$1592,0)),INDEX('SKU明细'!$H$9:$H$1592,MATCH("[6574,""1S01-BLK-39""]",'SKU明细'!$AE$9:$AE$1592,0)),INDEX('SKU明细'!$H$9:$H$1592,MATCH("[6574,""1S01-BLK-40""]",'SKU明细'!$AE$9:$AE$1592,0)),INDEX('SKU明细'!$H$9:$H$1592,MATCH("[6574,""1S01-BLK-40.5""]",'SKU明细'!$AE$9:$AE$1592,0)),INDEX('SKU明细'!$H$9:$H$1592,MATCH("[6574,""1S01-BLK-41""]",'SKU明细'!$AE$9:$AE$1592,0)),INDEX('SKU明细'!$H$9:$H$1592,MATCH("[6574,""1S01-BLK-42""]",'SKU明细'!$AE$9:$AE$1592,0)))/SUM(INDEX('SKU明细'!$G$9:$G$1592,MATCH("[6574,""1S01-BLK-37""]",'SKU明细'!$AE$9:$AE$1592,0)),INDEX('SKU明细'!$G$9:$G$1592,MATCH("[6574,""1S01-BLK-37.5""]",'SKU明细'!$AE$9:$AE$1592,0)),INDEX('SKU明细'!$G$9:$G$1592,MATCH("[6574,""1S01-BLK-39.5""]",'SKU明细'!$AE$9:$AE$1592,0)),INDEX('SKU明细'!$G$9:$G$1592,MATCH("[6574,""1S01-BLK-41.5""]",'SKU明细'!$AE$9:$AE$1592,0)),INDEX('SKU明细'!$G$9:$G$1592,MATCH("[6574,""1S01-BLK-38""]",'SKU明细'!$AE$9:$AE$1592,0)),INDEX('SKU明细'!$G$9:$G$1592,MATCH("[6574,""1S01-BLK-39""]",'SKU明细'!$AE$9:$AE$1592,0)),INDEX('SKU明细'!$G$9:$G$1592,MATCH("[6574,""1S01-BLK-40""]",'SKU明细'!$AE$9:$AE$1592,0)),INDEX('SKU明细'!$G$9:$G$1592,MATCH("[6574,""1S01-BLK-40.5""]",'SKU明细'!$AE$9:$AE$1592,0)),INDEX('SKU明细'!$G$9:$G$1592,MATCH("[6574,""1S01-BLK-41""]",'SKU明细'!$AE$9:$AE$1592,0)),INDEX('SKU明细'!$G$9:$G$1592,MATCH("[6574,""1S01-BLK-42""]",'SKU明细'!$AE$9:$AE$1592,0))),"待核")</x:f>
        <x:v>9.929450615430799</x:v>
      </x:c>
      <x:c r="T164" s="16" t="n">
        <x:f>IF(AND(COUNT(INDEX('SKU明细'!$I$9:$I$1592,MATCH("[6574,""1S01-BLK-37""]",'SKU明细'!$AE$9:$AE$1592,0)),INDEX('SKU明细'!$I$9:$I$1592,MATCH("[6574,""1S01-BLK-37.5""]",'SKU明细'!$AE$9:$AE$1592,0)),INDEX('SKU明细'!$I$9:$I$1592,MATCH("[6574,""1S01-BLK-39.5""]",'SKU明细'!$AE$9:$AE$1592,0)),INDEX('SKU明细'!$I$9:$I$1592,MATCH("[6574,""1S01-BLK-41.5""]",'SKU明细'!$AE$9:$AE$1592,0)),INDEX('SKU明细'!$I$9:$I$1592,MATCH("[6574,""1S01-BLK-38""]",'SKU明细'!$AE$9:$AE$1592,0)),INDEX('SKU明细'!$I$9:$I$1592,MATCH("[6574,""1S01-BLK-39""]",'SKU明细'!$AE$9:$AE$1592,0)),INDEX('SKU明细'!$I$9:$I$1592,MATCH("[6574,""1S01-BLK-40""]",'SKU明细'!$AE$9:$AE$1592,0)),INDEX('SKU明细'!$I$9:$I$1592,MATCH("[6574,""1S01-BLK-40.5""]",'SKU明细'!$AE$9:$AE$1592,0)),INDEX('SKU明细'!$I$9:$I$1592,MATCH("[6574,""1S01-BLK-41""]",'SKU明细'!$AE$9:$AE$1592,0)),INDEX('SKU明细'!$I$9:$I$1592,MATCH("[6574,""1S01-BLK-42""]",'SKU明细'!$AE$9:$AE$1592,0)))=10,COUNT(INDEX('SKU明细'!$AD$9:$AD$1592,MATCH("[6574,""1S01-BLK-37""]",'SKU明细'!$AE$9:$AE$1592,0)),INDEX('SKU明细'!$AD$9:$AD$1592,MATCH("[6574,""1S01-BLK-37.5""]",'SKU明细'!$AE$9:$AE$1592,0)),INDEX('SKU明细'!$AD$9:$AD$1592,MATCH("[6574,""1S01-BLK-39.5""]",'SKU明细'!$AE$9:$AE$1592,0)),INDEX('SKU明细'!$AD$9:$AD$1592,MATCH("[6574,""1S01-BLK-41.5""]",'SKU明细'!$AE$9:$AE$1592,0)),INDEX('SKU明细'!$AD$9:$AD$1592,MATCH("[6574,""1S01-BLK-38""]",'SKU明细'!$AE$9:$AE$1592,0)),INDEX('SKU明细'!$AD$9:$AD$1592,MATCH("[6574,""1S01-BLK-39""]",'SKU明细'!$AE$9:$AE$1592,0)),INDEX('SKU明细'!$AD$9:$AD$1592,MATCH("[6574,""1S01-BLK-40""]",'SKU明细'!$AE$9:$AE$1592,0)),INDEX('SKU明细'!$AD$9:$AD$1592,MATCH("[6574,""1S01-BLK-40.5""]",'SKU明细'!$AE$9:$AE$1592,0)),INDEX('SKU明细'!$AD$9:$AD$1592,MATCH("[6574,""1S01-BLK-41""]",'SKU明细'!$AE$9:$AE$1592,0)),INDEX('SKU明细'!$AD$9:$AD$1592,MATCH("[6574,""1S01-BLK-42""]",'SKU明细'!$AE$9:$AE$1592,0)))=10,SUM(INDEX('SKU明细'!$AD$9:$AD$1592,MATCH("[6574,""1S01-BLK-37""]",'SKU明细'!$AE$9:$AE$1592,0)),INDEX('SKU明细'!$AD$9:$AD$1592,MATCH("[6574,""1S01-BLK-37.5""]",'SKU明细'!$AE$9:$AE$1592,0)),INDEX('SKU明细'!$AD$9:$AD$1592,MATCH("[6574,""1S01-BLK-39.5""]",'SKU明细'!$AE$9:$AE$1592,0)),INDEX('SKU明细'!$AD$9:$AD$1592,MATCH("[6574,""1S01-BLK-41.5""]",'SKU明细'!$AE$9:$AE$1592,0)),INDEX('SKU明细'!$AD$9:$AD$1592,MATCH("[6574,""1S01-BLK-38""]",'SKU明细'!$AE$9:$AE$1592,0)),INDEX('SKU明细'!$AD$9:$AD$1592,MATCH("[6574,""1S01-BLK-39""]",'SKU明细'!$AE$9:$AE$1592,0)),INDEX('SKU明细'!$AD$9:$AD$1592,MATCH("[6574,""1S01-BLK-40""]",'SKU明细'!$AE$9:$AE$1592,0)),INDEX('SKU明细'!$AD$9:$AD$1592,MATCH("[6574,""1S01-BLK-40.5""]",'SKU明细'!$AE$9:$AE$1592,0)),INDEX('SKU明细'!$AD$9:$AD$1592,MATCH("[6574,""1S01-BLK-41""]",'SKU明细'!$AE$9:$AE$1592,0)),INDEX('SKU明细'!$AD$9:$AD$1592,MATCH("[6574,""1S01-BLK-42""]",'SKU明细'!$AE$9:$AE$1592,0)))&gt;0),SUM(INDEX('SKU明细'!$I$9:$I$1592,MATCH("[6574,""1S01-BLK-37""]",'SKU明细'!$AE$9:$AE$1592,0)),INDEX('SKU明细'!$I$9:$I$1592,MATCH("[6574,""1S01-BLK-37.5""]",'SKU明细'!$AE$9:$AE$1592,0)),INDEX('SKU明细'!$I$9:$I$1592,MATCH("[6574,""1S01-BLK-39.5""]",'SKU明细'!$AE$9:$AE$1592,0)),INDEX('SKU明细'!$I$9:$I$1592,MATCH("[6574,""1S01-BLK-41.5""]",'SKU明细'!$AE$9:$AE$1592,0)),INDEX('SKU明细'!$I$9:$I$1592,MATCH("[6574,""1S01-BLK-38""]",'SKU明细'!$AE$9:$AE$1592,0)),INDEX('SKU明细'!$I$9:$I$1592,MATCH("[6574,""1S01-BLK-39""]",'SKU明细'!$AE$9:$AE$1592,0)),INDEX('SKU明细'!$I$9:$I$1592,MATCH("[6574,""1S01-BLK-40""]",'SKU明细'!$AE$9:$AE$1592,0)),INDEX('SKU明细'!$I$9:$I$1592,MATCH("[6574,""1S01-BLK-40.5""]",'SKU明细'!$AE$9:$AE$1592,0)),INDEX('SKU明细'!$I$9:$I$1592,MATCH("[6574,""1S01-BLK-41""]",'SKU明细'!$AE$9:$AE$1592,0)),INDEX('SKU明细'!$I$9:$I$1592,MATCH("[6574,""1S01-BLK-42""]",'SKU明细'!$AE$9:$AE$1592,0)))/SUM(INDEX('SKU明细'!$AD$9:$AD$1592,MATCH("[6574,""1S01-BLK-37""]",'SKU明细'!$AE$9:$AE$1592,0)),INDEX('SKU明细'!$AD$9:$AD$1592,MATCH("[6574,""1S01-BLK-37.5""]",'SKU明细'!$AE$9:$AE$1592,0)),INDEX('SKU明细'!$AD$9:$AD$1592,MATCH("[6574,""1S01-BLK-39.5""]",'SKU明细'!$AE$9:$AE$1592,0)),INDEX('SKU明细'!$AD$9:$AD$1592,MATCH("[6574,""1S01-BLK-41.5""]",'SKU明细'!$AE$9:$AE$1592,0)),INDEX('SKU明细'!$AD$9:$AD$1592,MATCH("[6574,""1S01-BLK-38""]",'SKU明细'!$AE$9:$AE$1592,0)),INDEX('SKU明细'!$AD$9:$AD$1592,MATCH("[6574,""1S01-BLK-39""]",'SKU明细'!$AE$9:$AE$1592,0)),INDEX('SKU明细'!$AD$9:$AD$1592,MATCH("[6574,""1S01-BLK-40""]",'SKU明细'!$AE$9:$AE$1592,0)),INDEX('SKU明细'!$AD$9:$AD$1592,MATCH("[6574,""1S01-BLK-40.5""]",'SKU明细'!$AE$9:$AE$1592,0)),INDEX('SKU明细'!$AD$9:$AD$1592,MATCH("[6574,""1S01-BLK-41""]",'SKU明细'!$AE$9:$AE$1592,0)),INDEX('SKU明细'!$AD$9:$AD$1592,MATCH("[6574,""1S01-BLK-42""]",'SKU明细'!$AE$9:$AE$1592,0))),"待核")</x:f>
        <x:v>11.265031832115069</x:v>
      </x:c>
      <x:c r="U164" s="16" t="n">
        <x:f>IF(COUNT(S164:T164)=2,S164-T164,"待核")</x:f>
        <x:v>-1.33558121668427</x:v>
      </x:c>
      <x:c r="V164" s="17" t="n">
        <x:f>IF(AND(ISNUMBER(U164),ISNUMBER(T164),T164&lt;&gt;0),U164/T164,"")</x:f>
        <x:v>-0.11855991501743565</x:v>
      </x:c>
      <x:c r="W164" s="18" t="n">
        <x:f>IF(COUNT(INDEX('SKU明细'!$H$9:$H$1592,MATCH("[6574,""1S01-BLK-36""]",'SKU明细'!$AE$9:$AE$1592,0)),INDEX('SKU明细'!$H$9:$H$1592,MATCH("[6574,""1S01-BLK-37""]",'SKU明细'!$AE$9:$AE$1592,0)),INDEX('SKU明细'!$H$9:$H$1592,MATCH("[6574,""1S01-BLK-37.5""]",'SKU明细'!$AE$9:$AE$1592,0)),INDEX('SKU明细'!$H$9:$H$1592,MATCH("[6574,""1S01-BLK-38.5""]",'SKU明细'!$AE$9:$AE$1592,0)),INDEX('SKU明细'!$H$9:$H$1592,MATCH("[6574,""1S01-BLK-39.5""]",'SKU明细'!$AE$9:$AE$1592,0)),INDEX('SKU明细'!$H$9:$H$1592,MATCH("[6574,""1S01-BLK-41.5""]",'SKU明细'!$AE$9:$AE$1592,0)),INDEX('SKU明细'!$H$9:$H$1592,MATCH("[6574,""1S01-BLK-38""]",'SKU明细'!$AE$9:$AE$1592,0)),INDEX('SKU明细'!$H$9:$H$1592,MATCH("[6574,""1S01-BLK-39""]",'SKU明细'!$AE$9:$AE$1592,0)),INDEX('SKU明细'!$H$9:$H$1592,MATCH("[6574,""1S01-BLK-40""]",'SKU明细'!$AE$9:$AE$1592,0)),INDEX('SKU明细'!$H$9:$H$1592,MATCH("[6574,""1S01-BLK-40.5""]",'SKU明细'!$AE$9:$AE$1592,0)),INDEX('SKU明细'!$H$9:$H$1592,MATCH("[6574,""1S01-BLK-41""]",'SKU明细'!$AE$9:$AE$1592,0)),INDEX('SKU明细'!$H$9:$H$1592,MATCH("[6574,""1S01-BLK-42""]",'SKU明细'!$AE$9:$AE$1592,0)))=0,"待核",SUM(INDEX('SKU明细'!$H$9:$H$1592,MATCH("[6574,""1S01-BLK-36""]",'SKU明细'!$AE$9:$AE$1592,0)),INDEX('SKU明细'!$H$9:$H$1592,MATCH("[6574,""1S01-BLK-37""]",'SKU明细'!$AE$9:$AE$1592,0)),INDEX('SKU明细'!$H$9:$H$1592,MATCH("[6574,""1S01-BLK-37.5""]",'SKU明细'!$AE$9:$AE$1592,0)),INDEX('SKU明细'!$H$9:$H$1592,MATCH("[6574,""1S01-BLK-38.5""]",'SKU明细'!$AE$9:$AE$1592,0)),INDEX('SKU明细'!$H$9:$H$1592,MATCH("[6574,""1S01-BLK-39.5""]",'SKU明细'!$AE$9:$AE$1592,0)),INDEX('SKU明细'!$H$9:$H$1592,MATCH("[6574,""1S01-BLK-41.5""]",'SKU明细'!$AE$9:$AE$1592,0)),INDEX('SKU明细'!$H$9:$H$1592,MATCH("[6574,""1S01-BLK-38""]",'SKU明细'!$AE$9:$AE$1592,0)),INDEX('SKU明细'!$H$9:$H$1592,MATCH("[6574,""1S01-BLK-39""]",'SKU明细'!$AE$9:$AE$1592,0)),INDEX('SKU明细'!$H$9:$H$1592,MATCH("[6574,""1S01-BLK-40""]",'SKU明细'!$AE$9:$AE$1592,0)),INDEX('SKU明细'!$H$9:$H$1592,MATCH("[6574,""1S01-BLK-40.5""]",'SKU明细'!$AE$9:$AE$1592,0)),INDEX('SKU明细'!$H$9:$H$1592,MATCH("[6574,""1S01-BLK-41""]",'SKU明细'!$AE$9:$AE$1592,0)),INDEX('SKU明细'!$H$9:$H$1592,MATCH("[6574,""1S01-BLK-42""]",'SKU明细'!$AE$9:$AE$1592,0))))</x:f>
        <x:v>63</x:v>
      </x:c>
      <x:c r="X164" s="19" t="str">
        <x:f>IF(COUNTIFS('SKU明细'!$AH$9:$AH$1592,"[""1S01"",""1S01-BLK"",""BLK"",""黑色""]",'SKU明细'!$E$9:$E$1592,"促销")&gt;0,"促销 ","")&amp;IF(COUNTIFS('SKU明细'!$AH$9:$AH$1592,"[""1S01"",""1S01-BLK"",""BLK"",""黑色""]",'SKU明细'!$E$9:$E$1592,"红线促销")&gt;0,"红线促销 ","")&amp;IF(COUNTIFS('SKU明细'!$AH$9:$AH$1592,"[""1S01"",""1S01-BLK"",""BLK"",""黑色""]",'SKU明细'!$E$9:$E$1592,"考虑清仓")&gt;0,"考虑清仓 ","")&amp;IF(COUNTIFS('SKU明细'!$AH$9:$AH$1592,"[""1S01"",""1S01-BLK"",""BLK"",""黑色""]",'SKU明细'!$E$9:$E$1592,"断货")&gt;0,"断货 ","")&amp;IF(COUNTIFS('SKU明细'!$AH$9:$AH$1592,"[""1S01"",""1S01-BLK"",""BLK"",""黑色""]",'SKU明细'!$E$9:$E$1592,"零日销待复核")&gt;0,"零日销待复核 ","")&amp;IF(COUNTIFS('SKU明细'!$AH$9:$AH$1592,"[""1S01"",""1S01-BLK"",""BLK"",""黑色""]",'SKU明细'!$E$9:$E$1592,"数据待核")&gt;0,"数据待核 ","")&amp;IF(COUNTIFS('SKU明细'!$AH$9:$AH$1592,"[""1S01"",""1S01-BLK"",""BLK"",""黑色""]",'SKU明细'!$E$9:$E$1592,"正常库存")&gt;0,"正常库存 ","")&amp;IF(COUNTIFS('SKU明细'!$AH$9:$AH$1592,"[""1S01"",""1S01-BLK"",""BLK"",""黑色""]",'SKU明细'!$E$9:$E$1592,"补货提醒")&gt;0,"补货提醒 ","")</x:f>
        <x:v>断货 补货提醒 </x:v>
      </x:c>
      <x:c r="Y164" s="19" t="str">
        <x:f>IF(NOT(ISNUMBER(U164)),"覆盖待核／无可比基准","仅共同SKU")</x:f>
        <x:v>仅共同SKU</x:v>
      </x:c>
      <x:c r="Z164" s="19" t="str">
        <x:v>停售、在售</x:v>
      </x:c>
      <x:c r="AA164" s="19" t="n">
        <x:f>IF(SUMIFS('SKU明细'!$AF$9:$AF$1592,'SKU明细'!$D$9:$D$1592,A164,'SKU明细'!$Z$9:$Z$1592,"&lt;&gt;移出")=0,"待核",SUMIFS('SKU明细'!$H$9:$H$1592,'SKU明细'!$D$9:$D$1592,A164,'SKU明细'!$Z$9:$Z$1592,"&lt;&gt;移出"))</x:f>
        <x:v>476</x:v>
      </x:c>
    </x:row>
    <x:row r="165" ht="54" customHeight="1">
      <x:c r="A165" s="15" t="str">
        <x:v>1S01</x:v>
      </x:c>
      <x:c r="B165" s="15" t="str">
        <x:v>徐新怡</x:v>
      </x:c>
      <x:c r="C165" s="15" t="str">
        <x:v>深棕色</x:v>
      </x:c>
      <x:c r="D165" s="15" t="str">
        <x:v>BW</x:v>
      </x:c>
      <x:c r="E165" s="15" t="str">
        <x:v>1S01-BW</x:v>
      </x:c>
      <x:c r="F165" s="15"/>
      <x:c r="G165" s="16" t="str">
        <x:f>"—"</x:f>
        <x:v>—</x:v>
      </x:c>
      <x:c r="H165" s="16" t="str">
        <x:f>IF(AND(COUNT(INDEX('SKU明细'!$H$9:$H$1592,MATCH("[6574,""1S01-BW-6""]",'SKU明细'!$AE$9:$AE$1592,0)))=1,COUNT(INDEX('SKU明细'!$G$9:$G$1592,MATCH("[6574,""1S01-BW-6""]",'SKU明细'!$AE$9:$AE$1592,0)))=1,SUM(INDEX('SKU明细'!$G$9:$G$1592,MATCH("[6574,""1S01-BW-6""]",'SKU明细'!$AE$9:$AE$1592,0)))&gt;0),SUM(INDEX('SKU明细'!$H$9:$H$1592,MATCH("[6574,""1S01-BW-6""]",'SKU明细'!$AE$9:$AE$1592,0)))/SUM(INDEX('SKU明细'!$G$9:$G$1592,MATCH("[6574,""1S01-BW-6""]",'SKU明细'!$AE$9:$AE$1592,0))),"待核")</x:f>
        <x:v>待核</x:v>
      </x:c>
      <x:c r="I165" s="16" t="str">
        <x:f>IF(AND(COUNT(INDEX('SKU明细'!$H$9:$H$1592,MATCH("[6574,""1S01-BW-37.5""]",'SKU明细'!$AE$9:$AE$1592,0)))=1,COUNT(INDEX('SKU明细'!$G$9:$G$1592,MATCH("[6574,""1S01-BW-37.5""]",'SKU明细'!$AE$9:$AE$1592,0)))=1,SUM(INDEX('SKU明细'!$G$9:$G$1592,MATCH("[6574,""1S01-BW-37.5""]",'SKU明细'!$AE$9:$AE$1592,0)))&gt;0),SUM(INDEX('SKU明细'!$H$9:$H$1592,MATCH("[6574,""1S01-BW-37.5""]",'SKU明细'!$AE$9:$AE$1592,0)))/SUM(INDEX('SKU明细'!$G$9:$G$1592,MATCH("[6574,""1S01-BW-37.5""]",'SKU明细'!$AE$9:$AE$1592,0))),"待核")</x:f>
        <x:v>待核</x:v>
      </x:c>
      <x:c r="J165" s="16" t="str">
        <x:f>IF(AND(COUNT(INDEX('SKU明细'!$H$9:$H$1592,MATCH("[6574,""1S01-BW-7""]",'SKU明细'!$AE$9:$AE$1592,0)))=1,COUNT(INDEX('SKU明细'!$G$9:$G$1592,MATCH("[6574,""1S01-BW-7""]",'SKU明细'!$AE$9:$AE$1592,0)))=1,SUM(INDEX('SKU明细'!$G$9:$G$1592,MATCH("[6574,""1S01-BW-7""]",'SKU明细'!$AE$9:$AE$1592,0)))&gt;0),SUM(INDEX('SKU明细'!$H$9:$H$1592,MATCH("[6574,""1S01-BW-7""]",'SKU明细'!$AE$9:$AE$1592,0)))/SUM(INDEX('SKU明细'!$G$9:$G$1592,MATCH("[6574,""1S01-BW-7""]",'SKU明细'!$AE$9:$AE$1592,0))),"待核")</x:f>
        <x:v>待核</x:v>
      </x:c>
      <x:c r="K165" s="16" t="str">
        <x:f>IF(AND(COUNT(INDEX('SKU明细'!$H$9:$H$1592,MATCH("[6574,""1S01-BW-38.5""]",'SKU明细'!$AE$9:$AE$1592,0)))=1,COUNT(INDEX('SKU明细'!$G$9:$G$1592,MATCH("[6574,""1S01-BW-38.5""]",'SKU明细'!$AE$9:$AE$1592,0)))=1,SUM(INDEX('SKU明细'!$G$9:$G$1592,MATCH("[6574,""1S01-BW-38.5""]",'SKU明细'!$AE$9:$AE$1592,0)))&gt;0),SUM(INDEX('SKU明细'!$H$9:$H$1592,MATCH("[6574,""1S01-BW-38.5""]",'SKU明细'!$AE$9:$AE$1592,0)))/SUM(INDEX('SKU明细'!$G$9:$G$1592,MATCH("[6574,""1S01-BW-38.5""]",'SKU明细'!$AE$9:$AE$1592,0))),"待核")</x:f>
        <x:v>待核</x:v>
      </x:c>
      <x:c r="L165" s="16" t="str">
        <x:f>IF(AND(COUNT(INDEX('SKU明细'!$H$9:$H$1592,MATCH("[6574,""1S01-BW-8""]",'SKU明细'!$AE$9:$AE$1592,0)))=1,COUNT(INDEX('SKU明细'!$G$9:$G$1592,MATCH("[6574,""1S01-BW-8""]",'SKU明细'!$AE$9:$AE$1592,0)))=1,SUM(INDEX('SKU明细'!$G$9:$G$1592,MATCH("[6574,""1S01-BW-8""]",'SKU明细'!$AE$9:$AE$1592,0)))&gt;0),SUM(INDEX('SKU明细'!$H$9:$H$1592,MATCH("[6574,""1S01-BW-8""]",'SKU明细'!$AE$9:$AE$1592,0)))/SUM(INDEX('SKU明细'!$G$9:$G$1592,MATCH("[6574,""1S01-BW-8""]",'SKU明细'!$AE$9:$AE$1592,0))),"待核")</x:f>
        <x:v>待核</x:v>
      </x:c>
      <x:c r="M165" s="16" t="str">
        <x:f>IF(AND(COUNT(INDEX('SKU明细'!$H$9:$H$1592,MATCH("[6574,""1S01-BW-39.5""]",'SKU明细'!$AE$9:$AE$1592,0)))=1,COUNT(INDEX('SKU明细'!$G$9:$G$1592,MATCH("[6574,""1S01-BW-39.5""]",'SKU明细'!$AE$9:$AE$1592,0)))=1,SUM(INDEX('SKU明细'!$G$9:$G$1592,MATCH("[6574,""1S01-BW-39.5""]",'SKU明细'!$AE$9:$AE$1592,0)))&gt;0),SUM(INDEX('SKU明细'!$H$9:$H$1592,MATCH("[6574,""1S01-BW-39.5""]",'SKU明细'!$AE$9:$AE$1592,0)))/SUM(INDEX('SKU明细'!$G$9:$G$1592,MATCH("[6574,""1S01-BW-39.5""]",'SKU明细'!$AE$9:$AE$1592,0))),"待核")</x:f>
        <x:v>待核</x:v>
      </x:c>
      <x:c r="N165" s="16" t="str">
        <x:f>IF(AND(COUNT(INDEX('SKU明细'!$H$9:$H$1592,MATCH("[6574,""1S01-BW-9""]",'SKU明细'!$AE$9:$AE$1592,0)))=1,COUNT(INDEX('SKU明细'!$G$9:$G$1592,MATCH("[6574,""1S01-BW-9""]",'SKU明细'!$AE$9:$AE$1592,0)))=1,SUM(INDEX('SKU明细'!$G$9:$G$1592,MATCH("[6574,""1S01-BW-9""]",'SKU明细'!$AE$9:$AE$1592,0)))&gt;0),SUM(INDEX('SKU明细'!$H$9:$H$1592,MATCH("[6574,""1S01-BW-9""]",'SKU明细'!$AE$9:$AE$1592,0)))/SUM(INDEX('SKU明细'!$G$9:$G$1592,MATCH("[6574,""1S01-BW-9""]",'SKU明细'!$AE$9:$AE$1592,0))),"待核")</x:f>
        <x:v>待核</x:v>
      </x:c>
      <x:c r="O165" s="16" t="str">
        <x:f>IF(AND(COUNT(INDEX('SKU明细'!$H$9:$H$1592,MATCH("[6574,""1S01-BW-40.5""]",'SKU明细'!$AE$9:$AE$1592,0)))=1,COUNT(INDEX('SKU明细'!$G$9:$G$1592,MATCH("[6574,""1S01-BW-40.5""]",'SKU明细'!$AE$9:$AE$1592,0)))=1,SUM(INDEX('SKU明细'!$G$9:$G$1592,MATCH("[6574,""1S01-BW-40.5""]",'SKU明细'!$AE$9:$AE$1592,0)))&gt;0),SUM(INDEX('SKU明细'!$H$9:$H$1592,MATCH("[6574,""1S01-BW-40.5""]",'SKU明细'!$AE$9:$AE$1592,0)))/SUM(INDEX('SKU明细'!$G$9:$G$1592,MATCH("[6574,""1S01-BW-40.5""]",'SKU明细'!$AE$9:$AE$1592,0))),"待核")</x:f>
        <x:v>待核</x:v>
      </x:c>
      <x:c r="P165" s="16" t="str">
        <x:f>IF(AND(COUNT(INDEX('SKU明细'!$H$9:$H$1592,MATCH("[6574,""1S01-BW-10""]",'SKU明细'!$AE$9:$AE$1592,0)))=1,COUNT(INDEX('SKU明细'!$G$9:$G$1592,MATCH("[6574,""1S01-BW-10""]",'SKU明细'!$AE$9:$AE$1592,0)))=1,SUM(INDEX('SKU明细'!$G$9:$G$1592,MATCH("[6574,""1S01-BW-10""]",'SKU明细'!$AE$9:$AE$1592,0)))&gt;0),SUM(INDEX('SKU明细'!$H$9:$H$1592,MATCH("[6574,""1S01-BW-10""]",'SKU明细'!$AE$9:$AE$1592,0)))/SUM(INDEX('SKU明细'!$G$9:$G$1592,MATCH("[6574,""1S01-BW-10""]",'SKU明细'!$AE$9:$AE$1592,0))),"待核")</x:f>
        <x:v>待核</x:v>
      </x:c>
      <x:c r="Q165" s="16" t="str">
        <x:f>IF(AND(COUNT(INDEX('SKU明细'!$H$9:$H$1592,MATCH("[6574,""1S01-BW-41.5""]",'SKU明细'!$AE$9:$AE$1592,0)))=1,COUNT(INDEX('SKU明细'!$G$9:$G$1592,MATCH("[6574,""1S01-BW-41.5""]",'SKU明细'!$AE$9:$AE$1592,0)))=1,SUM(INDEX('SKU明细'!$G$9:$G$1592,MATCH("[6574,""1S01-BW-41.5""]",'SKU明细'!$AE$9:$AE$1592,0)))&gt;0),SUM(INDEX('SKU明细'!$H$9:$H$1592,MATCH("[6574,""1S01-BW-41.5""]",'SKU明细'!$AE$9:$AE$1592,0)))/SUM(INDEX('SKU明细'!$G$9:$G$1592,MATCH("[6574,""1S01-BW-41.5""]",'SKU明细'!$AE$9:$AE$1592,0))),"待核")</x:f>
        <x:v>待核</x:v>
      </x:c>
      <x:c r="R165" s="16" t="str">
        <x:f>IF(AND(COUNT(INDEX('SKU明细'!$H$9:$H$1592,MATCH("[6574,""1S01-BW-11""]",'SKU明细'!$AE$9:$AE$1592,0)))=1,COUNT(INDEX('SKU明细'!$G$9:$G$1592,MATCH("[6574,""1S01-BW-11""]",'SKU明细'!$AE$9:$AE$1592,0)))=1,SUM(INDEX('SKU明细'!$G$9:$G$1592,MATCH("[6574,""1S01-BW-11""]",'SKU明细'!$AE$9:$AE$1592,0)))&gt;0),SUM(INDEX('SKU明细'!$H$9:$H$1592,MATCH("[6574,""1S01-BW-11""]",'SKU明细'!$AE$9:$AE$1592,0)))/SUM(INDEX('SKU明细'!$G$9:$G$1592,MATCH("[6574,""1S01-BW-11""]",'SKU明细'!$AE$9:$AE$1592,0))),"待核")</x:f>
        <x:v>待核</x:v>
      </x:c>
      <x:c r="S165" s="16" t="str">
        <x:f>IF(AND(COUNT(INDEX('SKU明细'!$H$9:$H$1592,MATCH("[6574,""1S01-BW-10""]",'SKU明细'!$AE$9:$AE$1592,0)),INDEX('SKU明细'!$H$9:$H$1592,MATCH("[6574,""1S01-BW-11""]",'SKU明细'!$AE$9:$AE$1592,0)),INDEX('SKU明细'!$H$9:$H$1592,MATCH("[6574,""1S01-BW-6""]",'SKU明细'!$AE$9:$AE$1592,0)),INDEX('SKU明细'!$H$9:$H$1592,MATCH("[6574,""1S01-BW-7""]",'SKU明细'!$AE$9:$AE$1592,0)),INDEX('SKU明细'!$H$9:$H$1592,MATCH("[6574,""1S01-BW-8""]",'SKU明细'!$AE$9:$AE$1592,0)),INDEX('SKU明细'!$H$9:$H$1592,MATCH("[6574,""1S01-BW-9""]",'SKU明细'!$AE$9:$AE$1592,0)))=6,COUNT(INDEX('SKU明细'!$G$9:$G$1592,MATCH("[6574,""1S01-BW-10""]",'SKU明细'!$AE$9:$AE$1592,0)),INDEX('SKU明细'!$G$9:$G$1592,MATCH("[6574,""1S01-BW-11""]",'SKU明细'!$AE$9:$AE$1592,0)),INDEX('SKU明细'!$G$9:$G$1592,MATCH("[6574,""1S01-BW-6""]",'SKU明细'!$AE$9:$AE$1592,0)),INDEX('SKU明细'!$G$9:$G$1592,MATCH("[6574,""1S01-BW-7""]",'SKU明细'!$AE$9:$AE$1592,0)),INDEX('SKU明细'!$G$9:$G$1592,MATCH("[6574,""1S01-BW-8""]",'SKU明细'!$AE$9:$AE$1592,0)),INDEX('SKU明细'!$G$9:$G$1592,MATCH("[6574,""1S01-BW-9""]",'SKU明细'!$AE$9:$AE$1592,0)))=6,SUM(INDEX('SKU明细'!$G$9:$G$1592,MATCH("[6574,""1S01-BW-10""]",'SKU明细'!$AE$9:$AE$1592,0)),INDEX('SKU明细'!$G$9:$G$1592,MATCH("[6574,""1S01-BW-11""]",'SKU明细'!$AE$9:$AE$1592,0)),INDEX('SKU明细'!$G$9:$G$1592,MATCH("[6574,""1S01-BW-6""]",'SKU明细'!$AE$9:$AE$1592,0)),INDEX('SKU明细'!$G$9:$G$1592,MATCH("[6574,""1S01-BW-7""]",'SKU明细'!$AE$9:$AE$1592,0)),INDEX('SKU明细'!$G$9:$G$1592,MATCH("[6574,""1S01-BW-8""]",'SKU明细'!$AE$9:$AE$1592,0)),INDEX('SKU明细'!$G$9:$G$1592,MATCH("[6574,""1S01-BW-9""]",'SKU明细'!$AE$9:$AE$1592,0)))&gt;0),SUM(INDEX('SKU明细'!$H$9:$H$1592,MATCH("[6574,""1S01-BW-10""]",'SKU明细'!$AE$9:$AE$1592,0)),INDEX('SKU明细'!$H$9:$H$1592,MATCH("[6574,""1S01-BW-11""]",'SKU明细'!$AE$9:$AE$1592,0)),INDEX('SKU明细'!$H$9:$H$1592,MATCH("[6574,""1S01-BW-6""]",'SKU明细'!$AE$9:$AE$1592,0)),INDEX('SKU明细'!$H$9:$H$1592,MATCH("[6574,""1S01-BW-7""]",'SKU明细'!$AE$9:$AE$1592,0)),INDEX('SKU明细'!$H$9:$H$1592,MATCH("[6574,""1S01-BW-8""]",'SKU明细'!$AE$9:$AE$1592,0)),INDEX('SKU明细'!$H$9:$H$1592,MATCH("[6574,""1S01-BW-9""]",'SKU明细'!$AE$9:$AE$1592,0)))/SUM(INDEX('SKU明细'!$G$9:$G$1592,MATCH("[6574,""1S01-BW-10""]",'SKU明细'!$AE$9:$AE$1592,0)),INDEX('SKU明细'!$G$9:$G$1592,MATCH("[6574,""1S01-BW-11""]",'SKU明细'!$AE$9:$AE$1592,0)),INDEX('SKU明细'!$G$9:$G$1592,MATCH("[6574,""1S01-BW-6""]",'SKU明细'!$AE$9:$AE$1592,0)),INDEX('SKU明细'!$G$9:$G$1592,MATCH("[6574,""1S01-BW-7""]",'SKU明细'!$AE$9:$AE$1592,0)),INDEX('SKU明细'!$G$9:$G$1592,MATCH("[6574,""1S01-BW-8""]",'SKU明细'!$AE$9:$AE$1592,0)),INDEX('SKU明细'!$G$9:$G$1592,MATCH("[6574,""1S01-BW-9""]",'SKU明细'!$AE$9:$AE$1592,0))),"待核")</x:f>
        <x:v>待核</x:v>
      </x:c>
      <x:c r="T165" s="16" t="str">
        <x:f>IF(AND(COUNT(INDEX('SKU明细'!$I$9:$I$1592,MATCH("[6574,""1S01-BW-10""]",'SKU明细'!$AE$9:$AE$1592,0)),INDEX('SKU明细'!$I$9:$I$1592,MATCH("[6574,""1S01-BW-11""]",'SKU明细'!$AE$9:$AE$1592,0)),INDEX('SKU明细'!$I$9:$I$1592,MATCH("[6574,""1S01-BW-6""]",'SKU明细'!$AE$9:$AE$1592,0)),INDEX('SKU明细'!$I$9:$I$1592,MATCH("[6574,""1S01-BW-7""]",'SKU明细'!$AE$9:$AE$1592,0)),INDEX('SKU明细'!$I$9:$I$1592,MATCH("[6574,""1S01-BW-8""]",'SKU明细'!$AE$9:$AE$1592,0)),INDEX('SKU明细'!$I$9:$I$1592,MATCH("[6574,""1S01-BW-9""]",'SKU明细'!$AE$9:$AE$1592,0)))=6,COUNT(INDEX('SKU明细'!$AD$9:$AD$1592,MATCH("[6574,""1S01-BW-10""]",'SKU明细'!$AE$9:$AE$1592,0)),INDEX('SKU明细'!$AD$9:$AD$1592,MATCH("[6574,""1S01-BW-11""]",'SKU明细'!$AE$9:$AE$1592,0)),INDEX('SKU明细'!$AD$9:$AD$1592,MATCH("[6574,""1S01-BW-6""]",'SKU明细'!$AE$9:$AE$1592,0)),INDEX('SKU明细'!$AD$9:$AD$1592,MATCH("[6574,""1S01-BW-7""]",'SKU明细'!$AE$9:$AE$1592,0)),INDEX('SKU明细'!$AD$9:$AD$1592,MATCH("[6574,""1S01-BW-8""]",'SKU明细'!$AE$9:$AE$1592,0)),INDEX('SKU明细'!$AD$9:$AD$1592,MATCH("[6574,""1S01-BW-9""]",'SKU明细'!$AE$9:$AE$1592,0)))=6,SUM(INDEX('SKU明细'!$AD$9:$AD$1592,MATCH("[6574,""1S01-BW-10""]",'SKU明细'!$AE$9:$AE$1592,0)),INDEX('SKU明细'!$AD$9:$AD$1592,MATCH("[6574,""1S01-BW-11""]",'SKU明细'!$AE$9:$AE$1592,0)),INDEX('SKU明细'!$AD$9:$AD$1592,MATCH("[6574,""1S01-BW-6""]",'SKU明细'!$AE$9:$AE$1592,0)),INDEX('SKU明细'!$AD$9:$AD$1592,MATCH("[6574,""1S01-BW-7""]",'SKU明细'!$AE$9:$AE$1592,0)),INDEX('SKU明细'!$AD$9:$AD$1592,MATCH("[6574,""1S01-BW-8""]",'SKU明细'!$AE$9:$AE$1592,0)),INDEX('SKU明细'!$AD$9:$AD$1592,MATCH("[6574,""1S01-BW-9""]",'SKU明细'!$AE$9:$AE$1592,0)))&gt;0),SUM(INDEX('SKU明细'!$I$9:$I$1592,MATCH("[6574,""1S01-BW-10""]",'SKU明细'!$AE$9:$AE$1592,0)),INDEX('SKU明细'!$I$9:$I$1592,MATCH("[6574,""1S01-BW-11""]",'SKU明细'!$AE$9:$AE$1592,0)),INDEX('SKU明细'!$I$9:$I$1592,MATCH("[6574,""1S01-BW-6""]",'SKU明细'!$AE$9:$AE$1592,0)),INDEX('SKU明细'!$I$9:$I$1592,MATCH("[6574,""1S01-BW-7""]",'SKU明细'!$AE$9:$AE$1592,0)),INDEX('SKU明细'!$I$9:$I$1592,MATCH("[6574,""1S01-BW-8""]",'SKU明细'!$AE$9:$AE$1592,0)),INDEX('SKU明细'!$I$9:$I$1592,MATCH("[6574,""1S01-BW-9""]",'SKU明细'!$AE$9:$AE$1592,0)))/SUM(INDEX('SKU明细'!$AD$9:$AD$1592,MATCH("[6574,""1S01-BW-10""]",'SKU明细'!$AE$9:$AE$1592,0)),INDEX('SKU明细'!$AD$9:$AD$1592,MATCH("[6574,""1S01-BW-11""]",'SKU明细'!$AE$9:$AE$1592,0)),INDEX('SKU明细'!$AD$9:$AD$1592,MATCH("[6574,""1S01-BW-6""]",'SKU明细'!$AE$9:$AE$1592,0)),INDEX('SKU明细'!$AD$9:$AD$1592,MATCH("[6574,""1S01-BW-7""]",'SKU明细'!$AE$9:$AE$1592,0)),INDEX('SKU明细'!$AD$9:$AD$1592,MATCH("[6574,""1S01-BW-8""]",'SKU明细'!$AE$9:$AE$1592,0)),INDEX('SKU明细'!$AD$9:$AD$1592,MATCH("[6574,""1S01-BW-9""]",'SKU明细'!$AE$9:$AE$1592,0))),"待核")</x:f>
        <x:v>待核</x:v>
      </x:c>
      <x:c r="U165" s="16" t="str">
        <x:f>IF(COUNT(S165:T165)=2,S165-T165,"待核")</x:f>
        <x:v>待核</x:v>
      </x:c>
      <x:c r="V165" s="17" t="str">
        <x:f>IF(AND(ISNUMBER(U165),ISNUMBER(T165),T165&lt;&gt;0),U165/T165,"")</x:f>
      </x:c>
      <x:c r="W165" s="18" t="n">
        <x:f>IF(COUNT(INDEX('SKU明细'!$H$9:$H$1592,MATCH("[6574,""1S01-BW-10""]",'SKU明细'!$AE$9:$AE$1592,0)),INDEX('SKU明细'!$H$9:$H$1592,MATCH("[6574,""1S01-BW-11""]",'SKU明细'!$AE$9:$AE$1592,0)),INDEX('SKU明细'!$H$9:$H$1592,MATCH("[6574,""1S01-BW-37.5""]",'SKU明细'!$AE$9:$AE$1592,0)),INDEX('SKU明细'!$H$9:$H$1592,MATCH("[6574,""1S01-BW-38.5""]",'SKU明细'!$AE$9:$AE$1592,0)),INDEX('SKU明细'!$H$9:$H$1592,MATCH("[6574,""1S01-BW-39.5""]",'SKU明细'!$AE$9:$AE$1592,0)),INDEX('SKU明细'!$H$9:$H$1592,MATCH("[6574,""1S01-BW-40.5""]",'SKU明细'!$AE$9:$AE$1592,0)),INDEX('SKU明细'!$H$9:$H$1592,MATCH("[6574,""1S01-BW-41.5""]",'SKU明细'!$AE$9:$AE$1592,0)),INDEX('SKU明细'!$H$9:$H$1592,MATCH("[6574,""1S01-BW-6""]",'SKU明细'!$AE$9:$AE$1592,0)),INDEX('SKU明细'!$H$9:$H$1592,MATCH("[6574,""1S01-BW-7""]",'SKU明细'!$AE$9:$AE$1592,0)),INDEX('SKU明细'!$H$9:$H$1592,MATCH("[6574,""1S01-BW-8""]",'SKU明细'!$AE$9:$AE$1592,0)),INDEX('SKU明细'!$H$9:$H$1592,MATCH("[6574,""1S01-BW-9""]",'SKU明细'!$AE$9:$AE$1592,0)))=0,"待核",SUM(INDEX('SKU明细'!$H$9:$H$1592,MATCH("[6574,""1S01-BW-10""]",'SKU明细'!$AE$9:$AE$1592,0)),INDEX('SKU明细'!$H$9:$H$1592,MATCH("[6574,""1S01-BW-11""]",'SKU明细'!$AE$9:$AE$1592,0)),INDEX('SKU明细'!$H$9:$H$1592,MATCH("[6574,""1S01-BW-37.5""]",'SKU明细'!$AE$9:$AE$1592,0)),INDEX('SKU明细'!$H$9:$H$1592,MATCH("[6574,""1S01-BW-38.5""]",'SKU明细'!$AE$9:$AE$1592,0)),INDEX('SKU明细'!$H$9:$H$1592,MATCH("[6574,""1S01-BW-39.5""]",'SKU明细'!$AE$9:$AE$1592,0)),INDEX('SKU明细'!$H$9:$H$1592,MATCH("[6574,""1S01-BW-40.5""]",'SKU明细'!$AE$9:$AE$1592,0)),INDEX('SKU明细'!$H$9:$H$1592,MATCH("[6574,""1S01-BW-41.5""]",'SKU明细'!$AE$9:$AE$1592,0)),INDEX('SKU明细'!$H$9:$H$1592,MATCH("[6574,""1S01-BW-6""]",'SKU明细'!$AE$9:$AE$1592,0)),INDEX('SKU明细'!$H$9:$H$1592,MATCH("[6574,""1S01-BW-7""]",'SKU明细'!$AE$9:$AE$1592,0)),INDEX('SKU明细'!$H$9:$H$1592,MATCH("[6574,""1S01-BW-8""]",'SKU明细'!$AE$9:$AE$1592,0)),INDEX('SKU明细'!$H$9:$H$1592,MATCH("[6574,""1S01-BW-9""]",'SKU明细'!$AE$9:$AE$1592,0))))</x:f>
        <x:v>0</x:v>
      </x:c>
      <x:c r="X165" s="19" t="str">
        <x:f>IF(COUNTIFS('SKU明细'!$AH$9:$AH$1592,"[""1S01"",""1S01-BW"",""BW"",""深棕色""]",'SKU明细'!$E$9:$E$1592,"促销")&gt;0,"促销 ","")&amp;IF(COUNTIFS('SKU明细'!$AH$9:$AH$1592,"[""1S01"",""1S01-BW"",""BW"",""深棕色""]",'SKU明细'!$E$9:$E$1592,"红线促销")&gt;0,"红线促销 ","")&amp;IF(COUNTIFS('SKU明细'!$AH$9:$AH$1592,"[""1S01"",""1S01-BW"",""BW"",""深棕色""]",'SKU明细'!$E$9:$E$1592,"考虑清仓")&gt;0,"考虑清仓 ","")&amp;IF(COUNTIFS('SKU明细'!$AH$9:$AH$1592,"[""1S01"",""1S01-BW"",""BW"",""深棕色""]",'SKU明细'!$E$9:$E$1592,"断货")&gt;0,"断货 ","")&amp;IF(COUNTIFS('SKU明细'!$AH$9:$AH$1592,"[""1S01"",""1S01-BW"",""BW"",""深棕色""]",'SKU明细'!$E$9:$E$1592,"零日销待复核")&gt;0,"零日销待复核 ","")&amp;IF(COUNTIFS('SKU明细'!$AH$9:$AH$1592,"[""1S01"",""1S01-BW"",""BW"",""深棕色""]",'SKU明细'!$E$9:$E$1592,"数据待核")&gt;0,"数据待核 ","")&amp;IF(COUNTIFS('SKU明细'!$AH$9:$AH$1592,"[""1S01"",""1S01-BW"",""BW"",""深棕色""]",'SKU明细'!$E$9:$E$1592,"正常库存")&gt;0,"正常库存 ","")&amp;IF(COUNTIFS('SKU明细'!$AH$9:$AH$1592,"[""1S01"",""1S01-BW"",""BW"",""深棕色""]",'SKU明细'!$E$9:$E$1592,"补货提醒")&gt;0,"补货提醒 ","")</x:f>
        <x:v>断货 </x:v>
      </x:c>
      <x:c r="Y165" s="19" t="str">
        <x:f>IF(NOT(ISNUMBER(U165)),"覆盖待核／无可比基准","仅共同SKU")</x:f>
        <x:v>覆盖待核／无可比基准</x:v>
      </x:c>
      <x:c r="Z165" s="19" t="str">
        <x:v>停售</x:v>
      </x:c>
      <x:c r="AA165" s="19" t="n">
        <x:f>IF(SUMIFS('SKU明细'!$AF$9:$AF$1592,'SKU明细'!$D$9:$D$1592,A165,'SKU明细'!$Z$9:$Z$1592,"&lt;&gt;移出")=0,"待核",SUMIFS('SKU明细'!$H$9:$H$1592,'SKU明细'!$D$9:$D$1592,A165,'SKU明细'!$Z$9:$Z$1592,"&lt;&gt;移出"))</x:f>
        <x:v>476</x:v>
      </x:c>
    </x:row>
    <x:row r="166" ht="54" customHeight="1">
      <x:c r="A166" s="15" t="str">
        <x:v>1S01</x:v>
      </x:c>
      <x:c r="B166" s="15" t="str">
        <x:v>徐新怡</x:v>
      </x:c>
      <x:c r="C166" s="15" t="str">
        <x:v>香槟金</x:v>
      </x:c>
      <x:c r="D166" s="15" t="str">
        <x:v>CPG</x:v>
      </x:c>
      <x:c r="E166" s="15" t="str">
        <x:v>1S01-CPG</x:v>
      </x:c>
      <x:c r="F166" s="15"/>
      <x:c r="G166" s="16" t="str">
        <x:f>"—"</x:f>
        <x:v>—</x:v>
      </x:c>
      <x:c r="H166" s="16" t="str">
        <x:f>IF(AND(COUNT(INDEX('SKU明细'!$H$9:$H$1592,MATCH("[13120,""1S01-CPG-6""]",'SKU明细'!$AE$9:$AE$1592,0)))=1,COUNT(INDEX('SKU明细'!$G$9:$G$1592,MATCH("[13120,""1S01-CPG-6""]",'SKU明细'!$AE$9:$AE$1592,0)))=1,SUM(INDEX('SKU明细'!$G$9:$G$1592,MATCH("[13120,""1S01-CPG-6""]",'SKU明细'!$AE$9:$AE$1592,0)))&gt;0),SUM(INDEX('SKU明细'!$H$9:$H$1592,MATCH("[13120,""1S01-CPG-6""]",'SKU明细'!$AE$9:$AE$1592,0)))/SUM(INDEX('SKU明细'!$G$9:$G$1592,MATCH("[13120,""1S01-CPG-6""]",'SKU明细'!$AE$9:$AE$1592,0))),"待核")</x:f>
        <x:v>待核</x:v>
      </x:c>
      <x:c r="I166" s="16" t="str">
        <x:f>IF(AND(COUNT(INDEX('SKU明细'!$H$9:$H$1592,MATCH("[13120,""1S01-CPG-37.5""]",'SKU明细'!$AE$9:$AE$1592,0)))=1,COUNT(INDEX('SKU明细'!$G$9:$G$1592,MATCH("[13120,""1S01-CPG-37.5""]",'SKU明细'!$AE$9:$AE$1592,0)))=1,SUM(INDEX('SKU明细'!$G$9:$G$1592,MATCH("[13120,""1S01-CPG-37.5""]",'SKU明细'!$AE$9:$AE$1592,0)))&gt;0),SUM(INDEX('SKU明细'!$H$9:$H$1592,MATCH("[13120,""1S01-CPG-37.5""]",'SKU明细'!$AE$9:$AE$1592,0)))/SUM(INDEX('SKU明细'!$G$9:$G$1592,MATCH("[13120,""1S01-CPG-37.5""]",'SKU明细'!$AE$9:$AE$1592,0))),"待核")</x:f>
        <x:v>待核</x:v>
      </x:c>
      <x:c r="J166" s="16" t="str">
        <x:f>IF(AND(COUNT(INDEX('SKU明细'!$H$9:$H$1592,MATCH("[13120,""1S01-CPG-7""]",'SKU明细'!$AE$9:$AE$1592,0)))=1,COUNT(INDEX('SKU明细'!$G$9:$G$1592,MATCH("[13120,""1S01-CPG-7""]",'SKU明细'!$AE$9:$AE$1592,0)))=1,SUM(INDEX('SKU明细'!$G$9:$G$1592,MATCH("[13120,""1S01-CPG-7""]",'SKU明细'!$AE$9:$AE$1592,0)))&gt;0),SUM(INDEX('SKU明细'!$H$9:$H$1592,MATCH("[13120,""1S01-CPG-7""]",'SKU明细'!$AE$9:$AE$1592,0)))/SUM(INDEX('SKU明细'!$G$9:$G$1592,MATCH("[13120,""1S01-CPG-7""]",'SKU明细'!$AE$9:$AE$1592,0))),"待核")</x:f>
        <x:v>待核</x:v>
      </x:c>
      <x:c r="K166" s="16" t="str">
        <x:f>IF(AND(COUNT(INDEX('SKU明细'!$H$9:$H$1592,MATCH("[13120,""1S01-CPG-38.5""]",'SKU明细'!$AE$9:$AE$1592,0)))=1,COUNT(INDEX('SKU明细'!$G$9:$G$1592,MATCH("[13120,""1S01-CPG-38.5""]",'SKU明细'!$AE$9:$AE$1592,0)))=1,SUM(INDEX('SKU明细'!$G$9:$G$1592,MATCH("[13120,""1S01-CPG-38.5""]",'SKU明细'!$AE$9:$AE$1592,0)))&gt;0),SUM(INDEX('SKU明细'!$H$9:$H$1592,MATCH("[13120,""1S01-CPG-38.5""]",'SKU明细'!$AE$9:$AE$1592,0)))/SUM(INDEX('SKU明细'!$G$9:$G$1592,MATCH("[13120,""1S01-CPG-38.5""]",'SKU明细'!$AE$9:$AE$1592,0))),"待核")</x:f>
        <x:v>待核</x:v>
      </x:c>
      <x:c r="L166" s="16" t="str">
        <x:f>IF(AND(COUNT(INDEX('SKU明细'!$H$9:$H$1592,MATCH("[13120,""1S01-CPG-8""]",'SKU明细'!$AE$9:$AE$1592,0)))=1,COUNT(INDEX('SKU明细'!$G$9:$G$1592,MATCH("[13120,""1S01-CPG-8""]",'SKU明细'!$AE$9:$AE$1592,0)))=1,SUM(INDEX('SKU明细'!$G$9:$G$1592,MATCH("[13120,""1S01-CPG-8""]",'SKU明细'!$AE$9:$AE$1592,0)))&gt;0),SUM(INDEX('SKU明细'!$H$9:$H$1592,MATCH("[13120,""1S01-CPG-8""]",'SKU明细'!$AE$9:$AE$1592,0)))/SUM(INDEX('SKU明细'!$G$9:$G$1592,MATCH("[13120,""1S01-CPG-8""]",'SKU明细'!$AE$9:$AE$1592,0))),"待核")</x:f>
        <x:v>待核</x:v>
      </x:c>
      <x:c r="M166" s="16" t="str">
        <x:f>IF(AND(COUNT(INDEX('SKU明细'!$H$9:$H$1592,MATCH("[13120,""1S01-CPG-39.5""]",'SKU明细'!$AE$9:$AE$1592,0)))=1,COUNT(INDEX('SKU明细'!$G$9:$G$1592,MATCH("[13120,""1S01-CPG-39.5""]",'SKU明细'!$AE$9:$AE$1592,0)))=1,SUM(INDEX('SKU明细'!$G$9:$G$1592,MATCH("[13120,""1S01-CPG-39.5""]",'SKU明细'!$AE$9:$AE$1592,0)))&gt;0),SUM(INDEX('SKU明细'!$H$9:$H$1592,MATCH("[13120,""1S01-CPG-39.5""]",'SKU明细'!$AE$9:$AE$1592,0)))/SUM(INDEX('SKU明细'!$G$9:$G$1592,MATCH("[13120,""1S01-CPG-39.5""]",'SKU明细'!$AE$9:$AE$1592,0))),"待核")</x:f>
        <x:v>待核</x:v>
      </x:c>
      <x:c r="N166" s="16" t="str">
        <x:f>IF(AND(COUNT(INDEX('SKU明细'!$H$9:$H$1592,MATCH("[13120,""1S01-CPG-9""]",'SKU明细'!$AE$9:$AE$1592,0)))=1,COUNT(INDEX('SKU明细'!$G$9:$G$1592,MATCH("[13120,""1S01-CPG-9""]",'SKU明细'!$AE$9:$AE$1592,0)))=1,SUM(INDEX('SKU明细'!$G$9:$G$1592,MATCH("[13120,""1S01-CPG-9""]",'SKU明细'!$AE$9:$AE$1592,0)))&gt;0),SUM(INDEX('SKU明细'!$H$9:$H$1592,MATCH("[13120,""1S01-CPG-9""]",'SKU明细'!$AE$9:$AE$1592,0)))/SUM(INDEX('SKU明细'!$G$9:$G$1592,MATCH("[13120,""1S01-CPG-9""]",'SKU明细'!$AE$9:$AE$1592,0))),"待核")</x:f>
        <x:v>待核</x:v>
      </x:c>
      <x:c r="O166" s="16" t="str">
        <x:f>IF(AND(COUNT(INDEX('SKU明细'!$H$9:$H$1592,MATCH("[13120,""1S01-CPG-40.5""]",'SKU明细'!$AE$9:$AE$1592,0)))=1,COUNT(INDEX('SKU明细'!$G$9:$G$1592,MATCH("[13120,""1S01-CPG-40.5""]",'SKU明细'!$AE$9:$AE$1592,0)))=1,SUM(INDEX('SKU明细'!$G$9:$G$1592,MATCH("[13120,""1S01-CPG-40.5""]",'SKU明细'!$AE$9:$AE$1592,0)))&gt;0),SUM(INDEX('SKU明细'!$H$9:$H$1592,MATCH("[13120,""1S01-CPG-40.5""]",'SKU明细'!$AE$9:$AE$1592,0)))/SUM(INDEX('SKU明细'!$G$9:$G$1592,MATCH("[13120,""1S01-CPG-40.5""]",'SKU明细'!$AE$9:$AE$1592,0))),"待核")</x:f>
        <x:v>待核</x:v>
      </x:c>
      <x:c r="P166" s="16" t="str">
        <x:f>IF(AND(COUNT(INDEX('SKU明细'!$H$9:$H$1592,MATCH("[13120,""1S01-CPG-10""]",'SKU明细'!$AE$9:$AE$1592,0)))=1,COUNT(INDEX('SKU明细'!$G$9:$G$1592,MATCH("[13120,""1S01-CPG-10""]",'SKU明细'!$AE$9:$AE$1592,0)))=1,SUM(INDEX('SKU明细'!$G$9:$G$1592,MATCH("[13120,""1S01-CPG-10""]",'SKU明细'!$AE$9:$AE$1592,0)))&gt;0),SUM(INDEX('SKU明细'!$H$9:$H$1592,MATCH("[13120,""1S01-CPG-10""]",'SKU明细'!$AE$9:$AE$1592,0)))/SUM(INDEX('SKU明细'!$G$9:$G$1592,MATCH("[13120,""1S01-CPG-10""]",'SKU明细'!$AE$9:$AE$1592,0))),"待核")</x:f>
        <x:v>待核</x:v>
      </x:c>
      <x:c r="Q166" s="16" t="str">
        <x:f>IF(AND(COUNT(INDEX('SKU明细'!$H$9:$H$1592,MATCH("[13120,""1S01-CPG-41.5""]",'SKU明细'!$AE$9:$AE$1592,0)))=1,COUNT(INDEX('SKU明细'!$G$9:$G$1592,MATCH("[13120,""1S01-CPG-41.5""]",'SKU明细'!$AE$9:$AE$1592,0)))=1,SUM(INDEX('SKU明细'!$G$9:$G$1592,MATCH("[13120,""1S01-CPG-41.5""]",'SKU明细'!$AE$9:$AE$1592,0)))&gt;0),SUM(INDEX('SKU明细'!$H$9:$H$1592,MATCH("[13120,""1S01-CPG-41.5""]",'SKU明细'!$AE$9:$AE$1592,0)))/SUM(INDEX('SKU明细'!$G$9:$G$1592,MATCH("[13120,""1S01-CPG-41.5""]",'SKU明细'!$AE$9:$AE$1592,0))),"待核")</x:f>
        <x:v>待核</x:v>
      </x:c>
      <x:c r="R166" s="16" t="str">
        <x:f>IF(AND(COUNT(INDEX('SKU明细'!$H$9:$H$1592,MATCH("[13120,""1S01-CPG-11""]",'SKU明细'!$AE$9:$AE$1592,0)))=1,COUNT(INDEX('SKU明细'!$G$9:$G$1592,MATCH("[13120,""1S01-CPG-11""]",'SKU明细'!$AE$9:$AE$1592,0)))=1,SUM(INDEX('SKU明细'!$G$9:$G$1592,MATCH("[13120,""1S01-CPG-11""]",'SKU明细'!$AE$9:$AE$1592,0)))&gt;0),SUM(INDEX('SKU明细'!$H$9:$H$1592,MATCH("[13120,""1S01-CPG-11""]",'SKU明细'!$AE$9:$AE$1592,0)))/SUM(INDEX('SKU明细'!$G$9:$G$1592,MATCH("[13120,""1S01-CPG-11""]",'SKU明细'!$AE$9:$AE$1592,0))),"待核")</x:f>
        <x:v>待核</x:v>
      </x:c>
      <x:c r="S166" s="16" t="str">
        <x:f>"—"</x:f>
        <x:v>—</x:v>
      </x:c>
      <x:c r="T166" s="16" t="str">
        <x:f>"—"</x:f>
        <x:v>—</x:v>
      </x:c>
      <x:c r="U166" s="16" t="str">
        <x:f>IF(COUNT(S166:T166)=2,S166-T166,"待核")</x:f>
        <x:v>待核</x:v>
      </x:c>
      <x:c r="V166" s="17" t="str">
        <x:f>IF(AND(ISNUMBER(U166),ISNUMBER(T166),T166&lt;&gt;0),U166/T166,"")</x:f>
      </x:c>
      <x:c r="W166" s="18" t="str">
        <x:f>IF(COUNT(INDEX('SKU明细'!$H$9:$H$1592,MATCH("[13120,""1S01-CPG-10""]",'SKU明细'!$AE$9:$AE$1592,0)),INDEX('SKU明细'!$H$9:$H$1592,MATCH("[13120,""1S01-CPG-11""]",'SKU明细'!$AE$9:$AE$1592,0)),INDEX('SKU明细'!$H$9:$H$1592,MATCH("[13120,""1S01-CPG-37.5""]",'SKU明细'!$AE$9:$AE$1592,0)),INDEX('SKU明细'!$H$9:$H$1592,MATCH("[13120,""1S01-CPG-38.5""]",'SKU明细'!$AE$9:$AE$1592,0)),INDEX('SKU明细'!$H$9:$H$1592,MATCH("[13120,""1S01-CPG-39.5""]",'SKU明细'!$AE$9:$AE$1592,0)),INDEX('SKU明细'!$H$9:$H$1592,MATCH("[13120,""1S01-CPG-40.5""]",'SKU明细'!$AE$9:$AE$1592,0)),INDEX('SKU明细'!$H$9:$H$1592,MATCH("[13120,""1S01-CPG-41.5""]",'SKU明细'!$AE$9:$AE$1592,0)),INDEX('SKU明细'!$H$9:$H$1592,MATCH("[13120,""1S01-CPG-6""]",'SKU明细'!$AE$9:$AE$1592,0)),INDEX('SKU明细'!$H$9:$H$1592,MATCH("[13120,""1S01-CPG-7""]",'SKU明细'!$AE$9:$AE$1592,0)),INDEX('SKU明细'!$H$9:$H$1592,MATCH("[13120,""1S01-CPG-8""]",'SKU明细'!$AE$9:$AE$1592,0)),INDEX('SKU明细'!$H$9:$H$1592,MATCH("[13120,""1S01-CPG-9""]",'SKU明细'!$AE$9:$AE$1592,0)))=0,"待核",SUM(INDEX('SKU明细'!$H$9:$H$1592,MATCH("[13120,""1S01-CPG-10""]",'SKU明细'!$AE$9:$AE$1592,0)),INDEX('SKU明细'!$H$9:$H$1592,MATCH("[13120,""1S01-CPG-11""]",'SKU明细'!$AE$9:$AE$1592,0)),INDEX('SKU明细'!$H$9:$H$1592,MATCH("[13120,""1S01-CPG-37.5""]",'SKU明细'!$AE$9:$AE$1592,0)),INDEX('SKU明细'!$H$9:$H$1592,MATCH("[13120,""1S01-CPG-38.5""]",'SKU明细'!$AE$9:$AE$1592,0)),INDEX('SKU明细'!$H$9:$H$1592,MATCH("[13120,""1S01-CPG-39.5""]",'SKU明细'!$AE$9:$AE$1592,0)),INDEX('SKU明细'!$H$9:$H$1592,MATCH("[13120,""1S01-CPG-40.5""]",'SKU明细'!$AE$9:$AE$1592,0)),INDEX('SKU明细'!$H$9:$H$1592,MATCH("[13120,""1S01-CPG-41.5""]",'SKU明细'!$AE$9:$AE$1592,0)),INDEX('SKU明细'!$H$9:$H$1592,MATCH("[13120,""1S01-CPG-6""]",'SKU明细'!$AE$9:$AE$1592,0)),INDEX('SKU明细'!$H$9:$H$1592,MATCH("[13120,""1S01-CPG-7""]",'SKU明细'!$AE$9:$AE$1592,0)),INDEX('SKU明细'!$H$9:$H$1592,MATCH("[13120,""1S01-CPG-8""]",'SKU明细'!$AE$9:$AE$1592,0)),INDEX('SKU明细'!$H$9:$H$1592,MATCH("[13120,""1S01-CPG-9""]",'SKU明细'!$AE$9:$AE$1592,0))))</x:f>
        <x:v>待核</x:v>
      </x:c>
      <x:c r="X166" s="19" t="str">
        <x:f>IF(COUNTIFS('SKU明细'!$AH$9:$AH$1592,"[""1S01"",""1S01-CPG"",""CPG"",""香槟金""]",'SKU明细'!$E$9:$E$1592,"促销")&gt;0,"促销 ","")&amp;IF(COUNTIFS('SKU明细'!$AH$9:$AH$1592,"[""1S01"",""1S01-CPG"",""CPG"",""香槟金""]",'SKU明细'!$E$9:$E$1592,"红线促销")&gt;0,"红线促销 ","")&amp;IF(COUNTIFS('SKU明细'!$AH$9:$AH$1592,"[""1S01"",""1S01-CPG"",""CPG"",""香槟金""]",'SKU明细'!$E$9:$E$1592,"考虑清仓")&gt;0,"考虑清仓 ","")&amp;IF(COUNTIFS('SKU明细'!$AH$9:$AH$1592,"[""1S01"",""1S01-CPG"",""CPG"",""香槟金""]",'SKU明细'!$E$9:$E$1592,"断货")&gt;0,"断货 ","")&amp;IF(COUNTIFS('SKU明细'!$AH$9:$AH$1592,"[""1S01"",""1S01-CPG"",""CPG"",""香槟金""]",'SKU明细'!$E$9:$E$1592,"零日销待复核")&gt;0,"零日销待复核 ","")&amp;IF(COUNTIFS('SKU明细'!$AH$9:$AH$1592,"[""1S01"",""1S01-CPG"",""CPG"",""香槟金""]",'SKU明细'!$E$9:$E$1592,"数据待核")&gt;0,"数据待核 ","")&amp;IF(COUNTIFS('SKU明细'!$AH$9:$AH$1592,"[""1S01"",""1S01-CPG"",""CPG"",""香槟金""]",'SKU明细'!$E$9:$E$1592,"正常库存")&gt;0,"正常库存 ","")&amp;IF(COUNTIFS('SKU明细'!$AH$9:$AH$1592,"[""1S01"",""1S01-CPG"",""CPG"",""香槟金""]",'SKU明细'!$E$9:$E$1592,"补货提醒")&gt;0,"补货提醒 ","")</x:f>
        <x:v>数据待核 </x:v>
      </x:c>
      <x:c r="Y166" s="19" t="str">
        <x:f>IF(NOT(ISNUMBER(U166)),"覆盖待核／无可比基准","仅共同SKU")</x:f>
        <x:v>覆盖待核／无可比基准</x:v>
      </x:c>
      <x:c r="Z166" s="19" t="str">
        <x:v>停售</x:v>
      </x:c>
      <x:c r="AA166" s="19" t="n">
        <x:f>IF(SUMIFS('SKU明细'!$AF$9:$AF$1592,'SKU明细'!$D$9:$D$1592,A166,'SKU明细'!$Z$9:$Z$1592,"&lt;&gt;移出")=0,"待核",SUMIFS('SKU明细'!$H$9:$H$1592,'SKU明细'!$D$9:$D$1592,A166,'SKU明细'!$Z$9:$Z$1592,"&lt;&gt;移出"))</x:f>
        <x:v>476</x:v>
      </x:c>
    </x:row>
    <x:row r="167" ht="54" customHeight="1">
      <x:c r="A167" s="15" t="str">
        <x:v>1S01</x:v>
      </x:c>
      <x:c r="B167" s="15" t="str">
        <x:v>徐新怡</x:v>
      </x:c>
      <x:c r="C167" s="15" t="str">
        <x:v>深米色</x:v>
      </x:c>
      <x:c r="D167" s="15" t="str">
        <x:v>DB</x:v>
      </x:c>
      <x:c r="E167" s="15" t="str">
        <x:v>1S01-DB</x:v>
      </x:c>
      <x:c r="F167" s="15"/>
      <x:c r="G167" s="16" t="str">
        <x:f>"—"</x:f>
        <x:v>—</x:v>
      </x:c>
      <x:c r="H167" s="16" t="str">
        <x:f>IF(AND(COUNT(INDEX('SKU明细'!$H$9:$H$1592,MATCH("[6574,""1S01-DB-37""]",'SKU明细'!$AE$9:$AE$1592,0)))=1,COUNT(INDEX('SKU明细'!$G$9:$G$1592,MATCH("[6574,""1S01-DB-37""]",'SKU明细'!$AE$9:$AE$1592,0)))=1,SUM(INDEX('SKU明细'!$G$9:$G$1592,MATCH("[6574,""1S01-DB-37""]",'SKU明细'!$AE$9:$AE$1592,0)))&gt;0),SUM(INDEX('SKU明细'!$H$9:$H$1592,MATCH("[6574,""1S01-DB-37""]",'SKU明细'!$AE$9:$AE$1592,0)))/SUM(INDEX('SKU明细'!$G$9:$G$1592,MATCH("[6574,""1S01-DB-37""]",'SKU明细'!$AE$9:$AE$1592,0))),"待核")</x:f>
        <x:v>待核</x:v>
      </x:c>
      <x:c r="I167" s="16" t="str">
        <x:f>IF(AND(COUNT(INDEX('SKU明细'!$H$9:$H$1592,MATCH("[6574,""1S01-DB-37.5""]",'SKU明细'!$AE$9:$AE$1592,0)))=1,COUNT(INDEX('SKU明细'!$G$9:$G$1592,MATCH("[6574,""1S01-DB-37.5""]",'SKU明细'!$AE$9:$AE$1592,0)))=1,SUM(INDEX('SKU明细'!$G$9:$G$1592,MATCH("[6574,""1S01-DB-37.5""]",'SKU明细'!$AE$9:$AE$1592,0)))&gt;0),SUM(INDEX('SKU明细'!$H$9:$H$1592,MATCH("[6574,""1S01-DB-37.5""]",'SKU明细'!$AE$9:$AE$1592,0)))/SUM(INDEX('SKU明细'!$G$9:$G$1592,MATCH("[6574,""1S01-DB-37.5""]",'SKU明细'!$AE$9:$AE$1592,0))),"待核")</x:f>
        <x:v>待核</x:v>
      </x:c>
      <x:c r="J167" s="16" t="str">
        <x:f>IF(AND(COUNT(INDEX('SKU明细'!$H$9:$H$1592,MATCH("[6574,""1S01-DB-38""]",'SKU明细'!$AE$9:$AE$1592,0)))=1,COUNT(INDEX('SKU明细'!$G$9:$G$1592,MATCH("[6574,""1S01-DB-38""]",'SKU明细'!$AE$9:$AE$1592,0)))=1,SUM(INDEX('SKU明细'!$G$9:$G$1592,MATCH("[6574,""1S01-DB-38""]",'SKU明细'!$AE$9:$AE$1592,0)))&gt;0),SUM(INDEX('SKU明细'!$H$9:$H$1592,MATCH("[6574,""1S01-DB-38""]",'SKU明细'!$AE$9:$AE$1592,0)))/SUM(INDEX('SKU明细'!$G$9:$G$1592,MATCH("[6574,""1S01-DB-38""]",'SKU明细'!$AE$9:$AE$1592,0))),"待核")</x:f>
        <x:v>待核</x:v>
      </x:c>
      <x:c r="K167" s="16" t="str">
        <x:f>IF(AND(COUNT(INDEX('SKU明细'!$H$9:$H$1592,MATCH("[6574,""1S01-DB-38.5""]",'SKU明细'!$AE$9:$AE$1592,0)))=1,COUNT(INDEX('SKU明细'!$G$9:$G$1592,MATCH("[6574,""1S01-DB-38.5""]",'SKU明细'!$AE$9:$AE$1592,0)))=1,SUM(INDEX('SKU明细'!$G$9:$G$1592,MATCH("[6574,""1S01-DB-38.5""]",'SKU明细'!$AE$9:$AE$1592,0)))&gt;0),SUM(INDEX('SKU明细'!$H$9:$H$1592,MATCH("[6574,""1S01-DB-38.5""]",'SKU明细'!$AE$9:$AE$1592,0)))/SUM(INDEX('SKU明细'!$G$9:$G$1592,MATCH("[6574,""1S01-DB-38.5""]",'SKU明细'!$AE$9:$AE$1592,0))),"待核")</x:f>
        <x:v>待核</x:v>
      </x:c>
      <x:c r="L167" s="16" t="str">
        <x:f>IF(AND(COUNT(INDEX('SKU明细'!$H$9:$H$1592,MATCH("[6574,""1S01-DB-39""]",'SKU明细'!$AE$9:$AE$1592,0)))=1,COUNT(INDEX('SKU明细'!$G$9:$G$1592,MATCH("[6574,""1S01-DB-39""]",'SKU明细'!$AE$9:$AE$1592,0)))=1,SUM(INDEX('SKU明细'!$G$9:$G$1592,MATCH("[6574,""1S01-DB-39""]",'SKU明细'!$AE$9:$AE$1592,0)))&gt;0),SUM(INDEX('SKU明细'!$H$9:$H$1592,MATCH("[6574,""1S01-DB-39""]",'SKU明细'!$AE$9:$AE$1592,0)))/SUM(INDEX('SKU明细'!$G$9:$G$1592,MATCH("[6574,""1S01-DB-39""]",'SKU明细'!$AE$9:$AE$1592,0))),"待核")</x:f>
        <x:v>待核</x:v>
      </x:c>
      <x:c r="M167" s="16" t="str">
        <x:f>IF(AND(COUNT(INDEX('SKU明细'!$H$9:$H$1592,MATCH("[6574,""1S01-DB-39.5""]",'SKU明细'!$AE$9:$AE$1592,0)))=1,COUNT(INDEX('SKU明细'!$G$9:$G$1592,MATCH("[6574,""1S01-DB-39.5""]",'SKU明细'!$AE$9:$AE$1592,0)))=1,SUM(INDEX('SKU明细'!$G$9:$G$1592,MATCH("[6574,""1S01-DB-39.5""]",'SKU明细'!$AE$9:$AE$1592,0)))&gt;0),SUM(INDEX('SKU明细'!$H$9:$H$1592,MATCH("[6574,""1S01-DB-39.5""]",'SKU明细'!$AE$9:$AE$1592,0)))/SUM(INDEX('SKU明细'!$G$9:$G$1592,MATCH("[6574,""1S01-DB-39.5""]",'SKU明细'!$AE$9:$AE$1592,0))),"待核")</x:f>
        <x:v>待核</x:v>
      </x:c>
      <x:c r="N167" s="16" t="str">
        <x:f>IF(AND(COUNT(INDEX('SKU明细'!$H$9:$H$1592,MATCH("[6574,""1S01-DB-40""]",'SKU明细'!$AE$9:$AE$1592,0)))=1,COUNT(INDEX('SKU明细'!$G$9:$G$1592,MATCH("[6574,""1S01-DB-40""]",'SKU明细'!$AE$9:$AE$1592,0)))=1,SUM(INDEX('SKU明细'!$G$9:$G$1592,MATCH("[6574,""1S01-DB-40""]",'SKU明细'!$AE$9:$AE$1592,0)))&gt;0),SUM(INDEX('SKU明细'!$H$9:$H$1592,MATCH("[6574,""1S01-DB-40""]",'SKU明细'!$AE$9:$AE$1592,0)))/SUM(INDEX('SKU明细'!$G$9:$G$1592,MATCH("[6574,""1S01-DB-40""]",'SKU明细'!$AE$9:$AE$1592,0))),"待核")</x:f>
        <x:v>待核</x:v>
      </x:c>
      <x:c r="O167" s="16" t="str">
        <x:f>IF(AND(COUNT(INDEX('SKU明细'!$H$9:$H$1592,MATCH("[6574,""1S01-DB-40.5""]",'SKU明细'!$AE$9:$AE$1592,0)))=1,COUNT(INDEX('SKU明细'!$G$9:$G$1592,MATCH("[6574,""1S01-DB-40.5""]",'SKU明细'!$AE$9:$AE$1592,0)))=1,SUM(INDEX('SKU明细'!$G$9:$G$1592,MATCH("[6574,""1S01-DB-40.5""]",'SKU明细'!$AE$9:$AE$1592,0)))&gt;0),SUM(INDEX('SKU明细'!$H$9:$H$1592,MATCH("[6574,""1S01-DB-40.5""]",'SKU明细'!$AE$9:$AE$1592,0)))/SUM(INDEX('SKU明细'!$G$9:$G$1592,MATCH("[6574,""1S01-DB-40.5""]",'SKU明细'!$AE$9:$AE$1592,0))),"待核")</x:f>
        <x:v>待核</x:v>
      </x:c>
      <x:c r="P167" s="16" t="str">
        <x:f>IF(AND(COUNT(INDEX('SKU明细'!$H$9:$H$1592,MATCH("[6574,""1S01-DB-41""]",'SKU明细'!$AE$9:$AE$1592,0)))=1,COUNT(INDEX('SKU明细'!$G$9:$G$1592,MATCH("[6574,""1S01-DB-41""]",'SKU明细'!$AE$9:$AE$1592,0)))=1,SUM(INDEX('SKU明细'!$G$9:$G$1592,MATCH("[6574,""1S01-DB-41""]",'SKU明细'!$AE$9:$AE$1592,0)))&gt;0),SUM(INDEX('SKU明细'!$H$9:$H$1592,MATCH("[6574,""1S01-DB-41""]",'SKU明细'!$AE$9:$AE$1592,0)))/SUM(INDEX('SKU明细'!$G$9:$G$1592,MATCH("[6574,""1S01-DB-41""]",'SKU明细'!$AE$9:$AE$1592,0))),"待核")</x:f>
        <x:v>待核</x:v>
      </x:c>
      <x:c r="Q167" s="16" t="str">
        <x:f>IF(AND(COUNT(INDEX('SKU明细'!$H$9:$H$1592,MATCH("[6574,""1S01-DB-41.5""]",'SKU明细'!$AE$9:$AE$1592,0)))=1,COUNT(INDEX('SKU明细'!$G$9:$G$1592,MATCH("[6574,""1S01-DB-41.5""]",'SKU明细'!$AE$9:$AE$1592,0)))=1,SUM(INDEX('SKU明细'!$G$9:$G$1592,MATCH("[6574,""1S01-DB-41.5""]",'SKU明细'!$AE$9:$AE$1592,0)))&gt;0),SUM(INDEX('SKU明细'!$H$9:$H$1592,MATCH("[6574,""1S01-DB-41.5""]",'SKU明细'!$AE$9:$AE$1592,0)))/SUM(INDEX('SKU明细'!$G$9:$G$1592,MATCH("[6574,""1S01-DB-41.5""]",'SKU明细'!$AE$9:$AE$1592,0))),"待核")</x:f>
        <x:v>待核</x:v>
      </x:c>
      <x:c r="R167" s="16" t="str">
        <x:f>IF(AND(COUNT(INDEX('SKU明细'!$H$9:$H$1592,MATCH("[6574,""1S01-DB-42""]",'SKU明细'!$AE$9:$AE$1592,0)))=1,COUNT(INDEX('SKU明细'!$G$9:$G$1592,MATCH("[6574,""1S01-DB-42""]",'SKU明细'!$AE$9:$AE$1592,0)))=1,SUM(INDEX('SKU明细'!$G$9:$G$1592,MATCH("[6574,""1S01-DB-42""]",'SKU明细'!$AE$9:$AE$1592,0)))&gt;0),SUM(INDEX('SKU明细'!$H$9:$H$1592,MATCH("[6574,""1S01-DB-42""]",'SKU明细'!$AE$9:$AE$1592,0)))/SUM(INDEX('SKU明细'!$G$9:$G$1592,MATCH("[6574,""1S01-DB-42""]",'SKU明细'!$AE$9:$AE$1592,0))),"待核")</x:f>
        <x:v>待核</x:v>
      </x:c>
      <x:c r="S167" s="16" t="str">
        <x:f>IF(AND(COUNT(INDEX('SKU明细'!$H$9:$H$1592,MATCH("[6574,""1S01-DB-37""]",'SKU明细'!$AE$9:$AE$1592,0)),INDEX('SKU明细'!$H$9:$H$1592,MATCH("[6574,""1S01-DB-38""]",'SKU明细'!$AE$9:$AE$1592,0)),INDEX('SKU明细'!$H$9:$H$1592,MATCH("[6574,""1S01-DB-39""]",'SKU明细'!$AE$9:$AE$1592,0)),INDEX('SKU明细'!$H$9:$H$1592,MATCH("[6574,""1S01-DB-40""]",'SKU明细'!$AE$9:$AE$1592,0)),INDEX('SKU明细'!$H$9:$H$1592,MATCH("[6574,""1S01-DB-41""]",'SKU明细'!$AE$9:$AE$1592,0)),INDEX('SKU明细'!$H$9:$H$1592,MATCH("[6574,""1S01-DB-42""]",'SKU明细'!$AE$9:$AE$1592,0)))=6,COUNT(INDEX('SKU明细'!$G$9:$G$1592,MATCH("[6574,""1S01-DB-37""]",'SKU明细'!$AE$9:$AE$1592,0)),INDEX('SKU明细'!$G$9:$G$1592,MATCH("[6574,""1S01-DB-38""]",'SKU明细'!$AE$9:$AE$1592,0)),INDEX('SKU明细'!$G$9:$G$1592,MATCH("[6574,""1S01-DB-39""]",'SKU明细'!$AE$9:$AE$1592,0)),INDEX('SKU明细'!$G$9:$G$1592,MATCH("[6574,""1S01-DB-40""]",'SKU明细'!$AE$9:$AE$1592,0)),INDEX('SKU明细'!$G$9:$G$1592,MATCH("[6574,""1S01-DB-41""]",'SKU明细'!$AE$9:$AE$1592,0)),INDEX('SKU明细'!$G$9:$G$1592,MATCH("[6574,""1S01-DB-42""]",'SKU明细'!$AE$9:$AE$1592,0)))=6,SUM(INDEX('SKU明细'!$G$9:$G$1592,MATCH("[6574,""1S01-DB-37""]",'SKU明细'!$AE$9:$AE$1592,0)),INDEX('SKU明细'!$G$9:$G$1592,MATCH("[6574,""1S01-DB-38""]",'SKU明细'!$AE$9:$AE$1592,0)),INDEX('SKU明细'!$G$9:$G$1592,MATCH("[6574,""1S01-DB-39""]",'SKU明细'!$AE$9:$AE$1592,0)),INDEX('SKU明细'!$G$9:$G$1592,MATCH("[6574,""1S01-DB-40""]",'SKU明细'!$AE$9:$AE$1592,0)),INDEX('SKU明细'!$G$9:$G$1592,MATCH("[6574,""1S01-DB-41""]",'SKU明细'!$AE$9:$AE$1592,0)),INDEX('SKU明细'!$G$9:$G$1592,MATCH("[6574,""1S01-DB-42""]",'SKU明细'!$AE$9:$AE$1592,0)))&gt;0),SUM(INDEX('SKU明细'!$H$9:$H$1592,MATCH("[6574,""1S01-DB-37""]",'SKU明细'!$AE$9:$AE$1592,0)),INDEX('SKU明细'!$H$9:$H$1592,MATCH("[6574,""1S01-DB-38""]",'SKU明细'!$AE$9:$AE$1592,0)),INDEX('SKU明细'!$H$9:$H$1592,MATCH("[6574,""1S01-DB-39""]",'SKU明细'!$AE$9:$AE$1592,0)),INDEX('SKU明细'!$H$9:$H$1592,MATCH("[6574,""1S01-DB-40""]",'SKU明细'!$AE$9:$AE$1592,0)),INDEX('SKU明细'!$H$9:$H$1592,MATCH("[6574,""1S01-DB-41""]",'SKU明细'!$AE$9:$AE$1592,0)),INDEX('SKU明细'!$H$9:$H$1592,MATCH("[6574,""1S01-DB-42""]",'SKU明细'!$AE$9:$AE$1592,0)))/SUM(INDEX('SKU明细'!$G$9:$G$1592,MATCH("[6574,""1S01-DB-37""]",'SKU明细'!$AE$9:$AE$1592,0)),INDEX('SKU明细'!$G$9:$G$1592,MATCH("[6574,""1S01-DB-38""]",'SKU明细'!$AE$9:$AE$1592,0)),INDEX('SKU明细'!$G$9:$G$1592,MATCH("[6574,""1S01-DB-39""]",'SKU明细'!$AE$9:$AE$1592,0)),INDEX('SKU明细'!$G$9:$G$1592,MATCH("[6574,""1S01-DB-40""]",'SKU明细'!$AE$9:$AE$1592,0)),INDEX('SKU明细'!$G$9:$G$1592,MATCH("[6574,""1S01-DB-41""]",'SKU明细'!$AE$9:$AE$1592,0)),INDEX('SKU明细'!$G$9:$G$1592,MATCH("[6574,""1S01-DB-42""]",'SKU明细'!$AE$9:$AE$1592,0))),"待核")</x:f>
        <x:v>待核</x:v>
      </x:c>
      <x:c r="T167" s="16" t="str">
        <x:f>IF(AND(COUNT(INDEX('SKU明细'!$I$9:$I$1592,MATCH("[6574,""1S01-DB-37""]",'SKU明细'!$AE$9:$AE$1592,0)),INDEX('SKU明细'!$I$9:$I$1592,MATCH("[6574,""1S01-DB-38""]",'SKU明细'!$AE$9:$AE$1592,0)),INDEX('SKU明细'!$I$9:$I$1592,MATCH("[6574,""1S01-DB-39""]",'SKU明细'!$AE$9:$AE$1592,0)),INDEX('SKU明细'!$I$9:$I$1592,MATCH("[6574,""1S01-DB-40""]",'SKU明细'!$AE$9:$AE$1592,0)),INDEX('SKU明细'!$I$9:$I$1592,MATCH("[6574,""1S01-DB-41""]",'SKU明细'!$AE$9:$AE$1592,0)),INDEX('SKU明细'!$I$9:$I$1592,MATCH("[6574,""1S01-DB-42""]",'SKU明细'!$AE$9:$AE$1592,0)))=6,COUNT(INDEX('SKU明细'!$AD$9:$AD$1592,MATCH("[6574,""1S01-DB-37""]",'SKU明细'!$AE$9:$AE$1592,0)),INDEX('SKU明细'!$AD$9:$AD$1592,MATCH("[6574,""1S01-DB-38""]",'SKU明细'!$AE$9:$AE$1592,0)),INDEX('SKU明细'!$AD$9:$AD$1592,MATCH("[6574,""1S01-DB-39""]",'SKU明细'!$AE$9:$AE$1592,0)),INDEX('SKU明细'!$AD$9:$AD$1592,MATCH("[6574,""1S01-DB-40""]",'SKU明细'!$AE$9:$AE$1592,0)),INDEX('SKU明细'!$AD$9:$AD$1592,MATCH("[6574,""1S01-DB-41""]",'SKU明细'!$AE$9:$AE$1592,0)),INDEX('SKU明细'!$AD$9:$AD$1592,MATCH("[6574,""1S01-DB-42""]",'SKU明细'!$AE$9:$AE$1592,0)))=6,SUM(INDEX('SKU明细'!$AD$9:$AD$1592,MATCH("[6574,""1S01-DB-37""]",'SKU明细'!$AE$9:$AE$1592,0)),INDEX('SKU明细'!$AD$9:$AD$1592,MATCH("[6574,""1S01-DB-38""]",'SKU明细'!$AE$9:$AE$1592,0)),INDEX('SKU明细'!$AD$9:$AD$1592,MATCH("[6574,""1S01-DB-39""]",'SKU明细'!$AE$9:$AE$1592,0)),INDEX('SKU明细'!$AD$9:$AD$1592,MATCH("[6574,""1S01-DB-40""]",'SKU明细'!$AE$9:$AE$1592,0)),INDEX('SKU明细'!$AD$9:$AD$1592,MATCH("[6574,""1S01-DB-41""]",'SKU明细'!$AE$9:$AE$1592,0)),INDEX('SKU明细'!$AD$9:$AD$1592,MATCH("[6574,""1S01-DB-42""]",'SKU明细'!$AE$9:$AE$1592,0)))&gt;0),SUM(INDEX('SKU明细'!$I$9:$I$1592,MATCH("[6574,""1S01-DB-37""]",'SKU明细'!$AE$9:$AE$1592,0)),INDEX('SKU明细'!$I$9:$I$1592,MATCH("[6574,""1S01-DB-38""]",'SKU明细'!$AE$9:$AE$1592,0)),INDEX('SKU明细'!$I$9:$I$1592,MATCH("[6574,""1S01-DB-39""]",'SKU明细'!$AE$9:$AE$1592,0)),INDEX('SKU明细'!$I$9:$I$1592,MATCH("[6574,""1S01-DB-40""]",'SKU明细'!$AE$9:$AE$1592,0)),INDEX('SKU明细'!$I$9:$I$1592,MATCH("[6574,""1S01-DB-41""]",'SKU明细'!$AE$9:$AE$1592,0)),INDEX('SKU明细'!$I$9:$I$1592,MATCH("[6574,""1S01-DB-42""]",'SKU明细'!$AE$9:$AE$1592,0)))/SUM(INDEX('SKU明细'!$AD$9:$AD$1592,MATCH("[6574,""1S01-DB-37""]",'SKU明细'!$AE$9:$AE$1592,0)),INDEX('SKU明细'!$AD$9:$AD$1592,MATCH("[6574,""1S01-DB-38""]",'SKU明细'!$AE$9:$AE$1592,0)),INDEX('SKU明细'!$AD$9:$AD$1592,MATCH("[6574,""1S01-DB-39""]",'SKU明细'!$AE$9:$AE$1592,0)),INDEX('SKU明细'!$AD$9:$AD$1592,MATCH("[6574,""1S01-DB-40""]",'SKU明细'!$AE$9:$AE$1592,0)),INDEX('SKU明细'!$AD$9:$AD$1592,MATCH("[6574,""1S01-DB-41""]",'SKU明细'!$AE$9:$AE$1592,0)),INDEX('SKU明细'!$AD$9:$AD$1592,MATCH("[6574,""1S01-DB-42""]",'SKU明细'!$AE$9:$AE$1592,0))),"待核")</x:f>
        <x:v>待核</x:v>
      </x:c>
      <x:c r="U167" s="16" t="str">
        <x:f>IF(COUNT(S167:T167)=2,S167-T167,"待核")</x:f>
        <x:v>待核</x:v>
      </x:c>
      <x:c r="V167" s="17" t="str">
        <x:f>IF(AND(ISNUMBER(U167),ISNUMBER(T167),T167&lt;&gt;0),U167/T167,"")</x:f>
      </x:c>
      <x:c r="W167" s="18" t="n">
        <x:f>IF(COUNT(INDEX('SKU明细'!$H$9:$H$1592,MATCH("[6574,""1S01-DB-37""]",'SKU明细'!$AE$9:$AE$1592,0)),INDEX('SKU明细'!$H$9:$H$1592,MATCH("[6574,""1S01-DB-37.5""]",'SKU明细'!$AE$9:$AE$1592,0)),INDEX('SKU明细'!$H$9:$H$1592,MATCH("[6574,""1S01-DB-38""]",'SKU明细'!$AE$9:$AE$1592,0)),INDEX('SKU明细'!$H$9:$H$1592,MATCH("[6574,""1S01-DB-38.5""]",'SKU明细'!$AE$9:$AE$1592,0)),INDEX('SKU明细'!$H$9:$H$1592,MATCH("[6574,""1S01-DB-39""]",'SKU明细'!$AE$9:$AE$1592,0)),INDEX('SKU明细'!$H$9:$H$1592,MATCH("[6574,""1S01-DB-39.5""]",'SKU明细'!$AE$9:$AE$1592,0)),INDEX('SKU明细'!$H$9:$H$1592,MATCH("[6574,""1S01-DB-40""]",'SKU明细'!$AE$9:$AE$1592,0)),INDEX('SKU明细'!$H$9:$H$1592,MATCH("[6574,""1S01-DB-40.5""]",'SKU明细'!$AE$9:$AE$1592,0)),INDEX('SKU明细'!$H$9:$H$1592,MATCH("[6574,""1S01-DB-41""]",'SKU明细'!$AE$9:$AE$1592,0)),INDEX('SKU明细'!$H$9:$H$1592,MATCH("[6574,""1S01-DB-41.5""]",'SKU明细'!$AE$9:$AE$1592,0)),INDEX('SKU明细'!$H$9:$H$1592,MATCH("[6574,""1S01-DB-42""]",'SKU明细'!$AE$9:$AE$1592,0)))=0,"待核",SUM(INDEX('SKU明细'!$H$9:$H$1592,MATCH("[6574,""1S01-DB-37""]",'SKU明细'!$AE$9:$AE$1592,0)),INDEX('SKU明细'!$H$9:$H$1592,MATCH("[6574,""1S01-DB-37.5""]",'SKU明细'!$AE$9:$AE$1592,0)),INDEX('SKU明细'!$H$9:$H$1592,MATCH("[6574,""1S01-DB-38""]",'SKU明细'!$AE$9:$AE$1592,0)),INDEX('SKU明细'!$H$9:$H$1592,MATCH("[6574,""1S01-DB-38.5""]",'SKU明细'!$AE$9:$AE$1592,0)),INDEX('SKU明细'!$H$9:$H$1592,MATCH("[6574,""1S01-DB-39""]",'SKU明细'!$AE$9:$AE$1592,0)),INDEX('SKU明细'!$H$9:$H$1592,MATCH("[6574,""1S01-DB-39.5""]",'SKU明细'!$AE$9:$AE$1592,0)),INDEX('SKU明细'!$H$9:$H$1592,MATCH("[6574,""1S01-DB-40""]",'SKU明细'!$AE$9:$AE$1592,0)),INDEX('SKU明细'!$H$9:$H$1592,MATCH("[6574,""1S01-DB-40.5""]",'SKU明细'!$AE$9:$AE$1592,0)),INDEX('SKU明细'!$H$9:$H$1592,MATCH("[6574,""1S01-DB-41""]",'SKU明细'!$AE$9:$AE$1592,0)),INDEX('SKU明细'!$H$9:$H$1592,MATCH("[6574,""1S01-DB-41.5""]",'SKU明细'!$AE$9:$AE$1592,0)),INDEX('SKU明细'!$H$9:$H$1592,MATCH("[6574,""1S01-DB-42""]",'SKU明细'!$AE$9:$AE$1592,0))))</x:f>
        <x:v>0</x:v>
      </x:c>
      <x:c r="X167" s="19" t="str">
        <x:f>IF(COUNTIFS('SKU明细'!$AH$9:$AH$1592,"[""1S01"",""1S01-DB"",""DB"",""深米色""]",'SKU明细'!$E$9:$E$1592,"促销")&gt;0,"促销 ","")&amp;IF(COUNTIFS('SKU明细'!$AH$9:$AH$1592,"[""1S01"",""1S01-DB"",""DB"",""深米色""]",'SKU明细'!$E$9:$E$1592,"红线促销")&gt;0,"红线促销 ","")&amp;IF(COUNTIFS('SKU明细'!$AH$9:$AH$1592,"[""1S01"",""1S01-DB"",""DB"",""深米色""]",'SKU明细'!$E$9:$E$1592,"考虑清仓")&gt;0,"考虑清仓 ","")&amp;IF(COUNTIFS('SKU明细'!$AH$9:$AH$1592,"[""1S01"",""1S01-DB"",""DB"",""深米色""]",'SKU明细'!$E$9:$E$1592,"断货")&gt;0,"断货 ","")&amp;IF(COUNTIFS('SKU明细'!$AH$9:$AH$1592,"[""1S01"",""1S01-DB"",""DB"",""深米色""]",'SKU明细'!$E$9:$E$1592,"零日销待复核")&gt;0,"零日销待复核 ","")&amp;IF(COUNTIFS('SKU明细'!$AH$9:$AH$1592,"[""1S01"",""1S01-DB"",""DB"",""深米色""]",'SKU明细'!$E$9:$E$1592,"数据待核")&gt;0,"数据待核 ","")&amp;IF(COUNTIFS('SKU明细'!$AH$9:$AH$1592,"[""1S01"",""1S01-DB"",""DB"",""深米色""]",'SKU明细'!$E$9:$E$1592,"正常库存")&gt;0,"正常库存 ","")&amp;IF(COUNTIFS('SKU明细'!$AH$9:$AH$1592,"[""1S01"",""1S01-DB"",""DB"",""深米色""]",'SKU明细'!$E$9:$E$1592,"补货提醒")&gt;0,"补货提醒 ","")</x:f>
        <x:v>断货 </x:v>
      </x:c>
      <x:c r="Y167" s="19" t="str">
        <x:f>IF(NOT(ISNUMBER(U167)),"覆盖待核／无可比基准","仅共同SKU")</x:f>
        <x:v>覆盖待核／无可比基准</x:v>
      </x:c>
      <x:c r="Z167" s="19" t="str">
        <x:v>停售</x:v>
      </x:c>
      <x:c r="AA167" s="19" t="n">
        <x:f>IF(SUMIFS('SKU明细'!$AF$9:$AF$1592,'SKU明细'!$D$9:$D$1592,A167,'SKU明细'!$Z$9:$Z$1592,"&lt;&gt;移出")=0,"待核",SUMIFS('SKU明细'!$H$9:$H$1592,'SKU明细'!$D$9:$D$1592,A167,'SKU明细'!$Z$9:$Z$1592,"&lt;&gt;移出"))</x:f>
        <x:v>476</x:v>
      </x:c>
    </x:row>
    <x:row r="168" ht="54" customHeight="1">
      <x:c r="A168" s="15" t="str">
        <x:v>1S01</x:v>
      </x:c>
      <x:c r="B168" s="15" t="str">
        <x:v>徐新怡</x:v>
      </x:c>
      <x:c r="C168" s="15" t="str">
        <x:v>米色</x:v>
      </x:c>
      <x:c r="D168" s="15" t="str">
        <x:v>DPB</x:v>
      </x:c>
      <x:c r="E168" s="15" t="str">
        <x:v>1S01-DPB</x:v>
      </x:c>
      <x:c r="F168" s="15"/>
      <x:c r="G168" s="16" t="str">
        <x:f>IF(AND(COUNT(INDEX('SKU明细'!$H$9:$H$1592,MATCH("[6574,""1S01-DPB-5""]",'SKU明细'!$AE$9:$AE$1592,0)))=1,COUNT(INDEX('SKU明细'!$G$9:$G$1592,MATCH("[6574,""1S01-DPB-5""]",'SKU明细'!$AE$9:$AE$1592,0)))=1,SUM(INDEX('SKU明细'!$G$9:$G$1592,MATCH("[6574,""1S01-DPB-5""]",'SKU明细'!$AE$9:$AE$1592,0)))&gt;0),SUM(INDEX('SKU明细'!$H$9:$H$1592,MATCH("[6574,""1S01-DPB-5""]",'SKU明细'!$AE$9:$AE$1592,0)))/SUM(INDEX('SKU明细'!$G$9:$G$1592,MATCH("[6574,""1S01-DPB-5""]",'SKU明细'!$AE$9:$AE$1592,0))),"待核")</x:f>
        <x:v>待核</x:v>
      </x:c>
      <x:c r="H168" s="16" t="str">
        <x:f>IF(AND(COUNT(INDEX('SKU明细'!$H$9:$H$1592,MATCH("[6574,""1S01-DPB-6""]",'SKU明细'!$AE$9:$AE$1592,0)))=1,COUNT(INDEX('SKU明细'!$G$9:$G$1592,MATCH("[6574,""1S01-DPB-6""]",'SKU明细'!$AE$9:$AE$1592,0)))=1,SUM(INDEX('SKU明细'!$G$9:$G$1592,MATCH("[6574,""1S01-DPB-6""]",'SKU明细'!$AE$9:$AE$1592,0)))&gt;0),SUM(INDEX('SKU明细'!$H$9:$H$1592,MATCH("[6574,""1S01-DPB-6""]",'SKU明细'!$AE$9:$AE$1592,0)))/SUM(INDEX('SKU明细'!$G$9:$G$1592,MATCH("[6574,""1S01-DPB-6""]",'SKU明细'!$AE$9:$AE$1592,0))),"待核")</x:f>
        <x:v>待核</x:v>
      </x:c>
      <x:c r="I168" s="16" t="n">
        <x:f>IF(AND(COUNT(INDEX('SKU明细'!$H$9:$H$1592,MATCH("[6574,""1S01-DPB-37.5""]",'SKU明细'!$AE$9:$AE$1592,0)))=1,COUNT(INDEX('SKU明细'!$G$9:$G$1592,MATCH("[6574,""1S01-DPB-37.5""]",'SKU明细'!$AE$9:$AE$1592,0)))=1,SUM(INDEX('SKU明细'!$G$9:$G$1592,MATCH("[6574,""1S01-DPB-37.5""]",'SKU明细'!$AE$9:$AE$1592,0)))&gt;0),SUM(INDEX('SKU明细'!$H$9:$H$1592,MATCH("[6574,""1S01-DPB-37.5""]",'SKU明细'!$AE$9:$AE$1592,0)))/SUM(INDEX('SKU明细'!$G$9:$G$1592,MATCH("[6574,""1S01-DPB-37.5""]",'SKU明细'!$AE$9:$AE$1592,0))),"待核")</x:f>
        <x:v>26.58227848101266</x:v>
      </x:c>
      <x:c r="J168" s="16" t="n">
        <x:f>IF(AND(COUNT(INDEX('SKU明细'!$H$9:$H$1592,MATCH("[6574,""1S01-DPB-7""]",'SKU明细'!$AE$9:$AE$1592,0)))=1,COUNT(INDEX('SKU明细'!$G$9:$G$1592,MATCH("[6574,""1S01-DPB-7""]",'SKU明细'!$AE$9:$AE$1592,0)))=1,SUM(INDEX('SKU明细'!$G$9:$G$1592,MATCH("[6574,""1S01-DPB-7""]",'SKU明细'!$AE$9:$AE$1592,0)))&gt;0),SUM(INDEX('SKU明细'!$H$9:$H$1592,MATCH("[6574,""1S01-DPB-7""]",'SKU明细'!$AE$9:$AE$1592,0)))/SUM(INDEX('SKU明细'!$G$9:$G$1592,MATCH("[6574,""1S01-DPB-7""]",'SKU明细'!$AE$9:$AE$1592,0))),"待核")</x:f>
        <x:v>78.04054054054055</x:v>
      </x:c>
      <x:c r="K168" s="16" t="str">
        <x:f>IF(AND(COUNT(INDEX('SKU明细'!$H$9:$H$1592,MATCH("[6574,""1S01-DPB-38.5""]",'SKU明细'!$AE$9:$AE$1592,0)))=1,COUNT(INDEX('SKU明细'!$G$9:$G$1592,MATCH("[6574,""1S01-DPB-38.5""]",'SKU明细'!$AE$9:$AE$1592,0)))=1,SUM(INDEX('SKU明细'!$G$9:$G$1592,MATCH("[6574,""1S01-DPB-38.5""]",'SKU明细'!$AE$9:$AE$1592,0)))&gt;0),SUM(INDEX('SKU明细'!$H$9:$H$1592,MATCH("[6574,""1S01-DPB-38.5""]",'SKU明细'!$AE$9:$AE$1592,0)))/SUM(INDEX('SKU明细'!$G$9:$G$1592,MATCH("[6574,""1S01-DPB-38.5""]",'SKU明细'!$AE$9:$AE$1592,0))),"待核")</x:f>
        <x:v>待核</x:v>
      </x:c>
      <x:c r="L168" s="16" t="n">
        <x:f>IF(AND(COUNT(INDEX('SKU明细'!$H$9:$H$1592,MATCH("[6574,""1S01-DPB-8""]",'SKU明细'!$AE$9:$AE$1592,0)))=1,COUNT(INDEX('SKU明细'!$G$9:$G$1592,MATCH("[6574,""1S01-DPB-8""]",'SKU明细'!$AE$9:$AE$1592,0)))=1,SUM(INDEX('SKU明细'!$G$9:$G$1592,MATCH("[6574,""1S01-DPB-8""]",'SKU明细'!$AE$9:$AE$1592,0)))&gt;0),SUM(INDEX('SKU明细'!$H$9:$H$1592,MATCH("[6574,""1S01-DPB-8""]",'SKU明细'!$AE$9:$AE$1592,0)))/SUM(INDEX('SKU明细'!$G$9:$G$1592,MATCH("[6574,""1S01-DPB-8""]",'SKU明细'!$AE$9:$AE$1592,0))),"待核")</x:f>
        <x:v>0</x:v>
      </x:c>
      <x:c r="M168" s="16" t="str">
        <x:f>IF(AND(COUNT(INDEX('SKU明细'!$H$9:$H$1592,MATCH("[6574,""1S01-DPB-39.5""]",'SKU明细'!$AE$9:$AE$1592,0)))=1,COUNT(INDEX('SKU明细'!$G$9:$G$1592,MATCH("[6574,""1S01-DPB-39.5""]",'SKU明细'!$AE$9:$AE$1592,0)))=1,SUM(INDEX('SKU明细'!$G$9:$G$1592,MATCH("[6574,""1S01-DPB-39.5""]",'SKU明细'!$AE$9:$AE$1592,0)))&gt;0),SUM(INDEX('SKU明细'!$H$9:$H$1592,MATCH("[6574,""1S01-DPB-39.5""]",'SKU明细'!$AE$9:$AE$1592,0)))/SUM(INDEX('SKU明细'!$G$9:$G$1592,MATCH("[6574,""1S01-DPB-39.5""]",'SKU明细'!$AE$9:$AE$1592,0))),"待核")</x:f>
        <x:v>待核</x:v>
      </x:c>
      <x:c r="N168" s="16" t="n">
        <x:f>IF(AND(COUNT(INDEX('SKU明细'!$H$9:$H$1592,MATCH("[6574,""1S01-DPB-9""]",'SKU明细'!$AE$9:$AE$1592,0)))=1,COUNT(INDEX('SKU明细'!$G$9:$G$1592,MATCH("[6574,""1S01-DPB-9""]",'SKU明细'!$AE$9:$AE$1592,0)))=1,SUM(INDEX('SKU明细'!$G$9:$G$1592,MATCH("[6574,""1S01-DPB-9""]",'SKU明细'!$AE$9:$AE$1592,0)))&gt;0),SUM(INDEX('SKU明细'!$H$9:$H$1592,MATCH("[6574,""1S01-DPB-9""]",'SKU明细'!$AE$9:$AE$1592,0)))/SUM(INDEX('SKU明细'!$G$9:$G$1592,MATCH("[6574,""1S01-DPB-9""]",'SKU明细'!$AE$9:$AE$1592,0))),"待核")</x:f>
        <x:v>150</x:v>
      </x:c>
      <x:c r="O168" s="16" t="str">
        <x:f>IF(AND(COUNT(INDEX('SKU明细'!$H$9:$H$1592,MATCH("[6574,""1S01-DPB-40.5""]",'SKU明细'!$AE$9:$AE$1592,0)))=1,COUNT(INDEX('SKU明细'!$G$9:$G$1592,MATCH("[6574,""1S01-DPB-40.5""]",'SKU明细'!$AE$9:$AE$1592,0)))=1,SUM(INDEX('SKU明细'!$G$9:$G$1592,MATCH("[6574,""1S01-DPB-40.5""]",'SKU明细'!$AE$9:$AE$1592,0)))&gt;0),SUM(INDEX('SKU明细'!$H$9:$H$1592,MATCH("[6574,""1S01-DPB-40.5""]",'SKU明细'!$AE$9:$AE$1592,0)))/SUM(INDEX('SKU明细'!$G$9:$G$1592,MATCH("[6574,""1S01-DPB-40.5""]",'SKU明细'!$AE$9:$AE$1592,0))),"待核")</x:f>
        <x:v>待核</x:v>
      </x:c>
      <x:c r="P168" s="16" t="str">
        <x:f>IF(AND(COUNT(INDEX('SKU明细'!$H$9:$H$1592,MATCH("[6574,""1S01-DPB-10""]",'SKU明细'!$AE$9:$AE$1592,0)))=1,COUNT(INDEX('SKU明细'!$G$9:$G$1592,MATCH("[6574,""1S01-DPB-10""]",'SKU明细'!$AE$9:$AE$1592,0)))=1,SUM(INDEX('SKU明细'!$G$9:$G$1592,MATCH("[6574,""1S01-DPB-10""]",'SKU明细'!$AE$9:$AE$1592,0)))&gt;0),SUM(INDEX('SKU明细'!$H$9:$H$1592,MATCH("[6574,""1S01-DPB-10""]",'SKU明细'!$AE$9:$AE$1592,0)))/SUM(INDEX('SKU明细'!$G$9:$G$1592,MATCH("[6574,""1S01-DPB-10""]",'SKU明细'!$AE$9:$AE$1592,0))),"待核")</x:f>
        <x:v>待核</x:v>
      </x:c>
      <x:c r="Q168" s="16" t="str">
        <x:f>IF(AND(COUNT(INDEX('SKU明细'!$H$9:$H$1592,MATCH("[6574,""1S01-DPB-41.5""]",'SKU明细'!$AE$9:$AE$1592,0)))=1,COUNT(INDEX('SKU明细'!$G$9:$G$1592,MATCH("[6574,""1S01-DPB-41.5""]",'SKU明细'!$AE$9:$AE$1592,0)))=1,SUM(INDEX('SKU明细'!$G$9:$G$1592,MATCH("[6574,""1S01-DPB-41.5""]",'SKU明细'!$AE$9:$AE$1592,0)))&gt;0),SUM(INDEX('SKU明细'!$H$9:$H$1592,MATCH("[6574,""1S01-DPB-41.5""]",'SKU明细'!$AE$9:$AE$1592,0)))/SUM(INDEX('SKU明细'!$G$9:$G$1592,MATCH("[6574,""1S01-DPB-41.5""]",'SKU明细'!$AE$9:$AE$1592,0))),"待核")</x:f>
        <x:v>待核</x:v>
      </x:c>
      <x:c r="R168" s="16" t="n">
        <x:f>IF(AND(COUNT(INDEX('SKU明细'!$H$9:$H$1592,MATCH("[6574,""1S01-DPB-11""]",'SKU明细'!$AE$9:$AE$1592,0)))=1,COUNT(INDEX('SKU明细'!$G$9:$G$1592,MATCH("[6574,""1S01-DPB-11""]",'SKU明细'!$AE$9:$AE$1592,0)))=1,SUM(INDEX('SKU明细'!$G$9:$G$1592,MATCH("[6574,""1S01-DPB-11""]",'SKU明细'!$AE$9:$AE$1592,0)))&gt;0),SUM(INDEX('SKU明细'!$H$9:$H$1592,MATCH("[6574,""1S01-DPB-11""]",'SKU明细'!$AE$9:$AE$1592,0)))/SUM(INDEX('SKU明细'!$G$9:$G$1592,MATCH("[6574,""1S01-DPB-11""]",'SKU明细'!$AE$9:$AE$1592,0))),"待核")</x:f>
        <x:v>0</x:v>
      </x:c>
      <x:c r="S168" s="16" t="n">
        <x:f>IF(AND(COUNT(INDEX('SKU明细'!$H$9:$H$1592,MATCH("[6574,""1S01-DPB-9""]",'SKU明细'!$AE$9:$AE$1592,0)),INDEX('SKU明细'!$H$9:$H$1592,MATCH("[6574,""1S01-DPB-10""]",'SKU明细'!$AE$9:$AE$1592,0)),INDEX('SKU明细'!$H$9:$H$1592,MATCH("[6574,""1S01-DPB-11""]",'SKU明细'!$AE$9:$AE$1592,0)),INDEX('SKU明细'!$H$9:$H$1592,MATCH("[6574,""1S01-DPB-6""]",'SKU明细'!$AE$9:$AE$1592,0)),INDEX('SKU明细'!$H$9:$H$1592,MATCH("[6574,""1S01-DPB-8""]",'SKU明细'!$AE$9:$AE$1592,0)),INDEX('SKU明细'!$H$9:$H$1592,MATCH("[6574,""1S01-DPB-7""]",'SKU明细'!$AE$9:$AE$1592,0)),INDEX('SKU明细'!$H$9:$H$1592,MATCH("[6574,""1S01-DPB-37.5""]",'SKU明细'!$AE$9:$AE$1592,0)))=7,COUNT(INDEX('SKU明细'!$G$9:$G$1592,MATCH("[6574,""1S01-DPB-9""]",'SKU明细'!$AE$9:$AE$1592,0)),INDEX('SKU明细'!$G$9:$G$1592,MATCH("[6574,""1S01-DPB-10""]",'SKU明细'!$AE$9:$AE$1592,0)),INDEX('SKU明细'!$G$9:$G$1592,MATCH("[6574,""1S01-DPB-11""]",'SKU明细'!$AE$9:$AE$1592,0)),INDEX('SKU明细'!$G$9:$G$1592,MATCH("[6574,""1S01-DPB-6""]",'SKU明细'!$AE$9:$AE$1592,0)),INDEX('SKU明细'!$G$9:$G$1592,MATCH("[6574,""1S01-DPB-8""]",'SKU明细'!$AE$9:$AE$1592,0)),INDEX('SKU明细'!$G$9:$G$1592,MATCH("[6574,""1S01-DPB-7""]",'SKU明细'!$AE$9:$AE$1592,0)),INDEX('SKU明细'!$G$9:$G$1592,MATCH("[6574,""1S01-DPB-37.5""]",'SKU明细'!$AE$9:$AE$1592,0)))=7,SUM(INDEX('SKU明细'!$G$9:$G$1592,MATCH("[6574,""1S01-DPB-9""]",'SKU明细'!$AE$9:$AE$1592,0)),INDEX('SKU明细'!$G$9:$G$1592,MATCH("[6574,""1S01-DPB-10""]",'SKU明细'!$AE$9:$AE$1592,0)),INDEX('SKU明细'!$G$9:$G$1592,MATCH("[6574,""1S01-DPB-11""]",'SKU明细'!$AE$9:$AE$1592,0)),INDEX('SKU明细'!$G$9:$G$1592,MATCH("[6574,""1S01-DPB-6""]",'SKU明细'!$AE$9:$AE$1592,0)),INDEX('SKU明细'!$G$9:$G$1592,MATCH("[6574,""1S01-DPB-8""]",'SKU明细'!$AE$9:$AE$1592,0)),INDEX('SKU明细'!$G$9:$G$1592,MATCH("[6574,""1S01-DPB-7""]",'SKU明细'!$AE$9:$AE$1592,0)),INDEX('SKU明细'!$G$9:$G$1592,MATCH("[6574,""1S01-DPB-37.5""]",'SKU明细'!$AE$9:$AE$1592,0)))&gt;0),SUM(INDEX('SKU明细'!$H$9:$H$1592,MATCH("[6574,""1S01-DPB-9""]",'SKU明细'!$AE$9:$AE$1592,0)),INDEX('SKU明细'!$H$9:$H$1592,MATCH("[6574,""1S01-DPB-10""]",'SKU明细'!$AE$9:$AE$1592,0)),INDEX('SKU明细'!$H$9:$H$1592,MATCH("[6574,""1S01-DPB-11""]",'SKU明细'!$AE$9:$AE$1592,0)),INDEX('SKU明细'!$H$9:$H$1592,MATCH("[6574,""1S01-DPB-6""]",'SKU明细'!$AE$9:$AE$1592,0)),INDEX('SKU明细'!$H$9:$H$1592,MATCH("[6574,""1S01-DPB-8""]",'SKU明细'!$AE$9:$AE$1592,0)),INDEX('SKU明细'!$H$9:$H$1592,MATCH("[6574,""1S01-DPB-7""]",'SKU明细'!$AE$9:$AE$1592,0)),INDEX('SKU明细'!$H$9:$H$1592,MATCH("[6574,""1S01-DPB-37.5""]",'SKU明细'!$AE$9:$AE$1592,0)))/SUM(INDEX('SKU明细'!$G$9:$G$1592,MATCH("[6574,""1S01-DPB-9""]",'SKU明细'!$AE$9:$AE$1592,0)),INDEX('SKU明细'!$G$9:$G$1592,MATCH("[6574,""1S01-DPB-10""]",'SKU明细'!$AE$9:$AE$1592,0)),INDEX('SKU明细'!$G$9:$G$1592,MATCH("[6574,""1S01-DPB-11""]",'SKU明细'!$AE$9:$AE$1592,0)),INDEX('SKU明细'!$G$9:$G$1592,MATCH("[6574,""1S01-DPB-6""]",'SKU明细'!$AE$9:$AE$1592,0)),INDEX('SKU明细'!$G$9:$G$1592,MATCH("[6574,""1S01-DPB-8""]",'SKU明细'!$AE$9:$AE$1592,0)),INDEX('SKU明细'!$G$9:$G$1592,MATCH("[6574,""1S01-DPB-7""]",'SKU明细'!$AE$9:$AE$1592,0)),INDEX('SKU明细'!$G$9:$G$1592,MATCH("[6574,""1S01-DPB-37.5""]",'SKU明细'!$AE$9:$AE$1592,0))),"待核")</x:f>
        <x:v>52.99684542586751</x:v>
      </x:c>
      <x:c r="T168" s="16" t="str">
        <x:f>IF(AND(COUNT(INDEX('SKU明细'!$I$9:$I$1592,MATCH("[6574,""1S01-DPB-9""]",'SKU明细'!$AE$9:$AE$1592,0)),INDEX('SKU明细'!$I$9:$I$1592,MATCH("[6574,""1S01-DPB-10""]",'SKU明细'!$AE$9:$AE$1592,0)),INDEX('SKU明细'!$I$9:$I$1592,MATCH("[6574,""1S01-DPB-11""]",'SKU明细'!$AE$9:$AE$1592,0)),INDEX('SKU明细'!$I$9:$I$1592,MATCH("[6574,""1S01-DPB-6""]",'SKU明细'!$AE$9:$AE$1592,0)),INDEX('SKU明细'!$I$9:$I$1592,MATCH("[6574,""1S01-DPB-8""]",'SKU明细'!$AE$9:$AE$1592,0)),INDEX('SKU明细'!$I$9:$I$1592,MATCH("[6574,""1S01-DPB-7""]",'SKU明细'!$AE$9:$AE$1592,0)),INDEX('SKU明细'!$I$9:$I$1592,MATCH("[6574,""1S01-DPB-37.5""]",'SKU明细'!$AE$9:$AE$1592,0)))=7,COUNT(INDEX('SKU明细'!$AD$9:$AD$1592,MATCH("[6574,""1S01-DPB-9""]",'SKU明细'!$AE$9:$AE$1592,0)),INDEX('SKU明细'!$AD$9:$AD$1592,MATCH("[6574,""1S01-DPB-10""]",'SKU明细'!$AE$9:$AE$1592,0)),INDEX('SKU明细'!$AD$9:$AD$1592,MATCH("[6574,""1S01-DPB-11""]",'SKU明细'!$AE$9:$AE$1592,0)),INDEX('SKU明细'!$AD$9:$AD$1592,MATCH("[6574,""1S01-DPB-6""]",'SKU明细'!$AE$9:$AE$1592,0)),INDEX('SKU明细'!$AD$9:$AD$1592,MATCH("[6574,""1S01-DPB-8""]",'SKU明细'!$AE$9:$AE$1592,0)),INDEX('SKU明细'!$AD$9:$AD$1592,MATCH("[6574,""1S01-DPB-7""]",'SKU明细'!$AE$9:$AE$1592,0)),INDEX('SKU明细'!$AD$9:$AD$1592,MATCH("[6574,""1S01-DPB-37.5""]",'SKU明细'!$AE$9:$AE$1592,0)))=7,SUM(INDEX('SKU明细'!$AD$9:$AD$1592,MATCH("[6574,""1S01-DPB-9""]",'SKU明细'!$AE$9:$AE$1592,0)),INDEX('SKU明细'!$AD$9:$AD$1592,MATCH("[6574,""1S01-DPB-10""]",'SKU明细'!$AE$9:$AE$1592,0)),INDEX('SKU明细'!$AD$9:$AD$1592,MATCH("[6574,""1S01-DPB-11""]",'SKU明细'!$AE$9:$AE$1592,0)),INDEX('SKU明细'!$AD$9:$AD$1592,MATCH("[6574,""1S01-DPB-6""]",'SKU明细'!$AE$9:$AE$1592,0)),INDEX('SKU明细'!$AD$9:$AD$1592,MATCH("[6574,""1S01-DPB-8""]",'SKU明细'!$AE$9:$AE$1592,0)),INDEX('SKU明细'!$AD$9:$AD$1592,MATCH("[6574,""1S01-DPB-7""]",'SKU明细'!$AE$9:$AE$1592,0)),INDEX('SKU明细'!$AD$9:$AD$1592,MATCH("[6574,""1S01-DPB-37.5""]",'SKU明细'!$AE$9:$AE$1592,0)))&gt;0),SUM(INDEX('SKU明细'!$I$9:$I$1592,MATCH("[6574,""1S01-DPB-9""]",'SKU明细'!$AE$9:$AE$1592,0)),INDEX('SKU明细'!$I$9:$I$1592,MATCH("[6574,""1S01-DPB-10""]",'SKU明细'!$AE$9:$AE$1592,0)),INDEX('SKU明细'!$I$9:$I$1592,MATCH("[6574,""1S01-DPB-11""]",'SKU明细'!$AE$9:$AE$1592,0)),INDEX('SKU明细'!$I$9:$I$1592,MATCH("[6574,""1S01-DPB-6""]",'SKU明细'!$AE$9:$AE$1592,0)),INDEX('SKU明细'!$I$9:$I$1592,MATCH("[6574,""1S01-DPB-8""]",'SKU明细'!$AE$9:$AE$1592,0)),INDEX('SKU明细'!$I$9:$I$1592,MATCH("[6574,""1S01-DPB-7""]",'SKU明细'!$AE$9:$AE$1592,0)),INDEX('SKU明细'!$I$9:$I$1592,MATCH("[6574,""1S01-DPB-37.5""]",'SKU明细'!$AE$9:$AE$1592,0)))/SUM(INDEX('SKU明细'!$AD$9:$AD$1592,MATCH("[6574,""1S01-DPB-9""]",'SKU明细'!$AE$9:$AE$1592,0)),INDEX('SKU明细'!$AD$9:$AD$1592,MATCH("[6574,""1S01-DPB-10""]",'SKU明细'!$AE$9:$AE$1592,0)),INDEX('SKU明细'!$AD$9:$AD$1592,MATCH("[6574,""1S01-DPB-11""]",'SKU明细'!$AE$9:$AE$1592,0)),INDEX('SKU明细'!$AD$9:$AD$1592,MATCH("[6574,""1S01-DPB-6""]",'SKU明细'!$AE$9:$AE$1592,0)),INDEX('SKU明细'!$AD$9:$AD$1592,MATCH("[6574,""1S01-DPB-8""]",'SKU明细'!$AE$9:$AE$1592,0)),INDEX('SKU明细'!$AD$9:$AD$1592,MATCH("[6574,""1S01-DPB-7""]",'SKU明细'!$AE$9:$AE$1592,0)),INDEX('SKU明细'!$AD$9:$AD$1592,MATCH("[6574,""1S01-DPB-37.5""]",'SKU明细'!$AE$9:$AE$1592,0))),"待核")</x:f>
        <x:v>待核</x:v>
      </x:c>
      <x:c r="U168" s="16" t="str">
        <x:f>IF(COUNT(S168:T168)=2,S168-T168,"待核")</x:f>
        <x:v>待核</x:v>
      </x:c>
      <x:c r="V168" s="17" t="str">
        <x:f>IF(AND(ISNUMBER(U168),ISNUMBER(T168),T168&lt;&gt;0),U168/T168,"")</x:f>
      </x:c>
      <x:c r="W168" s="18" t="n">
        <x:f>IF(COUNT(INDEX('SKU明细'!$H$9:$H$1592,MATCH("[6574,""1S01-DPB-9""]",'SKU明细'!$AE$9:$AE$1592,0)),INDEX('SKU明细'!$H$9:$H$1592,MATCH("[6574,""1S01-DPB-10""]",'SKU明细'!$AE$9:$AE$1592,0)),INDEX('SKU明细'!$H$9:$H$1592,MATCH("[6574,""1S01-DPB-11""]",'SKU明细'!$AE$9:$AE$1592,0)),INDEX('SKU明细'!$H$9:$H$1592,MATCH("[6574,""1S01-DPB-38.5""]",'SKU明细'!$AE$9:$AE$1592,0)),INDEX('SKU明细'!$H$9:$H$1592,MATCH("[6574,""1S01-DPB-39.5""]",'SKU明细'!$AE$9:$AE$1592,0)),INDEX('SKU明细'!$H$9:$H$1592,MATCH("[6574,""1S01-DPB-40.5""]",'SKU明细'!$AE$9:$AE$1592,0)),INDEX('SKU明细'!$H$9:$H$1592,MATCH("[6574,""1S01-DPB-41.5""]",'SKU明细'!$AE$9:$AE$1592,0)),INDEX('SKU明细'!$H$9:$H$1592,MATCH("[6574,""1S01-DPB-5""]",'SKU明细'!$AE$9:$AE$1592,0)),INDEX('SKU明细'!$H$9:$H$1592,MATCH("[6574,""1S01-DPB-6""]",'SKU明细'!$AE$9:$AE$1592,0)),INDEX('SKU明细'!$H$9:$H$1592,MATCH("[6574,""1S01-DPB-8""]",'SKU明细'!$AE$9:$AE$1592,0)),INDEX('SKU明细'!$H$9:$H$1592,MATCH("[6574,""1S01-DPB-7""]",'SKU明细'!$AE$9:$AE$1592,0)),INDEX('SKU明细'!$H$9:$H$1592,MATCH("[6574,""1S01-DPB-37.5""]",'SKU明细'!$AE$9:$AE$1592,0)))=0,"待核",SUM(INDEX('SKU明细'!$H$9:$H$1592,MATCH("[6574,""1S01-DPB-9""]",'SKU明细'!$AE$9:$AE$1592,0)),INDEX('SKU明细'!$H$9:$H$1592,MATCH("[6574,""1S01-DPB-10""]",'SKU明细'!$AE$9:$AE$1592,0)),INDEX('SKU明细'!$H$9:$H$1592,MATCH("[6574,""1S01-DPB-11""]",'SKU明细'!$AE$9:$AE$1592,0)),INDEX('SKU明细'!$H$9:$H$1592,MATCH("[6574,""1S01-DPB-38.5""]",'SKU明细'!$AE$9:$AE$1592,0)),INDEX('SKU明细'!$H$9:$H$1592,MATCH("[6574,""1S01-DPB-39.5""]",'SKU明细'!$AE$9:$AE$1592,0)),INDEX('SKU明细'!$H$9:$H$1592,MATCH("[6574,""1S01-DPB-40.5""]",'SKU明细'!$AE$9:$AE$1592,0)),INDEX('SKU明细'!$H$9:$H$1592,MATCH("[6574,""1S01-DPB-41.5""]",'SKU明细'!$AE$9:$AE$1592,0)),INDEX('SKU明细'!$H$9:$H$1592,MATCH("[6574,""1S01-DPB-5""]",'SKU明细'!$AE$9:$AE$1592,0)),INDEX('SKU明细'!$H$9:$H$1592,MATCH("[6574,""1S01-DPB-6""]",'SKU明细'!$AE$9:$AE$1592,0)),INDEX('SKU明细'!$H$9:$H$1592,MATCH("[6574,""1S01-DPB-8""]",'SKU明细'!$AE$9:$AE$1592,0)),INDEX('SKU明细'!$H$9:$H$1592,MATCH("[6574,""1S01-DPB-7""]",'SKU明细'!$AE$9:$AE$1592,0)),INDEX('SKU明细'!$H$9:$H$1592,MATCH("[6574,""1S01-DPB-37.5""]",'SKU明细'!$AE$9:$AE$1592,0))))</x:f>
        <x:v>32</x:v>
      </x:c>
      <x:c r="X168" s="19" t="str">
        <x:f>IF(COUNTIFS('SKU明细'!$AH$9:$AH$1592,"[""1S01"",""1S01-DPB"",""DPB"",""米色""]",'SKU明细'!$E$9:$E$1592,"促销")&gt;0,"促销 ","")&amp;IF(COUNTIFS('SKU明细'!$AH$9:$AH$1592,"[""1S01"",""1S01-DPB"",""DPB"",""米色""]",'SKU明细'!$E$9:$E$1592,"红线促销")&gt;0,"红线促销 ","")&amp;IF(COUNTIFS('SKU明细'!$AH$9:$AH$1592,"[""1S01"",""1S01-DPB"",""DPB"",""米色""]",'SKU明细'!$E$9:$E$1592,"考虑清仓")&gt;0,"考虑清仓 ","")&amp;IF(COUNTIFS('SKU明细'!$AH$9:$AH$1592,"[""1S01"",""1S01-DPB"",""DPB"",""米色""]",'SKU明细'!$E$9:$E$1592,"断货")&gt;0,"断货 ","")&amp;IF(COUNTIFS('SKU明细'!$AH$9:$AH$1592,"[""1S01"",""1S01-DPB"",""DPB"",""米色""]",'SKU明细'!$E$9:$E$1592,"零日销待复核")&gt;0,"零日销待复核 ","")&amp;IF(COUNTIFS('SKU明细'!$AH$9:$AH$1592,"[""1S01"",""1S01-DPB"",""DPB"",""米色""]",'SKU明细'!$E$9:$E$1592,"数据待核")&gt;0,"数据待核 ","")&amp;IF(COUNTIFS('SKU明细'!$AH$9:$AH$1592,"[""1S01"",""1S01-DPB"",""DPB"",""米色""]",'SKU明细'!$E$9:$E$1592,"正常库存")&gt;0,"正常库存 ","")&amp;IF(COUNTIFS('SKU明细'!$AH$9:$AH$1592,"[""1S01"",""1S01-DPB"",""DPB"",""米色""]",'SKU明细'!$E$9:$E$1592,"补货提醒")&gt;0,"补货提醒 ","")</x:f>
        <x:v>促销 断货 正常库存 补货提醒 </x:v>
      </x:c>
      <x:c r="Y168" s="19" t="str">
        <x:f>IF(NOT(ISNUMBER(U168)),"覆盖待核／无可比基准","仅共同SKU")</x:f>
        <x:v>覆盖待核／无可比基准</x:v>
      </x:c>
      <x:c r="Z168" s="19" t="str">
        <x:v>在售、停售</x:v>
      </x:c>
      <x:c r="AA168" s="19" t="n">
        <x:f>IF(SUMIFS('SKU明细'!$AF$9:$AF$1592,'SKU明细'!$D$9:$D$1592,A168,'SKU明细'!$Z$9:$Z$1592,"&lt;&gt;移出")=0,"待核",SUMIFS('SKU明细'!$H$9:$H$1592,'SKU明细'!$D$9:$D$1592,A168,'SKU明细'!$Z$9:$Z$1592,"&lt;&gt;移出"))</x:f>
        <x:v>476</x:v>
      </x:c>
    </x:row>
    <x:row r="169" ht="54" customHeight="1">
      <x:c r="A169" s="15" t="str">
        <x:v>1S01</x:v>
      </x:c>
      <x:c r="B169" s="15" t="str">
        <x:v>徐新怡</x:v>
      </x:c>
      <x:c r="C169" s="15" t="str">
        <x:v>金色</x:v>
      </x:c>
      <x:c r="D169" s="15" t="str">
        <x:v>GD</x:v>
      </x:c>
      <x:c r="E169" s="15" t="str">
        <x:v>1S01-GD</x:v>
      </x:c>
      <x:c r="F169" s="15"/>
      <x:c r="G169" s="16" t="str">
        <x:f>IF(AND(COUNT(INDEX('SKU明细'!$H$9:$H$1592,MATCH("[13120,""1S01-GD-36""]",'SKU明细'!$AE$9:$AE$1592,0)))=1,COUNT(INDEX('SKU明细'!$G$9:$G$1592,MATCH("[13120,""1S01-GD-36""]",'SKU明细'!$AE$9:$AE$1592,0)))=1,SUM(INDEX('SKU明细'!$G$9:$G$1592,MATCH("[13120,""1S01-GD-36""]",'SKU明细'!$AE$9:$AE$1592,0)))&gt;0),SUM(INDEX('SKU明细'!$H$9:$H$1592,MATCH("[13120,""1S01-GD-36""]",'SKU明细'!$AE$9:$AE$1592,0)))/SUM(INDEX('SKU明细'!$G$9:$G$1592,MATCH("[13120,""1S01-GD-36""]",'SKU明细'!$AE$9:$AE$1592,0))),"待核")</x:f>
        <x:v>待核</x:v>
      </x:c>
      <x:c r="H169" s="16" t="str">
        <x:f>IF(AND(COUNT(INDEX('SKU明细'!$H$9:$H$1592,MATCH("[13120,""1S01-GD-37""]",'SKU明细'!$AE$9:$AE$1592,0)))=1,COUNT(INDEX('SKU明细'!$G$9:$G$1592,MATCH("[13120,""1S01-GD-37""]",'SKU明细'!$AE$9:$AE$1592,0)))=1,SUM(INDEX('SKU明细'!$G$9:$G$1592,MATCH("[13120,""1S01-GD-37""]",'SKU明细'!$AE$9:$AE$1592,0)))&gt;0),SUM(INDEX('SKU明细'!$H$9:$H$1592,MATCH("[13120,""1S01-GD-37""]",'SKU明细'!$AE$9:$AE$1592,0)))/SUM(INDEX('SKU明细'!$G$9:$G$1592,MATCH("[13120,""1S01-GD-37""]",'SKU明细'!$AE$9:$AE$1592,0))),"待核")</x:f>
        <x:v>待核</x:v>
      </x:c>
      <x:c r="I169" s="16" t="str">
        <x:f>"—"</x:f>
        <x:v>—</x:v>
      </x:c>
      <x:c r="J169" s="16" t="str">
        <x:f>IF(AND(COUNT(INDEX('SKU明细'!$H$9:$H$1592,MATCH("[13120,""1S01-GD-38""]",'SKU明细'!$AE$9:$AE$1592,0)))=1,COUNT(INDEX('SKU明细'!$G$9:$G$1592,MATCH("[13120,""1S01-GD-38""]",'SKU明细'!$AE$9:$AE$1592,0)))=1,SUM(INDEX('SKU明细'!$G$9:$G$1592,MATCH("[13120,""1S01-GD-38""]",'SKU明细'!$AE$9:$AE$1592,0)))&gt;0),SUM(INDEX('SKU明细'!$H$9:$H$1592,MATCH("[13120,""1S01-GD-38""]",'SKU明细'!$AE$9:$AE$1592,0)))/SUM(INDEX('SKU明细'!$G$9:$G$1592,MATCH("[13120,""1S01-GD-38""]",'SKU明细'!$AE$9:$AE$1592,0))),"待核")</x:f>
        <x:v>待核</x:v>
      </x:c>
      <x:c r="K169" s="16" t="str">
        <x:f>"—"</x:f>
        <x:v>—</x:v>
      </x:c>
      <x:c r="L169" s="16" t="str">
        <x:f>IF(AND(COUNT(INDEX('SKU明细'!$H$9:$H$1592,MATCH("[13120,""1S01-GD-39""]",'SKU明细'!$AE$9:$AE$1592,0)))=1,COUNT(INDEX('SKU明细'!$G$9:$G$1592,MATCH("[13120,""1S01-GD-39""]",'SKU明细'!$AE$9:$AE$1592,0)))=1,SUM(INDEX('SKU明细'!$G$9:$G$1592,MATCH("[13120,""1S01-GD-39""]",'SKU明细'!$AE$9:$AE$1592,0)))&gt;0),SUM(INDEX('SKU明细'!$H$9:$H$1592,MATCH("[13120,""1S01-GD-39""]",'SKU明细'!$AE$9:$AE$1592,0)))/SUM(INDEX('SKU明细'!$G$9:$G$1592,MATCH("[13120,""1S01-GD-39""]",'SKU明细'!$AE$9:$AE$1592,0))),"待核")</x:f>
        <x:v>待核</x:v>
      </x:c>
      <x:c r="M169" s="16" t="str">
        <x:f>"—"</x:f>
        <x:v>—</x:v>
      </x:c>
      <x:c r="N169" s="16" t="str">
        <x:f>IF(AND(COUNT(INDEX('SKU明细'!$H$9:$H$1592,MATCH("[13120,""1S01-GD-40""]",'SKU明细'!$AE$9:$AE$1592,0)))=1,COUNT(INDEX('SKU明细'!$G$9:$G$1592,MATCH("[13120,""1S01-GD-40""]",'SKU明细'!$AE$9:$AE$1592,0)))=1,SUM(INDEX('SKU明细'!$G$9:$G$1592,MATCH("[13120,""1S01-GD-40""]",'SKU明细'!$AE$9:$AE$1592,0)))&gt;0),SUM(INDEX('SKU明细'!$H$9:$H$1592,MATCH("[13120,""1S01-GD-40""]",'SKU明细'!$AE$9:$AE$1592,0)))/SUM(INDEX('SKU明细'!$G$9:$G$1592,MATCH("[13120,""1S01-GD-40""]",'SKU明细'!$AE$9:$AE$1592,0))),"待核")</x:f>
        <x:v>待核</x:v>
      </x:c>
      <x:c r="O169" s="16" t="str">
        <x:f>"—"</x:f>
        <x:v>—</x:v>
      </x:c>
      <x:c r="P169" s="16" t="str">
        <x:f>IF(AND(COUNT(INDEX('SKU明细'!$H$9:$H$1592,MATCH("[13120,""1S01-GD-41""]",'SKU明细'!$AE$9:$AE$1592,0)))=1,COUNT(INDEX('SKU明细'!$G$9:$G$1592,MATCH("[13120,""1S01-GD-41""]",'SKU明细'!$AE$9:$AE$1592,0)))=1,SUM(INDEX('SKU明细'!$G$9:$G$1592,MATCH("[13120,""1S01-GD-41""]",'SKU明细'!$AE$9:$AE$1592,0)))&gt;0),SUM(INDEX('SKU明细'!$H$9:$H$1592,MATCH("[13120,""1S01-GD-41""]",'SKU明细'!$AE$9:$AE$1592,0)))/SUM(INDEX('SKU明细'!$G$9:$G$1592,MATCH("[13120,""1S01-GD-41""]",'SKU明细'!$AE$9:$AE$1592,0))),"待核")</x:f>
        <x:v>待核</x:v>
      </x:c>
      <x:c r="Q169" s="16" t="str">
        <x:f>"—"</x:f>
        <x:v>—</x:v>
      </x:c>
      <x:c r="R169" s="16" t="str">
        <x:f>IF(AND(COUNT(INDEX('SKU明细'!$H$9:$H$1592,MATCH("[13120,""1S01-GD-42""]",'SKU明细'!$AE$9:$AE$1592,0)))=1,COUNT(INDEX('SKU明细'!$G$9:$G$1592,MATCH("[13120,""1S01-GD-42""]",'SKU明细'!$AE$9:$AE$1592,0)))=1,SUM(INDEX('SKU明细'!$G$9:$G$1592,MATCH("[13120,""1S01-GD-42""]",'SKU明细'!$AE$9:$AE$1592,0)))&gt;0),SUM(INDEX('SKU明细'!$H$9:$H$1592,MATCH("[13120,""1S01-GD-42""]",'SKU明细'!$AE$9:$AE$1592,0)))/SUM(INDEX('SKU明细'!$G$9:$G$1592,MATCH("[13120,""1S01-GD-42""]",'SKU明细'!$AE$9:$AE$1592,0))),"待核")</x:f>
        <x:v>待核</x:v>
      </x:c>
      <x:c r="S169" s="16" t="str">
        <x:f>"—"</x:f>
        <x:v>—</x:v>
      </x:c>
      <x:c r="T169" s="16" t="str">
        <x:f>"—"</x:f>
        <x:v>—</x:v>
      </x:c>
      <x:c r="U169" s="16" t="str">
        <x:f>IF(COUNT(S169:T169)=2,S169-T169,"待核")</x:f>
        <x:v>待核</x:v>
      </x:c>
      <x:c r="V169" s="17" t="str">
        <x:f>IF(AND(ISNUMBER(U169),ISNUMBER(T169),T169&lt;&gt;0),U169/T169,"")</x:f>
      </x:c>
      <x:c r="W169" s="18" t="str">
        <x:f>IF(COUNT(INDEX('SKU明细'!$H$9:$H$1592,MATCH("[13120,""1S01-GD-36""]",'SKU明细'!$AE$9:$AE$1592,0)),INDEX('SKU明细'!$H$9:$H$1592,MATCH("[13120,""1S01-GD-37""]",'SKU明细'!$AE$9:$AE$1592,0)),INDEX('SKU明细'!$H$9:$H$1592,MATCH("[13120,""1S01-GD-38""]",'SKU明细'!$AE$9:$AE$1592,0)),INDEX('SKU明细'!$H$9:$H$1592,MATCH("[13120,""1S01-GD-39""]",'SKU明细'!$AE$9:$AE$1592,0)),INDEX('SKU明细'!$H$9:$H$1592,MATCH("[13120,""1S01-GD-40""]",'SKU明细'!$AE$9:$AE$1592,0)),INDEX('SKU明细'!$H$9:$H$1592,MATCH("[13120,""1S01-GD-41""]",'SKU明细'!$AE$9:$AE$1592,0)),INDEX('SKU明细'!$H$9:$H$1592,MATCH("[13120,""1S01-GD-42""]",'SKU明细'!$AE$9:$AE$1592,0)))=0,"待核",SUM(INDEX('SKU明细'!$H$9:$H$1592,MATCH("[13120,""1S01-GD-36""]",'SKU明细'!$AE$9:$AE$1592,0)),INDEX('SKU明细'!$H$9:$H$1592,MATCH("[13120,""1S01-GD-37""]",'SKU明细'!$AE$9:$AE$1592,0)),INDEX('SKU明细'!$H$9:$H$1592,MATCH("[13120,""1S01-GD-38""]",'SKU明细'!$AE$9:$AE$1592,0)),INDEX('SKU明细'!$H$9:$H$1592,MATCH("[13120,""1S01-GD-39""]",'SKU明细'!$AE$9:$AE$1592,0)),INDEX('SKU明细'!$H$9:$H$1592,MATCH("[13120,""1S01-GD-40""]",'SKU明细'!$AE$9:$AE$1592,0)),INDEX('SKU明细'!$H$9:$H$1592,MATCH("[13120,""1S01-GD-41""]",'SKU明细'!$AE$9:$AE$1592,0)),INDEX('SKU明细'!$H$9:$H$1592,MATCH("[13120,""1S01-GD-42""]",'SKU明细'!$AE$9:$AE$1592,0))))</x:f>
        <x:v>待核</x:v>
      </x:c>
      <x:c r="X169" s="19" t="str">
        <x:f>IF(COUNTIFS('SKU明细'!$AH$9:$AH$1592,"[""1S01"",""1S01-GD"",""GD"",""金色""]",'SKU明细'!$E$9:$E$1592,"促销")&gt;0,"促销 ","")&amp;IF(COUNTIFS('SKU明细'!$AH$9:$AH$1592,"[""1S01"",""1S01-GD"",""GD"",""金色""]",'SKU明细'!$E$9:$E$1592,"红线促销")&gt;0,"红线促销 ","")&amp;IF(COUNTIFS('SKU明细'!$AH$9:$AH$1592,"[""1S01"",""1S01-GD"",""GD"",""金色""]",'SKU明细'!$E$9:$E$1592,"考虑清仓")&gt;0,"考虑清仓 ","")&amp;IF(COUNTIFS('SKU明细'!$AH$9:$AH$1592,"[""1S01"",""1S01-GD"",""GD"",""金色""]",'SKU明细'!$E$9:$E$1592,"断货")&gt;0,"断货 ","")&amp;IF(COUNTIFS('SKU明细'!$AH$9:$AH$1592,"[""1S01"",""1S01-GD"",""GD"",""金色""]",'SKU明细'!$E$9:$E$1592,"零日销待复核")&gt;0,"零日销待复核 ","")&amp;IF(COUNTIFS('SKU明细'!$AH$9:$AH$1592,"[""1S01"",""1S01-GD"",""GD"",""金色""]",'SKU明细'!$E$9:$E$1592,"数据待核")&gt;0,"数据待核 ","")&amp;IF(COUNTIFS('SKU明细'!$AH$9:$AH$1592,"[""1S01"",""1S01-GD"",""GD"",""金色""]",'SKU明细'!$E$9:$E$1592,"正常库存")&gt;0,"正常库存 ","")&amp;IF(COUNTIFS('SKU明细'!$AH$9:$AH$1592,"[""1S01"",""1S01-GD"",""GD"",""金色""]",'SKU明细'!$E$9:$E$1592,"补货提醒")&gt;0,"补货提醒 ","")</x:f>
        <x:v>数据待核 </x:v>
      </x:c>
      <x:c r="Y169" s="19" t="str">
        <x:f>IF(NOT(ISNUMBER(U169)),"覆盖待核／无可比基准","仅共同SKU")</x:f>
        <x:v>覆盖待核／无可比基准</x:v>
      </x:c>
      <x:c r="Z169" s="19" t="str">
        <x:v>停售</x:v>
      </x:c>
      <x:c r="AA169" s="19" t="n">
        <x:f>IF(SUMIFS('SKU明细'!$AF$9:$AF$1592,'SKU明细'!$D$9:$D$1592,A169,'SKU明细'!$Z$9:$Z$1592,"&lt;&gt;移出")=0,"待核",SUMIFS('SKU明细'!$H$9:$H$1592,'SKU明细'!$D$9:$D$1592,A169,'SKU明细'!$Z$9:$Z$1592,"&lt;&gt;移出"))</x:f>
        <x:v>476</x:v>
      </x:c>
    </x:row>
    <x:row r="170" ht="54" customHeight="1">
      <x:c r="A170" s="15" t="str">
        <x:v>1S01</x:v>
      </x:c>
      <x:c r="B170" s="15" t="str">
        <x:v>徐新怡</x:v>
      </x:c>
      <x:c r="C170" s="15" t="str">
        <x:v>豹纹</x:v>
      </x:c>
      <x:c r="D170" s="15" t="str">
        <x:v>LMN</x:v>
      </x:c>
      <x:c r="E170" s="15" t="str">
        <x:v>1S01-LMN</x:v>
      </x:c>
      <x:c r="F170" s="15"/>
      <x:c r="G170" s="16" t="str">
        <x:f>IF(AND(COUNT(INDEX('SKU明细'!$H$9:$H$1592,MATCH("[6574,""1S01-LMN-36""]",'SKU明细'!$AE$9:$AE$1592,0)))=1,COUNT(INDEX('SKU明细'!$G$9:$G$1592,MATCH("[6574,""1S01-LMN-36""]",'SKU明细'!$AE$9:$AE$1592,0)))=1,SUM(INDEX('SKU明细'!$G$9:$G$1592,MATCH("[6574,""1S01-LMN-36""]",'SKU明细'!$AE$9:$AE$1592,0)))&gt;0),SUM(INDEX('SKU明细'!$H$9:$H$1592,MATCH("[6574,""1S01-LMN-36""]",'SKU明细'!$AE$9:$AE$1592,0)))/SUM(INDEX('SKU明细'!$G$9:$G$1592,MATCH("[6574,""1S01-LMN-36""]",'SKU明细'!$AE$9:$AE$1592,0))),"待核")</x:f>
        <x:v>待核</x:v>
      </x:c>
      <x:c r="H170" s="16" t="n">
        <x:f>IF(AND(COUNT(INDEX('SKU明细'!$H$9:$H$1592,MATCH("[6574,""1S01-LMN-37""]",'SKU明细'!$AE$9:$AE$1592,0)))=1,COUNT(INDEX('SKU明细'!$G$9:$G$1592,MATCH("[6574,""1S01-LMN-37""]",'SKU明细'!$AE$9:$AE$1592,0)))=1,SUM(INDEX('SKU明细'!$G$9:$G$1592,MATCH("[6574,""1S01-LMN-37""]",'SKU明细'!$AE$9:$AE$1592,0)))&gt;0),SUM(INDEX('SKU明细'!$H$9:$H$1592,MATCH("[6574,""1S01-LMN-37""]",'SKU明细'!$AE$9:$AE$1592,0)))/SUM(INDEX('SKU明细'!$G$9:$G$1592,MATCH("[6574,""1S01-LMN-37""]",'SKU明细'!$AE$9:$AE$1592,0))),"待核")</x:f>
        <x:v>0</x:v>
      </x:c>
      <x:c r="I170" s="16" t="n">
        <x:f>IF(AND(COUNT(INDEX('SKU明细'!$H$9:$H$1592,MATCH("[6574,""1S01-LMN-37.5""]",'SKU明细'!$AE$9:$AE$1592,0)))=1,COUNT(INDEX('SKU明细'!$G$9:$G$1592,MATCH("[6574,""1S01-LMN-37.5""]",'SKU明细'!$AE$9:$AE$1592,0)))=1,SUM(INDEX('SKU明细'!$G$9:$G$1592,MATCH("[6574,""1S01-LMN-37.5""]",'SKU明细'!$AE$9:$AE$1592,0)))&gt;0),SUM(INDEX('SKU明细'!$H$9:$H$1592,MATCH("[6574,""1S01-LMN-37.5""]",'SKU明细'!$AE$9:$AE$1592,0)))/SUM(INDEX('SKU明细'!$G$9:$G$1592,MATCH("[6574,""1S01-LMN-37.5""]",'SKU明细'!$AE$9:$AE$1592,0))),"待核")</x:f>
        <x:v>37.5</x:v>
      </x:c>
      <x:c r="J170" s="16" t="n">
        <x:f>IF(AND(COUNT(INDEX('SKU明细'!$H$9:$H$1592,MATCH("[6574,""1S01-LMN-38""]",'SKU明细'!$AE$9:$AE$1592,0)))=1,COUNT(INDEX('SKU明细'!$G$9:$G$1592,MATCH("[6574,""1S01-LMN-38""]",'SKU明细'!$AE$9:$AE$1592,0)))=1,SUM(INDEX('SKU明细'!$G$9:$G$1592,MATCH("[6574,""1S01-LMN-38""]",'SKU明细'!$AE$9:$AE$1592,0)))&gt;0),SUM(INDEX('SKU明细'!$H$9:$H$1592,MATCH("[6574,""1S01-LMN-38""]",'SKU明细'!$AE$9:$AE$1592,0)))/SUM(INDEX('SKU明细'!$G$9:$G$1592,MATCH("[6574,""1S01-LMN-38""]",'SKU明细'!$AE$9:$AE$1592,0))),"待核")</x:f>
        <x:v>0</x:v>
      </x:c>
      <x:c r="K170" s="16" t="str">
        <x:f>IF(AND(COUNT(INDEX('SKU明细'!$H$9:$H$1592,MATCH("[6574,""1S01-LMN-38.5""]",'SKU明细'!$AE$9:$AE$1592,0)))=1,COUNT(INDEX('SKU明细'!$G$9:$G$1592,MATCH("[6574,""1S01-LMN-38.5""]",'SKU明细'!$AE$9:$AE$1592,0)))=1,SUM(INDEX('SKU明细'!$G$9:$G$1592,MATCH("[6574,""1S01-LMN-38.5""]",'SKU明细'!$AE$9:$AE$1592,0)))&gt;0),SUM(INDEX('SKU明细'!$H$9:$H$1592,MATCH("[6574,""1S01-LMN-38.5""]",'SKU明细'!$AE$9:$AE$1592,0)))/SUM(INDEX('SKU明细'!$G$9:$G$1592,MATCH("[6574,""1S01-LMN-38.5""]",'SKU明细'!$AE$9:$AE$1592,0))),"待核")</x:f>
        <x:v>待核</x:v>
      </x:c>
      <x:c r="L170" s="16" t="n">
        <x:f>IF(AND(COUNT(INDEX('SKU明细'!$H$9:$H$1592,MATCH("[6574,""1S01-LMN-39""]",'SKU明细'!$AE$9:$AE$1592,0)))=1,COUNT(INDEX('SKU明细'!$G$9:$G$1592,MATCH("[6574,""1S01-LMN-39""]",'SKU明细'!$AE$9:$AE$1592,0)))=1,SUM(INDEX('SKU明细'!$G$9:$G$1592,MATCH("[6574,""1S01-LMN-39""]",'SKU明细'!$AE$9:$AE$1592,0)))&gt;0),SUM(INDEX('SKU明细'!$H$9:$H$1592,MATCH("[6574,""1S01-LMN-39""]",'SKU明细'!$AE$9:$AE$1592,0)))/SUM(INDEX('SKU明细'!$G$9:$G$1592,MATCH("[6574,""1S01-LMN-39""]",'SKU明细'!$AE$9:$AE$1592,0))),"待核")</x:f>
        <x:v>0</x:v>
      </x:c>
      <x:c r="M170" s="16" t="str">
        <x:f>IF(AND(COUNT(INDEX('SKU明细'!$H$9:$H$1592,MATCH("[6574,""1S01-LMN-39.5""]",'SKU明细'!$AE$9:$AE$1592,0)))=1,COUNT(INDEX('SKU明细'!$G$9:$G$1592,MATCH("[6574,""1S01-LMN-39.5""]",'SKU明细'!$AE$9:$AE$1592,0)))=1,SUM(INDEX('SKU明细'!$G$9:$G$1592,MATCH("[6574,""1S01-LMN-39.5""]",'SKU明细'!$AE$9:$AE$1592,0)))&gt;0),SUM(INDEX('SKU明细'!$H$9:$H$1592,MATCH("[6574,""1S01-LMN-39.5""]",'SKU明细'!$AE$9:$AE$1592,0)))/SUM(INDEX('SKU明细'!$G$9:$G$1592,MATCH("[6574,""1S01-LMN-39.5""]",'SKU明细'!$AE$9:$AE$1592,0))),"待核")</x:f>
        <x:v>待核</x:v>
      </x:c>
      <x:c r="N170" s="16" t="n">
        <x:f>IF(AND(COUNT(INDEX('SKU明细'!$H$9:$H$1592,MATCH("[6574,""1S01-LMN-40""]",'SKU明细'!$AE$9:$AE$1592,0)))=1,COUNT(INDEX('SKU明细'!$G$9:$G$1592,MATCH("[6574,""1S01-LMN-40""]",'SKU明细'!$AE$9:$AE$1592,0)))=1,SUM(INDEX('SKU明细'!$G$9:$G$1592,MATCH("[6574,""1S01-LMN-40""]",'SKU明细'!$AE$9:$AE$1592,0)))&gt;0),SUM(INDEX('SKU明细'!$H$9:$H$1592,MATCH("[6574,""1S01-LMN-40""]",'SKU明细'!$AE$9:$AE$1592,0)))/SUM(INDEX('SKU明细'!$G$9:$G$1592,MATCH("[6574,""1S01-LMN-40""]",'SKU明细'!$AE$9:$AE$1592,0))),"待核")</x:f>
        <x:v>0</x:v>
      </x:c>
      <x:c r="O170" s="16" t="str">
        <x:f>IF(AND(COUNT(INDEX('SKU明细'!$H$9:$H$1592,MATCH("[6574,""1S01-LMN-40.5""]",'SKU明细'!$AE$9:$AE$1592,0)))=1,COUNT(INDEX('SKU明细'!$G$9:$G$1592,MATCH("[6574,""1S01-LMN-40.5""]",'SKU明细'!$AE$9:$AE$1592,0)))=1,SUM(INDEX('SKU明细'!$G$9:$G$1592,MATCH("[6574,""1S01-LMN-40.5""]",'SKU明细'!$AE$9:$AE$1592,0)))&gt;0),SUM(INDEX('SKU明细'!$H$9:$H$1592,MATCH("[6574,""1S01-LMN-40.5""]",'SKU明细'!$AE$9:$AE$1592,0)))/SUM(INDEX('SKU明细'!$G$9:$G$1592,MATCH("[6574,""1S01-LMN-40.5""]",'SKU明细'!$AE$9:$AE$1592,0))),"待核")</x:f>
        <x:v>待核</x:v>
      </x:c>
      <x:c r="P170" s="16" t="n">
        <x:f>IF(AND(COUNT(INDEX('SKU明细'!$H$9:$H$1592,MATCH("[6574,""1S01-LMN-41-FX""]",'SKU明细'!$AE$9:$AE$1592,0)))=1,COUNT(INDEX('SKU明细'!$G$9:$G$1592,MATCH("[6574,""1S01-LMN-41-FX""]",'SKU明细'!$AE$9:$AE$1592,0)))=1,SUM(INDEX('SKU明细'!$G$9:$G$1592,MATCH("[6574,""1S01-LMN-41-FX""]",'SKU明细'!$AE$9:$AE$1592,0)))&gt;0),SUM(INDEX('SKU明细'!$H$9:$H$1592,MATCH("[6574,""1S01-LMN-41-FX""]",'SKU明细'!$AE$9:$AE$1592,0)))/SUM(INDEX('SKU明细'!$G$9:$G$1592,MATCH("[6574,""1S01-LMN-41-FX""]",'SKU明细'!$AE$9:$AE$1592,0))),"待核")</x:f>
        <x:v>0</x:v>
      </x:c>
      <x:c r="Q170" s="16" t="n">
        <x:f>IF(AND(COUNT(INDEX('SKU明细'!$H$9:$H$1592,MATCH("[6574,""1S01-LMN-41.5""]",'SKU明细'!$AE$9:$AE$1592,0)))=1,COUNT(INDEX('SKU明细'!$G$9:$G$1592,MATCH("[6574,""1S01-LMN-41.5""]",'SKU明细'!$AE$9:$AE$1592,0)))=1,SUM(INDEX('SKU明细'!$G$9:$G$1592,MATCH("[6574,""1S01-LMN-41.5""]",'SKU明细'!$AE$9:$AE$1592,0)))&gt;0),SUM(INDEX('SKU明细'!$H$9:$H$1592,MATCH("[6574,""1S01-LMN-41.5""]",'SKU明细'!$AE$9:$AE$1592,0)))/SUM(INDEX('SKU明细'!$G$9:$G$1592,MATCH("[6574,""1S01-LMN-41.5""]",'SKU明细'!$AE$9:$AE$1592,0))),"待核")</x:f>
        <x:v>0</x:v>
      </x:c>
      <x:c r="R170" s="16" t="str">
        <x:f>IF(AND(COUNT(INDEX('SKU明细'!$H$9:$H$1592,MATCH("[6574,""1S01-LMN-42-FX""]",'SKU明细'!$AE$9:$AE$1592,0)))=1,COUNT(INDEX('SKU明细'!$G$9:$G$1592,MATCH("[6574,""1S01-LMN-42-FX""]",'SKU明细'!$AE$9:$AE$1592,0)))=1,SUM(INDEX('SKU明细'!$G$9:$G$1592,MATCH("[6574,""1S01-LMN-42-FX""]",'SKU明细'!$AE$9:$AE$1592,0)))&gt;0),SUM(INDEX('SKU明细'!$H$9:$H$1592,MATCH("[6574,""1S01-LMN-42-FX""]",'SKU明细'!$AE$9:$AE$1592,0)))/SUM(INDEX('SKU明细'!$G$9:$G$1592,MATCH("[6574,""1S01-LMN-42-FX""]",'SKU明细'!$AE$9:$AE$1592,0))),"待核")</x:f>
        <x:v>待核</x:v>
      </x:c>
      <x:c r="S170" s="16" t="n">
        <x:f>IF(AND(COUNT(INDEX('SKU明细'!$H$9:$H$1592,MATCH("[6574,""1S01-LMN-37""]",'SKU明细'!$AE$9:$AE$1592,0)),INDEX('SKU明细'!$H$9:$H$1592,MATCH("[6574,""1S01-LMN-38""]",'SKU明细'!$AE$9:$AE$1592,0)),INDEX('SKU明细'!$H$9:$H$1592,MATCH("[6574,""1S01-LMN-39""]",'SKU明细'!$AE$9:$AE$1592,0)),INDEX('SKU明细'!$H$9:$H$1592,MATCH("[6574,""1S01-LMN-40""]",'SKU明细'!$AE$9:$AE$1592,0)),INDEX('SKU明细'!$H$9:$H$1592,MATCH("[6574,""1S01-LMN-41-FX""]",'SKU明细'!$AE$9:$AE$1592,0)),INDEX('SKU明细'!$H$9:$H$1592,MATCH("[6574,""1S01-LMN-42-FX""]",'SKU明细'!$AE$9:$AE$1592,0)))=6,COUNT(INDEX('SKU明细'!$G$9:$G$1592,MATCH("[6574,""1S01-LMN-37""]",'SKU明细'!$AE$9:$AE$1592,0)),INDEX('SKU明细'!$G$9:$G$1592,MATCH("[6574,""1S01-LMN-38""]",'SKU明细'!$AE$9:$AE$1592,0)),INDEX('SKU明细'!$G$9:$G$1592,MATCH("[6574,""1S01-LMN-39""]",'SKU明细'!$AE$9:$AE$1592,0)),INDEX('SKU明细'!$G$9:$G$1592,MATCH("[6574,""1S01-LMN-40""]",'SKU明细'!$AE$9:$AE$1592,0)),INDEX('SKU明细'!$G$9:$G$1592,MATCH("[6574,""1S01-LMN-41-FX""]",'SKU明细'!$AE$9:$AE$1592,0)),INDEX('SKU明细'!$G$9:$G$1592,MATCH("[6574,""1S01-LMN-42-FX""]",'SKU明细'!$AE$9:$AE$1592,0)))=6,SUM(INDEX('SKU明细'!$G$9:$G$1592,MATCH("[6574,""1S01-LMN-37""]",'SKU明细'!$AE$9:$AE$1592,0)),INDEX('SKU明细'!$G$9:$G$1592,MATCH("[6574,""1S01-LMN-38""]",'SKU明细'!$AE$9:$AE$1592,0)),INDEX('SKU明细'!$G$9:$G$1592,MATCH("[6574,""1S01-LMN-39""]",'SKU明细'!$AE$9:$AE$1592,0)),INDEX('SKU明细'!$G$9:$G$1592,MATCH("[6574,""1S01-LMN-40""]",'SKU明细'!$AE$9:$AE$1592,0)),INDEX('SKU明细'!$G$9:$G$1592,MATCH("[6574,""1S01-LMN-41-FX""]",'SKU明细'!$AE$9:$AE$1592,0)),INDEX('SKU明细'!$G$9:$G$1592,MATCH("[6574,""1S01-LMN-42-FX""]",'SKU明细'!$AE$9:$AE$1592,0)))&gt;0),SUM(INDEX('SKU明细'!$H$9:$H$1592,MATCH("[6574,""1S01-LMN-37""]",'SKU明细'!$AE$9:$AE$1592,0)),INDEX('SKU明细'!$H$9:$H$1592,MATCH("[6574,""1S01-LMN-38""]",'SKU明细'!$AE$9:$AE$1592,0)),INDEX('SKU明细'!$H$9:$H$1592,MATCH("[6574,""1S01-LMN-39""]",'SKU明细'!$AE$9:$AE$1592,0)),INDEX('SKU明细'!$H$9:$H$1592,MATCH("[6574,""1S01-LMN-40""]",'SKU明细'!$AE$9:$AE$1592,0)),INDEX('SKU明细'!$H$9:$H$1592,MATCH("[6574,""1S01-LMN-41-FX""]",'SKU明细'!$AE$9:$AE$1592,0)),INDEX('SKU明细'!$H$9:$H$1592,MATCH("[6574,""1S01-LMN-42-FX""]",'SKU明细'!$AE$9:$AE$1592,0)))/SUM(INDEX('SKU明细'!$G$9:$G$1592,MATCH("[6574,""1S01-LMN-37""]",'SKU明细'!$AE$9:$AE$1592,0)),INDEX('SKU明细'!$G$9:$G$1592,MATCH("[6574,""1S01-LMN-38""]",'SKU明细'!$AE$9:$AE$1592,0)),INDEX('SKU明细'!$G$9:$G$1592,MATCH("[6574,""1S01-LMN-39""]",'SKU明细'!$AE$9:$AE$1592,0)),INDEX('SKU明细'!$G$9:$G$1592,MATCH("[6574,""1S01-LMN-40""]",'SKU明细'!$AE$9:$AE$1592,0)),INDEX('SKU明细'!$G$9:$G$1592,MATCH("[6574,""1S01-LMN-41-FX""]",'SKU明细'!$AE$9:$AE$1592,0)),INDEX('SKU明细'!$G$9:$G$1592,MATCH("[6574,""1S01-LMN-42-FX""]",'SKU明细'!$AE$9:$AE$1592,0))),"待核")</x:f>
        <x:v>0</x:v>
      </x:c>
      <x:c r="T170" s="16" t="n">
        <x:f>IF(AND(COUNT(INDEX('SKU明细'!$I$9:$I$1592,MATCH("[6574,""1S01-LMN-37""]",'SKU明细'!$AE$9:$AE$1592,0)),INDEX('SKU明细'!$I$9:$I$1592,MATCH("[6574,""1S01-LMN-38""]",'SKU明细'!$AE$9:$AE$1592,0)),INDEX('SKU明细'!$I$9:$I$1592,MATCH("[6574,""1S01-LMN-39""]",'SKU明细'!$AE$9:$AE$1592,0)),INDEX('SKU明细'!$I$9:$I$1592,MATCH("[6574,""1S01-LMN-40""]",'SKU明细'!$AE$9:$AE$1592,0)),INDEX('SKU明细'!$I$9:$I$1592,MATCH("[6574,""1S01-LMN-41-FX""]",'SKU明细'!$AE$9:$AE$1592,0)),INDEX('SKU明细'!$I$9:$I$1592,MATCH("[6574,""1S01-LMN-42-FX""]",'SKU明细'!$AE$9:$AE$1592,0)))=6,COUNT(INDEX('SKU明细'!$AD$9:$AD$1592,MATCH("[6574,""1S01-LMN-37""]",'SKU明细'!$AE$9:$AE$1592,0)),INDEX('SKU明细'!$AD$9:$AD$1592,MATCH("[6574,""1S01-LMN-38""]",'SKU明细'!$AE$9:$AE$1592,0)),INDEX('SKU明细'!$AD$9:$AD$1592,MATCH("[6574,""1S01-LMN-39""]",'SKU明细'!$AE$9:$AE$1592,0)),INDEX('SKU明细'!$AD$9:$AD$1592,MATCH("[6574,""1S01-LMN-40""]",'SKU明细'!$AE$9:$AE$1592,0)),INDEX('SKU明细'!$AD$9:$AD$1592,MATCH("[6574,""1S01-LMN-41-FX""]",'SKU明细'!$AE$9:$AE$1592,0)),INDEX('SKU明细'!$AD$9:$AD$1592,MATCH("[6574,""1S01-LMN-42-FX""]",'SKU明细'!$AE$9:$AE$1592,0)))=6,SUM(INDEX('SKU明细'!$AD$9:$AD$1592,MATCH("[6574,""1S01-LMN-37""]",'SKU明细'!$AE$9:$AE$1592,0)),INDEX('SKU明细'!$AD$9:$AD$1592,MATCH("[6574,""1S01-LMN-38""]",'SKU明细'!$AE$9:$AE$1592,0)),INDEX('SKU明细'!$AD$9:$AD$1592,MATCH("[6574,""1S01-LMN-39""]",'SKU明细'!$AE$9:$AE$1592,0)),INDEX('SKU明细'!$AD$9:$AD$1592,MATCH("[6574,""1S01-LMN-40""]",'SKU明细'!$AE$9:$AE$1592,0)),INDEX('SKU明细'!$AD$9:$AD$1592,MATCH("[6574,""1S01-LMN-41-FX""]",'SKU明细'!$AE$9:$AE$1592,0)),INDEX('SKU明细'!$AD$9:$AD$1592,MATCH("[6574,""1S01-LMN-42-FX""]",'SKU明细'!$AE$9:$AE$1592,0)))&gt;0),SUM(INDEX('SKU明细'!$I$9:$I$1592,MATCH("[6574,""1S01-LMN-37""]",'SKU明细'!$AE$9:$AE$1592,0)),INDEX('SKU明细'!$I$9:$I$1592,MATCH("[6574,""1S01-LMN-38""]",'SKU明细'!$AE$9:$AE$1592,0)),INDEX('SKU明细'!$I$9:$I$1592,MATCH("[6574,""1S01-LMN-39""]",'SKU明细'!$AE$9:$AE$1592,0)),INDEX('SKU明细'!$I$9:$I$1592,MATCH("[6574,""1S01-LMN-40""]",'SKU明细'!$AE$9:$AE$1592,0)),INDEX('SKU明细'!$I$9:$I$1592,MATCH("[6574,""1S01-LMN-41-FX""]",'SKU明细'!$AE$9:$AE$1592,0)),INDEX('SKU明细'!$I$9:$I$1592,MATCH("[6574,""1S01-LMN-42-FX""]",'SKU明细'!$AE$9:$AE$1592,0)))/SUM(INDEX('SKU明细'!$AD$9:$AD$1592,MATCH("[6574,""1S01-LMN-37""]",'SKU明细'!$AE$9:$AE$1592,0)),INDEX('SKU明细'!$AD$9:$AD$1592,MATCH("[6574,""1S01-LMN-38""]",'SKU明细'!$AE$9:$AE$1592,0)),INDEX('SKU明细'!$AD$9:$AD$1592,MATCH("[6574,""1S01-LMN-39""]",'SKU明细'!$AE$9:$AE$1592,0)),INDEX('SKU明细'!$AD$9:$AD$1592,MATCH("[6574,""1S01-LMN-40""]",'SKU明细'!$AE$9:$AE$1592,0)),INDEX('SKU明细'!$AD$9:$AD$1592,MATCH("[6574,""1S01-LMN-41-FX""]",'SKU明细'!$AE$9:$AE$1592,0)),INDEX('SKU明细'!$AD$9:$AD$1592,MATCH("[6574,""1S01-LMN-42-FX""]",'SKU明细'!$AE$9:$AE$1592,0))),"待核")</x:f>
        <x:v>6.823104693140794</x:v>
      </x:c>
      <x:c r="U170" s="16" t="n">
        <x:f>IF(COUNT(S170:T170)=2,S170-T170,"待核")</x:f>
        <x:v>-6.823104693140794</x:v>
      </x:c>
      <x:c r="V170" s="17" t="n">
        <x:f>IF(AND(ISNUMBER(U170),ISNUMBER(T170),T170&lt;&gt;0),U170/T170,"")</x:f>
        <x:v>-1</x:v>
      </x:c>
      <x:c r="W170" s="18" t="n">
        <x:f>IF(COUNT(INDEX('SKU明细'!$H$9:$H$1592,MATCH("[6574,""1S01-LMN-36""]",'SKU明细'!$AE$9:$AE$1592,0)),INDEX('SKU明细'!$H$9:$H$1592,MATCH("[6574,""1S01-LMN-37""]",'SKU明细'!$AE$9:$AE$1592,0)),INDEX('SKU明细'!$H$9:$H$1592,MATCH("[6574,""1S01-LMN-38""]",'SKU明细'!$AE$9:$AE$1592,0)),INDEX('SKU明细'!$H$9:$H$1592,MATCH("[6574,""1S01-LMN-38.5""]",'SKU明细'!$AE$9:$AE$1592,0)),INDEX('SKU明细'!$H$9:$H$1592,MATCH("[6574,""1S01-LMN-39""]",'SKU明细'!$AE$9:$AE$1592,0)),INDEX('SKU明细'!$H$9:$H$1592,MATCH("[6574,""1S01-LMN-39.5""]",'SKU明细'!$AE$9:$AE$1592,0)),INDEX('SKU明细'!$H$9:$H$1592,MATCH("[6574,""1S01-LMN-40""]",'SKU明细'!$AE$9:$AE$1592,0)),INDEX('SKU明细'!$H$9:$H$1592,MATCH("[6574,""1S01-LMN-40.5""]",'SKU明细'!$AE$9:$AE$1592,0)),INDEX('SKU明细'!$H$9:$H$1592,MATCH("[6574,""1S01-LMN-41-FX""]",'SKU明细'!$AE$9:$AE$1592,0)),INDEX('SKU明细'!$H$9:$H$1592,MATCH("[6574,""1S01-LMN-41.5""]",'SKU明细'!$AE$9:$AE$1592,0)),INDEX('SKU明细'!$H$9:$H$1592,MATCH("[6574,""1S01-LMN-42-FX""]",'SKU明细'!$AE$9:$AE$1592,0)),INDEX('SKU明细'!$H$9:$H$1592,MATCH("[6574,""1S01-LMN-37.5""]",'SKU明细'!$AE$9:$AE$1592,0)))=0,"待核",SUM(INDEX('SKU明细'!$H$9:$H$1592,MATCH("[6574,""1S01-LMN-36""]",'SKU明细'!$AE$9:$AE$1592,0)),INDEX('SKU明细'!$H$9:$H$1592,MATCH("[6574,""1S01-LMN-37""]",'SKU明细'!$AE$9:$AE$1592,0)),INDEX('SKU明细'!$H$9:$H$1592,MATCH("[6574,""1S01-LMN-38""]",'SKU明细'!$AE$9:$AE$1592,0)),INDEX('SKU明细'!$H$9:$H$1592,MATCH("[6574,""1S01-LMN-38.5""]",'SKU明细'!$AE$9:$AE$1592,0)),INDEX('SKU明细'!$H$9:$H$1592,MATCH("[6574,""1S01-LMN-39""]",'SKU明细'!$AE$9:$AE$1592,0)),INDEX('SKU明细'!$H$9:$H$1592,MATCH("[6574,""1S01-LMN-39.5""]",'SKU明细'!$AE$9:$AE$1592,0)),INDEX('SKU明细'!$H$9:$H$1592,MATCH("[6574,""1S01-LMN-40""]",'SKU明细'!$AE$9:$AE$1592,0)),INDEX('SKU明细'!$H$9:$H$1592,MATCH("[6574,""1S01-LMN-40.5""]",'SKU明细'!$AE$9:$AE$1592,0)),INDEX('SKU明细'!$H$9:$H$1592,MATCH("[6574,""1S01-LMN-41-FX""]",'SKU明细'!$AE$9:$AE$1592,0)),INDEX('SKU明细'!$H$9:$H$1592,MATCH("[6574,""1S01-LMN-41.5""]",'SKU明细'!$AE$9:$AE$1592,0)),INDEX('SKU明细'!$H$9:$H$1592,MATCH("[6574,""1S01-LMN-42-FX""]",'SKU明细'!$AE$9:$AE$1592,0)),INDEX('SKU明细'!$H$9:$H$1592,MATCH("[6574,""1S01-LMN-37.5""]",'SKU明细'!$AE$9:$AE$1592,0))))</x:f>
        <x:v>1</x:v>
      </x:c>
      <x:c r="X170" s="19" t="str">
        <x:f>IF(COUNTIFS('SKU明细'!$AH$9:$AH$1592,"[""1S01"",""1S01-LMN"",""LMN"",""豹纹""]",'SKU明细'!$E$9:$E$1592,"促销")&gt;0,"促销 ","")&amp;IF(COUNTIFS('SKU明细'!$AH$9:$AH$1592,"[""1S01"",""1S01-LMN"",""LMN"",""豹纹""]",'SKU明细'!$E$9:$E$1592,"红线促销")&gt;0,"红线促销 ","")&amp;IF(COUNTIFS('SKU明细'!$AH$9:$AH$1592,"[""1S01"",""1S01-LMN"",""LMN"",""豹纹""]",'SKU明细'!$E$9:$E$1592,"考虑清仓")&gt;0,"考虑清仓 ","")&amp;IF(COUNTIFS('SKU明细'!$AH$9:$AH$1592,"[""1S01"",""1S01-LMN"",""LMN"",""豹纹""]",'SKU明细'!$E$9:$E$1592,"断货")&gt;0,"断货 ","")&amp;IF(COUNTIFS('SKU明细'!$AH$9:$AH$1592,"[""1S01"",""1S01-LMN"",""LMN"",""豹纹""]",'SKU明细'!$E$9:$E$1592,"零日销待复核")&gt;0,"零日销待复核 ","")&amp;IF(COUNTIFS('SKU明细'!$AH$9:$AH$1592,"[""1S01"",""1S01-LMN"",""LMN"",""豹纹""]",'SKU明细'!$E$9:$E$1592,"数据待核")&gt;0,"数据待核 ","")&amp;IF(COUNTIFS('SKU明细'!$AH$9:$AH$1592,"[""1S01"",""1S01-LMN"",""LMN"",""豹纹""]",'SKU明细'!$E$9:$E$1592,"正常库存")&gt;0,"正常库存 ","")&amp;IF(COUNTIFS('SKU明细'!$AH$9:$AH$1592,"[""1S01"",""1S01-LMN"",""LMN"",""豹纹""]",'SKU明细'!$E$9:$E$1592,"补货提醒")&gt;0,"补货提醒 ","")</x:f>
        <x:v>断货 补货提醒 </x:v>
      </x:c>
      <x:c r="Y170" s="19" t="str">
        <x:f>IF(NOT(ISNUMBER(U170)),"覆盖待核／无可比基准","仅共同SKU")</x:f>
        <x:v>仅共同SKU</x:v>
      </x:c>
      <x:c r="Z170" s="19" t="str">
        <x:v>停售、在售</x:v>
      </x:c>
      <x:c r="AA170" s="19" t="n">
        <x:f>IF(SUMIFS('SKU明细'!$AF$9:$AF$1592,'SKU明细'!$D$9:$D$1592,A170,'SKU明细'!$Z$9:$Z$1592,"&lt;&gt;移出")=0,"待核",SUMIFS('SKU明细'!$H$9:$H$1592,'SKU明细'!$D$9:$D$1592,A170,'SKU明细'!$Z$9:$Z$1592,"&lt;&gt;移出"))</x:f>
        <x:v>476</x:v>
      </x:c>
    </x:row>
    <x:row r="171" ht="54" customHeight="1">
      <x:c r="A171" s="15" t="str">
        <x:v>1S01</x:v>
      </x:c>
      <x:c r="B171" s="15" t="str">
        <x:v>徐新怡</x:v>
      </x:c>
      <x:c r="C171" s="15" t="str">
        <x:v>香芋紫</x:v>
      </x:c>
      <x:c r="D171" s="15" t="str">
        <x:v>LP</x:v>
      </x:c>
      <x:c r="E171" s="15" t="str">
        <x:v>1S01-LP</x:v>
      </x:c>
      <x:c r="F171" s="15"/>
      <x:c r="G171" s="16" t="str">
        <x:f>IF(AND(COUNT(INDEX('SKU明细'!$H$9:$H$1592,MATCH("[6574,""1S01-LP-36""]",'SKU明细'!$AE$9:$AE$1592,0)))=1,COUNT(INDEX('SKU明细'!$G$9:$G$1592,MATCH("[6574,""1S01-LP-36""]",'SKU明细'!$AE$9:$AE$1592,0)))=1,SUM(INDEX('SKU明细'!$G$9:$G$1592,MATCH("[6574,""1S01-LP-36""]",'SKU明细'!$AE$9:$AE$1592,0)))&gt;0),SUM(INDEX('SKU明细'!$H$9:$H$1592,MATCH("[6574,""1S01-LP-36""]",'SKU明细'!$AE$9:$AE$1592,0)))/SUM(INDEX('SKU明细'!$G$9:$G$1592,MATCH("[6574,""1S01-LP-36""]",'SKU明细'!$AE$9:$AE$1592,0))),"待核")</x:f>
        <x:v>待核</x:v>
      </x:c>
      <x:c r="H171" s="16" t="str">
        <x:f>IF(AND(COUNT(INDEX('SKU明细'!$H$9:$H$1592,MATCH("[6574,""1S01-LP-37""]",'SKU明细'!$AE$9:$AE$1592,0)))=1,COUNT(INDEX('SKU明细'!$G$9:$G$1592,MATCH("[6574,""1S01-LP-37""]",'SKU明细'!$AE$9:$AE$1592,0)))=1,SUM(INDEX('SKU明细'!$G$9:$G$1592,MATCH("[6574,""1S01-LP-37""]",'SKU明细'!$AE$9:$AE$1592,0)))&gt;0),SUM(INDEX('SKU明细'!$H$9:$H$1592,MATCH("[6574,""1S01-LP-37""]",'SKU明细'!$AE$9:$AE$1592,0)))/SUM(INDEX('SKU明细'!$G$9:$G$1592,MATCH("[6574,""1S01-LP-37""]",'SKU明细'!$AE$9:$AE$1592,0))),"待核")</x:f>
        <x:v>待核</x:v>
      </x:c>
      <x:c r="I171" s="16" t="str">
        <x:f>IF(AND(COUNT(INDEX('SKU明细'!$H$9:$H$1592,MATCH("[6574,""1S01-LP-37.5""]",'SKU明细'!$AE$9:$AE$1592,0)))=1,COUNT(INDEX('SKU明细'!$G$9:$G$1592,MATCH("[6574,""1S01-LP-37.5""]",'SKU明细'!$AE$9:$AE$1592,0)))=1,SUM(INDEX('SKU明细'!$G$9:$G$1592,MATCH("[6574,""1S01-LP-37.5""]",'SKU明细'!$AE$9:$AE$1592,0)))&gt;0),SUM(INDEX('SKU明细'!$H$9:$H$1592,MATCH("[6574,""1S01-LP-37.5""]",'SKU明细'!$AE$9:$AE$1592,0)))/SUM(INDEX('SKU明细'!$G$9:$G$1592,MATCH("[6574,""1S01-LP-37.5""]",'SKU明细'!$AE$9:$AE$1592,0))),"待核")</x:f>
        <x:v>待核</x:v>
      </x:c>
      <x:c r="J171" s="16" t="str">
        <x:f>IF(AND(COUNT(INDEX('SKU明细'!$H$9:$H$1592,MATCH("[6574,""1S01-LP-38""]",'SKU明细'!$AE$9:$AE$1592,0)))=1,COUNT(INDEX('SKU明细'!$G$9:$G$1592,MATCH("[6574,""1S01-LP-38""]",'SKU明细'!$AE$9:$AE$1592,0)))=1,SUM(INDEX('SKU明细'!$G$9:$G$1592,MATCH("[6574,""1S01-LP-38""]",'SKU明细'!$AE$9:$AE$1592,0)))&gt;0),SUM(INDEX('SKU明细'!$H$9:$H$1592,MATCH("[6574,""1S01-LP-38""]",'SKU明细'!$AE$9:$AE$1592,0)))/SUM(INDEX('SKU明细'!$G$9:$G$1592,MATCH("[6574,""1S01-LP-38""]",'SKU明细'!$AE$9:$AE$1592,0))),"待核")</x:f>
        <x:v>待核</x:v>
      </x:c>
      <x:c r="K171" s="16" t="str">
        <x:f>IF(AND(COUNT(INDEX('SKU明细'!$H$9:$H$1592,MATCH("[6574,""1S01-LP-38.5""]",'SKU明细'!$AE$9:$AE$1592,0)))=1,COUNT(INDEX('SKU明细'!$G$9:$G$1592,MATCH("[6574,""1S01-LP-38.5""]",'SKU明细'!$AE$9:$AE$1592,0)))=1,SUM(INDEX('SKU明细'!$G$9:$G$1592,MATCH("[6574,""1S01-LP-38.5""]",'SKU明细'!$AE$9:$AE$1592,0)))&gt;0),SUM(INDEX('SKU明细'!$H$9:$H$1592,MATCH("[6574,""1S01-LP-38.5""]",'SKU明细'!$AE$9:$AE$1592,0)))/SUM(INDEX('SKU明细'!$G$9:$G$1592,MATCH("[6574,""1S01-LP-38.5""]",'SKU明细'!$AE$9:$AE$1592,0))),"待核")</x:f>
        <x:v>待核</x:v>
      </x:c>
      <x:c r="L171" s="16" t="str">
        <x:f>IF(AND(COUNT(INDEX('SKU明细'!$H$9:$H$1592,MATCH("[6574,""1S01-LP-39""]",'SKU明细'!$AE$9:$AE$1592,0)))=1,COUNT(INDEX('SKU明细'!$G$9:$G$1592,MATCH("[6574,""1S01-LP-39""]",'SKU明细'!$AE$9:$AE$1592,0)))=1,SUM(INDEX('SKU明细'!$G$9:$G$1592,MATCH("[6574,""1S01-LP-39""]",'SKU明细'!$AE$9:$AE$1592,0)))&gt;0),SUM(INDEX('SKU明细'!$H$9:$H$1592,MATCH("[6574,""1S01-LP-39""]",'SKU明细'!$AE$9:$AE$1592,0)))/SUM(INDEX('SKU明细'!$G$9:$G$1592,MATCH("[6574,""1S01-LP-39""]",'SKU明细'!$AE$9:$AE$1592,0))),"待核")</x:f>
        <x:v>待核</x:v>
      </x:c>
      <x:c r="M171" s="16" t="str">
        <x:f>IF(AND(COUNT(INDEX('SKU明细'!$H$9:$H$1592,MATCH("[6574,""1S01-LP-39.5""]",'SKU明细'!$AE$9:$AE$1592,0)))=1,COUNT(INDEX('SKU明细'!$G$9:$G$1592,MATCH("[6574,""1S01-LP-39.5""]",'SKU明细'!$AE$9:$AE$1592,0)))=1,SUM(INDEX('SKU明细'!$G$9:$G$1592,MATCH("[6574,""1S01-LP-39.5""]",'SKU明细'!$AE$9:$AE$1592,0)))&gt;0),SUM(INDEX('SKU明细'!$H$9:$H$1592,MATCH("[6574,""1S01-LP-39.5""]",'SKU明细'!$AE$9:$AE$1592,0)))/SUM(INDEX('SKU明细'!$G$9:$G$1592,MATCH("[6574,""1S01-LP-39.5""]",'SKU明细'!$AE$9:$AE$1592,0))),"待核")</x:f>
        <x:v>待核</x:v>
      </x:c>
      <x:c r="N171" s="16" t="str">
        <x:f>IF(AND(COUNT(INDEX('SKU明细'!$H$9:$H$1592,MATCH("[6574,""1S01-LP-40""]",'SKU明细'!$AE$9:$AE$1592,0)))=1,COUNT(INDEX('SKU明细'!$G$9:$G$1592,MATCH("[6574,""1S01-LP-40""]",'SKU明细'!$AE$9:$AE$1592,0)))=1,SUM(INDEX('SKU明细'!$G$9:$G$1592,MATCH("[6574,""1S01-LP-40""]",'SKU明细'!$AE$9:$AE$1592,0)))&gt;0),SUM(INDEX('SKU明细'!$H$9:$H$1592,MATCH("[6574,""1S01-LP-40""]",'SKU明细'!$AE$9:$AE$1592,0)))/SUM(INDEX('SKU明细'!$G$9:$G$1592,MATCH("[6574,""1S01-LP-40""]",'SKU明细'!$AE$9:$AE$1592,0))),"待核")</x:f>
        <x:v>待核</x:v>
      </x:c>
      <x:c r="O171" s="16" t="str">
        <x:f>IF(AND(COUNT(INDEX('SKU明细'!$H$9:$H$1592,MATCH("[6574,""1S01-LP-40.5""]",'SKU明细'!$AE$9:$AE$1592,0)))=1,COUNT(INDEX('SKU明细'!$G$9:$G$1592,MATCH("[6574,""1S01-LP-40.5""]",'SKU明细'!$AE$9:$AE$1592,0)))=1,SUM(INDEX('SKU明细'!$G$9:$G$1592,MATCH("[6574,""1S01-LP-40.5""]",'SKU明细'!$AE$9:$AE$1592,0)))&gt;0),SUM(INDEX('SKU明细'!$H$9:$H$1592,MATCH("[6574,""1S01-LP-40.5""]",'SKU明细'!$AE$9:$AE$1592,0)))/SUM(INDEX('SKU明细'!$G$9:$G$1592,MATCH("[6574,""1S01-LP-40.5""]",'SKU明细'!$AE$9:$AE$1592,0))),"待核")</x:f>
        <x:v>待核</x:v>
      </x:c>
      <x:c r="P171" s="16" t="str">
        <x:f>IF(AND(COUNT(INDEX('SKU明细'!$H$9:$H$1592,MATCH("[6574,""1S01-LP-41""]",'SKU明细'!$AE$9:$AE$1592,0)))=1,COUNT(INDEX('SKU明细'!$G$9:$G$1592,MATCH("[6574,""1S01-LP-41""]",'SKU明细'!$AE$9:$AE$1592,0)))=1,SUM(INDEX('SKU明细'!$G$9:$G$1592,MATCH("[6574,""1S01-LP-41""]",'SKU明细'!$AE$9:$AE$1592,0)))&gt;0),SUM(INDEX('SKU明细'!$H$9:$H$1592,MATCH("[6574,""1S01-LP-41""]",'SKU明细'!$AE$9:$AE$1592,0)))/SUM(INDEX('SKU明细'!$G$9:$G$1592,MATCH("[6574,""1S01-LP-41""]",'SKU明细'!$AE$9:$AE$1592,0))),"待核")</x:f>
        <x:v>待核</x:v>
      </x:c>
      <x:c r="Q171" s="16" t="str">
        <x:f>IF(AND(COUNT(INDEX('SKU明细'!$H$9:$H$1592,MATCH("[6574,""1S01-LP-41.5""]",'SKU明细'!$AE$9:$AE$1592,0)))=1,COUNT(INDEX('SKU明细'!$G$9:$G$1592,MATCH("[6574,""1S01-LP-41.5""]",'SKU明细'!$AE$9:$AE$1592,0)))=1,SUM(INDEX('SKU明细'!$G$9:$G$1592,MATCH("[6574,""1S01-LP-41.5""]",'SKU明细'!$AE$9:$AE$1592,0)))&gt;0),SUM(INDEX('SKU明细'!$H$9:$H$1592,MATCH("[6574,""1S01-LP-41.5""]",'SKU明细'!$AE$9:$AE$1592,0)))/SUM(INDEX('SKU明细'!$G$9:$G$1592,MATCH("[6574,""1S01-LP-41.5""]",'SKU明细'!$AE$9:$AE$1592,0))),"待核")</x:f>
        <x:v>待核</x:v>
      </x:c>
      <x:c r="R171" s="16" t="str">
        <x:f>IF(AND(COUNT(INDEX('SKU明细'!$H$9:$H$1592,MATCH("[6574,""1S01-LP-42""]",'SKU明细'!$AE$9:$AE$1592,0)))=1,COUNT(INDEX('SKU明细'!$G$9:$G$1592,MATCH("[6574,""1S01-LP-42""]",'SKU明细'!$AE$9:$AE$1592,0)))=1,SUM(INDEX('SKU明细'!$G$9:$G$1592,MATCH("[6574,""1S01-LP-42""]",'SKU明细'!$AE$9:$AE$1592,0)))&gt;0),SUM(INDEX('SKU明细'!$H$9:$H$1592,MATCH("[6574,""1S01-LP-42""]",'SKU明细'!$AE$9:$AE$1592,0)))/SUM(INDEX('SKU明细'!$G$9:$G$1592,MATCH("[6574,""1S01-LP-42""]",'SKU明细'!$AE$9:$AE$1592,0))),"待核")</x:f>
        <x:v>待核</x:v>
      </x:c>
      <x:c r="S171" s="16" t="str">
        <x:f>IF(AND(COUNT(INDEX('SKU明细'!$H$9:$H$1592,MATCH("[6574,""1S01-LP-37""]",'SKU明细'!$AE$9:$AE$1592,0)),INDEX('SKU明细'!$H$9:$H$1592,MATCH("[6574,""1S01-LP-38""]",'SKU明细'!$AE$9:$AE$1592,0)),INDEX('SKU明细'!$H$9:$H$1592,MATCH("[6574,""1S01-LP-39""]",'SKU明细'!$AE$9:$AE$1592,0)),INDEX('SKU明细'!$H$9:$H$1592,MATCH("[6574,""1S01-LP-40""]",'SKU明细'!$AE$9:$AE$1592,0)),INDEX('SKU明细'!$H$9:$H$1592,MATCH("[6574,""1S01-LP-42""]",'SKU明细'!$AE$9:$AE$1592,0)),INDEX('SKU明细'!$H$9:$H$1592,MATCH("[6574,""1S01-LP-39.5""]",'SKU明细'!$AE$9:$AE$1592,0)),INDEX('SKU明细'!$H$9:$H$1592,MATCH("[6574,""1S01-LP-41""]",'SKU明细'!$AE$9:$AE$1592,0)))=7,COUNT(INDEX('SKU明细'!$G$9:$G$1592,MATCH("[6574,""1S01-LP-37""]",'SKU明细'!$AE$9:$AE$1592,0)),INDEX('SKU明细'!$G$9:$G$1592,MATCH("[6574,""1S01-LP-38""]",'SKU明细'!$AE$9:$AE$1592,0)),INDEX('SKU明细'!$G$9:$G$1592,MATCH("[6574,""1S01-LP-39""]",'SKU明细'!$AE$9:$AE$1592,0)),INDEX('SKU明细'!$G$9:$G$1592,MATCH("[6574,""1S01-LP-40""]",'SKU明细'!$AE$9:$AE$1592,0)),INDEX('SKU明细'!$G$9:$G$1592,MATCH("[6574,""1S01-LP-42""]",'SKU明细'!$AE$9:$AE$1592,0)),INDEX('SKU明细'!$G$9:$G$1592,MATCH("[6574,""1S01-LP-39.5""]",'SKU明细'!$AE$9:$AE$1592,0)),INDEX('SKU明细'!$G$9:$G$1592,MATCH("[6574,""1S01-LP-41""]",'SKU明细'!$AE$9:$AE$1592,0)))=7,SUM(INDEX('SKU明细'!$G$9:$G$1592,MATCH("[6574,""1S01-LP-37""]",'SKU明细'!$AE$9:$AE$1592,0)),INDEX('SKU明细'!$G$9:$G$1592,MATCH("[6574,""1S01-LP-38""]",'SKU明细'!$AE$9:$AE$1592,0)),INDEX('SKU明细'!$G$9:$G$1592,MATCH("[6574,""1S01-LP-39""]",'SKU明细'!$AE$9:$AE$1592,0)),INDEX('SKU明细'!$G$9:$G$1592,MATCH("[6574,""1S01-LP-40""]",'SKU明细'!$AE$9:$AE$1592,0)),INDEX('SKU明细'!$G$9:$G$1592,MATCH("[6574,""1S01-LP-42""]",'SKU明细'!$AE$9:$AE$1592,0)),INDEX('SKU明细'!$G$9:$G$1592,MATCH("[6574,""1S01-LP-39.5""]",'SKU明细'!$AE$9:$AE$1592,0)),INDEX('SKU明细'!$G$9:$G$1592,MATCH("[6574,""1S01-LP-41""]",'SKU明细'!$AE$9:$AE$1592,0)))&gt;0),SUM(INDEX('SKU明细'!$H$9:$H$1592,MATCH("[6574,""1S01-LP-37""]",'SKU明细'!$AE$9:$AE$1592,0)),INDEX('SKU明细'!$H$9:$H$1592,MATCH("[6574,""1S01-LP-38""]",'SKU明细'!$AE$9:$AE$1592,0)),INDEX('SKU明细'!$H$9:$H$1592,MATCH("[6574,""1S01-LP-39""]",'SKU明细'!$AE$9:$AE$1592,0)),INDEX('SKU明细'!$H$9:$H$1592,MATCH("[6574,""1S01-LP-40""]",'SKU明细'!$AE$9:$AE$1592,0)),INDEX('SKU明细'!$H$9:$H$1592,MATCH("[6574,""1S01-LP-42""]",'SKU明细'!$AE$9:$AE$1592,0)),INDEX('SKU明细'!$H$9:$H$1592,MATCH("[6574,""1S01-LP-39.5""]",'SKU明细'!$AE$9:$AE$1592,0)),INDEX('SKU明细'!$H$9:$H$1592,MATCH("[6574,""1S01-LP-41""]",'SKU明细'!$AE$9:$AE$1592,0)))/SUM(INDEX('SKU明细'!$G$9:$G$1592,MATCH("[6574,""1S01-LP-37""]",'SKU明细'!$AE$9:$AE$1592,0)),INDEX('SKU明细'!$G$9:$G$1592,MATCH("[6574,""1S01-LP-38""]",'SKU明细'!$AE$9:$AE$1592,0)),INDEX('SKU明细'!$G$9:$G$1592,MATCH("[6574,""1S01-LP-39""]",'SKU明细'!$AE$9:$AE$1592,0)),INDEX('SKU明细'!$G$9:$G$1592,MATCH("[6574,""1S01-LP-40""]",'SKU明细'!$AE$9:$AE$1592,0)),INDEX('SKU明细'!$G$9:$G$1592,MATCH("[6574,""1S01-LP-42""]",'SKU明细'!$AE$9:$AE$1592,0)),INDEX('SKU明细'!$G$9:$G$1592,MATCH("[6574,""1S01-LP-39.5""]",'SKU明细'!$AE$9:$AE$1592,0)),INDEX('SKU明细'!$G$9:$G$1592,MATCH("[6574,""1S01-LP-41""]",'SKU明细'!$AE$9:$AE$1592,0))),"待核")</x:f>
        <x:v>待核</x:v>
      </x:c>
      <x:c r="T171" s="16" t="str">
        <x:f>IF(AND(COUNT(INDEX('SKU明细'!$I$9:$I$1592,MATCH("[6574,""1S01-LP-37""]",'SKU明细'!$AE$9:$AE$1592,0)),INDEX('SKU明细'!$I$9:$I$1592,MATCH("[6574,""1S01-LP-38""]",'SKU明细'!$AE$9:$AE$1592,0)),INDEX('SKU明细'!$I$9:$I$1592,MATCH("[6574,""1S01-LP-39""]",'SKU明细'!$AE$9:$AE$1592,0)),INDEX('SKU明细'!$I$9:$I$1592,MATCH("[6574,""1S01-LP-40""]",'SKU明细'!$AE$9:$AE$1592,0)),INDEX('SKU明细'!$I$9:$I$1592,MATCH("[6574,""1S01-LP-42""]",'SKU明细'!$AE$9:$AE$1592,0)),INDEX('SKU明细'!$I$9:$I$1592,MATCH("[6574,""1S01-LP-39.5""]",'SKU明细'!$AE$9:$AE$1592,0)),INDEX('SKU明细'!$I$9:$I$1592,MATCH("[6574,""1S01-LP-41""]",'SKU明细'!$AE$9:$AE$1592,0)))=7,COUNT(INDEX('SKU明细'!$AD$9:$AD$1592,MATCH("[6574,""1S01-LP-37""]",'SKU明细'!$AE$9:$AE$1592,0)),INDEX('SKU明细'!$AD$9:$AD$1592,MATCH("[6574,""1S01-LP-38""]",'SKU明细'!$AE$9:$AE$1592,0)),INDEX('SKU明细'!$AD$9:$AD$1592,MATCH("[6574,""1S01-LP-39""]",'SKU明细'!$AE$9:$AE$1592,0)),INDEX('SKU明细'!$AD$9:$AD$1592,MATCH("[6574,""1S01-LP-40""]",'SKU明细'!$AE$9:$AE$1592,0)),INDEX('SKU明细'!$AD$9:$AD$1592,MATCH("[6574,""1S01-LP-42""]",'SKU明细'!$AE$9:$AE$1592,0)),INDEX('SKU明细'!$AD$9:$AD$1592,MATCH("[6574,""1S01-LP-39.5""]",'SKU明细'!$AE$9:$AE$1592,0)),INDEX('SKU明细'!$AD$9:$AD$1592,MATCH("[6574,""1S01-LP-41""]",'SKU明细'!$AE$9:$AE$1592,0)))=7,SUM(INDEX('SKU明细'!$AD$9:$AD$1592,MATCH("[6574,""1S01-LP-37""]",'SKU明细'!$AE$9:$AE$1592,0)),INDEX('SKU明细'!$AD$9:$AD$1592,MATCH("[6574,""1S01-LP-38""]",'SKU明细'!$AE$9:$AE$1592,0)),INDEX('SKU明细'!$AD$9:$AD$1592,MATCH("[6574,""1S01-LP-39""]",'SKU明细'!$AE$9:$AE$1592,0)),INDEX('SKU明细'!$AD$9:$AD$1592,MATCH("[6574,""1S01-LP-40""]",'SKU明细'!$AE$9:$AE$1592,0)),INDEX('SKU明细'!$AD$9:$AD$1592,MATCH("[6574,""1S01-LP-42""]",'SKU明细'!$AE$9:$AE$1592,0)),INDEX('SKU明细'!$AD$9:$AD$1592,MATCH("[6574,""1S01-LP-39.5""]",'SKU明细'!$AE$9:$AE$1592,0)),INDEX('SKU明细'!$AD$9:$AD$1592,MATCH("[6574,""1S01-LP-41""]",'SKU明细'!$AE$9:$AE$1592,0)))&gt;0),SUM(INDEX('SKU明细'!$I$9:$I$1592,MATCH("[6574,""1S01-LP-37""]",'SKU明细'!$AE$9:$AE$1592,0)),INDEX('SKU明细'!$I$9:$I$1592,MATCH("[6574,""1S01-LP-38""]",'SKU明细'!$AE$9:$AE$1592,0)),INDEX('SKU明细'!$I$9:$I$1592,MATCH("[6574,""1S01-LP-39""]",'SKU明细'!$AE$9:$AE$1592,0)),INDEX('SKU明细'!$I$9:$I$1592,MATCH("[6574,""1S01-LP-40""]",'SKU明细'!$AE$9:$AE$1592,0)),INDEX('SKU明细'!$I$9:$I$1592,MATCH("[6574,""1S01-LP-42""]",'SKU明细'!$AE$9:$AE$1592,0)),INDEX('SKU明细'!$I$9:$I$1592,MATCH("[6574,""1S01-LP-39.5""]",'SKU明细'!$AE$9:$AE$1592,0)),INDEX('SKU明细'!$I$9:$I$1592,MATCH("[6574,""1S01-LP-41""]",'SKU明细'!$AE$9:$AE$1592,0)))/SUM(INDEX('SKU明细'!$AD$9:$AD$1592,MATCH("[6574,""1S01-LP-37""]",'SKU明细'!$AE$9:$AE$1592,0)),INDEX('SKU明细'!$AD$9:$AD$1592,MATCH("[6574,""1S01-LP-38""]",'SKU明细'!$AE$9:$AE$1592,0)),INDEX('SKU明细'!$AD$9:$AD$1592,MATCH("[6574,""1S01-LP-39""]",'SKU明细'!$AE$9:$AE$1592,0)),INDEX('SKU明细'!$AD$9:$AD$1592,MATCH("[6574,""1S01-LP-40""]",'SKU明细'!$AE$9:$AE$1592,0)),INDEX('SKU明细'!$AD$9:$AD$1592,MATCH("[6574,""1S01-LP-42""]",'SKU明细'!$AE$9:$AE$1592,0)),INDEX('SKU明细'!$AD$9:$AD$1592,MATCH("[6574,""1S01-LP-39.5""]",'SKU明细'!$AE$9:$AE$1592,0)),INDEX('SKU明细'!$AD$9:$AD$1592,MATCH("[6574,""1S01-LP-41""]",'SKU明细'!$AE$9:$AE$1592,0))),"待核")</x:f>
        <x:v>待核</x:v>
      </x:c>
      <x:c r="U171" s="16" t="str">
        <x:f>IF(COUNT(S171:T171)=2,S171-T171,"待核")</x:f>
        <x:v>待核</x:v>
      </x:c>
      <x:c r="V171" s="17" t="str">
        <x:f>IF(AND(ISNUMBER(U171),ISNUMBER(T171),T171&lt;&gt;0),U171/T171,"")</x:f>
      </x:c>
      <x:c r="W171" s="18" t="n">
        <x:f>IF(COUNT(INDEX('SKU明细'!$H$9:$H$1592,MATCH("[6574,""1S01-LP-36""]",'SKU明细'!$AE$9:$AE$1592,0)),INDEX('SKU明细'!$H$9:$H$1592,MATCH("[6574,""1S01-LP-37""]",'SKU明细'!$AE$9:$AE$1592,0)),INDEX('SKU明细'!$H$9:$H$1592,MATCH("[6574,""1S01-LP-37.5""]",'SKU明细'!$AE$9:$AE$1592,0)),INDEX('SKU明细'!$H$9:$H$1592,MATCH("[6574,""1S01-LP-38""]",'SKU明细'!$AE$9:$AE$1592,0)),INDEX('SKU明细'!$H$9:$H$1592,MATCH("[6574,""1S01-LP-38.5""]",'SKU明细'!$AE$9:$AE$1592,0)),INDEX('SKU明细'!$H$9:$H$1592,MATCH("[6574,""1S01-LP-39""]",'SKU明细'!$AE$9:$AE$1592,0)),INDEX('SKU明细'!$H$9:$H$1592,MATCH("[6574,""1S01-LP-40""]",'SKU明细'!$AE$9:$AE$1592,0)),INDEX('SKU明细'!$H$9:$H$1592,MATCH("[6574,""1S01-LP-40.5""]",'SKU明细'!$AE$9:$AE$1592,0)),INDEX('SKU明细'!$H$9:$H$1592,MATCH("[6574,""1S01-LP-41.5""]",'SKU明细'!$AE$9:$AE$1592,0)),INDEX('SKU明细'!$H$9:$H$1592,MATCH("[6574,""1S01-LP-42""]",'SKU明细'!$AE$9:$AE$1592,0)),INDEX('SKU明细'!$H$9:$H$1592,MATCH("[6574,""1S01-LP-39.5""]",'SKU明细'!$AE$9:$AE$1592,0)),INDEX('SKU明细'!$H$9:$H$1592,MATCH("[6574,""1S01-LP-41""]",'SKU明细'!$AE$9:$AE$1592,0)))=0,"待核",SUM(INDEX('SKU明细'!$H$9:$H$1592,MATCH("[6574,""1S01-LP-36""]",'SKU明细'!$AE$9:$AE$1592,0)),INDEX('SKU明细'!$H$9:$H$1592,MATCH("[6574,""1S01-LP-37""]",'SKU明细'!$AE$9:$AE$1592,0)),INDEX('SKU明细'!$H$9:$H$1592,MATCH("[6574,""1S01-LP-37.5""]",'SKU明细'!$AE$9:$AE$1592,0)),INDEX('SKU明细'!$H$9:$H$1592,MATCH("[6574,""1S01-LP-38""]",'SKU明细'!$AE$9:$AE$1592,0)),INDEX('SKU明细'!$H$9:$H$1592,MATCH("[6574,""1S01-LP-38.5""]",'SKU明细'!$AE$9:$AE$1592,0)),INDEX('SKU明细'!$H$9:$H$1592,MATCH("[6574,""1S01-LP-39""]",'SKU明细'!$AE$9:$AE$1592,0)),INDEX('SKU明细'!$H$9:$H$1592,MATCH("[6574,""1S01-LP-40""]",'SKU明细'!$AE$9:$AE$1592,0)),INDEX('SKU明细'!$H$9:$H$1592,MATCH("[6574,""1S01-LP-40.5""]",'SKU明细'!$AE$9:$AE$1592,0)),INDEX('SKU明细'!$H$9:$H$1592,MATCH("[6574,""1S01-LP-41.5""]",'SKU明细'!$AE$9:$AE$1592,0)),INDEX('SKU明细'!$H$9:$H$1592,MATCH("[6574,""1S01-LP-42""]",'SKU明细'!$AE$9:$AE$1592,0)),INDEX('SKU明细'!$H$9:$H$1592,MATCH("[6574,""1S01-LP-39.5""]",'SKU明细'!$AE$9:$AE$1592,0)),INDEX('SKU明细'!$H$9:$H$1592,MATCH("[6574,""1S01-LP-41""]",'SKU明细'!$AE$9:$AE$1592,0))))</x:f>
        <x:v>21</x:v>
      </x:c>
      <x:c r="X171" s="19" t="str">
        <x:f>IF(COUNTIFS('SKU明细'!$AH$9:$AH$1592,"[""1S01"",""1S01-LP"",""LP"",""香芋紫""]",'SKU明细'!$E$9:$E$1592,"促销")&gt;0,"促销 ","")&amp;IF(COUNTIFS('SKU明细'!$AH$9:$AH$1592,"[""1S01"",""1S01-LP"",""LP"",""香芋紫""]",'SKU明细'!$E$9:$E$1592,"红线促销")&gt;0,"红线促销 ","")&amp;IF(COUNTIFS('SKU明细'!$AH$9:$AH$1592,"[""1S01"",""1S01-LP"",""LP"",""香芋紫""]",'SKU明细'!$E$9:$E$1592,"考虑清仓")&gt;0,"考虑清仓 ","")&amp;IF(COUNTIFS('SKU明细'!$AH$9:$AH$1592,"[""1S01"",""1S01-LP"",""LP"",""香芋紫""]",'SKU明细'!$E$9:$E$1592,"断货")&gt;0,"断货 ","")&amp;IF(COUNTIFS('SKU明细'!$AH$9:$AH$1592,"[""1S01"",""1S01-LP"",""LP"",""香芋紫""]",'SKU明细'!$E$9:$E$1592,"零日销待复核")&gt;0,"零日销待复核 ","")&amp;IF(COUNTIFS('SKU明细'!$AH$9:$AH$1592,"[""1S01"",""1S01-LP"",""LP"",""香芋紫""]",'SKU明细'!$E$9:$E$1592,"数据待核")&gt;0,"数据待核 ","")&amp;IF(COUNTIFS('SKU明细'!$AH$9:$AH$1592,"[""1S01"",""1S01-LP"",""LP"",""香芋紫""]",'SKU明细'!$E$9:$E$1592,"正常库存")&gt;0,"正常库存 ","")&amp;IF(COUNTIFS('SKU明细'!$AH$9:$AH$1592,"[""1S01"",""1S01-LP"",""LP"",""香芋紫""]",'SKU明细'!$E$9:$E$1592,"补货提醒")&gt;0,"补货提醒 ","")</x:f>
        <x:v>断货 零日销待复核 </x:v>
      </x:c>
      <x:c r="Y171" s="19" t="str">
        <x:f>IF(NOT(ISNUMBER(U171)),"覆盖待核／无可比基准","仅共同SKU")</x:f>
        <x:v>覆盖待核／无可比基准</x:v>
      </x:c>
      <x:c r="Z171" s="19" t="str">
        <x:v>停售、在售</x:v>
      </x:c>
      <x:c r="AA171" s="19" t="n">
        <x:f>IF(SUMIFS('SKU明细'!$AF$9:$AF$1592,'SKU明细'!$D$9:$D$1592,A171,'SKU明细'!$Z$9:$Z$1592,"&lt;&gt;移出")=0,"待核",SUMIFS('SKU明细'!$H$9:$H$1592,'SKU明细'!$D$9:$D$1592,A171,'SKU明细'!$Z$9:$Z$1592,"&lt;&gt;移出"))</x:f>
        <x:v>476</x:v>
      </x:c>
    </x:row>
    <x:row r="172" ht="54" customHeight="1">
      <x:c r="A172" s="15" t="str">
        <x:v>1S01</x:v>
      </x:c>
      <x:c r="B172" s="15" t="str">
        <x:v>徐新怡</x:v>
      </x:c>
      <x:c r="C172" s="15" t="str">
        <x:v>黄色</x:v>
      </x:c>
      <x:c r="D172" s="15" t="str">
        <x:v>MD</x:v>
      </x:c>
      <x:c r="E172" s="15" t="str">
        <x:v>1S01-MD</x:v>
      </x:c>
      <x:c r="F172" s="15"/>
      <x:c r="G172" s="16" t="str">
        <x:f>IF(AND(COUNT(INDEX('SKU明细'!$H$9:$H$1592,MATCH("[13120,""1S01-MD-36""]",'SKU明细'!$AE$9:$AE$1592,0)))=1,COUNT(INDEX('SKU明细'!$G$9:$G$1592,MATCH("[13120,""1S01-MD-36""]",'SKU明细'!$AE$9:$AE$1592,0)))=1,SUM(INDEX('SKU明细'!$G$9:$G$1592,MATCH("[13120,""1S01-MD-36""]",'SKU明细'!$AE$9:$AE$1592,0)))&gt;0),SUM(INDEX('SKU明细'!$H$9:$H$1592,MATCH("[13120,""1S01-MD-36""]",'SKU明细'!$AE$9:$AE$1592,0)))/SUM(INDEX('SKU明细'!$G$9:$G$1592,MATCH("[13120,""1S01-MD-36""]",'SKU明细'!$AE$9:$AE$1592,0))),"待核")</x:f>
        <x:v>待核</x:v>
      </x:c>
      <x:c r="H172" s="16" t="str">
        <x:f>"—"</x:f>
        <x:v>—</x:v>
      </x:c>
      <x:c r="I172" s="16" t="str">
        <x:f>"—"</x:f>
        <x:v>—</x:v>
      </x:c>
      <x:c r="J172" s="16" t="str">
        <x:f>"—"</x:f>
        <x:v>—</x:v>
      </x:c>
      <x:c r="K172" s="16" t="str">
        <x:f>"—"</x:f>
        <x:v>—</x:v>
      </x:c>
      <x:c r="L172" s="16" t="str">
        <x:f>"—"</x:f>
        <x:v>—</x:v>
      </x:c>
      <x:c r="M172" s="16" t="str">
        <x:f>"—"</x:f>
        <x:v>—</x:v>
      </x:c>
      <x:c r="N172" s="16" t="str">
        <x:f>IF(AND(COUNT(INDEX('SKU明细'!$H$9:$H$1592,MATCH("[13120,""1S01-MD-40""]",'SKU明细'!$AE$9:$AE$1592,0)))=1,COUNT(INDEX('SKU明细'!$G$9:$G$1592,MATCH("[13120,""1S01-MD-40""]",'SKU明细'!$AE$9:$AE$1592,0)))=1,SUM(INDEX('SKU明细'!$G$9:$G$1592,MATCH("[13120,""1S01-MD-40""]",'SKU明细'!$AE$9:$AE$1592,0)))&gt;0),SUM(INDEX('SKU明细'!$H$9:$H$1592,MATCH("[13120,""1S01-MD-40""]",'SKU明细'!$AE$9:$AE$1592,0)))/SUM(INDEX('SKU明细'!$G$9:$G$1592,MATCH("[13120,""1S01-MD-40""]",'SKU明细'!$AE$9:$AE$1592,0))),"待核")</x:f>
        <x:v>待核</x:v>
      </x:c>
      <x:c r="O172" s="16" t="str">
        <x:f>"—"</x:f>
        <x:v>—</x:v>
      </x:c>
      <x:c r="P172" s="16" t="str">
        <x:f>"—"</x:f>
        <x:v>—</x:v>
      </x:c>
      <x:c r="Q172" s="16" t="str">
        <x:f>"—"</x:f>
        <x:v>—</x:v>
      </x:c>
      <x:c r="R172" s="16" t="str">
        <x:f>"—"</x:f>
        <x:v>—</x:v>
      </x:c>
      <x:c r="S172" s="16" t="str">
        <x:f>"—"</x:f>
        <x:v>—</x:v>
      </x:c>
      <x:c r="T172" s="16" t="str">
        <x:f>"—"</x:f>
        <x:v>—</x:v>
      </x:c>
      <x:c r="U172" s="16" t="str">
        <x:f>IF(COUNT(S172:T172)=2,S172-T172,"待核")</x:f>
        <x:v>待核</x:v>
      </x:c>
      <x:c r="V172" s="17" t="str">
        <x:f>IF(AND(ISNUMBER(U172),ISNUMBER(T172),T172&lt;&gt;0),U172/T172,"")</x:f>
      </x:c>
      <x:c r="W172" s="18" t="str">
        <x:f>IF(COUNT(INDEX('SKU明细'!$H$9:$H$1592,MATCH("[13120,""1S01-MD-36""]",'SKU明细'!$AE$9:$AE$1592,0)),INDEX('SKU明细'!$H$9:$H$1592,MATCH("[13120,""1S01-MD-40""]",'SKU明细'!$AE$9:$AE$1592,0)))=0,"待核",SUM(INDEX('SKU明细'!$H$9:$H$1592,MATCH("[13120,""1S01-MD-36""]",'SKU明细'!$AE$9:$AE$1592,0)),INDEX('SKU明细'!$H$9:$H$1592,MATCH("[13120,""1S01-MD-40""]",'SKU明细'!$AE$9:$AE$1592,0))))</x:f>
        <x:v>待核</x:v>
      </x:c>
      <x:c r="X172" s="19" t="str">
        <x:f>IF(COUNTIFS('SKU明细'!$AH$9:$AH$1592,"[""1S01"",""1S01-MD"",""MD"",""黄色""]",'SKU明细'!$E$9:$E$1592,"促销")&gt;0,"促销 ","")&amp;IF(COUNTIFS('SKU明细'!$AH$9:$AH$1592,"[""1S01"",""1S01-MD"",""MD"",""黄色""]",'SKU明细'!$E$9:$E$1592,"红线促销")&gt;0,"红线促销 ","")&amp;IF(COUNTIFS('SKU明细'!$AH$9:$AH$1592,"[""1S01"",""1S01-MD"",""MD"",""黄色""]",'SKU明细'!$E$9:$E$1592,"考虑清仓")&gt;0,"考虑清仓 ","")&amp;IF(COUNTIFS('SKU明细'!$AH$9:$AH$1592,"[""1S01"",""1S01-MD"",""MD"",""黄色""]",'SKU明细'!$E$9:$E$1592,"断货")&gt;0,"断货 ","")&amp;IF(COUNTIFS('SKU明细'!$AH$9:$AH$1592,"[""1S01"",""1S01-MD"",""MD"",""黄色""]",'SKU明细'!$E$9:$E$1592,"零日销待复核")&gt;0,"零日销待复核 ","")&amp;IF(COUNTIFS('SKU明细'!$AH$9:$AH$1592,"[""1S01"",""1S01-MD"",""MD"",""黄色""]",'SKU明细'!$E$9:$E$1592,"数据待核")&gt;0,"数据待核 ","")&amp;IF(COUNTIFS('SKU明细'!$AH$9:$AH$1592,"[""1S01"",""1S01-MD"",""MD"",""黄色""]",'SKU明细'!$E$9:$E$1592,"正常库存")&gt;0,"正常库存 ","")&amp;IF(COUNTIFS('SKU明细'!$AH$9:$AH$1592,"[""1S01"",""1S01-MD"",""MD"",""黄色""]",'SKU明细'!$E$9:$E$1592,"补货提醒")&gt;0,"补货提醒 ","")</x:f>
        <x:v>数据待核 </x:v>
      </x:c>
      <x:c r="Y172" s="19" t="str">
        <x:f>IF(NOT(ISNUMBER(U172)),"覆盖待核／无可比基准","仅共同SKU")</x:f>
        <x:v>覆盖待核／无可比基准</x:v>
      </x:c>
      <x:c r="Z172" s="19" t="str">
        <x:v>停售</x:v>
      </x:c>
      <x:c r="AA172" s="19" t="n">
        <x:f>IF(SUMIFS('SKU明细'!$AF$9:$AF$1592,'SKU明细'!$D$9:$D$1592,A172,'SKU明细'!$Z$9:$Z$1592,"&lt;&gt;移出")=0,"待核",SUMIFS('SKU明细'!$H$9:$H$1592,'SKU明细'!$D$9:$D$1592,A172,'SKU明细'!$Z$9:$Z$1592,"&lt;&gt;移出"))</x:f>
        <x:v>476</x:v>
      </x:c>
    </x:row>
    <x:row r="173" ht="54" customHeight="1">
      <x:c r="A173" s="15" t="str">
        <x:v>1S01</x:v>
      </x:c>
      <x:c r="B173" s="15" t="str">
        <x:v>徐新怡</x:v>
      </x:c>
      <x:c r="C173" s="15" t="str">
        <x:v>裸色</x:v>
      </x:c>
      <x:c r="D173" s="15" t="str">
        <x:v>ND</x:v>
      </x:c>
      <x:c r="E173" s="15" t="str">
        <x:v>1S01-ND</x:v>
      </x:c>
      <x:c r="F173" s="15"/>
      <x:c r="G173" s="16" t="str">
        <x:f>IF(AND(COUNT(INDEX('SKU明细'!$H$9:$H$1592,MATCH("[6574,""1S01-ND-36""]",'SKU明细'!$AE$9:$AE$1592,0)))=1,COUNT(INDEX('SKU明细'!$G$9:$G$1592,MATCH("[6574,""1S01-ND-36""]",'SKU明细'!$AE$9:$AE$1592,0)))=1,SUM(INDEX('SKU明细'!$G$9:$G$1592,MATCH("[6574,""1S01-ND-36""]",'SKU明细'!$AE$9:$AE$1592,0)))&gt;0),SUM(INDEX('SKU明细'!$H$9:$H$1592,MATCH("[6574,""1S01-ND-36""]",'SKU明细'!$AE$9:$AE$1592,0)))/SUM(INDEX('SKU明细'!$G$9:$G$1592,MATCH("[6574,""1S01-ND-36""]",'SKU明细'!$AE$9:$AE$1592,0))),"待核")</x:f>
        <x:v>待核</x:v>
      </x:c>
      <x:c r="H173" s="16" t="n">
        <x:f>IF(AND(COUNT(INDEX('SKU明细'!$H$9:$H$1592,MATCH("[6574,""1S01-ND-6""]",'SKU明细'!$AE$9:$AE$1592,0)))=1,COUNT(INDEX('SKU明细'!$G$9:$G$1592,MATCH("[6574,""1S01-ND-6""]",'SKU明细'!$AE$9:$AE$1592,0)))=1,SUM(INDEX('SKU明细'!$G$9:$G$1592,MATCH("[6574,""1S01-ND-6""]",'SKU明细'!$AE$9:$AE$1592,0)))&gt;0),SUM(INDEX('SKU明细'!$H$9:$H$1592,MATCH("[6574,""1S01-ND-6""]",'SKU明细'!$AE$9:$AE$1592,0)))/SUM(INDEX('SKU明细'!$G$9:$G$1592,MATCH("[6574,""1S01-ND-6""]",'SKU明细'!$AE$9:$AE$1592,0))),"待核")</x:f>
        <x:v>0</x:v>
      </x:c>
      <x:c r="I173" s="16" t="str">
        <x:f>IF(AND(COUNT(INDEX('SKU明细'!$H$9:$H$1592,MATCH("[6574,""1S01-ND-37.5""]",'SKU明细'!$AE$9:$AE$1592,0)))=1,COUNT(INDEX('SKU明细'!$G$9:$G$1592,MATCH("[6574,""1S01-ND-37.5""]",'SKU明细'!$AE$9:$AE$1592,0)))=1,SUM(INDEX('SKU明细'!$G$9:$G$1592,MATCH("[6574,""1S01-ND-37.5""]",'SKU明细'!$AE$9:$AE$1592,0)))&gt;0),SUM(INDEX('SKU明细'!$H$9:$H$1592,MATCH("[6574,""1S01-ND-37.5""]",'SKU明细'!$AE$9:$AE$1592,0)))/SUM(INDEX('SKU明细'!$G$9:$G$1592,MATCH("[6574,""1S01-ND-37.5""]",'SKU明细'!$AE$9:$AE$1592,0))),"待核")</x:f>
        <x:v>待核</x:v>
      </x:c>
      <x:c r="J173" s="16" t="n">
        <x:f>IF(AND(COUNT(INDEX('SKU明细'!$H$9:$H$1592,MATCH("[6574,""1S01-ND-7""]",'SKU明细'!$AE$9:$AE$1592,0)))=1,COUNT(INDEX('SKU明细'!$G$9:$G$1592,MATCH("[6574,""1S01-ND-7""]",'SKU明细'!$AE$9:$AE$1592,0)))=1,SUM(INDEX('SKU明细'!$G$9:$G$1592,MATCH("[6574,""1S01-ND-7""]",'SKU明细'!$AE$9:$AE$1592,0)))&gt;0),SUM(INDEX('SKU明细'!$H$9:$H$1592,MATCH("[6574,""1S01-ND-7""]",'SKU明细'!$AE$9:$AE$1592,0)))/SUM(INDEX('SKU明细'!$G$9:$G$1592,MATCH("[6574,""1S01-ND-7""]",'SKU明细'!$AE$9:$AE$1592,0))),"待核")</x:f>
        <x:v>326.35135135135135</x:v>
      </x:c>
      <x:c r="K173" s="16" t="str">
        <x:f>IF(AND(COUNT(INDEX('SKU明细'!$H$9:$H$1592,MATCH("[null,""1S01-ND-38.5""]",'SKU明细'!$AE$9:$AE$1592,0)))=1,COUNT(INDEX('SKU明细'!$G$9:$G$1592,MATCH("[null,""1S01-ND-38.5""]",'SKU明细'!$AE$9:$AE$1592,0)))=1,SUM(INDEX('SKU明细'!$G$9:$G$1592,MATCH("[null,""1S01-ND-38.5""]",'SKU明细'!$AE$9:$AE$1592,0)))&gt;0),SUM(INDEX('SKU明细'!$H$9:$H$1592,MATCH("[null,""1S01-ND-38.5""]",'SKU明细'!$AE$9:$AE$1592,0)))/SUM(INDEX('SKU明细'!$G$9:$G$1592,MATCH("[null,""1S01-ND-38.5""]",'SKU明细'!$AE$9:$AE$1592,0))),"待核")</x:f>
        <x:v>待核</x:v>
      </x:c>
      <x:c r="L173" s="16" t="str">
        <x:f>IF(AND(COUNT(INDEX('SKU明细'!$H$9:$H$1592,MATCH("[6574,""1S01-ND-8""]",'SKU明细'!$AE$9:$AE$1592,0)))=1,COUNT(INDEX('SKU明细'!$G$9:$G$1592,MATCH("[6574,""1S01-ND-8""]",'SKU明细'!$AE$9:$AE$1592,0)))=1,SUM(INDEX('SKU明细'!$G$9:$G$1592,MATCH("[6574,""1S01-ND-8""]",'SKU明细'!$AE$9:$AE$1592,0)))&gt;0),SUM(INDEX('SKU明细'!$H$9:$H$1592,MATCH("[6574,""1S01-ND-8""]",'SKU明细'!$AE$9:$AE$1592,0)))/SUM(INDEX('SKU明细'!$G$9:$G$1592,MATCH("[6574,""1S01-ND-8""]",'SKU明细'!$AE$9:$AE$1592,0))),"待核")</x:f>
        <x:v>待核</x:v>
      </x:c>
      <x:c r="M173" s="16" t="str">
        <x:f>IF(AND(COUNT(INDEX('SKU明细'!$H$9:$H$1592,MATCH("[6574,""1S01-ND-39.5""]",'SKU明细'!$AE$9:$AE$1592,0)))=1,COUNT(INDEX('SKU明细'!$G$9:$G$1592,MATCH("[6574,""1S01-ND-39.5""]",'SKU明细'!$AE$9:$AE$1592,0)))=1,SUM(INDEX('SKU明细'!$G$9:$G$1592,MATCH("[6574,""1S01-ND-39.5""]",'SKU明细'!$AE$9:$AE$1592,0)))&gt;0),SUM(INDEX('SKU明细'!$H$9:$H$1592,MATCH("[6574,""1S01-ND-39.5""]",'SKU明细'!$AE$9:$AE$1592,0)))/SUM(INDEX('SKU明细'!$G$9:$G$1592,MATCH("[6574,""1S01-ND-39.5""]",'SKU明细'!$AE$9:$AE$1592,0))),"待核")</x:f>
        <x:v>待核</x:v>
      </x:c>
      <x:c r="N173" s="16" t="n">
        <x:f>IF(AND(COUNT(INDEX('SKU明细'!$H$9:$H$1592,MATCH("[6574,""1S01-ND-9""]",'SKU明细'!$AE$9:$AE$1592,0)))=1,COUNT(INDEX('SKU明细'!$G$9:$G$1592,MATCH("[6574,""1S01-ND-9""]",'SKU明细'!$AE$9:$AE$1592,0)))=1,SUM(INDEX('SKU明细'!$G$9:$G$1592,MATCH("[6574,""1S01-ND-9""]",'SKU明细'!$AE$9:$AE$1592,0)))&gt;0),SUM(INDEX('SKU明细'!$H$9:$H$1592,MATCH("[6574,""1S01-ND-9""]",'SKU明细'!$AE$9:$AE$1592,0)))/SUM(INDEX('SKU明细'!$G$9:$G$1592,MATCH("[6574,""1S01-ND-9""]",'SKU明细'!$AE$9:$AE$1592,0))),"待核")</x:f>
        <x:v>0</x:v>
      </x:c>
      <x:c r="O173" s="16" t="str">
        <x:f>IF(AND(COUNT(INDEX('SKU明细'!$H$9:$H$1592,MATCH("[6574,""1S01-ND-40.5""]",'SKU明细'!$AE$9:$AE$1592,0)))=1,COUNT(INDEX('SKU明细'!$G$9:$G$1592,MATCH("[6574,""1S01-ND-40.5""]",'SKU明细'!$AE$9:$AE$1592,0)))=1,SUM(INDEX('SKU明细'!$G$9:$G$1592,MATCH("[6574,""1S01-ND-40.5""]",'SKU明细'!$AE$9:$AE$1592,0)))&gt;0),SUM(INDEX('SKU明细'!$H$9:$H$1592,MATCH("[6574,""1S01-ND-40.5""]",'SKU明细'!$AE$9:$AE$1592,0)))/SUM(INDEX('SKU明细'!$G$9:$G$1592,MATCH("[6574,""1S01-ND-40.5""]",'SKU明细'!$AE$9:$AE$1592,0))),"待核")</x:f>
        <x:v>待核</x:v>
      </x:c>
      <x:c r="P173" s="16" t="n">
        <x:f>IF(AND(COUNT(INDEX('SKU明细'!$H$9:$H$1592,MATCH("[6574,""1S01-ND-10""]",'SKU明细'!$AE$9:$AE$1592,0)))=1,COUNT(INDEX('SKU明细'!$G$9:$G$1592,MATCH("[6574,""1S01-ND-10""]",'SKU明细'!$AE$9:$AE$1592,0)))=1,SUM(INDEX('SKU明细'!$G$9:$G$1592,MATCH("[6574,""1S01-ND-10""]",'SKU明细'!$AE$9:$AE$1592,0)))&gt;0),SUM(INDEX('SKU明细'!$H$9:$H$1592,MATCH("[6574,""1S01-ND-10""]",'SKU明细'!$AE$9:$AE$1592,0)))/SUM(INDEX('SKU明细'!$G$9:$G$1592,MATCH("[6574,""1S01-ND-10""]",'SKU明细'!$AE$9:$AE$1592,0))),"待核")</x:f>
        <x:v>0</x:v>
      </x:c>
      <x:c r="Q173" s="16" t="str">
        <x:f>IF(AND(COUNT(INDEX('SKU明细'!$H$9:$H$1592,MATCH("[6574,""1S01-ND-41.5""]",'SKU明细'!$AE$9:$AE$1592,0)))=1,COUNT(INDEX('SKU明细'!$G$9:$G$1592,MATCH("[6574,""1S01-ND-41.5""]",'SKU明细'!$AE$9:$AE$1592,0)))=1,SUM(INDEX('SKU明细'!$G$9:$G$1592,MATCH("[6574,""1S01-ND-41.5""]",'SKU明细'!$AE$9:$AE$1592,0)))&gt;0),SUM(INDEX('SKU明细'!$H$9:$H$1592,MATCH("[6574,""1S01-ND-41.5""]",'SKU明细'!$AE$9:$AE$1592,0)))/SUM(INDEX('SKU明细'!$G$9:$G$1592,MATCH("[6574,""1S01-ND-41.5""]",'SKU明细'!$AE$9:$AE$1592,0))),"待核")</x:f>
        <x:v>待核</x:v>
      </x:c>
      <x:c r="R173" s="16" t="str">
        <x:f>IF(AND(COUNT(INDEX('SKU明细'!$H$9:$H$1592,MATCH("[6574,""1S01-ND-11""]",'SKU明细'!$AE$9:$AE$1592,0)))=1,COUNT(INDEX('SKU明细'!$G$9:$G$1592,MATCH("[6574,""1S01-ND-11""]",'SKU明细'!$AE$9:$AE$1592,0)))=1,SUM(INDEX('SKU明细'!$G$9:$G$1592,MATCH("[6574,""1S01-ND-11""]",'SKU明细'!$AE$9:$AE$1592,0)))&gt;0),SUM(INDEX('SKU明细'!$H$9:$H$1592,MATCH("[6574,""1S01-ND-11""]",'SKU明细'!$AE$9:$AE$1592,0)))/SUM(INDEX('SKU明细'!$G$9:$G$1592,MATCH("[6574,""1S01-ND-11""]",'SKU明细'!$AE$9:$AE$1592,0))),"待核")</x:f>
        <x:v>待核</x:v>
      </x:c>
      <x:c r="S173" s="16" t="n">
        <x:f>IF(AND(COUNT(INDEX('SKU明细'!$H$9:$H$1592,MATCH("[6574,""1S01-ND-7""]",'SKU明细'!$AE$9:$AE$1592,0)),INDEX('SKU明细'!$H$9:$H$1592,MATCH("[6574,""1S01-ND-10""]",'SKU明细'!$AE$9:$AE$1592,0)),INDEX('SKU明细'!$H$9:$H$1592,MATCH("[6574,""1S01-ND-11""]",'SKU明细'!$AE$9:$AE$1592,0)),INDEX('SKU明细'!$H$9:$H$1592,MATCH("[6574,""1S01-ND-6""]",'SKU明细'!$AE$9:$AE$1592,0)),INDEX('SKU明细'!$H$9:$H$1592,MATCH("[6574,""1S01-ND-8""]",'SKU明细'!$AE$9:$AE$1592,0)),INDEX('SKU明细'!$H$9:$H$1592,MATCH("[6574,""1S01-ND-9""]",'SKU明细'!$AE$9:$AE$1592,0)))=6,COUNT(INDEX('SKU明细'!$G$9:$G$1592,MATCH("[6574,""1S01-ND-7""]",'SKU明细'!$AE$9:$AE$1592,0)),INDEX('SKU明细'!$G$9:$G$1592,MATCH("[6574,""1S01-ND-10""]",'SKU明细'!$AE$9:$AE$1592,0)),INDEX('SKU明细'!$G$9:$G$1592,MATCH("[6574,""1S01-ND-11""]",'SKU明细'!$AE$9:$AE$1592,0)),INDEX('SKU明细'!$G$9:$G$1592,MATCH("[6574,""1S01-ND-6""]",'SKU明细'!$AE$9:$AE$1592,0)),INDEX('SKU明细'!$G$9:$G$1592,MATCH("[6574,""1S01-ND-8""]",'SKU明细'!$AE$9:$AE$1592,0)),INDEX('SKU明细'!$G$9:$G$1592,MATCH("[6574,""1S01-ND-9""]",'SKU明细'!$AE$9:$AE$1592,0)))=6,SUM(INDEX('SKU明细'!$G$9:$G$1592,MATCH("[6574,""1S01-ND-7""]",'SKU明细'!$AE$9:$AE$1592,0)),INDEX('SKU明细'!$G$9:$G$1592,MATCH("[6574,""1S01-ND-10""]",'SKU明细'!$AE$9:$AE$1592,0)),INDEX('SKU明细'!$G$9:$G$1592,MATCH("[6574,""1S01-ND-11""]",'SKU明细'!$AE$9:$AE$1592,0)),INDEX('SKU明细'!$G$9:$G$1592,MATCH("[6574,""1S01-ND-6""]",'SKU明细'!$AE$9:$AE$1592,0)),INDEX('SKU明细'!$G$9:$G$1592,MATCH("[6574,""1S01-ND-8""]",'SKU明细'!$AE$9:$AE$1592,0)),INDEX('SKU明细'!$G$9:$G$1592,MATCH("[6574,""1S01-ND-9""]",'SKU明细'!$AE$9:$AE$1592,0)))&gt;0),SUM(INDEX('SKU明细'!$H$9:$H$1592,MATCH("[6574,""1S01-ND-7""]",'SKU明细'!$AE$9:$AE$1592,0)),INDEX('SKU明细'!$H$9:$H$1592,MATCH("[6574,""1S01-ND-10""]",'SKU明细'!$AE$9:$AE$1592,0)),INDEX('SKU明细'!$H$9:$H$1592,MATCH("[6574,""1S01-ND-11""]",'SKU明细'!$AE$9:$AE$1592,0)),INDEX('SKU明细'!$H$9:$H$1592,MATCH("[6574,""1S01-ND-6""]",'SKU明细'!$AE$9:$AE$1592,0)),INDEX('SKU明细'!$H$9:$H$1592,MATCH("[6574,""1S01-ND-8""]",'SKU明细'!$AE$9:$AE$1592,0)),INDEX('SKU明细'!$H$9:$H$1592,MATCH("[6574,""1S01-ND-9""]",'SKU明细'!$AE$9:$AE$1592,0)))/SUM(INDEX('SKU明细'!$G$9:$G$1592,MATCH("[6574,""1S01-ND-7""]",'SKU明细'!$AE$9:$AE$1592,0)),INDEX('SKU明细'!$G$9:$G$1592,MATCH("[6574,""1S01-ND-10""]",'SKU明细'!$AE$9:$AE$1592,0)),INDEX('SKU明细'!$G$9:$G$1592,MATCH("[6574,""1S01-ND-11""]",'SKU明细'!$AE$9:$AE$1592,0)),INDEX('SKU明细'!$G$9:$G$1592,MATCH("[6574,""1S01-ND-6""]",'SKU明细'!$AE$9:$AE$1592,0)),INDEX('SKU明细'!$G$9:$G$1592,MATCH("[6574,""1S01-ND-8""]",'SKU明细'!$AE$9:$AE$1592,0)),INDEX('SKU明细'!$G$9:$G$1592,MATCH("[6574,""1S01-ND-9""]",'SKU明细'!$AE$9:$AE$1592,0))),"待核")</x:f>
        <x:v>167.1280276816609</x:v>
      </x:c>
      <x:c r="T173" s="16" t="str">
        <x:f>IF(AND(COUNT(INDEX('SKU明细'!$I$9:$I$1592,MATCH("[6574,""1S01-ND-7""]",'SKU明细'!$AE$9:$AE$1592,0)),INDEX('SKU明细'!$I$9:$I$1592,MATCH("[6574,""1S01-ND-10""]",'SKU明细'!$AE$9:$AE$1592,0)),INDEX('SKU明细'!$I$9:$I$1592,MATCH("[6574,""1S01-ND-11""]",'SKU明细'!$AE$9:$AE$1592,0)),INDEX('SKU明细'!$I$9:$I$1592,MATCH("[6574,""1S01-ND-6""]",'SKU明细'!$AE$9:$AE$1592,0)),INDEX('SKU明细'!$I$9:$I$1592,MATCH("[6574,""1S01-ND-8""]",'SKU明细'!$AE$9:$AE$1592,0)),INDEX('SKU明细'!$I$9:$I$1592,MATCH("[6574,""1S01-ND-9""]",'SKU明细'!$AE$9:$AE$1592,0)))=6,COUNT(INDEX('SKU明细'!$AD$9:$AD$1592,MATCH("[6574,""1S01-ND-7""]",'SKU明细'!$AE$9:$AE$1592,0)),INDEX('SKU明细'!$AD$9:$AD$1592,MATCH("[6574,""1S01-ND-10""]",'SKU明细'!$AE$9:$AE$1592,0)),INDEX('SKU明细'!$AD$9:$AD$1592,MATCH("[6574,""1S01-ND-11""]",'SKU明细'!$AE$9:$AE$1592,0)),INDEX('SKU明细'!$AD$9:$AD$1592,MATCH("[6574,""1S01-ND-6""]",'SKU明细'!$AE$9:$AE$1592,0)),INDEX('SKU明细'!$AD$9:$AD$1592,MATCH("[6574,""1S01-ND-8""]",'SKU明细'!$AE$9:$AE$1592,0)),INDEX('SKU明细'!$AD$9:$AD$1592,MATCH("[6574,""1S01-ND-9""]",'SKU明细'!$AE$9:$AE$1592,0)))=6,SUM(INDEX('SKU明细'!$AD$9:$AD$1592,MATCH("[6574,""1S01-ND-7""]",'SKU明细'!$AE$9:$AE$1592,0)),INDEX('SKU明细'!$AD$9:$AD$1592,MATCH("[6574,""1S01-ND-10""]",'SKU明细'!$AE$9:$AE$1592,0)),INDEX('SKU明细'!$AD$9:$AD$1592,MATCH("[6574,""1S01-ND-11""]",'SKU明细'!$AE$9:$AE$1592,0)),INDEX('SKU明细'!$AD$9:$AD$1592,MATCH("[6574,""1S01-ND-6""]",'SKU明细'!$AE$9:$AE$1592,0)),INDEX('SKU明细'!$AD$9:$AD$1592,MATCH("[6574,""1S01-ND-8""]",'SKU明细'!$AE$9:$AE$1592,0)),INDEX('SKU明细'!$AD$9:$AD$1592,MATCH("[6574,""1S01-ND-9""]",'SKU明细'!$AE$9:$AE$1592,0)))&gt;0),SUM(INDEX('SKU明细'!$I$9:$I$1592,MATCH("[6574,""1S01-ND-7""]",'SKU明细'!$AE$9:$AE$1592,0)),INDEX('SKU明细'!$I$9:$I$1592,MATCH("[6574,""1S01-ND-10""]",'SKU明细'!$AE$9:$AE$1592,0)),INDEX('SKU明细'!$I$9:$I$1592,MATCH("[6574,""1S01-ND-11""]",'SKU明细'!$AE$9:$AE$1592,0)),INDEX('SKU明细'!$I$9:$I$1592,MATCH("[6574,""1S01-ND-6""]",'SKU明细'!$AE$9:$AE$1592,0)),INDEX('SKU明细'!$I$9:$I$1592,MATCH("[6574,""1S01-ND-8""]",'SKU明细'!$AE$9:$AE$1592,0)),INDEX('SKU明细'!$I$9:$I$1592,MATCH("[6574,""1S01-ND-9""]",'SKU明细'!$AE$9:$AE$1592,0)))/SUM(INDEX('SKU明细'!$AD$9:$AD$1592,MATCH("[6574,""1S01-ND-7""]",'SKU明细'!$AE$9:$AE$1592,0)),INDEX('SKU明细'!$AD$9:$AD$1592,MATCH("[6574,""1S01-ND-10""]",'SKU明细'!$AE$9:$AE$1592,0)),INDEX('SKU明细'!$AD$9:$AD$1592,MATCH("[6574,""1S01-ND-11""]",'SKU明细'!$AE$9:$AE$1592,0)),INDEX('SKU明细'!$AD$9:$AD$1592,MATCH("[6574,""1S01-ND-6""]",'SKU明细'!$AE$9:$AE$1592,0)),INDEX('SKU明细'!$AD$9:$AD$1592,MATCH("[6574,""1S01-ND-8""]",'SKU明细'!$AE$9:$AE$1592,0)),INDEX('SKU明细'!$AD$9:$AD$1592,MATCH("[6574,""1S01-ND-9""]",'SKU明细'!$AE$9:$AE$1592,0))),"待核")</x:f>
        <x:v>待核</x:v>
      </x:c>
      <x:c r="U173" s="16" t="str">
        <x:f>IF(COUNT(S173:T173)=2,S173-T173,"待核")</x:f>
        <x:v>待核</x:v>
      </x:c>
      <x:c r="V173" s="17" t="str">
        <x:f>IF(AND(ISNUMBER(U173),ISNUMBER(T173),T173&lt;&gt;0),U173/T173,"")</x:f>
      </x:c>
      <x:c r="W173" s="18" t="n">
        <x:f>IF(COUNT(INDEX('SKU明细'!$H$9:$H$1592,MATCH("[6574,""1S01-ND-7""]",'SKU明细'!$AE$9:$AE$1592,0)),INDEX('SKU明细'!$H$9:$H$1592,MATCH("[6574,""1S01-ND-10""]",'SKU明细'!$AE$9:$AE$1592,0)),INDEX('SKU明细'!$H$9:$H$1592,MATCH("[6574,""1S01-ND-11""]",'SKU明细'!$AE$9:$AE$1592,0)),INDEX('SKU明细'!$H$9:$H$1592,MATCH("[6574,""1S01-ND-36""]",'SKU明细'!$AE$9:$AE$1592,0)),INDEX('SKU明细'!$H$9:$H$1592,MATCH("[6574,""1S01-ND-37.5""]",'SKU明细'!$AE$9:$AE$1592,0)),INDEX('SKU明细'!$H$9:$H$1592,MATCH("[6574,""1S01-ND-39.5""]",'SKU明细'!$AE$9:$AE$1592,0)),INDEX('SKU明细'!$H$9:$H$1592,MATCH("[6574,""1S01-ND-40.5""]",'SKU明细'!$AE$9:$AE$1592,0)),INDEX('SKU明细'!$H$9:$H$1592,MATCH("[6574,""1S01-ND-41.5""]",'SKU明细'!$AE$9:$AE$1592,0)),INDEX('SKU明细'!$H$9:$H$1592,MATCH("[6574,""1S01-ND-6""]",'SKU明细'!$AE$9:$AE$1592,0)),INDEX('SKU明细'!$H$9:$H$1592,MATCH("[6574,""1S01-ND-8""]",'SKU明细'!$AE$9:$AE$1592,0)),INDEX('SKU明细'!$H$9:$H$1592,MATCH("[6574,""1S01-ND-9""]",'SKU明细'!$AE$9:$AE$1592,0)),INDEX('SKU明细'!$H$9:$H$1592,MATCH("[null,""1S01-ND-38.5""]",'SKU明细'!$AE$9:$AE$1592,0)))=0,"待核",SUM(INDEX('SKU明细'!$H$9:$H$1592,MATCH("[6574,""1S01-ND-7""]",'SKU明细'!$AE$9:$AE$1592,0)),INDEX('SKU明细'!$H$9:$H$1592,MATCH("[6574,""1S01-ND-10""]",'SKU明细'!$AE$9:$AE$1592,0)),INDEX('SKU明细'!$H$9:$H$1592,MATCH("[6574,""1S01-ND-11""]",'SKU明细'!$AE$9:$AE$1592,0)),INDEX('SKU明细'!$H$9:$H$1592,MATCH("[6574,""1S01-ND-36""]",'SKU明细'!$AE$9:$AE$1592,0)),INDEX('SKU明细'!$H$9:$H$1592,MATCH("[6574,""1S01-ND-37.5""]",'SKU明细'!$AE$9:$AE$1592,0)),INDEX('SKU明细'!$H$9:$H$1592,MATCH("[6574,""1S01-ND-39.5""]",'SKU明细'!$AE$9:$AE$1592,0)),INDEX('SKU明细'!$H$9:$H$1592,MATCH("[6574,""1S01-ND-40.5""]",'SKU明细'!$AE$9:$AE$1592,0)),INDEX('SKU明细'!$H$9:$H$1592,MATCH("[6574,""1S01-ND-41.5""]",'SKU明细'!$AE$9:$AE$1592,0)),INDEX('SKU明细'!$H$9:$H$1592,MATCH("[6574,""1S01-ND-6""]",'SKU明细'!$AE$9:$AE$1592,0)),INDEX('SKU明细'!$H$9:$H$1592,MATCH("[6574,""1S01-ND-8""]",'SKU明细'!$AE$9:$AE$1592,0)),INDEX('SKU明细'!$H$9:$H$1592,MATCH("[6574,""1S01-ND-9""]",'SKU明细'!$AE$9:$AE$1592,0)),INDEX('SKU明细'!$H$9:$H$1592,MATCH("[null,""1S01-ND-38.5""]",'SKU明细'!$AE$9:$AE$1592,0))))</x:f>
        <x:v>46</x:v>
      </x:c>
      <x:c r="X173" s="19" t="str">
        <x:f>IF(COUNTIFS('SKU明细'!$AH$9:$AH$1592,"[""1S01"",""1S01-ND"",""ND"",""裸色""]",'SKU明细'!$E$9:$E$1592,"促销")&gt;0,"促销 ","")&amp;IF(COUNTIFS('SKU明细'!$AH$9:$AH$1592,"[""1S01"",""1S01-ND"",""ND"",""裸色""]",'SKU明细'!$E$9:$E$1592,"红线促销")&gt;0,"红线促销 ","")&amp;IF(COUNTIFS('SKU明细'!$AH$9:$AH$1592,"[""1S01"",""1S01-ND"",""ND"",""裸色""]",'SKU明细'!$E$9:$E$1592,"考虑清仓")&gt;0,"考虑清仓 ","")&amp;IF(COUNTIFS('SKU明细'!$AH$9:$AH$1592,"[""1S01"",""1S01-ND"",""ND"",""裸色""]",'SKU明细'!$E$9:$E$1592,"断货")&gt;0,"断货 ","")&amp;IF(COUNTIFS('SKU明细'!$AH$9:$AH$1592,"[""1S01"",""1S01-ND"",""ND"",""裸色""]",'SKU明细'!$E$9:$E$1592,"零日销待复核")&gt;0,"零日销待复核 ","")&amp;IF(COUNTIFS('SKU明细'!$AH$9:$AH$1592,"[""1S01"",""1S01-ND"",""ND"",""裸色""]",'SKU明细'!$E$9:$E$1592,"数据待核")&gt;0,"数据待核 ","")&amp;IF(COUNTIFS('SKU明细'!$AH$9:$AH$1592,"[""1S01"",""1S01-ND"",""ND"",""裸色""]",'SKU明细'!$E$9:$E$1592,"正常库存")&gt;0,"正常库存 ","")&amp;IF(COUNTIFS('SKU明细'!$AH$9:$AH$1592,"[""1S01"",""1S01-ND"",""ND"",""裸色""]",'SKU明细'!$E$9:$E$1592,"补货提醒")&gt;0,"补货提醒 ","")</x:f>
        <x:v>红线促销 断货 数据待核 </x:v>
      </x:c>
      <x:c r="Y173" s="19" t="str">
        <x:f>IF(NOT(ISNUMBER(U173)),"覆盖待核／无可比基准","仅共同SKU")</x:f>
        <x:v>覆盖待核／无可比基准</x:v>
      </x:c>
      <x:c r="Z173" s="19" t="str">
        <x:v>在售、停售、未匹配Listing</x:v>
      </x:c>
      <x:c r="AA173" s="19" t="n">
        <x:f>IF(SUMIFS('SKU明细'!$AF$9:$AF$1592,'SKU明细'!$D$9:$D$1592,A173,'SKU明细'!$Z$9:$Z$1592,"&lt;&gt;移出")=0,"待核",SUMIFS('SKU明细'!$H$9:$H$1592,'SKU明细'!$D$9:$D$1592,A173,'SKU明细'!$Z$9:$Z$1592,"&lt;&gt;移出"))</x:f>
        <x:v>476</x:v>
      </x:c>
    </x:row>
    <x:row r="174" ht="54" customHeight="1">
      <x:c r="A174" s="15" t="str">
        <x:v>1S01</x:v>
      </x:c>
      <x:c r="B174" s="15" t="str">
        <x:v>徐新怡</x:v>
      </x:c>
      <x:c r="C174" s="15" t="str">
        <x:v>裸粉色</x:v>
      </x:c>
      <x:c r="D174" s="15" t="str">
        <x:v>NP</x:v>
      </x:c>
      <x:c r="E174" s="15" t="str">
        <x:v>1S01-NP</x:v>
      </x:c>
      <x:c r="F174" s="15"/>
      <x:c r="G174" s="16" t="str">
        <x:f>"—"</x:f>
        <x:v>—</x:v>
      </x:c>
      <x:c r="H174" s="16" t="str">
        <x:f>IF(AND(COUNT(INDEX('SKU明细'!$H$9:$H$1592,MATCH("[13120,""1S01-NP-37""]",'SKU明细'!$AE$9:$AE$1592,0)))=1,COUNT(INDEX('SKU明细'!$G$9:$G$1592,MATCH("[13120,""1S01-NP-37""]",'SKU明细'!$AE$9:$AE$1592,0)))=1,SUM(INDEX('SKU明细'!$G$9:$G$1592,MATCH("[13120,""1S01-NP-37""]",'SKU明细'!$AE$9:$AE$1592,0)))&gt;0),SUM(INDEX('SKU明细'!$H$9:$H$1592,MATCH("[13120,""1S01-NP-37""]",'SKU明细'!$AE$9:$AE$1592,0)))/SUM(INDEX('SKU明细'!$G$9:$G$1592,MATCH("[13120,""1S01-NP-37""]",'SKU明细'!$AE$9:$AE$1592,0))),"待核")</x:f>
        <x:v>待核</x:v>
      </x:c>
      <x:c r="I174" s="16" t="str">
        <x:f>IF(AND(COUNT(INDEX('SKU明细'!$H$9:$H$1592,MATCH("[13120,""1S01-NP-37.5""]",'SKU明细'!$AE$9:$AE$1592,0)))=1,COUNT(INDEX('SKU明细'!$G$9:$G$1592,MATCH("[13120,""1S01-NP-37.5""]",'SKU明细'!$AE$9:$AE$1592,0)))=1,SUM(INDEX('SKU明细'!$G$9:$G$1592,MATCH("[13120,""1S01-NP-37.5""]",'SKU明细'!$AE$9:$AE$1592,0)))&gt;0),SUM(INDEX('SKU明细'!$H$9:$H$1592,MATCH("[13120,""1S01-NP-37.5""]",'SKU明细'!$AE$9:$AE$1592,0)))/SUM(INDEX('SKU明细'!$G$9:$G$1592,MATCH("[13120,""1S01-NP-37.5""]",'SKU明细'!$AE$9:$AE$1592,0))),"待核")</x:f>
        <x:v>待核</x:v>
      </x:c>
      <x:c r="J174" s="16" t="str">
        <x:f>IF(AND(COUNT(INDEX('SKU明细'!$H$9:$H$1592,MATCH("[13120,""1S01-NP-38""]",'SKU明细'!$AE$9:$AE$1592,0)))=1,COUNT(INDEX('SKU明细'!$G$9:$G$1592,MATCH("[13120,""1S01-NP-38""]",'SKU明细'!$AE$9:$AE$1592,0)))=1,SUM(INDEX('SKU明细'!$G$9:$G$1592,MATCH("[13120,""1S01-NP-38""]",'SKU明细'!$AE$9:$AE$1592,0)))&gt;0),SUM(INDEX('SKU明细'!$H$9:$H$1592,MATCH("[13120,""1S01-NP-38""]",'SKU明细'!$AE$9:$AE$1592,0)))/SUM(INDEX('SKU明细'!$G$9:$G$1592,MATCH("[13120,""1S01-NP-38""]",'SKU明细'!$AE$9:$AE$1592,0))),"待核")</x:f>
        <x:v>待核</x:v>
      </x:c>
      <x:c r="K174" s="16" t="str">
        <x:f>IF(AND(COUNT(INDEX('SKU明细'!$H$9:$H$1592,MATCH("[13120,""1S01-NP-38.5""]",'SKU明细'!$AE$9:$AE$1592,0)))=1,COUNT(INDEX('SKU明细'!$G$9:$G$1592,MATCH("[13120,""1S01-NP-38.5""]",'SKU明细'!$AE$9:$AE$1592,0)))=1,SUM(INDEX('SKU明细'!$G$9:$G$1592,MATCH("[13120,""1S01-NP-38.5""]",'SKU明细'!$AE$9:$AE$1592,0)))&gt;0),SUM(INDEX('SKU明细'!$H$9:$H$1592,MATCH("[13120,""1S01-NP-38.5""]",'SKU明细'!$AE$9:$AE$1592,0)))/SUM(INDEX('SKU明细'!$G$9:$G$1592,MATCH("[13120,""1S01-NP-38.5""]",'SKU明细'!$AE$9:$AE$1592,0))),"待核")</x:f>
        <x:v>待核</x:v>
      </x:c>
      <x:c r="L174" s="16" t="str">
        <x:f>IF(AND(COUNT(INDEX('SKU明细'!$H$9:$H$1592,MATCH("[13120,""1S01-NP-39""]",'SKU明细'!$AE$9:$AE$1592,0)))=1,COUNT(INDEX('SKU明细'!$G$9:$G$1592,MATCH("[13120,""1S01-NP-39""]",'SKU明细'!$AE$9:$AE$1592,0)))=1,SUM(INDEX('SKU明细'!$G$9:$G$1592,MATCH("[13120,""1S01-NP-39""]",'SKU明细'!$AE$9:$AE$1592,0)))&gt;0),SUM(INDEX('SKU明细'!$H$9:$H$1592,MATCH("[13120,""1S01-NP-39""]",'SKU明细'!$AE$9:$AE$1592,0)))/SUM(INDEX('SKU明细'!$G$9:$G$1592,MATCH("[13120,""1S01-NP-39""]",'SKU明细'!$AE$9:$AE$1592,0))),"待核")</x:f>
        <x:v>待核</x:v>
      </x:c>
      <x:c r="M174" s="16" t="str">
        <x:f>IF(AND(COUNT(INDEX('SKU明细'!$H$9:$H$1592,MATCH("[13120,""1S01-NP-39.5""]",'SKU明细'!$AE$9:$AE$1592,0)))=1,COUNT(INDEX('SKU明细'!$G$9:$G$1592,MATCH("[13120,""1S01-NP-39.5""]",'SKU明细'!$AE$9:$AE$1592,0)))=1,SUM(INDEX('SKU明细'!$G$9:$G$1592,MATCH("[13120,""1S01-NP-39.5""]",'SKU明细'!$AE$9:$AE$1592,0)))&gt;0),SUM(INDEX('SKU明细'!$H$9:$H$1592,MATCH("[13120,""1S01-NP-39.5""]",'SKU明细'!$AE$9:$AE$1592,0)))/SUM(INDEX('SKU明细'!$G$9:$G$1592,MATCH("[13120,""1S01-NP-39.5""]",'SKU明细'!$AE$9:$AE$1592,0))),"待核")</x:f>
        <x:v>待核</x:v>
      </x:c>
      <x:c r="N174" s="16" t="str">
        <x:f>IF(AND(COUNT(INDEX('SKU明细'!$H$9:$H$1592,MATCH("[13120,""1S01-NP-40""]",'SKU明细'!$AE$9:$AE$1592,0)))=1,COUNT(INDEX('SKU明细'!$G$9:$G$1592,MATCH("[13120,""1S01-NP-40""]",'SKU明细'!$AE$9:$AE$1592,0)))=1,SUM(INDEX('SKU明细'!$G$9:$G$1592,MATCH("[13120,""1S01-NP-40""]",'SKU明细'!$AE$9:$AE$1592,0)))&gt;0),SUM(INDEX('SKU明细'!$H$9:$H$1592,MATCH("[13120,""1S01-NP-40""]",'SKU明细'!$AE$9:$AE$1592,0)))/SUM(INDEX('SKU明细'!$G$9:$G$1592,MATCH("[13120,""1S01-NP-40""]",'SKU明细'!$AE$9:$AE$1592,0))),"待核")</x:f>
        <x:v>待核</x:v>
      </x:c>
      <x:c r="O174" s="16" t="str">
        <x:f>IF(AND(COUNT(INDEX('SKU明细'!$H$9:$H$1592,MATCH("[13120,""1S01-NP-40.5""]",'SKU明细'!$AE$9:$AE$1592,0)))=1,COUNT(INDEX('SKU明细'!$G$9:$G$1592,MATCH("[13120,""1S01-NP-40.5""]",'SKU明细'!$AE$9:$AE$1592,0)))=1,SUM(INDEX('SKU明细'!$G$9:$G$1592,MATCH("[13120,""1S01-NP-40.5""]",'SKU明细'!$AE$9:$AE$1592,0)))&gt;0),SUM(INDEX('SKU明细'!$H$9:$H$1592,MATCH("[13120,""1S01-NP-40.5""]",'SKU明细'!$AE$9:$AE$1592,0)))/SUM(INDEX('SKU明细'!$G$9:$G$1592,MATCH("[13120,""1S01-NP-40.5""]",'SKU明细'!$AE$9:$AE$1592,0))),"待核")</x:f>
        <x:v>待核</x:v>
      </x:c>
      <x:c r="P174" s="16" t="str">
        <x:f>IF(AND(COUNT(INDEX('SKU明细'!$H$9:$H$1592,MATCH("[13120,""1S01-NP-41""]",'SKU明细'!$AE$9:$AE$1592,0)))=1,COUNT(INDEX('SKU明细'!$G$9:$G$1592,MATCH("[13120,""1S01-NP-41""]",'SKU明细'!$AE$9:$AE$1592,0)))=1,SUM(INDEX('SKU明细'!$G$9:$G$1592,MATCH("[13120,""1S01-NP-41""]",'SKU明细'!$AE$9:$AE$1592,0)))&gt;0),SUM(INDEX('SKU明细'!$H$9:$H$1592,MATCH("[13120,""1S01-NP-41""]",'SKU明细'!$AE$9:$AE$1592,0)))/SUM(INDEX('SKU明细'!$G$9:$G$1592,MATCH("[13120,""1S01-NP-41""]",'SKU明细'!$AE$9:$AE$1592,0))),"待核")</x:f>
        <x:v>待核</x:v>
      </x:c>
      <x:c r="Q174" s="16" t="str">
        <x:f>IF(AND(COUNT(INDEX('SKU明细'!$H$9:$H$1592,MATCH("[13120,""1S01-NP-41.5""]",'SKU明细'!$AE$9:$AE$1592,0)))=1,COUNT(INDEX('SKU明细'!$G$9:$G$1592,MATCH("[13120,""1S01-NP-41.5""]",'SKU明细'!$AE$9:$AE$1592,0)))=1,SUM(INDEX('SKU明细'!$G$9:$G$1592,MATCH("[13120,""1S01-NP-41.5""]",'SKU明细'!$AE$9:$AE$1592,0)))&gt;0),SUM(INDEX('SKU明细'!$H$9:$H$1592,MATCH("[13120,""1S01-NP-41.5""]",'SKU明细'!$AE$9:$AE$1592,0)))/SUM(INDEX('SKU明细'!$G$9:$G$1592,MATCH("[13120,""1S01-NP-41.5""]",'SKU明细'!$AE$9:$AE$1592,0))),"待核")</x:f>
        <x:v>待核</x:v>
      </x:c>
      <x:c r="R174" s="16" t="str">
        <x:f>IF(AND(COUNT(INDEX('SKU明细'!$H$9:$H$1592,MATCH("[13120,""1S01-NP-42""]",'SKU明细'!$AE$9:$AE$1592,0)))=1,COUNT(INDEX('SKU明细'!$G$9:$G$1592,MATCH("[13120,""1S01-NP-42""]",'SKU明细'!$AE$9:$AE$1592,0)))=1,SUM(INDEX('SKU明细'!$G$9:$G$1592,MATCH("[13120,""1S01-NP-42""]",'SKU明细'!$AE$9:$AE$1592,0)))&gt;0),SUM(INDEX('SKU明细'!$H$9:$H$1592,MATCH("[13120,""1S01-NP-42""]",'SKU明细'!$AE$9:$AE$1592,0)))/SUM(INDEX('SKU明细'!$G$9:$G$1592,MATCH("[13120,""1S01-NP-42""]",'SKU明细'!$AE$9:$AE$1592,0))),"待核")</x:f>
        <x:v>待核</x:v>
      </x:c>
      <x:c r="S174" s="16" t="str">
        <x:f>"—"</x:f>
        <x:v>—</x:v>
      </x:c>
      <x:c r="T174" s="16" t="str">
        <x:f>"—"</x:f>
        <x:v>—</x:v>
      </x:c>
      <x:c r="U174" s="16" t="str">
        <x:f>IF(COUNT(S174:T174)=2,S174-T174,"待核")</x:f>
        <x:v>待核</x:v>
      </x:c>
      <x:c r="V174" s="17" t="str">
        <x:f>IF(AND(ISNUMBER(U174),ISNUMBER(T174),T174&lt;&gt;0),U174/T174,"")</x:f>
      </x:c>
      <x:c r="W174" s="18" t="str">
        <x:f>IF(COUNT(INDEX('SKU明细'!$H$9:$H$1592,MATCH("[13120,""1S01-NP-37""]",'SKU明细'!$AE$9:$AE$1592,0)),INDEX('SKU明细'!$H$9:$H$1592,MATCH("[13120,""1S01-NP-37.5""]",'SKU明细'!$AE$9:$AE$1592,0)),INDEX('SKU明细'!$H$9:$H$1592,MATCH("[13120,""1S01-NP-38""]",'SKU明细'!$AE$9:$AE$1592,0)),INDEX('SKU明细'!$H$9:$H$1592,MATCH("[13120,""1S01-NP-38.5""]",'SKU明细'!$AE$9:$AE$1592,0)),INDEX('SKU明细'!$H$9:$H$1592,MATCH("[13120,""1S01-NP-39""]",'SKU明细'!$AE$9:$AE$1592,0)),INDEX('SKU明细'!$H$9:$H$1592,MATCH("[13120,""1S01-NP-39.5""]",'SKU明细'!$AE$9:$AE$1592,0)),INDEX('SKU明细'!$H$9:$H$1592,MATCH("[13120,""1S01-NP-40""]",'SKU明细'!$AE$9:$AE$1592,0)),INDEX('SKU明细'!$H$9:$H$1592,MATCH("[13120,""1S01-NP-40.5""]",'SKU明细'!$AE$9:$AE$1592,0)),INDEX('SKU明细'!$H$9:$H$1592,MATCH("[13120,""1S01-NP-41""]",'SKU明细'!$AE$9:$AE$1592,0)),INDEX('SKU明细'!$H$9:$H$1592,MATCH("[13120,""1S01-NP-41.5""]",'SKU明细'!$AE$9:$AE$1592,0)),INDEX('SKU明细'!$H$9:$H$1592,MATCH("[13120,""1S01-NP-42""]",'SKU明细'!$AE$9:$AE$1592,0)))=0,"待核",SUM(INDEX('SKU明细'!$H$9:$H$1592,MATCH("[13120,""1S01-NP-37""]",'SKU明细'!$AE$9:$AE$1592,0)),INDEX('SKU明细'!$H$9:$H$1592,MATCH("[13120,""1S01-NP-37.5""]",'SKU明细'!$AE$9:$AE$1592,0)),INDEX('SKU明细'!$H$9:$H$1592,MATCH("[13120,""1S01-NP-38""]",'SKU明细'!$AE$9:$AE$1592,0)),INDEX('SKU明细'!$H$9:$H$1592,MATCH("[13120,""1S01-NP-38.5""]",'SKU明细'!$AE$9:$AE$1592,0)),INDEX('SKU明细'!$H$9:$H$1592,MATCH("[13120,""1S01-NP-39""]",'SKU明细'!$AE$9:$AE$1592,0)),INDEX('SKU明细'!$H$9:$H$1592,MATCH("[13120,""1S01-NP-39.5""]",'SKU明细'!$AE$9:$AE$1592,0)),INDEX('SKU明细'!$H$9:$H$1592,MATCH("[13120,""1S01-NP-40""]",'SKU明细'!$AE$9:$AE$1592,0)),INDEX('SKU明细'!$H$9:$H$1592,MATCH("[13120,""1S01-NP-40.5""]",'SKU明细'!$AE$9:$AE$1592,0)),INDEX('SKU明细'!$H$9:$H$1592,MATCH("[13120,""1S01-NP-41""]",'SKU明细'!$AE$9:$AE$1592,0)),INDEX('SKU明细'!$H$9:$H$1592,MATCH("[13120,""1S01-NP-41.5""]",'SKU明细'!$AE$9:$AE$1592,0)),INDEX('SKU明细'!$H$9:$H$1592,MATCH("[13120,""1S01-NP-42""]",'SKU明细'!$AE$9:$AE$1592,0))))</x:f>
        <x:v>待核</x:v>
      </x:c>
      <x:c r="X174" s="19" t="str">
        <x:f>IF(COUNTIFS('SKU明细'!$AH$9:$AH$1592,"[""1S01"",""1S01-NP"",""NP"",""裸粉色""]",'SKU明细'!$E$9:$E$1592,"促销")&gt;0,"促销 ","")&amp;IF(COUNTIFS('SKU明细'!$AH$9:$AH$1592,"[""1S01"",""1S01-NP"",""NP"",""裸粉色""]",'SKU明细'!$E$9:$E$1592,"红线促销")&gt;0,"红线促销 ","")&amp;IF(COUNTIFS('SKU明细'!$AH$9:$AH$1592,"[""1S01"",""1S01-NP"",""NP"",""裸粉色""]",'SKU明细'!$E$9:$E$1592,"考虑清仓")&gt;0,"考虑清仓 ","")&amp;IF(COUNTIFS('SKU明细'!$AH$9:$AH$1592,"[""1S01"",""1S01-NP"",""NP"",""裸粉色""]",'SKU明细'!$E$9:$E$1592,"断货")&gt;0,"断货 ","")&amp;IF(COUNTIFS('SKU明细'!$AH$9:$AH$1592,"[""1S01"",""1S01-NP"",""NP"",""裸粉色""]",'SKU明细'!$E$9:$E$1592,"零日销待复核")&gt;0,"零日销待复核 ","")&amp;IF(COUNTIFS('SKU明细'!$AH$9:$AH$1592,"[""1S01"",""1S01-NP"",""NP"",""裸粉色""]",'SKU明细'!$E$9:$E$1592,"数据待核")&gt;0,"数据待核 ","")&amp;IF(COUNTIFS('SKU明细'!$AH$9:$AH$1592,"[""1S01"",""1S01-NP"",""NP"",""裸粉色""]",'SKU明细'!$E$9:$E$1592,"正常库存")&gt;0,"正常库存 ","")&amp;IF(COUNTIFS('SKU明细'!$AH$9:$AH$1592,"[""1S01"",""1S01-NP"",""NP"",""裸粉色""]",'SKU明细'!$E$9:$E$1592,"补货提醒")&gt;0,"补货提醒 ","")</x:f>
        <x:v>数据待核 </x:v>
      </x:c>
      <x:c r="Y174" s="19" t="str">
        <x:f>IF(NOT(ISNUMBER(U174)),"覆盖待核／无可比基准","仅共同SKU")</x:f>
        <x:v>覆盖待核／无可比基准</x:v>
      </x:c>
      <x:c r="Z174" s="19" t="str">
        <x:v>停售</x:v>
      </x:c>
      <x:c r="AA174" s="19" t="n">
        <x:f>IF(SUMIFS('SKU明细'!$AF$9:$AF$1592,'SKU明细'!$D$9:$D$1592,A174,'SKU明细'!$Z$9:$Z$1592,"&lt;&gt;移出")=0,"待核",SUMIFS('SKU明细'!$H$9:$H$1592,'SKU明细'!$D$9:$D$1592,A174,'SKU明细'!$Z$9:$Z$1592,"&lt;&gt;移出"))</x:f>
        <x:v>476</x:v>
      </x:c>
    </x:row>
    <x:row r="175" ht="54" customHeight="1">
      <x:c r="A175" s="15" t="str">
        <x:v>1S01</x:v>
      </x:c>
      <x:c r="B175" s="15" t="str">
        <x:v>徐新怡</x:v>
      </x:c>
      <x:c r="C175" s="15" t="str">
        <x:v>粉色</x:v>
      </x:c>
      <x:c r="D175" s="15" t="str">
        <x:v>PK</x:v>
      </x:c>
      <x:c r="E175" s="15" t="str">
        <x:v>1S01-PK</x:v>
      </x:c>
      <x:c r="F175" s="15"/>
      <x:c r="G175" s="16" t="str">
        <x:f>"—"</x:f>
        <x:v>—</x:v>
      </x:c>
      <x:c r="H175" s="16" t="str">
        <x:f>IF(AND(COUNT(INDEX('SKU明细'!$H$9:$H$1592,MATCH("[13120,""1S01-PK-6""]",'SKU明细'!$AE$9:$AE$1592,0)))=1,COUNT(INDEX('SKU明细'!$G$9:$G$1592,MATCH("[13120,""1S01-PK-6""]",'SKU明细'!$AE$9:$AE$1592,0)))=1,SUM(INDEX('SKU明细'!$G$9:$G$1592,MATCH("[13120,""1S01-PK-6""]",'SKU明细'!$AE$9:$AE$1592,0)))&gt;0),SUM(INDEX('SKU明细'!$H$9:$H$1592,MATCH("[13120,""1S01-PK-6""]",'SKU明细'!$AE$9:$AE$1592,0)))/SUM(INDEX('SKU明细'!$G$9:$G$1592,MATCH("[13120,""1S01-PK-6""]",'SKU明细'!$AE$9:$AE$1592,0))),"待核")</x:f>
        <x:v>待核</x:v>
      </x:c>
      <x:c r="I175" s="16" t="str">
        <x:f>"—"</x:f>
        <x:v>—</x:v>
      </x:c>
      <x:c r="J175" s="16" t="str">
        <x:f>IF(AND(COUNT(INDEX('SKU明细'!$H$9:$H$1592,MATCH("[13120,""1S01-PK-7""]",'SKU明细'!$AE$9:$AE$1592,0)))=1,COUNT(INDEX('SKU明细'!$G$9:$G$1592,MATCH("[13120,""1S01-PK-7""]",'SKU明细'!$AE$9:$AE$1592,0)))=1,SUM(INDEX('SKU明细'!$G$9:$G$1592,MATCH("[13120,""1S01-PK-7""]",'SKU明细'!$AE$9:$AE$1592,0)))&gt;0),SUM(INDEX('SKU明细'!$H$9:$H$1592,MATCH("[13120,""1S01-PK-7""]",'SKU明细'!$AE$9:$AE$1592,0)))/SUM(INDEX('SKU明细'!$G$9:$G$1592,MATCH("[13120,""1S01-PK-7""]",'SKU明细'!$AE$9:$AE$1592,0))),"待核")</x:f>
        <x:v>待核</x:v>
      </x:c>
      <x:c r="K175" s="16" t="str">
        <x:f>"—"</x:f>
        <x:v>—</x:v>
      </x:c>
      <x:c r="L175" s="16" t="str">
        <x:f>IF(AND(COUNT(INDEX('SKU明细'!$H$9:$H$1592,MATCH("[13120,""1S01-PK-8""]",'SKU明细'!$AE$9:$AE$1592,0)))=1,COUNT(INDEX('SKU明细'!$G$9:$G$1592,MATCH("[13120,""1S01-PK-8""]",'SKU明细'!$AE$9:$AE$1592,0)))=1,SUM(INDEX('SKU明细'!$G$9:$G$1592,MATCH("[13120,""1S01-PK-8""]",'SKU明细'!$AE$9:$AE$1592,0)))&gt;0),SUM(INDEX('SKU明细'!$H$9:$H$1592,MATCH("[13120,""1S01-PK-8""]",'SKU明细'!$AE$9:$AE$1592,0)))/SUM(INDEX('SKU明细'!$G$9:$G$1592,MATCH("[13120,""1S01-PK-8""]",'SKU明细'!$AE$9:$AE$1592,0))),"待核")</x:f>
        <x:v>待核</x:v>
      </x:c>
      <x:c r="M175" s="16" t="str">
        <x:f>"—"</x:f>
        <x:v>—</x:v>
      </x:c>
      <x:c r="N175" s="16" t="str">
        <x:f>IF(AND(COUNT(INDEX('SKU明细'!$H$9:$H$1592,MATCH("[13120,""1S01-PK-9""]",'SKU明细'!$AE$9:$AE$1592,0)))=1,COUNT(INDEX('SKU明细'!$G$9:$G$1592,MATCH("[13120,""1S01-PK-9""]",'SKU明细'!$AE$9:$AE$1592,0)))=1,SUM(INDEX('SKU明细'!$G$9:$G$1592,MATCH("[13120,""1S01-PK-9""]",'SKU明细'!$AE$9:$AE$1592,0)))&gt;0),SUM(INDEX('SKU明细'!$H$9:$H$1592,MATCH("[13120,""1S01-PK-9""]",'SKU明细'!$AE$9:$AE$1592,0)))/SUM(INDEX('SKU明细'!$G$9:$G$1592,MATCH("[13120,""1S01-PK-9""]",'SKU明细'!$AE$9:$AE$1592,0))),"待核")</x:f>
        <x:v>待核</x:v>
      </x:c>
      <x:c r="O175" s="16" t="str">
        <x:f>"—"</x:f>
        <x:v>—</x:v>
      </x:c>
      <x:c r="P175" s="16" t="str">
        <x:f>IF(AND(COUNT(INDEX('SKU明细'!$H$9:$H$1592,MATCH("[13120,""1S01-PK-10""]",'SKU明细'!$AE$9:$AE$1592,0)))=1,COUNT(INDEX('SKU明细'!$G$9:$G$1592,MATCH("[13120,""1S01-PK-10""]",'SKU明细'!$AE$9:$AE$1592,0)))=1,SUM(INDEX('SKU明细'!$G$9:$G$1592,MATCH("[13120,""1S01-PK-10""]",'SKU明细'!$AE$9:$AE$1592,0)))&gt;0),SUM(INDEX('SKU明细'!$H$9:$H$1592,MATCH("[13120,""1S01-PK-10""]",'SKU明细'!$AE$9:$AE$1592,0)))/SUM(INDEX('SKU明细'!$G$9:$G$1592,MATCH("[13120,""1S01-PK-10""]",'SKU明细'!$AE$9:$AE$1592,0))),"待核")</x:f>
        <x:v>待核</x:v>
      </x:c>
      <x:c r="Q175" s="16" t="str">
        <x:f>"—"</x:f>
        <x:v>—</x:v>
      </x:c>
      <x:c r="R175" s="16" t="str">
        <x:f>IF(AND(COUNT(INDEX('SKU明细'!$H$9:$H$1592,MATCH("[13120,""1S01-PK-11""]",'SKU明细'!$AE$9:$AE$1592,0)))=1,COUNT(INDEX('SKU明细'!$G$9:$G$1592,MATCH("[13120,""1S01-PK-11""]",'SKU明细'!$AE$9:$AE$1592,0)))=1,SUM(INDEX('SKU明细'!$G$9:$G$1592,MATCH("[13120,""1S01-PK-11""]",'SKU明细'!$AE$9:$AE$1592,0)))&gt;0),SUM(INDEX('SKU明细'!$H$9:$H$1592,MATCH("[13120,""1S01-PK-11""]",'SKU明细'!$AE$9:$AE$1592,0)))/SUM(INDEX('SKU明细'!$G$9:$G$1592,MATCH("[13120,""1S01-PK-11""]",'SKU明细'!$AE$9:$AE$1592,0))),"待核")</x:f>
        <x:v>待核</x:v>
      </x:c>
      <x:c r="S175" s="16" t="str">
        <x:f>"—"</x:f>
        <x:v>—</x:v>
      </x:c>
      <x:c r="T175" s="16" t="str">
        <x:f>"—"</x:f>
        <x:v>—</x:v>
      </x:c>
      <x:c r="U175" s="16" t="str">
        <x:f>IF(COUNT(S175:T175)=2,S175-T175,"待核")</x:f>
        <x:v>待核</x:v>
      </x:c>
      <x:c r="V175" s="17" t="str">
        <x:f>IF(AND(ISNUMBER(U175),ISNUMBER(T175),T175&lt;&gt;0),U175/T175,"")</x:f>
      </x:c>
      <x:c r="W175" s="18" t="str">
        <x:f>IF(COUNT(INDEX('SKU明细'!$H$9:$H$1592,MATCH("[13120,""1S01-PK-10""]",'SKU明细'!$AE$9:$AE$1592,0)),INDEX('SKU明细'!$H$9:$H$1592,MATCH("[13120,""1S01-PK-11""]",'SKU明细'!$AE$9:$AE$1592,0)),INDEX('SKU明细'!$H$9:$H$1592,MATCH("[13120,""1S01-PK-6""]",'SKU明细'!$AE$9:$AE$1592,0)),INDEX('SKU明细'!$H$9:$H$1592,MATCH("[13120,""1S01-PK-7""]",'SKU明细'!$AE$9:$AE$1592,0)),INDEX('SKU明细'!$H$9:$H$1592,MATCH("[13120,""1S01-PK-8""]",'SKU明细'!$AE$9:$AE$1592,0)),INDEX('SKU明细'!$H$9:$H$1592,MATCH("[13120,""1S01-PK-9""]",'SKU明细'!$AE$9:$AE$1592,0)))=0,"待核",SUM(INDEX('SKU明细'!$H$9:$H$1592,MATCH("[13120,""1S01-PK-10""]",'SKU明细'!$AE$9:$AE$1592,0)),INDEX('SKU明细'!$H$9:$H$1592,MATCH("[13120,""1S01-PK-11""]",'SKU明细'!$AE$9:$AE$1592,0)),INDEX('SKU明细'!$H$9:$H$1592,MATCH("[13120,""1S01-PK-6""]",'SKU明细'!$AE$9:$AE$1592,0)),INDEX('SKU明细'!$H$9:$H$1592,MATCH("[13120,""1S01-PK-7""]",'SKU明细'!$AE$9:$AE$1592,0)),INDEX('SKU明细'!$H$9:$H$1592,MATCH("[13120,""1S01-PK-8""]",'SKU明细'!$AE$9:$AE$1592,0)),INDEX('SKU明细'!$H$9:$H$1592,MATCH("[13120,""1S01-PK-9""]",'SKU明细'!$AE$9:$AE$1592,0))))</x:f>
        <x:v>待核</x:v>
      </x:c>
      <x:c r="X175" s="19" t="str">
        <x:f>IF(COUNTIFS('SKU明细'!$AH$9:$AH$1592,"[""1S01"",""1S01-PK"",""PK"",""粉色""]",'SKU明细'!$E$9:$E$1592,"促销")&gt;0,"促销 ","")&amp;IF(COUNTIFS('SKU明细'!$AH$9:$AH$1592,"[""1S01"",""1S01-PK"",""PK"",""粉色""]",'SKU明细'!$E$9:$E$1592,"红线促销")&gt;0,"红线促销 ","")&amp;IF(COUNTIFS('SKU明细'!$AH$9:$AH$1592,"[""1S01"",""1S01-PK"",""PK"",""粉色""]",'SKU明细'!$E$9:$E$1592,"考虑清仓")&gt;0,"考虑清仓 ","")&amp;IF(COUNTIFS('SKU明细'!$AH$9:$AH$1592,"[""1S01"",""1S01-PK"",""PK"",""粉色""]",'SKU明细'!$E$9:$E$1592,"断货")&gt;0,"断货 ","")&amp;IF(COUNTIFS('SKU明细'!$AH$9:$AH$1592,"[""1S01"",""1S01-PK"",""PK"",""粉色""]",'SKU明细'!$E$9:$E$1592,"零日销待复核")&gt;0,"零日销待复核 ","")&amp;IF(COUNTIFS('SKU明细'!$AH$9:$AH$1592,"[""1S01"",""1S01-PK"",""PK"",""粉色""]",'SKU明细'!$E$9:$E$1592,"数据待核")&gt;0,"数据待核 ","")&amp;IF(COUNTIFS('SKU明细'!$AH$9:$AH$1592,"[""1S01"",""1S01-PK"",""PK"",""粉色""]",'SKU明细'!$E$9:$E$1592,"正常库存")&gt;0,"正常库存 ","")&amp;IF(COUNTIFS('SKU明细'!$AH$9:$AH$1592,"[""1S01"",""1S01-PK"",""PK"",""粉色""]",'SKU明细'!$E$9:$E$1592,"补货提醒")&gt;0,"补货提醒 ","")</x:f>
        <x:v>数据待核 </x:v>
      </x:c>
      <x:c r="Y175" s="19" t="str">
        <x:f>IF(NOT(ISNUMBER(U175)),"覆盖待核／无可比基准","仅共同SKU")</x:f>
        <x:v>覆盖待核／无可比基准</x:v>
      </x:c>
      <x:c r="Z175" s="19" t="str">
        <x:v>停售</x:v>
      </x:c>
      <x:c r="AA175" s="19" t="n">
        <x:f>IF(SUMIFS('SKU明细'!$AF$9:$AF$1592,'SKU明细'!$D$9:$D$1592,A175,'SKU明细'!$Z$9:$Z$1592,"&lt;&gt;移出")=0,"待核",SUMIFS('SKU明细'!$H$9:$H$1592,'SKU明细'!$D$9:$D$1592,A175,'SKU明细'!$Z$9:$Z$1592,"&lt;&gt;移出"))</x:f>
        <x:v>476</x:v>
      </x:c>
    </x:row>
    <x:row r="176" ht="54" customHeight="1">
      <x:c r="A176" s="15" t="str">
        <x:v>1S01</x:v>
      </x:c>
      <x:c r="B176" s="15" t="str">
        <x:v>徐新怡</x:v>
      </x:c>
      <x:c r="C176" s="15" t="str">
        <x:v>黑色蛇纹</x:v>
      </x:c>
      <x:c r="D176" s="15" t="str">
        <x:v>SB</x:v>
      </x:c>
      <x:c r="E176" s="15" t="str">
        <x:v>1S01-SB</x:v>
      </x:c>
      <x:c r="F176" s="15"/>
      <x:c r="G176" s="16" t="str">
        <x:f>IF(AND(COUNT(INDEX('SKU明细'!$H$9:$H$1592,MATCH("[6574,""1S01-SB-36""]",'SKU明细'!$AE$9:$AE$1592,0)))=1,COUNT(INDEX('SKU明细'!$G$9:$G$1592,MATCH("[6574,""1S01-SB-36""]",'SKU明细'!$AE$9:$AE$1592,0)))=1,SUM(INDEX('SKU明细'!$G$9:$G$1592,MATCH("[6574,""1S01-SB-36""]",'SKU明细'!$AE$9:$AE$1592,0)))&gt;0),SUM(INDEX('SKU明细'!$H$9:$H$1592,MATCH("[6574,""1S01-SB-36""]",'SKU明细'!$AE$9:$AE$1592,0)))/SUM(INDEX('SKU明细'!$G$9:$G$1592,MATCH("[6574,""1S01-SB-36""]",'SKU明细'!$AE$9:$AE$1592,0))),"待核")</x:f>
        <x:v>待核</x:v>
      </x:c>
      <x:c r="H176" s="16" t="str">
        <x:f>IF(AND(COUNT(INDEX('SKU明细'!$H$9:$H$1592,MATCH("[6574,""1S01-SB-37""]",'SKU明细'!$AE$9:$AE$1592,0)))=1,COUNT(INDEX('SKU明细'!$G$9:$G$1592,MATCH("[6574,""1S01-SB-37""]",'SKU明细'!$AE$9:$AE$1592,0)))=1,SUM(INDEX('SKU明细'!$G$9:$G$1592,MATCH("[6574,""1S01-SB-37""]",'SKU明细'!$AE$9:$AE$1592,0)))&gt;0),SUM(INDEX('SKU明细'!$H$9:$H$1592,MATCH("[6574,""1S01-SB-37""]",'SKU明细'!$AE$9:$AE$1592,0)))/SUM(INDEX('SKU明细'!$G$9:$G$1592,MATCH("[6574,""1S01-SB-37""]",'SKU明细'!$AE$9:$AE$1592,0))),"待核")</x:f>
        <x:v>待核</x:v>
      </x:c>
      <x:c r="I176" s="16" t="str">
        <x:f>IF(AND(COUNT(INDEX('SKU明细'!$H$9:$H$1592,MATCH("[6574,""1S01-SB-37.5""]",'SKU明细'!$AE$9:$AE$1592,0)))=1,COUNT(INDEX('SKU明细'!$G$9:$G$1592,MATCH("[6574,""1S01-SB-37.5""]",'SKU明细'!$AE$9:$AE$1592,0)))=1,SUM(INDEX('SKU明细'!$G$9:$G$1592,MATCH("[6574,""1S01-SB-37.5""]",'SKU明细'!$AE$9:$AE$1592,0)))&gt;0),SUM(INDEX('SKU明细'!$H$9:$H$1592,MATCH("[6574,""1S01-SB-37.5""]",'SKU明细'!$AE$9:$AE$1592,0)))/SUM(INDEX('SKU明细'!$G$9:$G$1592,MATCH("[6574,""1S01-SB-37.5""]",'SKU明细'!$AE$9:$AE$1592,0))),"待核")</x:f>
        <x:v>待核</x:v>
      </x:c>
      <x:c r="J176" s="16" t="str">
        <x:f>IF(AND(COUNT(INDEX('SKU明细'!$H$9:$H$1592,MATCH("[6574,""1S01-SB-38""]",'SKU明细'!$AE$9:$AE$1592,0)))=1,COUNT(INDEX('SKU明细'!$G$9:$G$1592,MATCH("[6574,""1S01-SB-38""]",'SKU明细'!$AE$9:$AE$1592,0)))=1,SUM(INDEX('SKU明细'!$G$9:$G$1592,MATCH("[6574,""1S01-SB-38""]",'SKU明细'!$AE$9:$AE$1592,0)))&gt;0),SUM(INDEX('SKU明细'!$H$9:$H$1592,MATCH("[6574,""1S01-SB-38""]",'SKU明细'!$AE$9:$AE$1592,0)))/SUM(INDEX('SKU明细'!$G$9:$G$1592,MATCH("[6574,""1S01-SB-38""]",'SKU明细'!$AE$9:$AE$1592,0))),"待核")</x:f>
        <x:v>待核</x:v>
      </x:c>
      <x:c r="K176" s="16" t="str">
        <x:f>IF(AND(COUNT(INDEX('SKU明细'!$H$9:$H$1592,MATCH("[6574,""1S01-SB-38.5""]",'SKU明细'!$AE$9:$AE$1592,0)))=1,COUNT(INDEX('SKU明细'!$G$9:$G$1592,MATCH("[6574,""1S01-SB-38.5""]",'SKU明细'!$AE$9:$AE$1592,0)))=1,SUM(INDEX('SKU明细'!$G$9:$G$1592,MATCH("[6574,""1S01-SB-38.5""]",'SKU明细'!$AE$9:$AE$1592,0)))&gt;0),SUM(INDEX('SKU明细'!$H$9:$H$1592,MATCH("[6574,""1S01-SB-38.5""]",'SKU明细'!$AE$9:$AE$1592,0)))/SUM(INDEX('SKU明细'!$G$9:$G$1592,MATCH("[6574,""1S01-SB-38.5""]",'SKU明细'!$AE$9:$AE$1592,0))),"待核")</x:f>
        <x:v>待核</x:v>
      </x:c>
      <x:c r="L176" s="16" t="str">
        <x:f>IF(AND(COUNT(INDEX('SKU明细'!$H$9:$H$1592,MATCH("[6574,""1S01-SB-39""]",'SKU明细'!$AE$9:$AE$1592,0)))=1,COUNT(INDEX('SKU明细'!$G$9:$G$1592,MATCH("[6574,""1S01-SB-39""]",'SKU明细'!$AE$9:$AE$1592,0)))=1,SUM(INDEX('SKU明细'!$G$9:$G$1592,MATCH("[6574,""1S01-SB-39""]",'SKU明细'!$AE$9:$AE$1592,0)))&gt;0),SUM(INDEX('SKU明细'!$H$9:$H$1592,MATCH("[6574,""1S01-SB-39""]",'SKU明细'!$AE$9:$AE$1592,0)))/SUM(INDEX('SKU明细'!$G$9:$G$1592,MATCH("[6574,""1S01-SB-39""]",'SKU明细'!$AE$9:$AE$1592,0))),"待核")</x:f>
        <x:v>待核</x:v>
      </x:c>
      <x:c r="M176" s="16" t="str">
        <x:f>IF(AND(COUNT(INDEX('SKU明细'!$H$9:$H$1592,MATCH("[6574,""1S01-SB-39.5""]",'SKU明细'!$AE$9:$AE$1592,0)))=1,COUNT(INDEX('SKU明细'!$G$9:$G$1592,MATCH("[6574,""1S01-SB-39.5""]",'SKU明细'!$AE$9:$AE$1592,0)))=1,SUM(INDEX('SKU明细'!$G$9:$G$1592,MATCH("[6574,""1S01-SB-39.5""]",'SKU明细'!$AE$9:$AE$1592,0)))&gt;0),SUM(INDEX('SKU明细'!$H$9:$H$1592,MATCH("[6574,""1S01-SB-39.5""]",'SKU明细'!$AE$9:$AE$1592,0)))/SUM(INDEX('SKU明细'!$G$9:$G$1592,MATCH("[6574,""1S01-SB-39.5""]",'SKU明细'!$AE$9:$AE$1592,0))),"待核")</x:f>
        <x:v>待核</x:v>
      </x:c>
      <x:c r="N176" s="16" t="n">
        <x:f>IF(AND(COUNT(INDEX('SKU明细'!$H$9:$H$1592,MATCH("[6574,""1S01-SB-40""]",'SKU明细'!$AE$9:$AE$1592,0)))=1,COUNT(INDEX('SKU明细'!$G$9:$G$1592,MATCH("[6574,""1S01-SB-40""]",'SKU明细'!$AE$9:$AE$1592,0)))=1,SUM(INDEX('SKU明细'!$G$9:$G$1592,MATCH("[6574,""1S01-SB-40""]",'SKU明细'!$AE$9:$AE$1592,0)))&gt;0),SUM(INDEX('SKU明细'!$H$9:$H$1592,MATCH("[6574,""1S01-SB-40""]",'SKU明细'!$AE$9:$AE$1592,0)))/SUM(INDEX('SKU明细'!$G$9:$G$1592,MATCH("[6574,""1S01-SB-40""]",'SKU明细'!$AE$9:$AE$1592,0))),"待核")</x:f>
        <x:v>2.2826086956521743</x:v>
      </x:c>
      <x:c r="O176" s="16" t="str">
        <x:f>IF(AND(COUNT(INDEX('SKU明细'!$H$9:$H$1592,MATCH("[6574,""1S01-SB-40.5""]",'SKU明细'!$AE$9:$AE$1592,0)))=1,COUNT(INDEX('SKU明细'!$G$9:$G$1592,MATCH("[6574,""1S01-SB-40.5""]",'SKU明细'!$AE$9:$AE$1592,0)))=1,SUM(INDEX('SKU明细'!$G$9:$G$1592,MATCH("[6574,""1S01-SB-40.5""]",'SKU明细'!$AE$9:$AE$1592,0)))&gt;0),SUM(INDEX('SKU明细'!$H$9:$H$1592,MATCH("[6574,""1S01-SB-40.5""]",'SKU明细'!$AE$9:$AE$1592,0)))/SUM(INDEX('SKU明细'!$G$9:$G$1592,MATCH("[6574,""1S01-SB-40.5""]",'SKU明细'!$AE$9:$AE$1592,0))),"待核")</x:f>
        <x:v>待核</x:v>
      </x:c>
      <x:c r="P176" s="16" t="str">
        <x:f>IF(AND(COUNT(INDEX('SKU明细'!$H$9:$H$1592,MATCH("[6574,""1S01-SB-41""]",'SKU明细'!$AE$9:$AE$1592,0)))=1,COUNT(INDEX('SKU明细'!$G$9:$G$1592,MATCH("[6574,""1S01-SB-41""]",'SKU明细'!$AE$9:$AE$1592,0)))=1,SUM(INDEX('SKU明细'!$G$9:$G$1592,MATCH("[6574,""1S01-SB-41""]",'SKU明细'!$AE$9:$AE$1592,0)))&gt;0),SUM(INDEX('SKU明细'!$H$9:$H$1592,MATCH("[6574,""1S01-SB-41""]",'SKU明细'!$AE$9:$AE$1592,0)))/SUM(INDEX('SKU明细'!$G$9:$G$1592,MATCH("[6574,""1S01-SB-41""]",'SKU明细'!$AE$9:$AE$1592,0))),"待核")</x:f>
        <x:v>待核</x:v>
      </x:c>
      <x:c r="Q176" s="16" t="str">
        <x:f>IF(AND(COUNT(INDEX('SKU明细'!$H$9:$H$1592,MATCH("[6574,""1S01-SB-41.5""]",'SKU明细'!$AE$9:$AE$1592,0)))=1,COUNT(INDEX('SKU明细'!$G$9:$G$1592,MATCH("[6574,""1S01-SB-41.5""]",'SKU明细'!$AE$9:$AE$1592,0)))=1,SUM(INDEX('SKU明细'!$G$9:$G$1592,MATCH("[6574,""1S01-SB-41.5""]",'SKU明细'!$AE$9:$AE$1592,0)))&gt;0),SUM(INDEX('SKU明细'!$H$9:$H$1592,MATCH("[6574,""1S01-SB-41.5""]",'SKU明细'!$AE$9:$AE$1592,0)))/SUM(INDEX('SKU明细'!$G$9:$G$1592,MATCH("[6574,""1S01-SB-41.5""]",'SKU明细'!$AE$9:$AE$1592,0))),"待核")</x:f>
        <x:v>待核</x:v>
      </x:c>
      <x:c r="R176" s="16" t="n">
        <x:f>IF(AND(COUNT(INDEX('SKU明细'!$H$9:$H$1592,MATCH("[6574,""1S01-SB-42-NEW""]",'SKU明细'!$AE$9:$AE$1592,0)))=1,COUNT(INDEX('SKU明细'!$G$9:$G$1592,MATCH("[6574,""1S01-SB-42-NEW""]",'SKU明细'!$AE$9:$AE$1592,0)))=1,SUM(INDEX('SKU明细'!$G$9:$G$1592,MATCH("[6574,""1S01-SB-42-NEW""]",'SKU明细'!$AE$9:$AE$1592,0)))&gt;0),SUM(INDEX('SKU明细'!$H$9:$H$1592,MATCH("[6574,""1S01-SB-42-NEW""]",'SKU明细'!$AE$9:$AE$1592,0)))/SUM(INDEX('SKU明细'!$G$9:$G$1592,MATCH("[6574,""1S01-SB-42-NEW""]",'SKU明细'!$AE$9:$AE$1592,0))),"待核")</x:f>
        <x:v>19.626168224299064</x:v>
      </x:c>
      <x:c r="S176" s="16" t="n">
        <x:f>IF(AND(COUNT(INDEX('SKU明细'!$H$9:$H$1592,MATCH("[6574,""1S01-SB-37""]",'SKU明细'!$AE$9:$AE$1592,0)),INDEX('SKU明细'!$H$9:$H$1592,MATCH("[6574,""1S01-SB-37.5""]",'SKU明细'!$AE$9:$AE$1592,0)),INDEX('SKU明细'!$H$9:$H$1592,MATCH("[6574,""1S01-SB-38""]",'SKU明细'!$AE$9:$AE$1592,0)),INDEX('SKU明细'!$H$9:$H$1592,MATCH("[6574,""1S01-SB-39""]",'SKU明细'!$AE$9:$AE$1592,0)),INDEX('SKU明细'!$H$9:$H$1592,MATCH("[6574,""1S01-SB-41""]",'SKU明细'!$AE$9:$AE$1592,0)),INDEX('SKU明细'!$H$9:$H$1592,MATCH("[6574,""1S01-SB-40""]",'SKU明细'!$AE$9:$AE$1592,0)),INDEX('SKU明细'!$H$9:$H$1592,MATCH("[6574,""1S01-SB-42-NEW""]",'SKU明细'!$AE$9:$AE$1592,0)))=7,COUNT(INDEX('SKU明细'!$G$9:$G$1592,MATCH("[6574,""1S01-SB-37""]",'SKU明细'!$AE$9:$AE$1592,0)),INDEX('SKU明细'!$G$9:$G$1592,MATCH("[6574,""1S01-SB-37.5""]",'SKU明细'!$AE$9:$AE$1592,0)),INDEX('SKU明细'!$G$9:$G$1592,MATCH("[6574,""1S01-SB-38""]",'SKU明细'!$AE$9:$AE$1592,0)),INDEX('SKU明细'!$G$9:$G$1592,MATCH("[6574,""1S01-SB-39""]",'SKU明细'!$AE$9:$AE$1592,0)),INDEX('SKU明细'!$G$9:$G$1592,MATCH("[6574,""1S01-SB-41""]",'SKU明细'!$AE$9:$AE$1592,0)),INDEX('SKU明细'!$G$9:$G$1592,MATCH("[6574,""1S01-SB-40""]",'SKU明细'!$AE$9:$AE$1592,0)),INDEX('SKU明细'!$G$9:$G$1592,MATCH("[6574,""1S01-SB-42-NEW""]",'SKU明细'!$AE$9:$AE$1592,0)))=7,SUM(INDEX('SKU明细'!$G$9:$G$1592,MATCH("[6574,""1S01-SB-37""]",'SKU明细'!$AE$9:$AE$1592,0)),INDEX('SKU明细'!$G$9:$G$1592,MATCH("[6574,""1S01-SB-37.5""]",'SKU明细'!$AE$9:$AE$1592,0)),INDEX('SKU明细'!$G$9:$G$1592,MATCH("[6574,""1S01-SB-38""]",'SKU明细'!$AE$9:$AE$1592,0)),INDEX('SKU明细'!$G$9:$G$1592,MATCH("[6574,""1S01-SB-39""]",'SKU明细'!$AE$9:$AE$1592,0)),INDEX('SKU明细'!$G$9:$G$1592,MATCH("[6574,""1S01-SB-41""]",'SKU明细'!$AE$9:$AE$1592,0)),INDEX('SKU明细'!$G$9:$G$1592,MATCH("[6574,""1S01-SB-40""]",'SKU明细'!$AE$9:$AE$1592,0)),INDEX('SKU明细'!$G$9:$G$1592,MATCH("[6574,""1S01-SB-42-NEW""]",'SKU明细'!$AE$9:$AE$1592,0)))&gt;0),SUM(INDEX('SKU明细'!$H$9:$H$1592,MATCH("[6574,""1S01-SB-37""]",'SKU明细'!$AE$9:$AE$1592,0)),INDEX('SKU明细'!$H$9:$H$1592,MATCH("[6574,""1S01-SB-37.5""]",'SKU明细'!$AE$9:$AE$1592,0)),INDEX('SKU明细'!$H$9:$H$1592,MATCH("[6574,""1S01-SB-38""]",'SKU明细'!$AE$9:$AE$1592,0)),INDEX('SKU明细'!$H$9:$H$1592,MATCH("[6574,""1S01-SB-39""]",'SKU明细'!$AE$9:$AE$1592,0)),INDEX('SKU明细'!$H$9:$H$1592,MATCH("[6574,""1S01-SB-41""]",'SKU明细'!$AE$9:$AE$1592,0)),INDEX('SKU明细'!$H$9:$H$1592,MATCH("[6574,""1S01-SB-40""]",'SKU明细'!$AE$9:$AE$1592,0)),INDEX('SKU明细'!$H$9:$H$1592,MATCH("[6574,""1S01-SB-42-NEW""]",'SKU明细'!$AE$9:$AE$1592,0)))/SUM(INDEX('SKU明细'!$G$9:$G$1592,MATCH("[6574,""1S01-SB-37""]",'SKU明细'!$AE$9:$AE$1592,0)),INDEX('SKU明细'!$G$9:$G$1592,MATCH("[6574,""1S01-SB-37.5""]",'SKU明细'!$AE$9:$AE$1592,0)),INDEX('SKU明细'!$G$9:$G$1592,MATCH("[6574,""1S01-SB-38""]",'SKU明细'!$AE$9:$AE$1592,0)),INDEX('SKU明细'!$G$9:$G$1592,MATCH("[6574,""1S01-SB-39""]",'SKU明细'!$AE$9:$AE$1592,0)),INDEX('SKU明细'!$G$9:$G$1592,MATCH("[6574,""1S01-SB-41""]",'SKU明细'!$AE$9:$AE$1592,0)),INDEX('SKU明细'!$G$9:$G$1592,MATCH("[6574,""1S01-SB-40""]",'SKU明细'!$AE$9:$AE$1592,0)),INDEX('SKU明细'!$G$9:$G$1592,MATCH("[6574,""1S01-SB-42-NEW""]",'SKU明细'!$AE$9:$AE$1592,0))),"待核")</x:f>
        <x:v>7.7893175074183985</x:v>
      </x:c>
      <x:c r="T176" s="16" t="str">
        <x:f>IF(AND(COUNT(INDEX('SKU明细'!$I$9:$I$1592,MATCH("[6574,""1S01-SB-37""]",'SKU明细'!$AE$9:$AE$1592,0)),INDEX('SKU明细'!$I$9:$I$1592,MATCH("[6574,""1S01-SB-37.5""]",'SKU明细'!$AE$9:$AE$1592,0)),INDEX('SKU明细'!$I$9:$I$1592,MATCH("[6574,""1S01-SB-38""]",'SKU明细'!$AE$9:$AE$1592,0)),INDEX('SKU明细'!$I$9:$I$1592,MATCH("[6574,""1S01-SB-39""]",'SKU明细'!$AE$9:$AE$1592,0)),INDEX('SKU明细'!$I$9:$I$1592,MATCH("[6574,""1S01-SB-41""]",'SKU明细'!$AE$9:$AE$1592,0)),INDEX('SKU明细'!$I$9:$I$1592,MATCH("[6574,""1S01-SB-40""]",'SKU明细'!$AE$9:$AE$1592,0)),INDEX('SKU明细'!$I$9:$I$1592,MATCH("[6574,""1S01-SB-42-NEW""]",'SKU明细'!$AE$9:$AE$1592,0)))=7,COUNT(INDEX('SKU明细'!$AD$9:$AD$1592,MATCH("[6574,""1S01-SB-37""]",'SKU明细'!$AE$9:$AE$1592,0)),INDEX('SKU明细'!$AD$9:$AD$1592,MATCH("[6574,""1S01-SB-37.5""]",'SKU明细'!$AE$9:$AE$1592,0)),INDEX('SKU明细'!$AD$9:$AD$1592,MATCH("[6574,""1S01-SB-38""]",'SKU明细'!$AE$9:$AE$1592,0)),INDEX('SKU明细'!$AD$9:$AD$1592,MATCH("[6574,""1S01-SB-39""]",'SKU明细'!$AE$9:$AE$1592,0)),INDEX('SKU明细'!$AD$9:$AD$1592,MATCH("[6574,""1S01-SB-41""]",'SKU明细'!$AE$9:$AE$1592,0)),INDEX('SKU明细'!$AD$9:$AD$1592,MATCH("[6574,""1S01-SB-40""]",'SKU明细'!$AE$9:$AE$1592,0)),INDEX('SKU明细'!$AD$9:$AD$1592,MATCH("[6574,""1S01-SB-42-NEW""]",'SKU明细'!$AE$9:$AE$1592,0)))=7,SUM(INDEX('SKU明细'!$AD$9:$AD$1592,MATCH("[6574,""1S01-SB-37""]",'SKU明细'!$AE$9:$AE$1592,0)),INDEX('SKU明细'!$AD$9:$AD$1592,MATCH("[6574,""1S01-SB-37.5""]",'SKU明细'!$AE$9:$AE$1592,0)),INDEX('SKU明细'!$AD$9:$AD$1592,MATCH("[6574,""1S01-SB-38""]",'SKU明细'!$AE$9:$AE$1592,0)),INDEX('SKU明细'!$AD$9:$AD$1592,MATCH("[6574,""1S01-SB-39""]",'SKU明细'!$AE$9:$AE$1592,0)),INDEX('SKU明细'!$AD$9:$AD$1592,MATCH("[6574,""1S01-SB-41""]",'SKU明细'!$AE$9:$AE$1592,0)),INDEX('SKU明细'!$AD$9:$AD$1592,MATCH("[6574,""1S01-SB-40""]",'SKU明细'!$AE$9:$AE$1592,0)),INDEX('SKU明细'!$AD$9:$AD$1592,MATCH("[6574,""1S01-SB-42-NEW""]",'SKU明细'!$AE$9:$AE$1592,0)))&gt;0),SUM(INDEX('SKU明细'!$I$9:$I$1592,MATCH("[6574,""1S01-SB-37""]",'SKU明细'!$AE$9:$AE$1592,0)),INDEX('SKU明细'!$I$9:$I$1592,MATCH("[6574,""1S01-SB-37.5""]",'SKU明细'!$AE$9:$AE$1592,0)),INDEX('SKU明细'!$I$9:$I$1592,MATCH("[6574,""1S01-SB-38""]",'SKU明细'!$AE$9:$AE$1592,0)),INDEX('SKU明细'!$I$9:$I$1592,MATCH("[6574,""1S01-SB-39""]",'SKU明细'!$AE$9:$AE$1592,0)),INDEX('SKU明细'!$I$9:$I$1592,MATCH("[6574,""1S01-SB-41""]",'SKU明细'!$AE$9:$AE$1592,0)),INDEX('SKU明细'!$I$9:$I$1592,MATCH("[6574,""1S01-SB-40""]",'SKU明细'!$AE$9:$AE$1592,0)),INDEX('SKU明细'!$I$9:$I$1592,MATCH("[6574,""1S01-SB-42-NEW""]",'SKU明细'!$AE$9:$AE$1592,0)))/SUM(INDEX('SKU明细'!$AD$9:$AD$1592,MATCH("[6574,""1S01-SB-37""]",'SKU明细'!$AE$9:$AE$1592,0)),INDEX('SKU明细'!$AD$9:$AD$1592,MATCH("[6574,""1S01-SB-37.5""]",'SKU明细'!$AE$9:$AE$1592,0)),INDEX('SKU明细'!$AD$9:$AD$1592,MATCH("[6574,""1S01-SB-38""]",'SKU明细'!$AE$9:$AE$1592,0)),INDEX('SKU明细'!$AD$9:$AD$1592,MATCH("[6574,""1S01-SB-39""]",'SKU明细'!$AE$9:$AE$1592,0)),INDEX('SKU明细'!$AD$9:$AD$1592,MATCH("[6574,""1S01-SB-41""]",'SKU明细'!$AE$9:$AE$1592,0)),INDEX('SKU明细'!$AD$9:$AD$1592,MATCH("[6574,""1S01-SB-40""]",'SKU明细'!$AE$9:$AE$1592,0)),INDEX('SKU明细'!$AD$9:$AD$1592,MATCH("[6574,""1S01-SB-42-NEW""]",'SKU明细'!$AE$9:$AE$1592,0))),"待核")</x:f>
        <x:v>待核</x:v>
      </x:c>
      <x:c r="U176" s="16" t="str">
        <x:f>IF(COUNT(S176:T176)=2,S176-T176,"待核")</x:f>
        <x:v>待核</x:v>
      </x:c>
      <x:c r="V176" s="17" t="str">
        <x:f>IF(AND(ISNUMBER(U176),ISNUMBER(T176),T176&lt;&gt;0),U176/T176,"")</x:f>
      </x:c>
      <x:c r="W176" s="18" t="n">
        <x:f>IF(COUNT(INDEX('SKU明细'!$H$9:$H$1592,MATCH("[6574,""1S01-SB-36""]",'SKU明细'!$AE$9:$AE$1592,0)),INDEX('SKU明细'!$H$9:$H$1592,MATCH("[6574,""1S01-SB-37""]",'SKU明细'!$AE$9:$AE$1592,0)),INDEX('SKU明细'!$H$9:$H$1592,MATCH("[6574,""1S01-SB-37.5""]",'SKU明细'!$AE$9:$AE$1592,0)),INDEX('SKU明细'!$H$9:$H$1592,MATCH("[6574,""1S01-SB-38""]",'SKU明细'!$AE$9:$AE$1592,0)),INDEX('SKU明细'!$H$9:$H$1592,MATCH("[6574,""1S01-SB-38.5""]",'SKU明细'!$AE$9:$AE$1592,0)),INDEX('SKU明细'!$H$9:$H$1592,MATCH("[6574,""1S01-SB-39""]",'SKU明细'!$AE$9:$AE$1592,0)),INDEX('SKU明细'!$H$9:$H$1592,MATCH("[6574,""1S01-SB-39.5""]",'SKU明细'!$AE$9:$AE$1592,0)),INDEX('SKU明细'!$H$9:$H$1592,MATCH("[6574,""1S01-SB-40.5""]",'SKU明细'!$AE$9:$AE$1592,0)),INDEX('SKU明细'!$H$9:$H$1592,MATCH("[6574,""1S01-SB-41""]",'SKU明细'!$AE$9:$AE$1592,0)),INDEX('SKU明细'!$H$9:$H$1592,MATCH("[6574,""1S01-SB-41.5""]",'SKU明细'!$AE$9:$AE$1592,0)),INDEX('SKU明细'!$H$9:$H$1592,MATCH("[6574,""1S01-SB-40""]",'SKU明细'!$AE$9:$AE$1592,0)),INDEX('SKU明细'!$H$9:$H$1592,MATCH("[6574,""1S01-SB-42-NEW""]",'SKU明细'!$AE$9:$AE$1592,0)))=0,"待核",SUM(INDEX('SKU明细'!$H$9:$H$1592,MATCH("[6574,""1S01-SB-36""]",'SKU明细'!$AE$9:$AE$1592,0)),INDEX('SKU明细'!$H$9:$H$1592,MATCH("[6574,""1S01-SB-37""]",'SKU明细'!$AE$9:$AE$1592,0)),INDEX('SKU明细'!$H$9:$H$1592,MATCH("[6574,""1S01-SB-37.5""]",'SKU明细'!$AE$9:$AE$1592,0)),INDEX('SKU明细'!$H$9:$H$1592,MATCH("[6574,""1S01-SB-38""]",'SKU明细'!$AE$9:$AE$1592,0)),INDEX('SKU明细'!$H$9:$H$1592,MATCH("[6574,""1S01-SB-38.5""]",'SKU明细'!$AE$9:$AE$1592,0)),INDEX('SKU明细'!$H$9:$H$1592,MATCH("[6574,""1S01-SB-39""]",'SKU明细'!$AE$9:$AE$1592,0)),INDEX('SKU明细'!$H$9:$H$1592,MATCH("[6574,""1S01-SB-39.5""]",'SKU明细'!$AE$9:$AE$1592,0)),INDEX('SKU明细'!$H$9:$H$1592,MATCH("[6574,""1S01-SB-40.5""]",'SKU明细'!$AE$9:$AE$1592,0)),INDEX('SKU明细'!$H$9:$H$1592,MATCH("[6574,""1S01-SB-41""]",'SKU明细'!$AE$9:$AE$1592,0)),INDEX('SKU明细'!$H$9:$H$1592,MATCH("[6574,""1S01-SB-41.5""]",'SKU明细'!$AE$9:$AE$1592,0)),INDEX('SKU明细'!$H$9:$H$1592,MATCH("[6574,""1S01-SB-40""]",'SKU明细'!$AE$9:$AE$1592,0)),INDEX('SKU明细'!$H$9:$H$1592,MATCH("[6574,""1S01-SB-42-NEW""]",'SKU明细'!$AE$9:$AE$1592,0))))</x:f>
        <x:v>5</x:v>
      </x:c>
      <x:c r="X176" s="19" t="str">
        <x:f>IF(COUNTIFS('SKU明细'!$AH$9:$AH$1592,"[""1S01"",""1S01-SB"",""SB"",""黑色蛇纹""]",'SKU明细'!$E$9:$E$1592,"促销")&gt;0,"促销 ","")&amp;IF(COUNTIFS('SKU明细'!$AH$9:$AH$1592,"[""1S01"",""1S01-SB"",""SB"",""黑色蛇纹""]",'SKU明细'!$E$9:$E$1592,"红线促销")&gt;0,"红线促销 ","")&amp;IF(COUNTIFS('SKU明细'!$AH$9:$AH$1592,"[""1S01"",""1S01-SB"",""SB"",""黑色蛇纹""]",'SKU明细'!$E$9:$E$1592,"考虑清仓")&gt;0,"考虑清仓 ","")&amp;IF(COUNTIFS('SKU明细'!$AH$9:$AH$1592,"[""1S01"",""1S01-SB"",""SB"",""黑色蛇纹""]",'SKU明细'!$E$9:$E$1592,"断货")&gt;0,"断货 ","")&amp;IF(COUNTIFS('SKU明细'!$AH$9:$AH$1592,"[""1S01"",""1S01-SB"",""SB"",""黑色蛇纹""]",'SKU明细'!$E$9:$E$1592,"零日销待复核")&gt;0,"零日销待复核 ","")&amp;IF(COUNTIFS('SKU明细'!$AH$9:$AH$1592,"[""1S01"",""1S01-SB"",""SB"",""黑色蛇纹""]",'SKU明细'!$E$9:$E$1592,"数据待核")&gt;0,"数据待核 ","")&amp;IF(COUNTIFS('SKU明细'!$AH$9:$AH$1592,"[""1S01"",""1S01-SB"",""SB"",""黑色蛇纹""]",'SKU明细'!$E$9:$E$1592,"正常库存")&gt;0,"正常库存 ","")&amp;IF(COUNTIFS('SKU明细'!$AH$9:$AH$1592,"[""1S01"",""1S01-SB"",""SB"",""黑色蛇纹""]",'SKU明细'!$E$9:$E$1592,"补货提醒")&gt;0,"补货提醒 ","")</x:f>
        <x:v>断货 补货提醒 </x:v>
      </x:c>
      <x:c r="Y176" s="19" t="str">
        <x:f>IF(NOT(ISNUMBER(U176)),"覆盖待核／无可比基准","仅共同SKU")</x:f>
        <x:v>覆盖待核／无可比基准</x:v>
      </x:c>
      <x:c r="Z176" s="19" t="str">
        <x:v>停售、在售</x:v>
      </x:c>
      <x:c r="AA176" s="19" t="n">
        <x:f>IF(SUMIFS('SKU明细'!$AF$9:$AF$1592,'SKU明细'!$D$9:$D$1592,A176,'SKU明细'!$Z$9:$Z$1592,"&lt;&gt;移出")=0,"待核",SUMIFS('SKU明细'!$H$9:$H$1592,'SKU明细'!$D$9:$D$1592,A176,'SKU明细'!$Z$9:$Z$1592,"&lt;&gt;移出"))</x:f>
        <x:v>476</x:v>
      </x:c>
    </x:row>
    <x:row r="177" ht="54" customHeight="1">
      <x:c r="A177" s="15" t="str">
        <x:v>1S01</x:v>
      </x:c>
      <x:c r="B177" s="15" t="str">
        <x:v>徐新怡</x:v>
      </x:c>
      <x:c r="C177" s="15" t="str">
        <x:v>黑白蛇纹</x:v>
      </x:c>
      <x:c r="D177" s="15" t="str">
        <x:v>SP</x:v>
      </x:c>
      <x:c r="E177" s="15" t="str">
        <x:v>1S01-SP</x:v>
      </x:c>
      <x:c r="F177" s="15"/>
      <x:c r="G177" s="16" t="str">
        <x:f>IF(AND(COUNT(INDEX('SKU明细'!$H$9:$H$1592,MATCH("[6574,""1S01-SP-36""]",'SKU明细'!$AE$9:$AE$1592,0)))=1,COUNT(INDEX('SKU明细'!$G$9:$G$1592,MATCH("[6574,""1S01-SP-36""]",'SKU明细'!$AE$9:$AE$1592,0)))=1,SUM(INDEX('SKU明细'!$G$9:$G$1592,MATCH("[6574,""1S01-SP-36""]",'SKU明细'!$AE$9:$AE$1592,0)))&gt;0),SUM(INDEX('SKU明细'!$H$9:$H$1592,MATCH("[6574,""1S01-SP-36""]",'SKU明细'!$AE$9:$AE$1592,0)))/SUM(INDEX('SKU明细'!$G$9:$G$1592,MATCH("[6574,""1S01-SP-36""]",'SKU明细'!$AE$9:$AE$1592,0))),"待核")</x:f>
        <x:v>待核</x:v>
      </x:c>
      <x:c r="H177" s="16" t="str">
        <x:f>IF(AND(COUNT(INDEX('SKU明细'!$H$9:$H$1592,MATCH("[6574,""1S01-SP-37""]",'SKU明细'!$AE$9:$AE$1592,0)))=1,COUNT(INDEX('SKU明细'!$G$9:$G$1592,MATCH("[6574,""1S01-SP-37""]",'SKU明细'!$AE$9:$AE$1592,0)))=1,SUM(INDEX('SKU明细'!$G$9:$G$1592,MATCH("[6574,""1S01-SP-37""]",'SKU明细'!$AE$9:$AE$1592,0)))&gt;0),SUM(INDEX('SKU明细'!$H$9:$H$1592,MATCH("[6574,""1S01-SP-37""]",'SKU明细'!$AE$9:$AE$1592,0)))/SUM(INDEX('SKU明细'!$G$9:$G$1592,MATCH("[6574,""1S01-SP-37""]",'SKU明细'!$AE$9:$AE$1592,0))),"待核")</x:f>
        <x:v>待核</x:v>
      </x:c>
      <x:c r="I177" s="16" t="str">
        <x:f>IF(AND(COUNT(INDEX('SKU明细'!$H$9:$H$1592,MATCH("[6574,""1S01-SP-37.5""]",'SKU明细'!$AE$9:$AE$1592,0)))=1,COUNT(INDEX('SKU明细'!$G$9:$G$1592,MATCH("[6574,""1S01-SP-37.5""]",'SKU明细'!$AE$9:$AE$1592,0)))=1,SUM(INDEX('SKU明细'!$G$9:$G$1592,MATCH("[6574,""1S01-SP-37.5""]",'SKU明细'!$AE$9:$AE$1592,0)))&gt;0),SUM(INDEX('SKU明细'!$H$9:$H$1592,MATCH("[6574,""1S01-SP-37.5""]",'SKU明细'!$AE$9:$AE$1592,0)))/SUM(INDEX('SKU明细'!$G$9:$G$1592,MATCH("[6574,""1S01-SP-37.5""]",'SKU明细'!$AE$9:$AE$1592,0))),"待核")</x:f>
        <x:v>待核</x:v>
      </x:c>
      <x:c r="J177" s="16" t="str">
        <x:f>IF(AND(COUNT(INDEX('SKU明细'!$H$9:$H$1592,MATCH("[6574,""1S01-SP-38""]",'SKU明细'!$AE$9:$AE$1592,0)))=1,COUNT(INDEX('SKU明细'!$G$9:$G$1592,MATCH("[6574,""1S01-SP-38""]",'SKU明细'!$AE$9:$AE$1592,0)))=1,SUM(INDEX('SKU明细'!$G$9:$G$1592,MATCH("[6574,""1S01-SP-38""]",'SKU明细'!$AE$9:$AE$1592,0)))&gt;0),SUM(INDEX('SKU明细'!$H$9:$H$1592,MATCH("[6574,""1S01-SP-38""]",'SKU明细'!$AE$9:$AE$1592,0)))/SUM(INDEX('SKU明细'!$G$9:$G$1592,MATCH("[6574,""1S01-SP-38""]",'SKU明细'!$AE$9:$AE$1592,0))),"待核")</x:f>
        <x:v>待核</x:v>
      </x:c>
      <x:c r="K177" s="16" t="str">
        <x:f>IF(AND(COUNT(INDEX('SKU明细'!$H$9:$H$1592,MATCH("[6574,""1S01-SP-38.5""]",'SKU明细'!$AE$9:$AE$1592,0)))=1,COUNT(INDEX('SKU明细'!$G$9:$G$1592,MATCH("[6574,""1S01-SP-38.5""]",'SKU明细'!$AE$9:$AE$1592,0)))=1,SUM(INDEX('SKU明细'!$G$9:$G$1592,MATCH("[6574,""1S01-SP-38.5""]",'SKU明细'!$AE$9:$AE$1592,0)))&gt;0),SUM(INDEX('SKU明细'!$H$9:$H$1592,MATCH("[6574,""1S01-SP-38.5""]",'SKU明细'!$AE$9:$AE$1592,0)))/SUM(INDEX('SKU明细'!$G$9:$G$1592,MATCH("[6574,""1S01-SP-38.5""]",'SKU明细'!$AE$9:$AE$1592,0))),"待核")</x:f>
        <x:v>待核</x:v>
      </x:c>
      <x:c r="L177" s="16" t="n">
        <x:f>IF(AND(COUNT(INDEX('SKU明细'!$H$9:$H$1592,MATCH("[6574,""1S01-SP-39""]",'SKU明细'!$AE$9:$AE$1592,0)))=1,COUNT(INDEX('SKU明细'!$G$9:$G$1592,MATCH("[6574,""1S01-SP-39""]",'SKU明细'!$AE$9:$AE$1592,0)))=1,SUM(INDEX('SKU明细'!$G$9:$G$1592,MATCH("[6574,""1S01-SP-39""]",'SKU明细'!$AE$9:$AE$1592,0)))&gt;0),SUM(INDEX('SKU明细'!$H$9:$H$1592,MATCH("[6574,""1S01-SP-39""]",'SKU明细'!$AE$9:$AE$1592,0)))/SUM(INDEX('SKU明细'!$G$9:$G$1592,MATCH("[6574,""1S01-SP-39""]",'SKU明细'!$AE$9:$AE$1592,0))),"待核")</x:f>
        <x:v>67.74193548387098</x:v>
      </x:c>
      <x:c r="M177" s="16" t="n">
        <x:f>IF(AND(COUNT(INDEX('SKU明细'!$H$9:$H$1592,MATCH("[6574,""1S01-SP-39.5""]",'SKU明细'!$AE$9:$AE$1592,0)))=1,COUNT(INDEX('SKU明细'!$G$9:$G$1592,MATCH("[6574,""1S01-SP-39.5""]",'SKU明细'!$AE$9:$AE$1592,0)))=1,SUM(INDEX('SKU明细'!$G$9:$G$1592,MATCH("[6574,""1S01-SP-39.5""]",'SKU明细'!$AE$9:$AE$1592,0)))&gt;0),SUM(INDEX('SKU明细'!$H$9:$H$1592,MATCH("[6574,""1S01-SP-39.5""]",'SKU明细'!$AE$9:$AE$1592,0)))/SUM(INDEX('SKU明细'!$G$9:$G$1592,MATCH("[6574,""1S01-SP-39.5""]",'SKU明细'!$AE$9:$AE$1592,0))),"待核")</x:f>
        <x:v>0</x:v>
      </x:c>
      <x:c r="N177" s="16" t="str">
        <x:f>IF(AND(COUNT(INDEX('SKU明细'!$H$9:$H$1592,MATCH("[6574,""1S01-SP-40""]",'SKU明细'!$AE$9:$AE$1592,0)))=1,COUNT(INDEX('SKU明细'!$G$9:$G$1592,MATCH("[6574,""1S01-SP-40""]",'SKU明细'!$AE$9:$AE$1592,0)))=1,SUM(INDEX('SKU明细'!$G$9:$G$1592,MATCH("[6574,""1S01-SP-40""]",'SKU明细'!$AE$9:$AE$1592,0)))&gt;0),SUM(INDEX('SKU明细'!$H$9:$H$1592,MATCH("[6574,""1S01-SP-40""]",'SKU明细'!$AE$9:$AE$1592,0)))/SUM(INDEX('SKU明细'!$G$9:$G$1592,MATCH("[6574,""1S01-SP-40""]",'SKU明细'!$AE$9:$AE$1592,0))),"待核")</x:f>
        <x:v>待核</x:v>
      </x:c>
      <x:c r="O177" s="16" t="str">
        <x:f>IF(AND(COUNT(INDEX('SKU明细'!$H$9:$H$1592,MATCH("[6574,""1S01-SP-40.5""]",'SKU明细'!$AE$9:$AE$1592,0)))=1,COUNT(INDEX('SKU明细'!$G$9:$G$1592,MATCH("[6574,""1S01-SP-40.5""]",'SKU明细'!$AE$9:$AE$1592,0)))=1,SUM(INDEX('SKU明细'!$G$9:$G$1592,MATCH("[6574,""1S01-SP-40.5""]",'SKU明细'!$AE$9:$AE$1592,0)))&gt;0),SUM(INDEX('SKU明细'!$H$9:$H$1592,MATCH("[6574,""1S01-SP-40.5""]",'SKU明细'!$AE$9:$AE$1592,0)))/SUM(INDEX('SKU明细'!$G$9:$G$1592,MATCH("[6574,""1S01-SP-40.5""]",'SKU明细'!$AE$9:$AE$1592,0))),"待核")</x:f>
        <x:v>待核</x:v>
      </x:c>
      <x:c r="P177" s="16" t="str">
        <x:f>IF(AND(COUNT(INDEX('SKU明细'!$H$9:$H$1592,MATCH("[6574,""1S01-SP-41""]",'SKU明细'!$AE$9:$AE$1592,0)))=1,COUNT(INDEX('SKU明细'!$G$9:$G$1592,MATCH("[6574,""1S01-SP-41""]",'SKU明细'!$AE$9:$AE$1592,0)))=1,SUM(INDEX('SKU明细'!$G$9:$G$1592,MATCH("[6574,""1S01-SP-41""]",'SKU明细'!$AE$9:$AE$1592,0)))&gt;0),SUM(INDEX('SKU明细'!$H$9:$H$1592,MATCH("[6574,""1S01-SP-41""]",'SKU明细'!$AE$9:$AE$1592,0)))/SUM(INDEX('SKU明细'!$G$9:$G$1592,MATCH("[6574,""1S01-SP-41""]",'SKU明细'!$AE$9:$AE$1592,0))),"待核")</x:f>
        <x:v>待核</x:v>
      </x:c>
      <x:c r="Q177" s="16" t="str">
        <x:f>IF(AND(COUNT(INDEX('SKU明细'!$H$9:$H$1592,MATCH("[6574,""1S01-SP-41.5""]",'SKU明细'!$AE$9:$AE$1592,0)))=1,COUNT(INDEX('SKU明细'!$G$9:$G$1592,MATCH("[6574,""1S01-SP-41.5""]",'SKU明细'!$AE$9:$AE$1592,0)))=1,SUM(INDEX('SKU明细'!$G$9:$G$1592,MATCH("[6574,""1S01-SP-41.5""]",'SKU明细'!$AE$9:$AE$1592,0)))&gt;0),SUM(INDEX('SKU明细'!$H$9:$H$1592,MATCH("[6574,""1S01-SP-41.5""]",'SKU明细'!$AE$9:$AE$1592,0)))/SUM(INDEX('SKU明细'!$G$9:$G$1592,MATCH("[6574,""1S01-SP-41.5""]",'SKU明细'!$AE$9:$AE$1592,0))),"待核")</x:f>
        <x:v>待核</x:v>
      </x:c>
      <x:c r="R177" s="16" t="n">
        <x:f>IF(AND(COUNT(INDEX('SKU明细'!$H$9:$H$1592,MATCH("[6574,""1S01-SP-42-NEW""]",'SKU明细'!$AE$9:$AE$1592,0)))=1,COUNT(INDEX('SKU明细'!$G$9:$G$1592,MATCH("[6574,""1S01-SP-42-NEW""]",'SKU明细'!$AE$9:$AE$1592,0)))=1,SUM(INDEX('SKU明细'!$G$9:$G$1592,MATCH("[6574,""1S01-SP-42-NEW""]",'SKU明细'!$AE$9:$AE$1592,0)))&gt;0),SUM(INDEX('SKU明细'!$H$9:$H$1592,MATCH("[6574,""1S01-SP-42-NEW""]",'SKU明细'!$AE$9:$AE$1592,0)))/SUM(INDEX('SKU明细'!$G$9:$G$1592,MATCH("[6574,""1S01-SP-42-NEW""]",'SKU明细'!$AE$9:$AE$1592,0))),"待核")</x:f>
        <x:v>0</x:v>
      </x:c>
      <x:c r="S177" s="16" t="n">
        <x:f>IF(AND(COUNT(INDEX('SKU明细'!$H$9:$H$1592,MATCH("[6574,""1S01-SP-37""]",'SKU明细'!$AE$9:$AE$1592,0)),INDEX('SKU明细'!$H$9:$H$1592,MATCH("[6574,""1S01-SP-38""]",'SKU明细'!$AE$9:$AE$1592,0)),INDEX('SKU明细'!$H$9:$H$1592,MATCH("[6574,""1S01-SP-39.5""]",'SKU明细'!$AE$9:$AE$1592,0)),INDEX('SKU明细'!$H$9:$H$1592,MATCH("[6574,""1S01-SP-40""]",'SKU明细'!$AE$9:$AE$1592,0)),INDEX('SKU明细'!$H$9:$H$1592,MATCH("[6574,""1S01-SP-41""]",'SKU明细'!$AE$9:$AE$1592,0)),INDEX('SKU明细'!$H$9:$H$1592,MATCH("[6574,""1S01-SP-42-NEW""]",'SKU明细'!$AE$9:$AE$1592,0)),INDEX('SKU明细'!$H$9:$H$1592,MATCH("[6574,""1S01-SP-39""]",'SKU明细'!$AE$9:$AE$1592,0)))=7,COUNT(INDEX('SKU明细'!$G$9:$G$1592,MATCH("[6574,""1S01-SP-37""]",'SKU明细'!$AE$9:$AE$1592,0)),INDEX('SKU明细'!$G$9:$G$1592,MATCH("[6574,""1S01-SP-38""]",'SKU明细'!$AE$9:$AE$1592,0)),INDEX('SKU明细'!$G$9:$G$1592,MATCH("[6574,""1S01-SP-39.5""]",'SKU明细'!$AE$9:$AE$1592,0)),INDEX('SKU明细'!$G$9:$G$1592,MATCH("[6574,""1S01-SP-40""]",'SKU明细'!$AE$9:$AE$1592,0)),INDEX('SKU明细'!$G$9:$G$1592,MATCH("[6574,""1S01-SP-41""]",'SKU明细'!$AE$9:$AE$1592,0)),INDEX('SKU明细'!$G$9:$G$1592,MATCH("[6574,""1S01-SP-42-NEW""]",'SKU明细'!$AE$9:$AE$1592,0)),INDEX('SKU明细'!$G$9:$G$1592,MATCH("[6574,""1S01-SP-39""]",'SKU明细'!$AE$9:$AE$1592,0)))=7,SUM(INDEX('SKU明细'!$G$9:$G$1592,MATCH("[6574,""1S01-SP-37""]",'SKU明细'!$AE$9:$AE$1592,0)),INDEX('SKU明细'!$G$9:$G$1592,MATCH("[6574,""1S01-SP-38""]",'SKU明细'!$AE$9:$AE$1592,0)),INDEX('SKU明细'!$G$9:$G$1592,MATCH("[6574,""1S01-SP-39.5""]",'SKU明细'!$AE$9:$AE$1592,0)),INDEX('SKU明细'!$G$9:$G$1592,MATCH("[6574,""1S01-SP-40""]",'SKU明细'!$AE$9:$AE$1592,0)),INDEX('SKU明细'!$G$9:$G$1592,MATCH("[6574,""1S01-SP-41""]",'SKU明细'!$AE$9:$AE$1592,0)),INDEX('SKU明细'!$G$9:$G$1592,MATCH("[6574,""1S01-SP-42-NEW""]",'SKU明细'!$AE$9:$AE$1592,0)),INDEX('SKU明细'!$G$9:$G$1592,MATCH("[6574,""1S01-SP-39""]",'SKU明细'!$AE$9:$AE$1592,0)))&gt;0),SUM(INDEX('SKU明细'!$H$9:$H$1592,MATCH("[6574,""1S01-SP-37""]",'SKU明细'!$AE$9:$AE$1592,0)),INDEX('SKU明细'!$H$9:$H$1592,MATCH("[6574,""1S01-SP-38""]",'SKU明细'!$AE$9:$AE$1592,0)),INDEX('SKU明细'!$H$9:$H$1592,MATCH("[6574,""1S01-SP-39.5""]",'SKU明细'!$AE$9:$AE$1592,0)),INDEX('SKU明细'!$H$9:$H$1592,MATCH("[6574,""1S01-SP-40""]",'SKU明细'!$AE$9:$AE$1592,0)),INDEX('SKU明细'!$H$9:$H$1592,MATCH("[6574,""1S01-SP-41""]",'SKU明细'!$AE$9:$AE$1592,0)),INDEX('SKU明细'!$H$9:$H$1592,MATCH("[6574,""1S01-SP-42-NEW""]",'SKU明细'!$AE$9:$AE$1592,0)),INDEX('SKU明细'!$H$9:$H$1592,MATCH("[6574,""1S01-SP-39""]",'SKU明细'!$AE$9:$AE$1592,0)))/SUM(INDEX('SKU明细'!$G$9:$G$1592,MATCH("[6574,""1S01-SP-37""]",'SKU明细'!$AE$9:$AE$1592,0)),INDEX('SKU明细'!$G$9:$G$1592,MATCH("[6574,""1S01-SP-38""]",'SKU明细'!$AE$9:$AE$1592,0)),INDEX('SKU明细'!$G$9:$G$1592,MATCH("[6574,""1S01-SP-39.5""]",'SKU明细'!$AE$9:$AE$1592,0)),INDEX('SKU明细'!$G$9:$G$1592,MATCH("[6574,""1S01-SP-40""]",'SKU明细'!$AE$9:$AE$1592,0)),INDEX('SKU明细'!$G$9:$G$1592,MATCH("[6574,""1S01-SP-41""]",'SKU明细'!$AE$9:$AE$1592,0)),INDEX('SKU明细'!$G$9:$G$1592,MATCH("[6574,""1S01-SP-42-NEW""]",'SKU明细'!$AE$9:$AE$1592,0)),INDEX('SKU明细'!$G$9:$G$1592,MATCH("[6574,""1S01-SP-39""]",'SKU明细'!$AE$9:$AE$1592,0))),"待核")</x:f>
        <x:v>21.023359288097886</x:v>
      </x:c>
      <x:c r="T177" s="16" t="str">
        <x:f>IF(AND(COUNT(INDEX('SKU明细'!$I$9:$I$1592,MATCH("[6574,""1S01-SP-37""]",'SKU明细'!$AE$9:$AE$1592,0)),INDEX('SKU明细'!$I$9:$I$1592,MATCH("[6574,""1S01-SP-38""]",'SKU明细'!$AE$9:$AE$1592,0)),INDEX('SKU明细'!$I$9:$I$1592,MATCH("[6574,""1S01-SP-39.5""]",'SKU明细'!$AE$9:$AE$1592,0)),INDEX('SKU明细'!$I$9:$I$1592,MATCH("[6574,""1S01-SP-40""]",'SKU明细'!$AE$9:$AE$1592,0)),INDEX('SKU明细'!$I$9:$I$1592,MATCH("[6574,""1S01-SP-41""]",'SKU明细'!$AE$9:$AE$1592,0)),INDEX('SKU明细'!$I$9:$I$1592,MATCH("[6574,""1S01-SP-42-NEW""]",'SKU明细'!$AE$9:$AE$1592,0)),INDEX('SKU明细'!$I$9:$I$1592,MATCH("[6574,""1S01-SP-39""]",'SKU明细'!$AE$9:$AE$1592,0)))=7,COUNT(INDEX('SKU明细'!$AD$9:$AD$1592,MATCH("[6574,""1S01-SP-37""]",'SKU明细'!$AE$9:$AE$1592,0)),INDEX('SKU明细'!$AD$9:$AD$1592,MATCH("[6574,""1S01-SP-38""]",'SKU明细'!$AE$9:$AE$1592,0)),INDEX('SKU明细'!$AD$9:$AD$1592,MATCH("[6574,""1S01-SP-39.5""]",'SKU明细'!$AE$9:$AE$1592,0)),INDEX('SKU明细'!$AD$9:$AD$1592,MATCH("[6574,""1S01-SP-40""]",'SKU明细'!$AE$9:$AE$1592,0)),INDEX('SKU明细'!$AD$9:$AD$1592,MATCH("[6574,""1S01-SP-41""]",'SKU明细'!$AE$9:$AE$1592,0)),INDEX('SKU明细'!$AD$9:$AD$1592,MATCH("[6574,""1S01-SP-42-NEW""]",'SKU明细'!$AE$9:$AE$1592,0)),INDEX('SKU明细'!$AD$9:$AD$1592,MATCH("[6574,""1S01-SP-39""]",'SKU明细'!$AE$9:$AE$1592,0)))=7,SUM(INDEX('SKU明细'!$AD$9:$AD$1592,MATCH("[6574,""1S01-SP-37""]",'SKU明细'!$AE$9:$AE$1592,0)),INDEX('SKU明细'!$AD$9:$AD$1592,MATCH("[6574,""1S01-SP-38""]",'SKU明细'!$AE$9:$AE$1592,0)),INDEX('SKU明细'!$AD$9:$AD$1592,MATCH("[6574,""1S01-SP-39.5""]",'SKU明细'!$AE$9:$AE$1592,0)),INDEX('SKU明细'!$AD$9:$AD$1592,MATCH("[6574,""1S01-SP-40""]",'SKU明细'!$AE$9:$AE$1592,0)),INDEX('SKU明细'!$AD$9:$AD$1592,MATCH("[6574,""1S01-SP-41""]",'SKU明细'!$AE$9:$AE$1592,0)),INDEX('SKU明细'!$AD$9:$AD$1592,MATCH("[6574,""1S01-SP-42-NEW""]",'SKU明细'!$AE$9:$AE$1592,0)),INDEX('SKU明细'!$AD$9:$AD$1592,MATCH("[6574,""1S01-SP-39""]",'SKU明细'!$AE$9:$AE$1592,0)))&gt;0),SUM(INDEX('SKU明细'!$I$9:$I$1592,MATCH("[6574,""1S01-SP-37""]",'SKU明细'!$AE$9:$AE$1592,0)),INDEX('SKU明细'!$I$9:$I$1592,MATCH("[6574,""1S01-SP-38""]",'SKU明细'!$AE$9:$AE$1592,0)),INDEX('SKU明细'!$I$9:$I$1592,MATCH("[6574,""1S01-SP-39.5""]",'SKU明细'!$AE$9:$AE$1592,0)),INDEX('SKU明细'!$I$9:$I$1592,MATCH("[6574,""1S01-SP-40""]",'SKU明细'!$AE$9:$AE$1592,0)),INDEX('SKU明细'!$I$9:$I$1592,MATCH("[6574,""1S01-SP-41""]",'SKU明细'!$AE$9:$AE$1592,0)),INDEX('SKU明细'!$I$9:$I$1592,MATCH("[6574,""1S01-SP-42-NEW""]",'SKU明细'!$AE$9:$AE$1592,0)),INDEX('SKU明细'!$I$9:$I$1592,MATCH("[6574,""1S01-SP-39""]",'SKU明细'!$AE$9:$AE$1592,0)))/SUM(INDEX('SKU明细'!$AD$9:$AD$1592,MATCH("[6574,""1S01-SP-37""]",'SKU明细'!$AE$9:$AE$1592,0)),INDEX('SKU明细'!$AD$9:$AD$1592,MATCH("[6574,""1S01-SP-38""]",'SKU明细'!$AE$9:$AE$1592,0)),INDEX('SKU明细'!$AD$9:$AD$1592,MATCH("[6574,""1S01-SP-39.5""]",'SKU明细'!$AE$9:$AE$1592,0)),INDEX('SKU明细'!$AD$9:$AD$1592,MATCH("[6574,""1S01-SP-40""]",'SKU明细'!$AE$9:$AE$1592,0)),INDEX('SKU明细'!$AD$9:$AD$1592,MATCH("[6574,""1S01-SP-41""]",'SKU明细'!$AE$9:$AE$1592,0)),INDEX('SKU明细'!$AD$9:$AD$1592,MATCH("[6574,""1S01-SP-42-NEW""]",'SKU明细'!$AE$9:$AE$1592,0)),INDEX('SKU明细'!$AD$9:$AD$1592,MATCH("[6574,""1S01-SP-39""]",'SKU明细'!$AE$9:$AE$1592,0))),"待核")</x:f>
        <x:v>待核</x:v>
      </x:c>
      <x:c r="U177" s="16" t="str">
        <x:f>IF(COUNT(S177:T177)=2,S177-T177,"待核")</x:f>
        <x:v>待核</x:v>
      </x:c>
      <x:c r="V177" s="17" t="str">
        <x:f>IF(AND(ISNUMBER(U177),ISNUMBER(T177),T177&lt;&gt;0),U177/T177,"")</x:f>
      </x:c>
      <x:c r="W177" s="18" t="n">
        <x:f>IF(COUNT(INDEX('SKU明细'!$H$9:$H$1592,MATCH("[6574,""1S01-SP-36""]",'SKU明细'!$AE$9:$AE$1592,0)),INDEX('SKU明细'!$H$9:$H$1592,MATCH("[6574,""1S01-SP-37""]",'SKU明细'!$AE$9:$AE$1592,0)),INDEX('SKU明细'!$H$9:$H$1592,MATCH("[6574,""1S01-SP-37.5""]",'SKU明细'!$AE$9:$AE$1592,0)),INDEX('SKU明细'!$H$9:$H$1592,MATCH("[6574,""1S01-SP-38""]",'SKU明细'!$AE$9:$AE$1592,0)),INDEX('SKU明细'!$H$9:$H$1592,MATCH("[6574,""1S01-SP-38.5""]",'SKU明细'!$AE$9:$AE$1592,0)),INDEX('SKU明细'!$H$9:$H$1592,MATCH("[6574,""1S01-SP-39.5""]",'SKU明细'!$AE$9:$AE$1592,0)),INDEX('SKU明细'!$H$9:$H$1592,MATCH("[6574,""1S01-SP-40""]",'SKU明细'!$AE$9:$AE$1592,0)),INDEX('SKU明细'!$H$9:$H$1592,MATCH("[6574,""1S01-SP-40.5""]",'SKU明细'!$AE$9:$AE$1592,0)),INDEX('SKU明细'!$H$9:$H$1592,MATCH("[6574,""1S01-SP-41""]",'SKU明细'!$AE$9:$AE$1592,0)),INDEX('SKU明细'!$H$9:$H$1592,MATCH("[6574,""1S01-SP-41.5""]",'SKU明细'!$AE$9:$AE$1592,0)),INDEX('SKU明细'!$H$9:$H$1592,MATCH("[6574,""1S01-SP-42-NEW""]",'SKU明细'!$AE$9:$AE$1592,0)),INDEX('SKU明细'!$H$9:$H$1592,MATCH("[6574,""1S01-SP-39""]",'SKU明细'!$AE$9:$AE$1592,0)))=0,"待核",SUM(INDEX('SKU明细'!$H$9:$H$1592,MATCH("[6574,""1S01-SP-36""]",'SKU明细'!$AE$9:$AE$1592,0)),INDEX('SKU明细'!$H$9:$H$1592,MATCH("[6574,""1S01-SP-37""]",'SKU明细'!$AE$9:$AE$1592,0)),INDEX('SKU明细'!$H$9:$H$1592,MATCH("[6574,""1S01-SP-37.5""]",'SKU明细'!$AE$9:$AE$1592,0)),INDEX('SKU明细'!$H$9:$H$1592,MATCH("[6574,""1S01-SP-38""]",'SKU明细'!$AE$9:$AE$1592,0)),INDEX('SKU明细'!$H$9:$H$1592,MATCH("[6574,""1S01-SP-38.5""]",'SKU明细'!$AE$9:$AE$1592,0)),INDEX('SKU明细'!$H$9:$H$1592,MATCH("[6574,""1S01-SP-39.5""]",'SKU明细'!$AE$9:$AE$1592,0)),INDEX('SKU明细'!$H$9:$H$1592,MATCH("[6574,""1S01-SP-40""]",'SKU明细'!$AE$9:$AE$1592,0)),INDEX('SKU明细'!$H$9:$H$1592,MATCH("[6574,""1S01-SP-40.5""]",'SKU明细'!$AE$9:$AE$1592,0)),INDEX('SKU明细'!$H$9:$H$1592,MATCH("[6574,""1S01-SP-41""]",'SKU明细'!$AE$9:$AE$1592,0)),INDEX('SKU明细'!$H$9:$H$1592,MATCH("[6574,""1S01-SP-41.5""]",'SKU明细'!$AE$9:$AE$1592,0)),INDEX('SKU明细'!$H$9:$H$1592,MATCH("[6574,""1S01-SP-42-NEW""]",'SKU明细'!$AE$9:$AE$1592,0)),INDEX('SKU明细'!$H$9:$H$1592,MATCH("[6574,""1S01-SP-39""]",'SKU明细'!$AE$9:$AE$1592,0))))</x:f>
        <x:v>9</x:v>
      </x:c>
      <x:c r="X177" s="19" t="str">
        <x:f>IF(COUNTIFS('SKU明细'!$AH$9:$AH$1592,"[""1S01"",""1S01-SP"",""SP"",""黑白蛇纹""]",'SKU明细'!$E$9:$E$1592,"促销")&gt;0,"促销 ","")&amp;IF(COUNTIFS('SKU明细'!$AH$9:$AH$1592,"[""1S01"",""1S01-SP"",""SP"",""黑白蛇纹""]",'SKU明细'!$E$9:$E$1592,"红线促销")&gt;0,"红线促销 ","")&amp;IF(COUNTIFS('SKU明细'!$AH$9:$AH$1592,"[""1S01"",""1S01-SP"",""SP"",""黑白蛇纹""]",'SKU明细'!$E$9:$E$1592,"考虑清仓")&gt;0,"考虑清仓 ","")&amp;IF(COUNTIFS('SKU明细'!$AH$9:$AH$1592,"[""1S01"",""1S01-SP"",""SP"",""黑白蛇纹""]",'SKU明细'!$E$9:$E$1592,"断货")&gt;0,"断货 ","")&amp;IF(COUNTIFS('SKU明细'!$AH$9:$AH$1592,"[""1S01"",""1S01-SP"",""SP"",""黑白蛇纹""]",'SKU明细'!$E$9:$E$1592,"零日销待复核")&gt;0,"零日销待复核 ","")&amp;IF(COUNTIFS('SKU明细'!$AH$9:$AH$1592,"[""1S01"",""1S01-SP"",""SP"",""黑白蛇纹""]",'SKU明细'!$E$9:$E$1592,"数据待核")&gt;0,"数据待核 ","")&amp;IF(COUNTIFS('SKU明细'!$AH$9:$AH$1592,"[""1S01"",""1S01-SP"",""SP"",""黑白蛇纹""]",'SKU明细'!$E$9:$E$1592,"正常库存")&gt;0,"正常库存 ","")&amp;IF(COUNTIFS('SKU明细'!$AH$9:$AH$1592,"[""1S01"",""1S01-SP"",""SP"",""黑白蛇纹""]",'SKU明细'!$E$9:$E$1592,"补货提醒")&gt;0,"补货提醒 ","")</x:f>
        <x:v>断货 正常库存 </x:v>
      </x:c>
      <x:c r="Y177" s="19" t="str">
        <x:f>IF(NOT(ISNUMBER(U177)),"覆盖待核／无可比基准","仅共同SKU")</x:f>
        <x:v>覆盖待核／无可比基准</x:v>
      </x:c>
      <x:c r="Z177" s="19" t="str">
        <x:v>停售、在售</x:v>
      </x:c>
      <x:c r="AA177" s="19" t="n">
        <x:f>IF(SUMIFS('SKU明细'!$AF$9:$AF$1592,'SKU明细'!$D$9:$D$1592,A177,'SKU明细'!$Z$9:$Z$1592,"&lt;&gt;移出")=0,"待核",SUMIFS('SKU明细'!$H$9:$H$1592,'SKU明细'!$D$9:$D$1592,A177,'SKU明细'!$Z$9:$Z$1592,"&lt;&gt;移出"))</x:f>
        <x:v>476</x:v>
      </x:c>
    </x:row>
    <x:row r="178" ht="54" customHeight="1">
      <x:c r="A178" s="15" t="str">
        <x:v>1S01</x:v>
      </x:c>
      <x:c r="B178" s="15" t="str">
        <x:v>徐新怡</x:v>
      </x:c>
      <x:c r="C178" s="15" t="str">
        <x:v>驼色</x:v>
      </x:c>
      <x:c r="D178" s="15" t="str">
        <x:v>TAN</x:v>
      </x:c>
      <x:c r="E178" s="15" t="str">
        <x:v>1S01-TAN</x:v>
      </x:c>
      <x:c r="F178" s="15"/>
      <x:c r="G178" s="16" t="str">
        <x:f>IF(AND(COUNT(INDEX('SKU明细'!$H$9:$H$1592,MATCH("[6574,""1S01-TAN-36""]",'SKU明细'!$AE$9:$AE$1592,0)))=1,COUNT(INDEX('SKU明细'!$G$9:$G$1592,MATCH("[6574,""1S01-TAN-36""]",'SKU明细'!$AE$9:$AE$1592,0)))=1,SUM(INDEX('SKU明细'!$G$9:$G$1592,MATCH("[6574,""1S01-TAN-36""]",'SKU明细'!$AE$9:$AE$1592,0)))&gt;0),SUM(INDEX('SKU明细'!$H$9:$H$1592,MATCH("[6574,""1S01-TAN-36""]",'SKU明细'!$AE$9:$AE$1592,0)))/SUM(INDEX('SKU明细'!$G$9:$G$1592,MATCH("[6574,""1S01-TAN-36""]",'SKU明细'!$AE$9:$AE$1592,0))),"待核")</x:f>
        <x:v>待核</x:v>
      </x:c>
      <x:c r="H178" s="16" t="str">
        <x:f>IF(AND(COUNT(INDEX('SKU明细'!$H$9:$H$1592,MATCH("[6574,""1S01-TAN-37""]",'SKU明细'!$AE$9:$AE$1592,0)))=1,COUNT(INDEX('SKU明细'!$G$9:$G$1592,MATCH("[6574,""1S01-TAN-37""]",'SKU明细'!$AE$9:$AE$1592,0)))=1,SUM(INDEX('SKU明细'!$G$9:$G$1592,MATCH("[6574,""1S01-TAN-37""]",'SKU明细'!$AE$9:$AE$1592,0)))&gt;0),SUM(INDEX('SKU明细'!$H$9:$H$1592,MATCH("[6574,""1S01-TAN-37""]",'SKU明细'!$AE$9:$AE$1592,0)))/SUM(INDEX('SKU明细'!$G$9:$G$1592,MATCH("[6574,""1S01-TAN-37""]",'SKU明细'!$AE$9:$AE$1592,0))),"待核")</x:f>
        <x:v>待核</x:v>
      </x:c>
      <x:c r="I178" s="16" t="str">
        <x:f>IF(AND(COUNT(INDEX('SKU明细'!$H$9:$H$1592,MATCH("[6574,""1S01-TAN-37.5""]",'SKU明细'!$AE$9:$AE$1592,0)))=1,COUNT(INDEX('SKU明细'!$G$9:$G$1592,MATCH("[6574,""1S01-TAN-37.5""]",'SKU明细'!$AE$9:$AE$1592,0)))=1,SUM(INDEX('SKU明细'!$G$9:$G$1592,MATCH("[6574,""1S01-TAN-37.5""]",'SKU明细'!$AE$9:$AE$1592,0)))&gt;0),SUM(INDEX('SKU明细'!$H$9:$H$1592,MATCH("[6574,""1S01-TAN-37.5""]",'SKU明细'!$AE$9:$AE$1592,0)))/SUM(INDEX('SKU明细'!$G$9:$G$1592,MATCH("[6574,""1S01-TAN-37.5""]",'SKU明细'!$AE$9:$AE$1592,0))),"待核")</x:f>
        <x:v>待核</x:v>
      </x:c>
      <x:c r="J178" s="16" t="str">
        <x:f>IF(AND(COUNT(INDEX('SKU明细'!$H$9:$H$1592,MATCH("[6574,""1S01-TAN-38""]",'SKU明细'!$AE$9:$AE$1592,0)))=1,COUNT(INDEX('SKU明细'!$G$9:$G$1592,MATCH("[6574,""1S01-TAN-38""]",'SKU明细'!$AE$9:$AE$1592,0)))=1,SUM(INDEX('SKU明细'!$G$9:$G$1592,MATCH("[6574,""1S01-TAN-38""]",'SKU明细'!$AE$9:$AE$1592,0)))&gt;0),SUM(INDEX('SKU明细'!$H$9:$H$1592,MATCH("[6574,""1S01-TAN-38""]",'SKU明细'!$AE$9:$AE$1592,0)))/SUM(INDEX('SKU明细'!$G$9:$G$1592,MATCH("[6574,""1S01-TAN-38""]",'SKU明细'!$AE$9:$AE$1592,0))),"待核")</x:f>
        <x:v>待核</x:v>
      </x:c>
      <x:c r="K178" s="16" t="str">
        <x:f>IF(AND(COUNT(INDEX('SKU明细'!$H$9:$H$1592,MATCH("[6574,""1S01-TAN-38.5""]",'SKU明细'!$AE$9:$AE$1592,0)))=1,COUNT(INDEX('SKU明细'!$G$9:$G$1592,MATCH("[6574,""1S01-TAN-38.5""]",'SKU明细'!$AE$9:$AE$1592,0)))=1,SUM(INDEX('SKU明细'!$G$9:$G$1592,MATCH("[6574,""1S01-TAN-38.5""]",'SKU明细'!$AE$9:$AE$1592,0)))&gt;0),SUM(INDEX('SKU明细'!$H$9:$H$1592,MATCH("[6574,""1S01-TAN-38.5""]",'SKU明细'!$AE$9:$AE$1592,0)))/SUM(INDEX('SKU明细'!$G$9:$G$1592,MATCH("[6574,""1S01-TAN-38.5""]",'SKU明细'!$AE$9:$AE$1592,0))),"待核")</x:f>
        <x:v>待核</x:v>
      </x:c>
      <x:c r="L178" s="16" t="str">
        <x:f>IF(AND(COUNT(INDEX('SKU明细'!$H$9:$H$1592,MATCH("[6574,""1S01-TAN-39""]",'SKU明细'!$AE$9:$AE$1592,0)))=1,COUNT(INDEX('SKU明细'!$G$9:$G$1592,MATCH("[6574,""1S01-TAN-39""]",'SKU明细'!$AE$9:$AE$1592,0)))=1,SUM(INDEX('SKU明细'!$G$9:$G$1592,MATCH("[6574,""1S01-TAN-39""]",'SKU明细'!$AE$9:$AE$1592,0)))&gt;0),SUM(INDEX('SKU明细'!$H$9:$H$1592,MATCH("[6574,""1S01-TAN-39""]",'SKU明细'!$AE$9:$AE$1592,0)))/SUM(INDEX('SKU明细'!$G$9:$G$1592,MATCH("[6574,""1S01-TAN-39""]",'SKU明细'!$AE$9:$AE$1592,0))),"待核")</x:f>
        <x:v>待核</x:v>
      </x:c>
      <x:c r="M178" s="16" t="str">
        <x:f>IF(AND(COUNT(INDEX('SKU明细'!$H$9:$H$1592,MATCH("[6574,""1S01-TAN-39.5""]",'SKU明细'!$AE$9:$AE$1592,0)))=1,COUNT(INDEX('SKU明细'!$G$9:$G$1592,MATCH("[6574,""1S01-TAN-39.5""]",'SKU明细'!$AE$9:$AE$1592,0)))=1,SUM(INDEX('SKU明细'!$G$9:$G$1592,MATCH("[6574,""1S01-TAN-39.5""]",'SKU明细'!$AE$9:$AE$1592,0)))&gt;0),SUM(INDEX('SKU明细'!$H$9:$H$1592,MATCH("[6574,""1S01-TAN-39.5""]",'SKU明细'!$AE$9:$AE$1592,0)))/SUM(INDEX('SKU明细'!$G$9:$G$1592,MATCH("[6574,""1S01-TAN-39.5""]",'SKU明细'!$AE$9:$AE$1592,0))),"待核")</x:f>
        <x:v>待核</x:v>
      </x:c>
      <x:c r="N178" s="16" t="str">
        <x:f>IF(AND(COUNT(INDEX('SKU明细'!$H$9:$H$1592,MATCH("[6574,""1S01-TAN-40""]",'SKU明细'!$AE$9:$AE$1592,0)))=1,COUNT(INDEX('SKU明细'!$G$9:$G$1592,MATCH("[6574,""1S01-TAN-40""]",'SKU明细'!$AE$9:$AE$1592,0)))=1,SUM(INDEX('SKU明细'!$G$9:$G$1592,MATCH("[6574,""1S01-TAN-40""]",'SKU明细'!$AE$9:$AE$1592,0)))&gt;0),SUM(INDEX('SKU明细'!$H$9:$H$1592,MATCH("[6574,""1S01-TAN-40""]",'SKU明细'!$AE$9:$AE$1592,0)))/SUM(INDEX('SKU明细'!$G$9:$G$1592,MATCH("[6574,""1S01-TAN-40""]",'SKU明细'!$AE$9:$AE$1592,0))),"待核")</x:f>
        <x:v>待核</x:v>
      </x:c>
      <x:c r="O178" s="16" t="str">
        <x:f>IF(AND(COUNT(INDEX('SKU明细'!$H$9:$H$1592,MATCH("[6574,""1S01-TAN-40.5""]",'SKU明细'!$AE$9:$AE$1592,0)))=1,COUNT(INDEX('SKU明细'!$G$9:$G$1592,MATCH("[6574,""1S01-TAN-40.5""]",'SKU明细'!$AE$9:$AE$1592,0)))=1,SUM(INDEX('SKU明细'!$G$9:$G$1592,MATCH("[6574,""1S01-TAN-40.5""]",'SKU明细'!$AE$9:$AE$1592,0)))&gt;0),SUM(INDEX('SKU明细'!$H$9:$H$1592,MATCH("[6574,""1S01-TAN-40.5""]",'SKU明细'!$AE$9:$AE$1592,0)))/SUM(INDEX('SKU明细'!$G$9:$G$1592,MATCH("[6574,""1S01-TAN-40.5""]",'SKU明细'!$AE$9:$AE$1592,0))),"待核")</x:f>
        <x:v>待核</x:v>
      </x:c>
      <x:c r="P178" s="16" t="str">
        <x:f>IF(AND(COUNT(INDEX('SKU明细'!$H$9:$H$1592,MATCH("[6574,""1S01-TAN-41""]",'SKU明细'!$AE$9:$AE$1592,0)))=1,COUNT(INDEX('SKU明细'!$G$9:$G$1592,MATCH("[6574,""1S01-TAN-41""]",'SKU明细'!$AE$9:$AE$1592,0)))=1,SUM(INDEX('SKU明细'!$G$9:$G$1592,MATCH("[6574,""1S01-TAN-41""]",'SKU明细'!$AE$9:$AE$1592,0)))&gt;0),SUM(INDEX('SKU明细'!$H$9:$H$1592,MATCH("[6574,""1S01-TAN-41""]",'SKU明细'!$AE$9:$AE$1592,0)))/SUM(INDEX('SKU明细'!$G$9:$G$1592,MATCH("[6574,""1S01-TAN-41""]",'SKU明细'!$AE$9:$AE$1592,0))),"待核")</x:f>
        <x:v>待核</x:v>
      </x:c>
      <x:c r="Q178" s="16" t="n">
        <x:f>IF(AND(COUNT(INDEX('SKU明细'!$H$9:$H$1592,MATCH("[6574,""1S01-TAN-41.5""]",'SKU明细'!$AE$9:$AE$1592,0)))=1,COUNT(INDEX('SKU明细'!$G$9:$G$1592,MATCH("[6574,""1S01-TAN-41.5""]",'SKU明细'!$AE$9:$AE$1592,0)))=1,SUM(INDEX('SKU明细'!$G$9:$G$1592,MATCH("[6574,""1S01-TAN-41.5""]",'SKU明细'!$AE$9:$AE$1592,0)))&gt;0),SUM(INDEX('SKU明细'!$H$9:$H$1592,MATCH("[6574,""1S01-TAN-41.5""]",'SKU明细'!$AE$9:$AE$1592,0)))/SUM(INDEX('SKU明细'!$G$9:$G$1592,MATCH("[6574,""1S01-TAN-41.5""]",'SKU明细'!$AE$9:$AE$1592,0))),"待核")</x:f>
        <x:v>600</x:v>
      </x:c>
      <x:c r="R178" s="16" t="str">
        <x:f>IF(AND(COUNT(INDEX('SKU明细'!$H$9:$H$1592,MATCH("[6574,""1S01-TAN-42""]",'SKU明细'!$AE$9:$AE$1592,0)))=1,COUNT(INDEX('SKU明细'!$G$9:$G$1592,MATCH("[6574,""1S01-TAN-42""]",'SKU明细'!$AE$9:$AE$1592,0)))=1,SUM(INDEX('SKU明细'!$G$9:$G$1592,MATCH("[6574,""1S01-TAN-42""]",'SKU明细'!$AE$9:$AE$1592,0)))&gt;0),SUM(INDEX('SKU明细'!$H$9:$H$1592,MATCH("[6574,""1S01-TAN-42""]",'SKU明细'!$AE$9:$AE$1592,0)))/SUM(INDEX('SKU明细'!$G$9:$G$1592,MATCH("[6574,""1S01-TAN-42""]",'SKU明细'!$AE$9:$AE$1592,0))),"待核")</x:f>
        <x:v>待核</x:v>
      </x:c>
      <x:c r="S178" s="16" t="n">
        <x:f>IF(AND(COUNT(INDEX('SKU明细'!$H$9:$H$1592,MATCH("[6574,""1S01-TAN-41.5""]",'SKU明细'!$AE$9:$AE$1592,0)),INDEX('SKU明细'!$H$9:$H$1592,MATCH("[6574,""1S01-TAN-37""]",'SKU明细'!$AE$9:$AE$1592,0)),INDEX('SKU明细'!$H$9:$H$1592,MATCH("[6574,""1S01-TAN-38""]",'SKU明细'!$AE$9:$AE$1592,0)),INDEX('SKU明细'!$H$9:$H$1592,MATCH("[6574,""1S01-TAN-39""]",'SKU明细'!$AE$9:$AE$1592,0)),INDEX('SKU明细'!$H$9:$H$1592,MATCH("[6574,""1S01-TAN-40""]",'SKU明细'!$AE$9:$AE$1592,0)),INDEX('SKU明细'!$H$9:$H$1592,MATCH("[6574,""1S01-TAN-41""]",'SKU明细'!$AE$9:$AE$1592,0)),INDEX('SKU明细'!$H$9:$H$1592,MATCH("[6574,""1S01-TAN-42""]",'SKU明细'!$AE$9:$AE$1592,0)))=7,COUNT(INDEX('SKU明细'!$G$9:$G$1592,MATCH("[6574,""1S01-TAN-41.5""]",'SKU明细'!$AE$9:$AE$1592,0)),INDEX('SKU明细'!$G$9:$G$1592,MATCH("[6574,""1S01-TAN-37""]",'SKU明细'!$AE$9:$AE$1592,0)),INDEX('SKU明细'!$G$9:$G$1592,MATCH("[6574,""1S01-TAN-38""]",'SKU明细'!$AE$9:$AE$1592,0)),INDEX('SKU明细'!$G$9:$G$1592,MATCH("[6574,""1S01-TAN-39""]",'SKU明细'!$AE$9:$AE$1592,0)),INDEX('SKU明细'!$G$9:$G$1592,MATCH("[6574,""1S01-TAN-40""]",'SKU明细'!$AE$9:$AE$1592,0)),INDEX('SKU明细'!$G$9:$G$1592,MATCH("[6574,""1S01-TAN-41""]",'SKU明细'!$AE$9:$AE$1592,0)),INDEX('SKU明细'!$G$9:$G$1592,MATCH("[6574,""1S01-TAN-42""]",'SKU明细'!$AE$9:$AE$1592,0)))=7,SUM(INDEX('SKU明细'!$G$9:$G$1592,MATCH("[6574,""1S01-TAN-41.5""]",'SKU明细'!$AE$9:$AE$1592,0)),INDEX('SKU明细'!$G$9:$G$1592,MATCH("[6574,""1S01-TAN-37""]",'SKU明细'!$AE$9:$AE$1592,0)),INDEX('SKU明细'!$G$9:$G$1592,MATCH("[6574,""1S01-TAN-38""]",'SKU明细'!$AE$9:$AE$1592,0)),INDEX('SKU明细'!$G$9:$G$1592,MATCH("[6574,""1S01-TAN-39""]",'SKU明细'!$AE$9:$AE$1592,0)),INDEX('SKU明细'!$G$9:$G$1592,MATCH("[6574,""1S01-TAN-40""]",'SKU明细'!$AE$9:$AE$1592,0)),INDEX('SKU明细'!$G$9:$G$1592,MATCH("[6574,""1S01-TAN-41""]",'SKU明细'!$AE$9:$AE$1592,0)),INDEX('SKU明细'!$G$9:$G$1592,MATCH("[6574,""1S01-TAN-42""]",'SKU明细'!$AE$9:$AE$1592,0)))&gt;0),SUM(INDEX('SKU明细'!$H$9:$H$1592,MATCH("[6574,""1S01-TAN-41.5""]",'SKU明细'!$AE$9:$AE$1592,0)),INDEX('SKU明细'!$H$9:$H$1592,MATCH("[6574,""1S01-TAN-37""]",'SKU明细'!$AE$9:$AE$1592,0)),INDEX('SKU明细'!$H$9:$H$1592,MATCH("[6574,""1S01-TAN-38""]",'SKU明细'!$AE$9:$AE$1592,0)),INDEX('SKU明细'!$H$9:$H$1592,MATCH("[6574,""1S01-TAN-39""]",'SKU明细'!$AE$9:$AE$1592,0)),INDEX('SKU明细'!$H$9:$H$1592,MATCH("[6574,""1S01-TAN-40""]",'SKU明细'!$AE$9:$AE$1592,0)),INDEX('SKU明细'!$H$9:$H$1592,MATCH("[6574,""1S01-TAN-41""]",'SKU明细'!$AE$9:$AE$1592,0)),INDEX('SKU明细'!$H$9:$H$1592,MATCH("[6574,""1S01-TAN-42""]",'SKU明细'!$AE$9:$AE$1592,0)))/SUM(INDEX('SKU明细'!$G$9:$G$1592,MATCH("[6574,""1S01-TAN-41.5""]",'SKU明细'!$AE$9:$AE$1592,0)),INDEX('SKU明细'!$G$9:$G$1592,MATCH("[6574,""1S01-TAN-37""]",'SKU明细'!$AE$9:$AE$1592,0)),INDEX('SKU明细'!$G$9:$G$1592,MATCH("[6574,""1S01-TAN-38""]",'SKU明细'!$AE$9:$AE$1592,0)),INDEX('SKU明细'!$G$9:$G$1592,MATCH("[6574,""1S01-TAN-39""]",'SKU明细'!$AE$9:$AE$1592,0)),INDEX('SKU明细'!$G$9:$G$1592,MATCH("[6574,""1S01-TAN-40""]",'SKU明细'!$AE$9:$AE$1592,0)),INDEX('SKU明细'!$G$9:$G$1592,MATCH("[6574,""1S01-TAN-41""]",'SKU明细'!$AE$9:$AE$1592,0)),INDEX('SKU明细'!$G$9:$G$1592,MATCH("[6574,""1S01-TAN-42""]",'SKU明细'!$AE$9:$AE$1592,0))),"待核")</x:f>
        <x:v>600</x:v>
      </x:c>
      <x:c r="T178" s="16" t="str">
        <x:f>IF(AND(COUNT(INDEX('SKU明细'!$I$9:$I$1592,MATCH("[6574,""1S01-TAN-41.5""]",'SKU明细'!$AE$9:$AE$1592,0)),INDEX('SKU明细'!$I$9:$I$1592,MATCH("[6574,""1S01-TAN-37""]",'SKU明细'!$AE$9:$AE$1592,0)),INDEX('SKU明细'!$I$9:$I$1592,MATCH("[6574,""1S01-TAN-38""]",'SKU明细'!$AE$9:$AE$1592,0)),INDEX('SKU明细'!$I$9:$I$1592,MATCH("[6574,""1S01-TAN-39""]",'SKU明细'!$AE$9:$AE$1592,0)),INDEX('SKU明细'!$I$9:$I$1592,MATCH("[6574,""1S01-TAN-40""]",'SKU明细'!$AE$9:$AE$1592,0)),INDEX('SKU明细'!$I$9:$I$1592,MATCH("[6574,""1S01-TAN-41""]",'SKU明细'!$AE$9:$AE$1592,0)),INDEX('SKU明细'!$I$9:$I$1592,MATCH("[6574,""1S01-TAN-42""]",'SKU明细'!$AE$9:$AE$1592,0)))=7,COUNT(INDEX('SKU明细'!$AD$9:$AD$1592,MATCH("[6574,""1S01-TAN-41.5""]",'SKU明细'!$AE$9:$AE$1592,0)),INDEX('SKU明细'!$AD$9:$AD$1592,MATCH("[6574,""1S01-TAN-37""]",'SKU明细'!$AE$9:$AE$1592,0)),INDEX('SKU明细'!$AD$9:$AD$1592,MATCH("[6574,""1S01-TAN-38""]",'SKU明细'!$AE$9:$AE$1592,0)),INDEX('SKU明细'!$AD$9:$AD$1592,MATCH("[6574,""1S01-TAN-39""]",'SKU明细'!$AE$9:$AE$1592,0)),INDEX('SKU明细'!$AD$9:$AD$1592,MATCH("[6574,""1S01-TAN-40""]",'SKU明细'!$AE$9:$AE$1592,0)),INDEX('SKU明细'!$AD$9:$AD$1592,MATCH("[6574,""1S01-TAN-41""]",'SKU明细'!$AE$9:$AE$1592,0)),INDEX('SKU明细'!$AD$9:$AD$1592,MATCH("[6574,""1S01-TAN-42""]",'SKU明细'!$AE$9:$AE$1592,0)))=7,SUM(INDEX('SKU明细'!$AD$9:$AD$1592,MATCH("[6574,""1S01-TAN-41.5""]",'SKU明细'!$AE$9:$AE$1592,0)),INDEX('SKU明细'!$AD$9:$AD$1592,MATCH("[6574,""1S01-TAN-37""]",'SKU明细'!$AE$9:$AE$1592,0)),INDEX('SKU明细'!$AD$9:$AD$1592,MATCH("[6574,""1S01-TAN-38""]",'SKU明细'!$AE$9:$AE$1592,0)),INDEX('SKU明细'!$AD$9:$AD$1592,MATCH("[6574,""1S01-TAN-39""]",'SKU明细'!$AE$9:$AE$1592,0)),INDEX('SKU明细'!$AD$9:$AD$1592,MATCH("[6574,""1S01-TAN-40""]",'SKU明细'!$AE$9:$AE$1592,0)),INDEX('SKU明细'!$AD$9:$AD$1592,MATCH("[6574,""1S01-TAN-41""]",'SKU明细'!$AE$9:$AE$1592,0)),INDEX('SKU明细'!$AD$9:$AD$1592,MATCH("[6574,""1S01-TAN-42""]",'SKU明细'!$AE$9:$AE$1592,0)))&gt;0),SUM(INDEX('SKU明细'!$I$9:$I$1592,MATCH("[6574,""1S01-TAN-41.5""]",'SKU明细'!$AE$9:$AE$1592,0)),INDEX('SKU明细'!$I$9:$I$1592,MATCH("[6574,""1S01-TAN-37""]",'SKU明细'!$AE$9:$AE$1592,0)),INDEX('SKU明细'!$I$9:$I$1592,MATCH("[6574,""1S01-TAN-38""]",'SKU明细'!$AE$9:$AE$1592,0)),INDEX('SKU明细'!$I$9:$I$1592,MATCH("[6574,""1S01-TAN-39""]",'SKU明细'!$AE$9:$AE$1592,0)),INDEX('SKU明细'!$I$9:$I$1592,MATCH("[6574,""1S01-TAN-40""]",'SKU明细'!$AE$9:$AE$1592,0)),INDEX('SKU明细'!$I$9:$I$1592,MATCH("[6574,""1S01-TAN-41""]",'SKU明细'!$AE$9:$AE$1592,0)),INDEX('SKU明细'!$I$9:$I$1592,MATCH("[6574,""1S01-TAN-42""]",'SKU明细'!$AE$9:$AE$1592,0)))/SUM(INDEX('SKU明细'!$AD$9:$AD$1592,MATCH("[6574,""1S01-TAN-41.5""]",'SKU明细'!$AE$9:$AE$1592,0)),INDEX('SKU明细'!$AD$9:$AD$1592,MATCH("[6574,""1S01-TAN-37""]",'SKU明细'!$AE$9:$AE$1592,0)),INDEX('SKU明细'!$AD$9:$AD$1592,MATCH("[6574,""1S01-TAN-38""]",'SKU明细'!$AE$9:$AE$1592,0)),INDEX('SKU明细'!$AD$9:$AD$1592,MATCH("[6574,""1S01-TAN-39""]",'SKU明细'!$AE$9:$AE$1592,0)),INDEX('SKU明细'!$AD$9:$AD$1592,MATCH("[6574,""1S01-TAN-40""]",'SKU明细'!$AE$9:$AE$1592,0)),INDEX('SKU明细'!$AD$9:$AD$1592,MATCH("[6574,""1S01-TAN-41""]",'SKU明细'!$AE$9:$AE$1592,0)),INDEX('SKU明细'!$AD$9:$AD$1592,MATCH("[6574,""1S01-TAN-42""]",'SKU明细'!$AE$9:$AE$1592,0))),"待核")</x:f>
        <x:v>待核</x:v>
      </x:c>
      <x:c r="U178" s="16" t="str">
        <x:f>IF(COUNT(S178:T178)=2,S178-T178,"待核")</x:f>
        <x:v>待核</x:v>
      </x:c>
      <x:c r="V178" s="17" t="str">
        <x:f>IF(AND(ISNUMBER(U178),ISNUMBER(T178),T178&lt;&gt;0),U178/T178,"")</x:f>
      </x:c>
      <x:c r="W178" s="18" t="n">
        <x:f>IF(COUNT(INDEX('SKU明细'!$H$9:$H$1592,MATCH("[6574,""1S01-TAN-41.5""]",'SKU明细'!$AE$9:$AE$1592,0)),INDEX('SKU明细'!$H$9:$H$1592,MATCH("[6574,""1S01-TAN-36""]",'SKU明细'!$AE$9:$AE$1592,0)),INDEX('SKU明细'!$H$9:$H$1592,MATCH("[6574,""1S01-TAN-37""]",'SKU明细'!$AE$9:$AE$1592,0)),INDEX('SKU明细'!$H$9:$H$1592,MATCH("[6574,""1S01-TAN-37.5""]",'SKU明细'!$AE$9:$AE$1592,0)),INDEX('SKU明细'!$H$9:$H$1592,MATCH("[6574,""1S01-TAN-38""]",'SKU明细'!$AE$9:$AE$1592,0)),INDEX('SKU明细'!$H$9:$H$1592,MATCH("[6574,""1S01-TAN-38.5""]",'SKU明细'!$AE$9:$AE$1592,0)),INDEX('SKU明细'!$H$9:$H$1592,MATCH("[6574,""1S01-TAN-39""]",'SKU明细'!$AE$9:$AE$1592,0)),INDEX('SKU明细'!$H$9:$H$1592,MATCH("[6574,""1S01-TAN-39.5""]",'SKU明细'!$AE$9:$AE$1592,0)),INDEX('SKU明细'!$H$9:$H$1592,MATCH("[6574,""1S01-TAN-40""]",'SKU明细'!$AE$9:$AE$1592,0)),INDEX('SKU明细'!$H$9:$H$1592,MATCH("[6574,""1S01-TAN-40.5""]",'SKU明细'!$AE$9:$AE$1592,0)),INDEX('SKU明细'!$H$9:$H$1592,MATCH("[6574,""1S01-TAN-41""]",'SKU明细'!$AE$9:$AE$1592,0)),INDEX('SKU明细'!$H$9:$H$1592,MATCH("[6574,""1S01-TAN-42""]",'SKU明细'!$AE$9:$AE$1592,0)))=0,"待核",SUM(INDEX('SKU明细'!$H$9:$H$1592,MATCH("[6574,""1S01-TAN-41.5""]",'SKU明细'!$AE$9:$AE$1592,0)),INDEX('SKU明细'!$H$9:$H$1592,MATCH("[6574,""1S01-TAN-36""]",'SKU明细'!$AE$9:$AE$1592,0)),INDEX('SKU明细'!$H$9:$H$1592,MATCH("[6574,""1S01-TAN-37""]",'SKU明细'!$AE$9:$AE$1592,0)),INDEX('SKU明细'!$H$9:$H$1592,MATCH("[6574,""1S01-TAN-37.5""]",'SKU明细'!$AE$9:$AE$1592,0)),INDEX('SKU明细'!$H$9:$H$1592,MATCH("[6574,""1S01-TAN-38""]",'SKU明细'!$AE$9:$AE$1592,0)),INDEX('SKU明细'!$H$9:$H$1592,MATCH("[6574,""1S01-TAN-38.5""]",'SKU明细'!$AE$9:$AE$1592,0)),INDEX('SKU明细'!$H$9:$H$1592,MATCH("[6574,""1S01-TAN-39""]",'SKU明细'!$AE$9:$AE$1592,0)),INDEX('SKU明细'!$H$9:$H$1592,MATCH("[6574,""1S01-TAN-39.5""]",'SKU明细'!$AE$9:$AE$1592,0)),INDEX('SKU明细'!$H$9:$H$1592,MATCH("[6574,""1S01-TAN-40""]",'SKU明细'!$AE$9:$AE$1592,0)),INDEX('SKU明细'!$H$9:$H$1592,MATCH("[6574,""1S01-TAN-40.5""]",'SKU明细'!$AE$9:$AE$1592,0)),INDEX('SKU明细'!$H$9:$H$1592,MATCH("[6574,""1S01-TAN-41""]",'SKU明细'!$AE$9:$AE$1592,0)),INDEX('SKU明细'!$H$9:$H$1592,MATCH("[6574,""1S01-TAN-42""]",'SKU明细'!$AE$9:$AE$1592,0))))</x:f>
        <x:v>4</x:v>
      </x:c>
      <x:c r="X178" s="19" t="str">
        <x:f>IF(COUNTIFS('SKU明细'!$AH$9:$AH$1592,"[""1S01"",""1S01-TAN"",""TAN"",""驼色""]",'SKU明细'!$E$9:$E$1592,"促销")&gt;0,"促销 ","")&amp;IF(COUNTIFS('SKU明细'!$AH$9:$AH$1592,"[""1S01"",""1S01-TAN"",""TAN"",""驼色""]",'SKU明细'!$E$9:$E$1592,"红线促销")&gt;0,"红线促销 ","")&amp;IF(COUNTIFS('SKU明细'!$AH$9:$AH$1592,"[""1S01"",""1S01-TAN"",""TAN"",""驼色""]",'SKU明细'!$E$9:$E$1592,"考虑清仓")&gt;0,"考虑清仓 ","")&amp;IF(COUNTIFS('SKU明细'!$AH$9:$AH$1592,"[""1S01"",""1S01-TAN"",""TAN"",""驼色""]",'SKU明细'!$E$9:$E$1592,"断货")&gt;0,"断货 ","")&amp;IF(COUNTIFS('SKU明细'!$AH$9:$AH$1592,"[""1S01"",""1S01-TAN"",""TAN"",""驼色""]",'SKU明细'!$E$9:$E$1592,"零日销待复核")&gt;0,"零日销待复核 ","")&amp;IF(COUNTIFS('SKU明细'!$AH$9:$AH$1592,"[""1S01"",""1S01-TAN"",""TAN"",""驼色""]",'SKU明细'!$E$9:$E$1592,"数据待核")&gt;0,"数据待核 ","")&amp;IF(COUNTIFS('SKU明细'!$AH$9:$AH$1592,"[""1S01"",""1S01-TAN"",""TAN"",""驼色""]",'SKU明细'!$E$9:$E$1592,"正常库存")&gt;0,"正常库存 ","")&amp;IF(COUNTIFS('SKU明细'!$AH$9:$AH$1592,"[""1S01"",""1S01-TAN"",""TAN"",""驼色""]",'SKU明细'!$E$9:$E$1592,"补货提醒")&gt;0,"补货提醒 ","")</x:f>
        <x:v>考虑清仓 断货 </x:v>
      </x:c>
      <x:c r="Y178" s="19" t="str">
        <x:f>IF(NOT(ISNUMBER(U178)),"覆盖待核／无可比基准","仅共同SKU")</x:f>
        <x:v>覆盖待核／无可比基准</x:v>
      </x:c>
      <x:c r="Z178" s="19" t="str">
        <x:v>在售、停售</x:v>
      </x:c>
      <x:c r="AA178" s="19" t="n">
        <x:f>IF(SUMIFS('SKU明细'!$AF$9:$AF$1592,'SKU明细'!$D$9:$D$1592,A178,'SKU明细'!$Z$9:$Z$1592,"&lt;&gt;移出")=0,"待核",SUMIFS('SKU明细'!$H$9:$H$1592,'SKU明细'!$D$9:$D$1592,A178,'SKU明细'!$Z$9:$Z$1592,"&lt;&gt;移出"))</x:f>
        <x:v>476</x:v>
      </x:c>
    </x:row>
    <x:row r="179" ht="54" customHeight="1">
      <x:c r="A179" s="15" t="str">
        <x:v>1S01</x:v>
      </x:c>
      <x:c r="B179" s="15" t="str">
        <x:v>徐新怡</x:v>
      </x:c>
      <x:c r="C179" s="15" t="str">
        <x:v>驼色</x:v>
      </x:c>
      <x:c r="D179" s="15" t="str">
        <x:v>TN</x:v>
      </x:c>
      <x:c r="E179" s="15" t="str">
        <x:v>1S01-TN</x:v>
      </x:c>
      <x:c r="F179" s="15"/>
      <x:c r="G179" s="16" t="str">
        <x:f>IF(AND(COUNT(INDEX('SKU明细'!$H$9:$H$1592,MATCH("[6574,""1S01-TN-36""]",'SKU明细'!$AE$9:$AE$1592,0)))=1,COUNT(INDEX('SKU明细'!$G$9:$G$1592,MATCH("[6574,""1S01-TN-36""]",'SKU明细'!$AE$9:$AE$1592,0)))=1,SUM(INDEX('SKU明细'!$G$9:$G$1592,MATCH("[6574,""1S01-TN-36""]",'SKU明细'!$AE$9:$AE$1592,0)))&gt;0),SUM(INDEX('SKU明细'!$H$9:$H$1592,MATCH("[6574,""1S01-TN-36""]",'SKU明细'!$AE$9:$AE$1592,0)))/SUM(INDEX('SKU明细'!$G$9:$G$1592,MATCH("[6574,""1S01-TN-36""]",'SKU明细'!$AE$9:$AE$1592,0))),"待核")</x:f>
        <x:v>待核</x:v>
      </x:c>
      <x:c r="H179" s="16" t="n">
        <x:f>IF(AND(COUNT(INDEX('SKU明细'!$H$9:$H$1592,MATCH("[6574,""1S01-TN-37""]",'SKU明细'!$AE$9:$AE$1592,0)))=1,COUNT(INDEX('SKU明细'!$G$9:$G$1592,MATCH("[6574,""1S01-TN-37""]",'SKU明细'!$AE$9:$AE$1592,0)))=1,SUM(INDEX('SKU明细'!$G$9:$G$1592,MATCH("[6574,""1S01-TN-37""]",'SKU明细'!$AE$9:$AE$1592,0)))&gt;0),SUM(INDEX('SKU明细'!$H$9:$H$1592,MATCH("[6574,""1S01-TN-37""]",'SKU明细'!$AE$9:$AE$1592,0)))/SUM(INDEX('SKU明细'!$G$9:$G$1592,MATCH("[6574,""1S01-TN-37""]",'SKU明细'!$AE$9:$AE$1592,0))),"待核")</x:f>
        <x:v>90.43062200956939</x:v>
      </x:c>
      <x:c r="I179" s="16" t="n">
        <x:f>IF(AND(COUNT(INDEX('SKU明细'!$H$9:$H$1592,MATCH("[6574,""1S01-TN-37.5""]",'SKU明细'!$AE$9:$AE$1592,0)))=1,COUNT(INDEX('SKU明细'!$G$9:$G$1592,MATCH("[6574,""1S01-TN-37.5""]",'SKU明细'!$AE$9:$AE$1592,0)))=1,SUM(INDEX('SKU明细'!$G$9:$G$1592,MATCH("[6574,""1S01-TN-37.5""]",'SKU明细'!$AE$9:$AE$1592,0)))&gt;0),SUM(INDEX('SKU明细'!$H$9:$H$1592,MATCH("[6574,""1S01-TN-37.5""]",'SKU明细'!$AE$9:$AE$1592,0)))/SUM(INDEX('SKU明细'!$G$9:$G$1592,MATCH("[6574,""1S01-TN-37.5""]",'SKU明细'!$AE$9:$AE$1592,0))),"待核")</x:f>
        <x:v>0</x:v>
      </x:c>
      <x:c r="J179" s="16" t="n">
        <x:f>IF(AND(COUNT(INDEX('SKU明细'!$H$9:$H$1592,MATCH("[6574,""1S01-TN-38""]",'SKU明细'!$AE$9:$AE$1592,0)))=1,COUNT(INDEX('SKU明细'!$G$9:$G$1592,MATCH("[6574,""1S01-TN-38""]",'SKU明细'!$AE$9:$AE$1592,0)))=1,SUM(INDEX('SKU明细'!$G$9:$G$1592,MATCH("[6574,""1S01-TN-38""]",'SKU明细'!$AE$9:$AE$1592,0)))&gt;0),SUM(INDEX('SKU明细'!$H$9:$H$1592,MATCH("[6574,""1S01-TN-38""]",'SKU明细'!$AE$9:$AE$1592,0)))/SUM(INDEX('SKU明细'!$G$9:$G$1592,MATCH("[6574,""1S01-TN-38""]",'SKU明细'!$AE$9:$AE$1592,0))),"待核")</x:f>
        <x:v>0</x:v>
      </x:c>
      <x:c r="K179" s="16" t="str">
        <x:f>IF(AND(COUNT(INDEX('SKU明细'!$H$9:$H$1592,MATCH("[6574,""1S01-TN-38.5""]",'SKU明细'!$AE$9:$AE$1592,0)))=1,COUNT(INDEX('SKU明细'!$G$9:$G$1592,MATCH("[6574,""1S01-TN-38.5""]",'SKU明细'!$AE$9:$AE$1592,0)))=1,SUM(INDEX('SKU明细'!$G$9:$G$1592,MATCH("[6574,""1S01-TN-38.5""]",'SKU明细'!$AE$9:$AE$1592,0)))&gt;0),SUM(INDEX('SKU明细'!$H$9:$H$1592,MATCH("[6574,""1S01-TN-38.5""]",'SKU明细'!$AE$9:$AE$1592,0)))/SUM(INDEX('SKU明细'!$G$9:$G$1592,MATCH("[6574,""1S01-TN-38.5""]",'SKU明细'!$AE$9:$AE$1592,0))),"待核")</x:f>
        <x:v>待核</x:v>
      </x:c>
      <x:c r="L179" s="16" t="n">
        <x:f>IF(AND(COUNT(INDEX('SKU明细'!$H$9:$H$1592,MATCH("[6574,""1S01-TN-39""]",'SKU明细'!$AE$9:$AE$1592,0)))=1,COUNT(INDEX('SKU明细'!$G$9:$G$1592,MATCH("[6574,""1S01-TN-39""]",'SKU明细'!$AE$9:$AE$1592,0)))=1,SUM(INDEX('SKU明细'!$G$9:$G$1592,MATCH("[6574,""1S01-TN-39""]",'SKU明细'!$AE$9:$AE$1592,0)))&gt;0),SUM(INDEX('SKU明细'!$H$9:$H$1592,MATCH("[6574,""1S01-TN-39""]",'SKU明细'!$AE$9:$AE$1592,0)))/SUM(INDEX('SKU明细'!$G$9:$G$1592,MATCH("[6574,""1S01-TN-39""]",'SKU明细'!$AE$9:$AE$1592,0))),"待核")</x:f>
        <x:v>30.434782608695656</x:v>
      </x:c>
      <x:c r="M179" s="16" t="n">
        <x:f>IF(AND(COUNT(INDEX('SKU明细'!$H$9:$H$1592,MATCH("[6574,""1S01-TN-39.5""]",'SKU明细'!$AE$9:$AE$1592,0)))=1,COUNT(INDEX('SKU明细'!$G$9:$G$1592,MATCH("[6574,""1S01-TN-39.5""]",'SKU明细'!$AE$9:$AE$1592,0)))=1,SUM(INDEX('SKU明细'!$G$9:$G$1592,MATCH("[6574,""1S01-TN-39.5""]",'SKU明细'!$AE$9:$AE$1592,0)))&gt;0),SUM(INDEX('SKU明细'!$H$9:$H$1592,MATCH("[6574,""1S01-TN-39.5""]",'SKU明细'!$AE$9:$AE$1592,0)))/SUM(INDEX('SKU明细'!$G$9:$G$1592,MATCH("[6574,""1S01-TN-39.5""]",'SKU明细'!$AE$9:$AE$1592,0))),"待核")</x:f>
        <x:v>849.9999999999999</x:v>
      </x:c>
      <x:c r="N179" s="16" t="n">
        <x:f>IF(AND(COUNT(INDEX('SKU明细'!$H$9:$H$1592,MATCH("[6574,""1S01-TN-40""]",'SKU明细'!$AE$9:$AE$1592,0)))=1,COUNT(INDEX('SKU明细'!$G$9:$G$1592,MATCH("[6574,""1S01-TN-40""]",'SKU明细'!$AE$9:$AE$1592,0)))=1,SUM(INDEX('SKU明细'!$G$9:$G$1592,MATCH("[6574,""1S01-TN-40""]",'SKU明细'!$AE$9:$AE$1592,0)))&gt;0),SUM(INDEX('SKU明细'!$H$9:$H$1592,MATCH("[6574,""1S01-TN-40""]",'SKU明细'!$AE$9:$AE$1592,0)))/SUM(INDEX('SKU明细'!$G$9:$G$1592,MATCH("[6574,""1S01-TN-40""]",'SKU明细'!$AE$9:$AE$1592,0))),"待核")</x:f>
        <x:v>68.29268292682927</x:v>
      </x:c>
      <x:c r="O179" s="16" t="n">
        <x:f>IF(AND(COUNT(INDEX('SKU明细'!$H$9:$H$1592,MATCH("[6574,""1S01-TN-40.5""]",'SKU明细'!$AE$9:$AE$1592,0)))=1,COUNT(INDEX('SKU明细'!$G$9:$G$1592,MATCH("[6574,""1S01-TN-40.5""]",'SKU明细'!$AE$9:$AE$1592,0)))=1,SUM(INDEX('SKU明细'!$G$9:$G$1592,MATCH("[6574,""1S01-TN-40.5""]",'SKU明细'!$AE$9:$AE$1592,0)))&gt;0),SUM(INDEX('SKU明细'!$H$9:$H$1592,MATCH("[6574,""1S01-TN-40.5""]",'SKU明细'!$AE$9:$AE$1592,0)))/SUM(INDEX('SKU明细'!$G$9:$G$1592,MATCH("[6574,""1S01-TN-40.5""]",'SKU明细'!$AE$9:$AE$1592,0))),"待核")</x:f>
        <x:v>4049.9999999999995</x:v>
      </x:c>
      <x:c r="P179" s="16" t="n">
        <x:f>IF(AND(COUNT(INDEX('SKU明细'!$H$9:$H$1592,MATCH("[6574,""1S01-TN-41""]",'SKU明细'!$AE$9:$AE$1592,0)))=1,COUNT(INDEX('SKU明细'!$G$9:$G$1592,MATCH("[6574,""1S01-TN-41""]",'SKU明细'!$AE$9:$AE$1592,0)))=1,SUM(INDEX('SKU明细'!$G$9:$G$1592,MATCH("[6574,""1S01-TN-41""]",'SKU明细'!$AE$9:$AE$1592,0)))&gt;0),SUM(INDEX('SKU明细'!$H$9:$H$1592,MATCH("[6574,""1S01-TN-41""]",'SKU明细'!$AE$9:$AE$1592,0)))/SUM(INDEX('SKU明细'!$G$9:$G$1592,MATCH("[6574,""1S01-TN-41""]",'SKU明细'!$AE$9:$AE$1592,0))),"待核")</x:f>
        <x:v>443.661971830986</x:v>
      </x:c>
      <x:c r="Q179" s="16" t="n">
        <x:f>IF(AND(COUNT(INDEX('SKU明细'!$H$9:$H$1592,MATCH("[6574,""1S01-TN-41.5""]",'SKU明细'!$AE$9:$AE$1592,0)))=1,COUNT(INDEX('SKU明细'!$G$9:$G$1592,MATCH("[6574,""1S01-TN-41.5""]",'SKU明细'!$AE$9:$AE$1592,0)))=1,SUM(INDEX('SKU明细'!$G$9:$G$1592,MATCH("[6574,""1S01-TN-41.5""]",'SKU明细'!$AE$9:$AE$1592,0)))&gt;0),SUM(INDEX('SKU明细'!$H$9:$H$1592,MATCH("[6574,""1S01-TN-41.5""]",'SKU明细'!$AE$9:$AE$1592,0)))/SUM(INDEX('SKU明细'!$G$9:$G$1592,MATCH("[6574,""1S01-TN-41.5""]",'SKU明细'!$AE$9:$AE$1592,0))),"待核")</x:f>
        <x:v>169.5067264573991</x:v>
      </x:c>
      <x:c r="R179" s="16" t="str">
        <x:f>IF(AND(COUNT(INDEX('SKU明细'!$H$9:$H$1592,MATCH("[6574,""1S01-TN-42""]",'SKU明细'!$AE$9:$AE$1592,0)))=1,COUNT(INDEX('SKU明细'!$G$9:$G$1592,MATCH("[6574,""1S01-TN-42""]",'SKU明细'!$AE$9:$AE$1592,0)))=1,SUM(INDEX('SKU明细'!$G$9:$G$1592,MATCH("[6574,""1S01-TN-42""]",'SKU明细'!$AE$9:$AE$1592,0)))&gt;0),SUM(INDEX('SKU明细'!$H$9:$H$1592,MATCH("[6574,""1S01-TN-42""]",'SKU明细'!$AE$9:$AE$1592,0)))/SUM(INDEX('SKU明细'!$G$9:$G$1592,MATCH("[6574,""1S01-TN-42""]",'SKU明细'!$AE$9:$AE$1592,0))),"待核")</x:f>
        <x:v>待核</x:v>
      </x:c>
      <x:c r="S179" s="16" t="n">
        <x:f>IF(AND(COUNT(INDEX('SKU明细'!$H$9:$H$1592,MATCH("[6574,""1S01-TN-39.5""]",'SKU明细'!$AE$9:$AE$1592,0)),INDEX('SKU明细'!$H$9:$H$1592,MATCH("[6574,""1S01-TN-40.5""]",'SKU明细'!$AE$9:$AE$1592,0)),INDEX('SKU明细'!$H$9:$H$1592,MATCH("[6574,""1S01-TN-41""]",'SKU明细'!$AE$9:$AE$1592,0)),INDEX('SKU明细'!$H$9:$H$1592,MATCH("[6574,""1S01-TN-37""]",'SKU明细'!$AE$9:$AE$1592,0)),INDEX('SKU明细'!$H$9:$H$1592,MATCH("[6574,""1S01-TN-41.5""]",'SKU明细'!$AE$9:$AE$1592,0)),INDEX('SKU明细'!$H$9:$H$1592,MATCH("[6574,""1S01-TN-37.5""]",'SKU明细'!$AE$9:$AE$1592,0)),INDEX('SKU明细'!$H$9:$H$1592,MATCH("[6574,""1S01-TN-38""]",'SKU明细'!$AE$9:$AE$1592,0)),INDEX('SKU明细'!$H$9:$H$1592,MATCH("[6574,""1S01-TN-42""]",'SKU明细'!$AE$9:$AE$1592,0)),INDEX('SKU明细'!$H$9:$H$1592,MATCH("[6574,""1S01-TN-40""]",'SKU明细'!$AE$9:$AE$1592,0)),INDEX('SKU明细'!$H$9:$H$1592,MATCH("[6574,""1S01-TN-39""]",'SKU明细'!$AE$9:$AE$1592,0)))=10,COUNT(INDEX('SKU明细'!$G$9:$G$1592,MATCH("[6574,""1S01-TN-39.5""]",'SKU明细'!$AE$9:$AE$1592,0)),INDEX('SKU明细'!$G$9:$G$1592,MATCH("[6574,""1S01-TN-40.5""]",'SKU明细'!$AE$9:$AE$1592,0)),INDEX('SKU明细'!$G$9:$G$1592,MATCH("[6574,""1S01-TN-41""]",'SKU明细'!$AE$9:$AE$1592,0)),INDEX('SKU明细'!$G$9:$G$1592,MATCH("[6574,""1S01-TN-37""]",'SKU明细'!$AE$9:$AE$1592,0)),INDEX('SKU明细'!$G$9:$G$1592,MATCH("[6574,""1S01-TN-41.5""]",'SKU明细'!$AE$9:$AE$1592,0)),INDEX('SKU明细'!$G$9:$G$1592,MATCH("[6574,""1S01-TN-37.5""]",'SKU明细'!$AE$9:$AE$1592,0)),INDEX('SKU明细'!$G$9:$G$1592,MATCH("[6574,""1S01-TN-38""]",'SKU明细'!$AE$9:$AE$1592,0)),INDEX('SKU明细'!$G$9:$G$1592,MATCH("[6574,""1S01-TN-42""]",'SKU明细'!$AE$9:$AE$1592,0)),INDEX('SKU明细'!$G$9:$G$1592,MATCH("[6574,""1S01-TN-40""]",'SKU明细'!$AE$9:$AE$1592,0)),INDEX('SKU明细'!$G$9:$G$1592,MATCH("[6574,""1S01-TN-39""]",'SKU明细'!$AE$9:$AE$1592,0)))=10,SUM(INDEX('SKU明细'!$G$9:$G$1592,MATCH("[6574,""1S01-TN-39.5""]",'SKU明细'!$AE$9:$AE$1592,0)),INDEX('SKU明细'!$G$9:$G$1592,MATCH("[6574,""1S01-TN-40.5""]",'SKU明细'!$AE$9:$AE$1592,0)),INDEX('SKU明细'!$G$9:$G$1592,MATCH("[6574,""1S01-TN-41""]",'SKU明细'!$AE$9:$AE$1592,0)),INDEX('SKU明细'!$G$9:$G$1592,MATCH("[6574,""1S01-TN-37""]",'SKU明细'!$AE$9:$AE$1592,0)),INDEX('SKU明细'!$G$9:$G$1592,MATCH("[6574,""1S01-TN-41.5""]",'SKU明细'!$AE$9:$AE$1592,0)),INDEX('SKU明细'!$G$9:$G$1592,MATCH("[6574,""1S01-TN-37.5""]",'SKU明细'!$AE$9:$AE$1592,0)),INDEX('SKU明细'!$G$9:$G$1592,MATCH("[6574,""1S01-TN-38""]",'SKU明细'!$AE$9:$AE$1592,0)),INDEX('SKU明细'!$G$9:$G$1592,MATCH("[6574,""1S01-TN-42""]",'SKU明细'!$AE$9:$AE$1592,0)),INDEX('SKU明细'!$G$9:$G$1592,MATCH("[6574,""1S01-TN-40""]",'SKU明细'!$AE$9:$AE$1592,0)),INDEX('SKU明细'!$G$9:$G$1592,MATCH("[6574,""1S01-TN-39""]",'SKU明细'!$AE$9:$AE$1592,0)))&gt;0),SUM(INDEX('SKU明细'!$H$9:$H$1592,MATCH("[6574,""1S01-TN-39.5""]",'SKU明细'!$AE$9:$AE$1592,0)),INDEX('SKU明细'!$H$9:$H$1592,MATCH("[6574,""1S01-TN-40.5""]",'SKU明细'!$AE$9:$AE$1592,0)),INDEX('SKU明细'!$H$9:$H$1592,MATCH("[6574,""1S01-TN-41""]",'SKU明细'!$AE$9:$AE$1592,0)),INDEX('SKU明细'!$H$9:$H$1592,MATCH("[6574,""1S01-TN-37""]",'SKU明细'!$AE$9:$AE$1592,0)),INDEX('SKU明细'!$H$9:$H$1592,MATCH("[6574,""1S01-TN-41.5""]",'SKU明细'!$AE$9:$AE$1592,0)),INDEX('SKU明细'!$H$9:$H$1592,MATCH("[6574,""1S01-TN-37.5""]",'SKU明细'!$AE$9:$AE$1592,0)),INDEX('SKU明细'!$H$9:$H$1592,MATCH("[6574,""1S01-TN-38""]",'SKU明细'!$AE$9:$AE$1592,0)),INDEX('SKU明细'!$H$9:$H$1592,MATCH("[6574,""1S01-TN-42""]",'SKU明细'!$AE$9:$AE$1592,0)),INDEX('SKU明细'!$H$9:$H$1592,MATCH("[6574,""1S01-TN-40""]",'SKU明细'!$AE$9:$AE$1592,0)),INDEX('SKU明细'!$H$9:$H$1592,MATCH("[6574,""1S01-TN-39""]",'SKU明细'!$AE$9:$AE$1592,0)))/SUM(INDEX('SKU明细'!$G$9:$G$1592,MATCH("[6574,""1S01-TN-39.5""]",'SKU明细'!$AE$9:$AE$1592,0)),INDEX('SKU明细'!$G$9:$G$1592,MATCH("[6574,""1S01-TN-40.5""]",'SKU明细'!$AE$9:$AE$1592,0)),INDEX('SKU明细'!$G$9:$G$1592,MATCH("[6574,""1S01-TN-41""]",'SKU明细'!$AE$9:$AE$1592,0)),INDEX('SKU明细'!$G$9:$G$1592,MATCH("[6574,""1S01-TN-37""]",'SKU明细'!$AE$9:$AE$1592,0)),INDEX('SKU明细'!$G$9:$G$1592,MATCH("[6574,""1S01-TN-41.5""]",'SKU明细'!$AE$9:$AE$1592,0)),INDEX('SKU明细'!$G$9:$G$1592,MATCH("[6574,""1S01-TN-37.5""]",'SKU明细'!$AE$9:$AE$1592,0)),INDEX('SKU明细'!$G$9:$G$1592,MATCH("[6574,""1S01-TN-38""]",'SKU明细'!$AE$9:$AE$1592,0)),INDEX('SKU明细'!$G$9:$G$1592,MATCH("[6574,""1S01-TN-42""]",'SKU明细'!$AE$9:$AE$1592,0)),INDEX('SKU明细'!$G$9:$G$1592,MATCH("[6574,""1S01-TN-40""]",'SKU明细'!$AE$9:$AE$1592,0)),INDEX('SKU明细'!$G$9:$G$1592,MATCH("[6574,""1S01-TN-39""]",'SKU明细'!$AE$9:$AE$1592,0))),"待核")</x:f>
        <x:v>127.78164116828931</x:v>
      </x:c>
      <x:c r="T179" s="16" t="str">
        <x:f>IF(AND(COUNT(INDEX('SKU明细'!$I$9:$I$1592,MATCH("[6574,""1S01-TN-39.5""]",'SKU明细'!$AE$9:$AE$1592,0)),INDEX('SKU明细'!$I$9:$I$1592,MATCH("[6574,""1S01-TN-40.5""]",'SKU明细'!$AE$9:$AE$1592,0)),INDEX('SKU明细'!$I$9:$I$1592,MATCH("[6574,""1S01-TN-41""]",'SKU明细'!$AE$9:$AE$1592,0)),INDEX('SKU明细'!$I$9:$I$1592,MATCH("[6574,""1S01-TN-37""]",'SKU明细'!$AE$9:$AE$1592,0)),INDEX('SKU明细'!$I$9:$I$1592,MATCH("[6574,""1S01-TN-41.5""]",'SKU明细'!$AE$9:$AE$1592,0)),INDEX('SKU明细'!$I$9:$I$1592,MATCH("[6574,""1S01-TN-37.5""]",'SKU明细'!$AE$9:$AE$1592,0)),INDEX('SKU明细'!$I$9:$I$1592,MATCH("[6574,""1S01-TN-38""]",'SKU明细'!$AE$9:$AE$1592,0)),INDEX('SKU明细'!$I$9:$I$1592,MATCH("[6574,""1S01-TN-42""]",'SKU明细'!$AE$9:$AE$1592,0)),INDEX('SKU明细'!$I$9:$I$1592,MATCH("[6574,""1S01-TN-40""]",'SKU明细'!$AE$9:$AE$1592,0)),INDEX('SKU明细'!$I$9:$I$1592,MATCH("[6574,""1S01-TN-39""]",'SKU明细'!$AE$9:$AE$1592,0)))=10,COUNT(INDEX('SKU明细'!$AD$9:$AD$1592,MATCH("[6574,""1S01-TN-39.5""]",'SKU明细'!$AE$9:$AE$1592,0)),INDEX('SKU明细'!$AD$9:$AD$1592,MATCH("[6574,""1S01-TN-40.5""]",'SKU明细'!$AE$9:$AE$1592,0)),INDEX('SKU明细'!$AD$9:$AD$1592,MATCH("[6574,""1S01-TN-41""]",'SKU明细'!$AE$9:$AE$1592,0)),INDEX('SKU明细'!$AD$9:$AD$1592,MATCH("[6574,""1S01-TN-37""]",'SKU明细'!$AE$9:$AE$1592,0)),INDEX('SKU明细'!$AD$9:$AD$1592,MATCH("[6574,""1S01-TN-41.5""]",'SKU明细'!$AE$9:$AE$1592,0)),INDEX('SKU明细'!$AD$9:$AD$1592,MATCH("[6574,""1S01-TN-37.5""]",'SKU明细'!$AE$9:$AE$1592,0)),INDEX('SKU明细'!$AD$9:$AD$1592,MATCH("[6574,""1S01-TN-38""]",'SKU明细'!$AE$9:$AE$1592,0)),INDEX('SKU明细'!$AD$9:$AD$1592,MATCH("[6574,""1S01-TN-42""]",'SKU明细'!$AE$9:$AE$1592,0)),INDEX('SKU明细'!$AD$9:$AD$1592,MATCH("[6574,""1S01-TN-40""]",'SKU明细'!$AE$9:$AE$1592,0)),INDEX('SKU明细'!$AD$9:$AD$1592,MATCH("[6574,""1S01-TN-39""]",'SKU明细'!$AE$9:$AE$1592,0)))=10,SUM(INDEX('SKU明细'!$AD$9:$AD$1592,MATCH("[6574,""1S01-TN-39.5""]",'SKU明细'!$AE$9:$AE$1592,0)),INDEX('SKU明细'!$AD$9:$AD$1592,MATCH("[6574,""1S01-TN-40.5""]",'SKU明细'!$AE$9:$AE$1592,0)),INDEX('SKU明细'!$AD$9:$AD$1592,MATCH("[6574,""1S01-TN-41""]",'SKU明细'!$AE$9:$AE$1592,0)),INDEX('SKU明细'!$AD$9:$AD$1592,MATCH("[6574,""1S01-TN-37""]",'SKU明细'!$AE$9:$AE$1592,0)),INDEX('SKU明细'!$AD$9:$AD$1592,MATCH("[6574,""1S01-TN-41.5""]",'SKU明细'!$AE$9:$AE$1592,0)),INDEX('SKU明细'!$AD$9:$AD$1592,MATCH("[6574,""1S01-TN-37.5""]",'SKU明细'!$AE$9:$AE$1592,0)),INDEX('SKU明细'!$AD$9:$AD$1592,MATCH("[6574,""1S01-TN-38""]",'SKU明细'!$AE$9:$AE$1592,0)),INDEX('SKU明细'!$AD$9:$AD$1592,MATCH("[6574,""1S01-TN-42""]",'SKU明细'!$AE$9:$AE$1592,0)),INDEX('SKU明细'!$AD$9:$AD$1592,MATCH("[6574,""1S01-TN-40""]",'SKU明细'!$AE$9:$AE$1592,0)),INDEX('SKU明细'!$AD$9:$AD$1592,MATCH("[6574,""1S01-TN-39""]",'SKU明细'!$AE$9:$AE$1592,0)))&gt;0),SUM(INDEX('SKU明细'!$I$9:$I$1592,MATCH("[6574,""1S01-TN-39.5""]",'SKU明细'!$AE$9:$AE$1592,0)),INDEX('SKU明细'!$I$9:$I$1592,MATCH("[6574,""1S01-TN-40.5""]",'SKU明细'!$AE$9:$AE$1592,0)),INDEX('SKU明细'!$I$9:$I$1592,MATCH("[6574,""1S01-TN-41""]",'SKU明细'!$AE$9:$AE$1592,0)),INDEX('SKU明细'!$I$9:$I$1592,MATCH("[6574,""1S01-TN-37""]",'SKU明细'!$AE$9:$AE$1592,0)),INDEX('SKU明细'!$I$9:$I$1592,MATCH("[6574,""1S01-TN-41.5""]",'SKU明细'!$AE$9:$AE$1592,0)),INDEX('SKU明细'!$I$9:$I$1592,MATCH("[6574,""1S01-TN-37.5""]",'SKU明细'!$AE$9:$AE$1592,0)),INDEX('SKU明细'!$I$9:$I$1592,MATCH("[6574,""1S01-TN-38""]",'SKU明细'!$AE$9:$AE$1592,0)),INDEX('SKU明细'!$I$9:$I$1592,MATCH("[6574,""1S01-TN-42""]",'SKU明细'!$AE$9:$AE$1592,0)),INDEX('SKU明细'!$I$9:$I$1592,MATCH("[6574,""1S01-TN-40""]",'SKU明细'!$AE$9:$AE$1592,0)),INDEX('SKU明细'!$I$9:$I$1592,MATCH("[6574,""1S01-TN-39""]",'SKU明细'!$AE$9:$AE$1592,0)))/SUM(INDEX('SKU明细'!$AD$9:$AD$1592,MATCH("[6574,""1S01-TN-39.5""]",'SKU明细'!$AE$9:$AE$1592,0)),INDEX('SKU明细'!$AD$9:$AD$1592,MATCH("[6574,""1S01-TN-40.5""]",'SKU明细'!$AE$9:$AE$1592,0)),INDEX('SKU明细'!$AD$9:$AD$1592,MATCH("[6574,""1S01-TN-41""]",'SKU明细'!$AE$9:$AE$1592,0)),INDEX('SKU明细'!$AD$9:$AD$1592,MATCH("[6574,""1S01-TN-37""]",'SKU明细'!$AE$9:$AE$1592,0)),INDEX('SKU明细'!$AD$9:$AD$1592,MATCH("[6574,""1S01-TN-41.5""]",'SKU明细'!$AE$9:$AE$1592,0)),INDEX('SKU明细'!$AD$9:$AD$1592,MATCH("[6574,""1S01-TN-37.5""]",'SKU明细'!$AE$9:$AE$1592,0)),INDEX('SKU明细'!$AD$9:$AD$1592,MATCH("[6574,""1S01-TN-38""]",'SKU明细'!$AE$9:$AE$1592,0)),INDEX('SKU明细'!$AD$9:$AD$1592,MATCH("[6574,""1S01-TN-42""]",'SKU明细'!$AE$9:$AE$1592,0)),INDEX('SKU明细'!$AD$9:$AD$1592,MATCH("[6574,""1S01-TN-40""]",'SKU明细'!$AE$9:$AE$1592,0)),INDEX('SKU明细'!$AD$9:$AD$1592,MATCH("[6574,""1S01-TN-39""]",'SKU明细'!$AE$9:$AE$1592,0))),"待核")</x:f>
        <x:v>待核</x:v>
      </x:c>
      <x:c r="U179" s="16" t="str">
        <x:f>IF(COUNT(S179:T179)=2,S179-T179,"待核")</x:f>
        <x:v>待核</x:v>
      </x:c>
      <x:c r="V179" s="17" t="str">
        <x:f>IF(AND(ISNUMBER(U179),ISNUMBER(T179),T179&lt;&gt;0),U179/T179,"")</x:f>
      </x:c>
      <x:c r="W179" s="18" t="n">
        <x:f>IF(COUNT(INDEX('SKU明细'!$H$9:$H$1592,MATCH("[6574,""1S01-TN-39.5""]",'SKU明细'!$AE$9:$AE$1592,0)),INDEX('SKU明细'!$H$9:$H$1592,MATCH("[6574,""1S01-TN-40.5""]",'SKU明细'!$AE$9:$AE$1592,0)),INDEX('SKU明细'!$H$9:$H$1592,MATCH("[6574,""1S01-TN-41""]",'SKU明细'!$AE$9:$AE$1592,0)),INDEX('SKU明细'!$H$9:$H$1592,MATCH("[6574,""1S01-TN-37""]",'SKU明细'!$AE$9:$AE$1592,0)),INDEX('SKU明细'!$H$9:$H$1592,MATCH("[6574,""1S01-TN-41.5""]",'SKU明细'!$AE$9:$AE$1592,0)),INDEX('SKU明细'!$H$9:$H$1592,MATCH("[6574,""1S01-TN-36""]",'SKU明细'!$AE$9:$AE$1592,0)),INDEX('SKU明细'!$H$9:$H$1592,MATCH("[6574,""1S01-TN-37.5""]",'SKU明细'!$AE$9:$AE$1592,0)),INDEX('SKU明细'!$H$9:$H$1592,MATCH("[6574,""1S01-TN-38""]",'SKU明细'!$AE$9:$AE$1592,0)),INDEX('SKU明细'!$H$9:$H$1592,MATCH("[6574,""1S01-TN-38.5""]",'SKU明细'!$AE$9:$AE$1592,0)),INDEX('SKU明细'!$H$9:$H$1592,MATCH("[6574,""1S01-TN-42""]",'SKU明细'!$AE$9:$AE$1592,0)),INDEX('SKU明细'!$H$9:$H$1592,MATCH("[6574,""1S01-TN-40""]",'SKU明细'!$AE$9:$AE$1592,0)),INDEX('SKU明细'!$H$9:$H$1592,MATCH("[6574,""1S01-TN-39""]",'SKU明细'!$AE$9:$AE$1592,0)))=0,"待核",SUM(INDEX('SKU明细'!$H$9:$H$1592,MATCH("[6574,""1S01-TN-39.5""]",'SKU明细'!$AE$9:$AE$1592,0)),INDEX('SKU明细'!$H$9:$H$1592,MATCH("[6574,""1S01-TN-40.5""]",'SKU明细'!$AE$9:$AE$1592,0)),INDEX('SKU明细'!$H$9:$H$1592,MATCH("[6574,""1S01-TN-41""]",'SKU明细'!$AE$9:$AE$1592,0)),INDEX('SKU明细'!$H$9:$H$1592,MATCH("[6574,""1S01-TN-37""]",'SKU明细'!$AE$9:$AE$1592,0)),INDEX('SKU明细'!$H$9:$H$1592,MATCH("[6574,""1S01-TN-41.5""]",'SKU明细'!$AE$9:$AE$1592,0)),INDEX('SKU明细'!$H$9:$H$1592,MATCH("[6574,""1S01-TN-36""]",'SKU明细'!$AE$9:$AE$1592,0)),INDEX('SKU明细'!$H$9:$H$1592,MATCH("[6574,""1S01-TN-37.5""]",'SKU明细'!$AE$9:$AE$1592,0)),INDEX('SKU明细'!$H$9:$H$1592,MATCH("[6574,""1S01-TN-38""]",'SKU明细'!$AE$9:$AE$1592,0)),INDEX('SKU明细'!$H$9:$H$1592,MATCH("[6574,""1S01-TN-38.5""]",'SKU明细'!$AE$9:$AE$1592,0)),INDEX('SKU明细'!$H$9:$H$1592,MATCH("[6574,""1S01-TN-42""]",'SKU明细'!$AE$9:$AE$1592,0)),INDEX('SKU明细'!$H$9:$H$1592,MATCH("[6574,""1S01-TN-40""]",'SKU明细'!$AE$9:$AE$1592,0)),INDEX('SKU明细'!$H$9:$H$1592,MATCH("[6574,""1S01-TN-39""]",'SKU明细'!$AE$9:$AE$1592,0))))</x:f>
        <x:v>175</x:v>
      </x:c>
      <x:c r="X179" s="19" t="str">
        <x:f>IF(COUNTIFS('SKU明细'!$AH$9:$AH$1592,"[""1S01"",""1S01-TN"",""TN"",""驼色""]",'SKU明细'!$E$9:$E$1592,"促销")&gt;0,"促销 ","")&amp;IF(COUNTIFS('SKU明细'!$AH$9:$AH$1592,"[""1S01"",""1S01-TN"",""TN"",""驼色""]",'SKU明细'!$E$9:$E$1592,"红线促销")&gt;0,"红线促销 ","")&amp;IF(COUNTIFS('SKU明细'!$AH$9:$AH$1592,"[""1S01"",""1S01-TN"",""TN"",""驼色""]",'SKU明细'!$E$9:$E$1592,"考虑清仓")&gt;0,"考虑清仓 ","")&amp;IF(COUNTIFS('SKU明细'!$AH$9:$AH$1592,"[""1S01"",""1S01-TN"",""TN"",""驼色""]",'SKU明细'!$E$9:$E$1592,"断货")&gt;0,"断货 ","")&amp;IF(COUNTIFS('SKU明细'!$AH$9:$AH$1592,"[""1S01"",""1S01-TN"",""TN"",""驼色""]",'SKU明细'!$E$9:$E$1592,"零日销待复核")&gt;0,"零日销待复核 ","")&amp;IF(COUNTIFS('SKU明细'!$AH$9:$AH$1592,"[""1S01"",""1S01-TN"",""TN"",""驼色""]",'SKU明细'!$E$9:$E$1592,"数据待核")&gt;0,"数据待核 ","")&amp;IF(COUNTIFS('SKU明细'!$AH$9:$AH$1592,"[""1S01"",""1S01-TN"",""TN"",""驼色""]",'SKU明细'!$E$9:$E$1592,"正常库存")&gt;0,"正常库存 ","")&amp;IF(COUNTIFS('SKU明细'!$AH$9:$AH$1592,"[""1S01"",""1S01-TN"",""TN"",""驼色""]",'SKU明细'!$E$9:$E$1592,"补货提醒")&gt;0,"补货提醒 ","")</x:f>
        <x:v>促销 考虑清仓 断货 正常库存 补货提醒 </x:v>
      </x:c>
      <x:c r="Y179" s="19" t="str">
        <x:f>IF(NOT(ISNUMBER(U179)),"覆盖待核／无可比基准","仅共同SKU")</x:f>
        <x:v>覆盖待核／无可比基准</x:v>
      </x:c>
      <x:c r="Z179" s="19" t="str">
        <x:v>在售、停售</x:v>
      </x:c>
      <x:c r="AA179" s="19" t="n">
        <x:f>IF(SUMIFS('SKU明细'!$AF$9:$AF$1592,'SKU明细'!$D$9:$D$1592,A179,'SKU明细'!$Z$9:$Z$1592,"&lt;&gt;移出")=0,"待核",SUMIFS('SKU明细'!$H$9:$H$1592,'SKU明细'!$D$9:$D$1592,A179,'SKU明细'!$Z$9:$Z$1592,"&lt;&gt;移出"))</x:f>
        <x:v>476</x:v>
      </x:c>
    </x:row>
    <x:row r="180" ht="54" customHeight="1">
      <x:c r="A180" s="15" t="str">
        <x:v>1S01</x:v>
      </x:c>
      <x:c r="B180" s="15" t="str">
        <x:v>徐新怡</x:v>
      </x:c>
      <x:c r="C180" s="15" t="str">
        <x:v>银色金属</x:v>
      </x:c>
      <x:c r="D180" s="15" t="str">
        <x:v>TV</x:v>
      </x:c>
      <x:c r="E180" s="15" t="str">
        <x:v>1S01-TV</x:v>
      </x:c>
      <x:c r="F180" s="15"/>
      <x:c r="G180" s="16" t="str">
        <x:f>"—"</x:f>
        <x:v>—</x:v>
      </x:c>
      <x:c r="H180" s="16" t="str">
        <x:f>IF(AND(COUNT(INDEX('SKU明细'!$H$9:$H$1592,MATCH("[13120,""1S01-TV-37""]",'SKU明细'!$AE$9:$AE$1592,0)))=1,COUNT(INDEX('SKU明细'!$G$9:$G$1592,MATCH("[13120,""1S01-TV-37""]",'SKU明细'!$AE$9:$AE$1592,0)))=1,SUM(INDEX('SKU明细'!$G$9:$G$1592,MATCH("[13120,""1S01-TV-37""]",'SKU明细'!$AE$9:$AE$1592,0)))&gt;0),SUM(INDEX('SKU明细'!$H$9:$H$1592,MATCH("[13120,""1S01-TV-37""]",'SKU明细'!$AE$9:$AE$1592,0)))/SUM(INDEX('SKU明细'!$G$9:$G$1592,MATCH("[13120,""1S01-TV-37""]",'SKU明细'!$AE$9:$AE$1592,0))),"待核")</x:f>
        <x:v>待核</x:v>
      </x:c>
      <x:c r="I180" s="16" t="str">
        <x:f>IF(AND(COUNT(INDEX('SKU明细'!$H$9:$H$1592,MATCH("[13120,""1S01-TV-37.5""]",'SKU明细'!$AE$9:$AE$1592,0)))=1,COUNT(INDEX('SKU明细'!$G$9:$G$1592,MATCH("[13120,""1S01-TV-37.5""]",'SKU明细'!$AE$9:$AE$1592,0)))=1,SUM(INDEX('SKU明细'!$G$9:$G$1592,MATCH("[13120,""1S01-TV-37.5""]",'SKU明细'!$AE$9:$AE$1592,0)))&gt;0),SUM(INDEX('SKU明细'!$H$9:$H$1592,MATCH("[13120,""1S01-TV-37.5""]",'SKU明细'!$AE$9:$AE$1592,0)))/SUM(INDEX('SKU明细'!$G$9:$G$1592,MATCH("[13120,""1S01-TV-37.5""]",'SKU明细'!$AE$9:$AE$1592,0))),"待核")</x:f>
        <x:v>待核</x:v>
      </x:c>
      <x:c r="J180" s="16" t="str">
        <x:f>IF(AND(COUNT(INDEX('SKU明细'!$H$9:$H$1592,MATCH("[13120,""1S01-TV-38""]",'SKU明细'!$AE$9:$AE$1592,0)))=1,COUNT(INDEX('SKU明细'!$G$9:$G$1592,MATCH("[13120,""1S01-TV-38""]",'SKU明细'!$AE$9:$AE$1592,0)))=1,SUM(INDEX('SKU明细'!$G$9:$G$1592,MATCH("[13120,""1S01-TV-38""]",'SKU明细'!$AE$9:$AE$1592,0)))&gt;0),SUM(INDEX('SKU明细'!$H$9:$H$1592,MATCH("[13120,""1S01-TV-38""]",'SKU明细'!$AE$9:$AE$1592,0)))/SUM(INDEX('SKU明细'!$G$9:$G$1592,MATCH("[13120,""1S01-TV-38""]",'SKU明细'!$AE$9:$AE$1592,0))),"待核")</x:f>
        <x:v>待核</x:v>
      </x:c>
      <x:c r="K180" s="16" t="str">
        <x:f>IF(AND(COUNT(INDEX('SKU明细'!$H$9:$H$1592,MATCH("[13120,""1S01-TV-38.5""]",'SKU明细'!$AE$9:$AE$1592,0)))=1,COUNT(INDEX('SKU明细'!$G$9:$G$1592,MATCH("[13120,""1S01-TV-38.5""]",'SKU明细'!$AE$9:$AE$1592,0)))=1,SUM(INDEX('SKU明细'!$G$9:$G$1592,MATCH("[13120,""1S01-TV-38.5""]",'SKU明细'!$AE$9:$AE$1592,0)))&gt;0),SUM(INDEX('SKU明细'!$H$9:$H$1592,MATCH("[13120,""1S01-TV-38.5""]",'SKU明细'!$AE$9:$AE$1592,0)))/SUM(INDEX('SKU明细'!$G$9:$G$1592,MATCH("[13120,""1S01-TV-38.5""]",'SKU明细'!$AE$9:$AE$1592,0))),"待核")</x:f>
        <x:v>待核</x:v>
      </x:c>
      <x:c r="L180" s="16" t="str">
        <x:f>IF(AND(COUNT(INDEX('SKU明细'!$H$9:$H$1592,MATCH("[13120,""1S01-TV-39""]",'SKU明细'!$AE$9:$AE$1592,0)))=1,COUNT(INDEX('SKU明细'!$G$9:$G$1592,MATCH("[13120,""1S01-TV-39""]",'SKU明细'!$AE$9:$AE$1592,0)))=1,SUM(INDEX('SKU明细'!$G$9:$G$1592,MATCH("[13120,""1S01-TV-39""]",'SKU明细'!$AE$9:$AE$1592,0)))&gt;0),SUM(INDEX('SKU明细'!$H$9:$H$1592,MATCH("[13120,""1S01-TV-39""]",'SKU明细'!$AE$9:$AE$1592,0)))/SUM(INDEX('SKU明细'!$G$9:$G$1592,MATCH("[13120,""1S01-TV-39""]",'SKU明细'!$AE$9:$AE$1592,0))),"待核")</x:f>
        <x:v>待核</x:v>
      </x:c>
      <x:c r="M180" s="16" t="str">
        <x:f>IF(AND(COUNT(INDEX('SKU明细'!$H$9:$H$1592,MATCH("[13120,""1S01-TV-39.5""]",'SKU明细'!$AE$9:$AE$1592,0)))=1,COUNT(INDEX('SKU明细'!$G$9:$G$1592,MATCH("[13120,""1S01-TV-39.5""]",'SKU明细'!$AE$9:$AE$1592,0)))=1,SUM(INDEX('SKU明细'!$G$9:$G$1592,MATCH("[13120,""1S01-TV-39.5""]",'SKU明细'!$AE$9:$AE$1592,0)))&gt;0),SUM(INDEX('SKU明细'!$H$9:$H$1592,MATCH("[13120,""1S01-TV-39.5""]",'SKU明细'!$AE$9:$AE$1592,0)))/SUM(INDEX('SKU明细'!$G$9:$G$1592,MATCH("[13120,""1S01-TV-39.5""]",'SKU明细'!$AE$9:$AE$1592,0))),"待核")</x:f>
        <x:v>待核</x:v>
      </x:c>
      <x:c r="N180" s="16" t="str">
        <x:f>IF(AND(COUNT(INDEX('SKU明细'!$H$9:$H$1592,MATCH("[13120,""1S01-TV-40""]",'SKU明细'!$AE$9:$AE$1592,0)))=1,COUNT(INDEX('SKU明细'!$G$9:$G$1592,MATCH("[13120,""1S01-TV-40""]",'SKU明细'!$AE$9:$AE$1592,0)))=1,SUM(INDEX('SKU明细'!$G$9:$G$1592,MATCH("[13120,""1S01-TV-40""]",'SKU明细'!$AE$9:$AE$1592,0)))&gt;0),SUM(INDEX('SKU明细'!$H$9:$H$1592,MATCH("[13120,""1S01-TV-40""]",'SKU明细'!$AE$9:$AE$1592,0)))/SUM(INDEX('SKU明细'!$G$9:$G$1592,MATCH("[13120,""1S01-TV-40""]",'SKU明细'!$AE$9:$AE$1592,0))),"待核")</x:f>
        <x:v>待核</x:v>
      </x:c>
      <x:c r="O180" s="16" t="str">
        <x:f>IF(AND(COUNT(INDEX('SKU明细'!$H$9:$H$1592,MATCH("[13120,""1S01-TV-40.5""]",'SKU明细'!$AE$9:$AE$1592,0)))=1,COUNT(INDEX('SKU明细'!$G$9:$G$1592,MATCH("[13120,""1S01-TV-40.5""]",'SKU明细'!$AE$9:$AE$1592,0)))=1,SUM(INDEX('SKU明细'!$G$9:$G$1592,MATCH("[13120,""1S01-TV-40.5""]",'SKU明细'!$AE$9:$AE$1592,0)))&gt;0),SUM(INDEX('SKU明细'!$H$9:$H$1592,MATCH("[13120,""1S01-TV-40.5""]",'SKU明细'!$AE$9:$AE$1592,0)))/SUM(INDEX('SKU明细'!$G$9:$G$1592,MATCH("[13120,""1S01-TV-40.5""]",'SKU明细'!$AE$9:$AE$1592,0))),"待核")</x:f>
        <x:v>待核</x:v>
      </x:c>
      <x:c r="P180" s="16" t="str">
        <x:f>IF(AND(COUNT(INDEX('SKU明细'!$H$9:$H$1592,MATCH("[13120,""1S01-TV-41""]",'SKU明细'!$AE$9:$AE$1592,0)))=1,COUNT(INDEX('SKU明细'!$G$9:$G$1592,MATCH("[13120,""1S01-TV-41""]",'SKU明细'!$AE$9:$AE$1592,0)))=1,SUM(INDEX('SKU明细'!$G$9:$G$1592,MATCH("[13120,""1S01-TV-41""]",'SKU明细'!$AE$9:$AE$1592,0)))&gt;0),SUM(INDEX('SKU明细'!$H$9:$H$1592,MATCH("[13120,""1S01-TV-41""]",'SKU明细'!$AE$9:$AE$1592,0)))/SUM(INDEX('SKU明细'!$G$9:$G$1592,MATCH("[13120,""1S01-TV-41""]",'SKU明细'!$AE$9:$AE$1592,0))),"待核")</x:f>
        <x:v>待核</x:v>
      </x:c>
      <x:c r="Q180" s="16" t="str">
        <x:f>IF(AND(COUNT(INDEX('SKU明细'!$H$9:$H$1592,MATCH("[13120,""1S01-TV-41.5""]",'SKU明细'!$AE$9:$AE$1592,0)))=1,COUNT(INDEX('SKU明细'!$G$9:$G$1592,MATCH("[13120,""1S01-TV-41.5""]",'SKU明细'!$AE$9:$AE$1592,0)))=1,SUM(INDEX('SKU明细'!$G$9:$G$1592,MATCH("[13120,""1S01-TV-41.5""]",'SKU明细'!$AE$9:$AE$1592,0)))&gt;0),SUM(INDEX('SKU明细'!$H$9:$H$1592,MATCH("[13120,""1S01-TV-41.5""]",'SKU明细'!$AE$9:$AE$1592,0)))/SUM(INDEX('SKU明细'!$G$9:$G$1592,MATCH("[13120,""1S01-TV-41.5""]",'SKU明细'!$AE$9:$AE$1592,0))),"待核")</x:f>
        <x:v>待核</x:v>
      </x:c>
      <x:c r="R180" s="16" t="str">
        <x:f>IF(AND(COUNT(INDEX('SKU明细'!$H$9:$H$1592,MATCH("[13120,""1S01-TV-42""]",'SKU明细'!$AE$9:$AE$1592,0)))=1,COUNT(INDEX('SKU明细'!$G$9:$G$1592,MATCH("[13120,""1S01-TV-42""]",'SKU明细'!$AE$9:$AE$1592,0)))=1,SUM(INDEX('SKU明细'!$G$9:$G$1592,MATCH("[13120,""1S01-TV-42""]",'SKU明细'!$AE$9:$AE$1592,0)))&gt;0),SUM(INDEX('SKU明细'!$H$9:$H$1592,MATCH("[13120,""1S01-TV-42""]",'SKU明细'!$AE$9:$AE$1592,0)))/SUM(INDEX('SKU明细'!$G$9:$G$1592,MATCH("[13120,""1S01-TV-42""]",'SKU明细'!$AE$9:$AE$1592,0))),"待核")</x:f>
        <x:v>待核</x:v>
      </x:c>
      <x:c r="S180" s="16" t="str">
        <x:f>"—"</x:f>
        <x:v>—</x:v>
      </x:c>
      <x:c r="T180" s="16" t="str">
        <x:f>"—"</x:f>
        <x:v>—</x:v>
      </x:c>
      <x:c r="U180" s="16" t="str">
        <x:f>IF(COUNT(S180:T180)=2,S180-T180,"待核")</x:f>
        <x:v>待核</x:v>
      </x:c>
      <x:c r="V180" s="17" t="str">
        <x:f>IF(AND(ISNUMBER(U180),ISNUMBER(T180),T180&lt;&gt;0),U180/T180,"")</x:f>
      </x:c>
      <x:c r="W180" s="18" t="str">
        <x:f>IF(COUNT(INDEX('SKU明细'!$H$9:$H$1592,MATCH("[13120,""1S01-TV-37""]",'SKU明细'!$AE$9:$AE$1592,0)),INDEX('SKU明细'!$H$9:$H$1592,MATCH("[13120,""1S01-TV-37.5""]",'SKU明细'!$AE$9:$AE$1592,0)),INDEX('SKU明细'!$H$9:$H$1592,MATCH("[13120,""1S01-TV-38""]",'SKU明细'!$AE$9:$AE$1592,0)),INDEX('SKU明细'!$H$9:$H$1592,MATCH("[13120,""1S01-TV-38.5""]",'SKU明细'!$AE$9:$AE$1592,0)),INDEX('SKU明细'!$H$9:$H$1592,MATCH("[13120,""1S01-TV-39""]",'SKU明细'!$AE$9:$AE$1592,0)),INDEX('SKU明细'!$H$9:$H$1592,MATCH("[13120,""1S01-TV-39.5""]",'SKU明细'!$AE$9:$AE$1592,0)),INDEX('SKU明细'!$H$9:$H$1592,MATCH("[13120,""1S01-TV-40""]",'SKU明细'!$AE$9:$AE$1592,0)),INDEX('SKU明细'!$H$9:$H$1592,MATCH("[13120,""1S01-TV-40.5""]",'SKU明细'!$AE$9:$AE$1592,0)),INDEX('SKU明细'!$H$9:$H$1592,MATCH("[13120,""1S01-TV-41""]",'SKU明细'!$AE$9:$AE$1592,0)),INDEX('SKU明细'!$H$9:$H$1592,MATCH("[13120,""1S01-TV-41.5""]",'SKU明细'!$AE$9:$AE$1592,0)),INDEX('SKU明细'!$H$9:$H$1592,MATCH("[13120,""1S01-TV-42""]",'SKU明细'!$AE$9:$AE$1592,0)))=0,"待核",SUM(INDEX('SKU明细'!$H$9:$H$1592,MATCH("[13120,""1S01-TV-37""]",'SKU明细'!$AE$9:$AE$1592,0)),INDEX('SKU明细'!$H$9:$H$1592,MATCH("[13120,""1S01-TV-37.5""]",'SKU明细'!$AE$9:$AE$1592,0)),INDEX('SKU明细'!$H$9:$H$1592,MATCH("[13120,""1S01-TV-38""]",'SKU明细'!$AE$9:$AE$1592,0)),INDEX('SKU明细'!$H$9:$H$1592,MATCH("[13120,""1S01-TV-38.5""]",'SKU明细'!$AE$9:$AE$1592,0)),INDEX('SKU明细'!$H$9:$H$1592,MATCH("[13120,""1S01-TV-39""]",'SKU明细'!$AE$9:$AE$1592,0)),INDEX('SKU明细'!$H$9:$H$1592,MATCH("[13120,""1S01-TV-39.5""]",'SKU明细'!$AE$9:$AE$1592,0)),INDEX('SKU明细'!$H$9:$H$1592,MATCH("[13120,""1S01-TV-40""]",'SKU明细'!$AE$9:$AE$1592,0)),INDEX('SKU明细'!$H$9:$H$1592,MATCH("[13120,""1S01-TV-40.5""]",'SKU明细'!$AE$9:$AE$1592,0)),INDEX('SKU明细'!$H$9:$H$1592,MATCH("[13120,""1S01-TV-41""]",'SKU明细'!$AE$9:$AE$1592,0)),INDEX('SKU明细'!$H$9:$H$1592,MATCH("[13120,""1S01-TV-41.5""]",'SKU明细'!$AE$9:$AE$1592,0)),INDEX('SKU明细'!$H$9:$H$1592,MATCH("[13120,""1S01-TV-42""]",'SKU明细'!$AE$9:$AE$1592,0))))</x:f>
        <x:v>待核</x:v>
      </x:c>
      <x:c r="X180" s="19" t="str">
        <x:f>IF(COUNTIFS('SKU明细'!$AH$9:$AH$1592,"[""1S01"",""1S01-TV"",""TV"",""银色金属""]",'SKU明细'!$E$9:$E$1592,"促销")&gt;0,"促销 ","")&amp;IF(COUNTIFS('SKU明细'!$AH$9:$AH$1592,"[""1S01"",""1S01-TV"",""TV"",""银色金属""]",'SKU明细'!$E$9:$E$1592,"红线促销")&gt;0,"红线促销 ","")&amp;IF(COUNTIFS('SKU明细'!$AH$9:$AH$1592,"[""1S01"",""1S01-TV"",""TV"",""银色金属""]",'SKU明细'!$E$9:$E$1592,"考虑清仓")&gt;0,"考虑清仓 ","")&amp;IF(COUNTIFS('SKU明细'!$AH$9:$AH$1592,"[""1S01"",""1S01-TV"",""TV"",""银色金属""]",'SKU明细'!$E$9:$E$1592,"断货")&gt;0,"断货 ","")&amp;IF(COUNTIFS('SKU明细'!$AH$9:$AH$1592,"[""1S01"",""1S01-TV"",""TV"",""银色金属""]",'SKU明细'!$E$9:$E$1592,"零日销待复核")&gt;0,"零日销待复核 ","")&amp;IF(COUNTIFS('SKU明细'!$AH$9:$AH$1592,"[""1S01"",""1S01-TV"",""TV"",""银色金属""]",'SKU明细'!$E$9:$E$1592,"数据待核")&gt;0,"数据待核 ","")&amp;IF(COUNTIFS('SKU明细'!$AH$9:$AH$1592,"[""1S01"",""1S01-TV"",""TV"",""银色金属""]",'SKU明细'!$E$9:$E$1592,"正常库存")&gt;0,"正常库存 ","")&amp;IF(COUNTIFS('SKU明细'!$AH$9:$AH$1592,"[""1S01"",""1S01-TV"",""TV"",""银色金属""]",'SKU明细'!$E$9:$E$1592,"补货提醒")&gt;0,"补货提醒 ","")</x:f>
        <x:v>数据待核 </x:v>
      </x:c>
      <x:c r="Y180" s="19" t="str">
        <x:f>IF(NOT(ISNUMBER(U180)),"覆盖待核／无可比基准","仅共同SKU")</x:f>
        <x:v>覆盖待核／无可比基准</x:v>
      </x:c>
      <x:c r="Z180" s="19" t="str">
        <x:v>停售</x:v>
      </x:c>
      <x:c r="AA180" s="19" t="n">
        <x:f>IF(SUMIFS('SKU明细'!$AF$9:$AF$1592,'SKU明细'!$D$9:$D$1592,A180,'SKU明细'!$Z$9:$Z$1592,"&lt;&gt;移出")=0,"待核",SUMIFS('SKU明细'!$H$9:$H$1592,'SKU明细'!$D$9:$D$1592,A180,'SKU明细'!$Z$9:$Z$1592,"&lt;&gt;移出"))</x:f>
        <x:v>476</x:v>
      </x:c>
    </x:row>
    <x:row r="181" ht="54" customHeight="1">
      <x:c r="A181" s="15" t="str">
        <x:v>1S01</x:v>
      </x:c>
      <x:c r="B181" s="15" t="str">
        <x:v>徐新怡</x:v>
      </x:c>
      <x:c r="C181" s="15" t="str">
        <x:v>白色</x:v>
      </x:c>
      <x:c r="D181" s="15" t="str">
        <x:v>WT</x:v>
      </x:c>
      <x:c r="E181" s="15" t="str">
        <x:v>1S01-WT</x:v>
      </x:c>
      <x:c r="F181" s="15"/>
      <x:c r="G181" s="16" t="str">
        <x:f>"—"</x:f>
        <x:v>—</x:v>
      </x:c>
      <x:c r="H181" s="16" t="str">
        <x:f>IF(AND(COUNT(INDEX('SKU明细'!$H$9:$H$1592,MATCH("[6574,""1S01-WT-6""]",'SKU明细'!$AE$9:$AE$1592,0)))=1,COUNT(INDEX('SKU明细'!$G$9:$G$1592,MATCH("[6574,""1S01-WT-6""]",'SKU明细'!$AE$9:$AE$1592,0)))=1,SUM(INDEX('SKU明细'!$G$9:$G$1592,MATCH("[6574,""1S01-WT-6""]",'SKU明细'!$AE$9:$AE$1592,0)))&gt;0),SUM(INDEX('SKU明细'!$H$9:$H$1592,MATCH("[6574,""1S01-WT-6""]",'SKU明细'!$AE$9:$AE$1592,0)))/SUM(INDEX('SKU明细'!$G$9:$G$1592,MATCH("[6574,""1S01-WT-6""]",'SKU明细'!$AE$9:$AE$1592,0))),"待核")</x:f>
        <x:v>待核</x:v>
      </x:c>
      <x:c r="I181" s="16" t="str">
        <x:f>IF(AND(COUNT(INDEX('SKU明细'!$H$9:$H$1592,MATCH("[6574,""1S01-WT-37.5""]",'SKU明细'!$AE$9:$AE$1592,0)))=1,COUNT(INDEX('SKU明细'!$G$9:$G$1592,MATCH("[6574,""1S01-WT-37.5""]",'SKU明细'!$AE$9:$AE$1592,0)))=1,SUM(INDEX('SKU明细'!$G$9:$G$1592,MATCH("[6574,""1S01-WT-37.5""]",'SKU明细'!$AE$9:$AE$1592,0)))&gt;0),SUM(INDEX('SKU明细'!$H$9:$H$1592,MATCH("[6574,""1S01-WT-37.5""]",'SKU明细'!$AE$9:$AE$1592,0)))/SUM(INDEX('SKU明细'!$G$9:$G$1592,MATCH("[6574,""1S01-WT-37.5""]",'SKU明细'!$AE$9:$AE$1592,0))),"待核")</x:f>
        <x:v>待核</x:v>
      </x:c>
      <x:c r="J181" s="16" t="str">
        <x:f>IF(AND(COUNT(INDEX('SKU明细'!$H$9:$H$1592,MATCH("[6574,""1S01-WT-7""]",'SKU明细'!$AE$9:$AE$1592,0)))=1,COUNT(INDEX('SKU明细'!$G$9:$G$1592,MATCH("[6574,""1S01-WT-7""]",'SKU明细'!$AE$9:$AE$1592,0)))=1,SUM(INDEX('SKU明细'!$G$9:$G$1592,MATCH("[6574,""1S01-WT-7""]",'SKU明细'!$AE$9:$AE$1592,0)))&gt;0),SUM(INDEX('SKU明细'!$H$9:$H$1592,MATCH("[6574,""1S01-WT-7""]",'SKU明细'!$AE$9:$AE$1592,0)))/SUM(INDEX('SKU明细'!$G$9:$G$1592,MATCH("[6574,""1S01-WT-7""]",'SKU明细'!$AE$9:$AE$1592,0))),"待核")</x:f>
        <x:v>待核</x:v>
      </x:c>
      <x:c r="K181" s="16" t="str">
        <x:f>IF(AND(COUNT(INDEX('SKU明细'!$H$9:$H$1592,MATCH("[6574,""1S01-WT-38.5""]",'SKU明细'!$AE$9:$AE$1592,0)))=1,COUNT(INDEX('SKU明细'!$G$9:$G$1592,MATCH("[6574,""1S01-WT-38.5""]",'SKU明细'!$AE$9:$AE$1592,0)))=1,SUM(INDEX('SKU明细'!$G$9:$G$1592,MATCH("[6574,""1S01-WT-38.5""]",'SKU明细'!$AE$9:$AE$1592,0)))&gt;0),SUM(INDEX('SKU明细'!$H$9:$H$1592,MATCH("[6574,""1S01-WT-38.5""]",'SKU明细'!$AE$9:$AE$1592,0)))/SUM(INDEX('SKU明细'!$G$9:$G$1592,MATCH("[6574,""1S01-WT-38.5""]",'SKU明细'!$AE$9:$AE$1592,0))),"待核")</x:f>
        <x:v>待核</x:v>
      </x:c>
      <x:c r="L181" s="16" t="str">
        <x:f>IF(AND(COUNT(INDEX('SKU明细'!$H$9:$H$1592,MATCH("[6574,""1S01-WT-8""]",'SKU明细'!$AE$9:$AE$1592,0)))=1,COUNT(INDEX('SKU明细'!$G$9:$G$1592,MATCH("[6574,""1S01-WT-8""]",'SKU明细'!$AE$9:$AE$1592,0)))=1,SUM(INDEX('SKU明细'!$G$9:$G$1592,MATCH("[6574,""1S01-WT-8""]",'SKU明细'!$AE$9:$AE$1592,0)))&gt;0),SUM(INDEX('SKU明细'!$H$9:$H$1592,MATCH("[6574,""1S01-WT-8""]",'SKU明细'!$AE$9:$AE$1592,0)))/SUM(INDEX('SKU明细'!$G$9:$G$1592,MATCH("[6574,""1S01-WT-8""]",'SKU明细'!$AE$9:$AE$1592,0))),"待核")</x:f>
        <x:v>待核</x:v>
      </x:c>
      <x:c r="M181" s="16" t="str">
        <x:f>IF(AND(COUNT(INDEX('SKU明细'!$H$9:$H$1592,MATCH("[6574,""1S01-WT-39.5""]",'SKU明细'!$AE$9:$AE$1592,0)))=1,COUNT(INDEX('SKU明细'!$G$9:$G$1592,MATCH("[6574,""1S01-WT-39.5""]",'SKU明细'!$AE$9:$AE$1592,0)))=1,SUM(INDEX('SKU明细'!$G$9:$G$1592,MATCH("[6574,""1S01-WT-39.5""]",'SKU明细'!$AE$9:$AE$1592,0)))&gt;0),SUM(INDEX('SKU明细'!$H$9:$H$1592,MATCH("[6574,""1S01-WT-39.5""]",'SKU明细'!$AE$9:$AE$1592,0)))/SUM(INDEX('SKU明细'!$G$9:$G$1592,MATCH("[6574,""1S01-WT-39.5""]",'SKU明细'!$AE$9:$AE$1592,0))),"待核")</x:f>
        <x:v>待核</x:v>
      </x:c>
      <x:c r="N181" s="16" t="str">
        <x:f>IF(AND(COUNT(INDEX('SKU明细'!$H$9:$H$1592,MATCH("[6574,""1S01-WT-9""]",'SKU明细'!$AE$9:$AE$1592,0)))=1,COUNT(INDEX('SKU明细'!$G$9:$G$1592,MATCH("[6574,""1S01-WT-9""]",'SKU明细'!$AE$9:$AE$1592,0)))=1,SUM(INDEX('SKU明细'!$G$9:$G$1592,MATCH("[6574,""1S01-WT-9""]",'SKU明细'!$AE$9:$AE$1592,0)))&gt;0),SUM(INDEX('SKU明细'!$H$9:$H$1592,MATCH("[6574,""1S01-WT-9""]",'SKU明细'!$AE$9:$AE$1592,0)))/SUM(INDEX('SKU明细'!$G$9:$G$1592,MATCH("[6574,""1S01-WT-9""]",'SKU明细'!$AE$9:$AE$1592,0))),"待核")</x:f>
        <x:v>待核</x:v>
      </x:c>
      <x:c r="O181" s="16" t="str">
        <x:f>IF(AND(COUNT(INDEX('SKU明细'!$H$9:$H$1592,MATCH("[6574,""1S01-WT-40.5""]",'SKU明细'!$AE$9:$AE$1592,0)))=1,COUNT(INDEX('SKU明细'!$G$9:$G$1592,MATCH("[6574,""1S01-WT-40.5""]",'SKU明细'!$AE$9:$AE$1592,0)))=1,SUM(INDEX('SKU明细'!$G$9:$G$1592,MATCH("[6574,""1S01-WT-40.5""]",'SKU明细'!$AE$9:$AE$1592,0)))&gt;0),SUM(INDEX('SKU明细'!$H$9:$H$1592,MATCH("[6574,""1S01-WT-40.5""]",'SKU明细'!$AE$9:$AE$1592,0)))/SUM(INDEX('SKU明细'!$G$9:$G$1592,MATCH("[6574,""1S01-WT-40.5""]",'SKU明细'!$AE$9:$AE$1592,0))),"待核")</x:f>
        <x:v>待核</x:v>
      </x:c>
      <x:c r="P181" s="16" t="str">
        <x:f>IF(AND(COUNT(INDEX('SKU明细'!$H$9:$H$1592,MATCH("[6574,""1S01-WT-10""]",'SKU明细'!$AE$9:$AE$1592,0)))=1,COUNT(INDEX('SKU明细'!$G$9:$G$1592,MATCH("[6574,""1S01-WT-10""]",'SKU明细'!$AE$9:$AE$1592,0)))=1,SUM(INDEX('SKU明细'!$G$9:$G$1592,MATCH("[6574,""1S01-WT-10""]",'SKU明细'!$AE$9:$AE$1592,0)))&gt;0),SUM(INDEX('SKU明细'!$H$9:$H$1592,MATCH("[6574,""1S01-WT-10""]",'SKU明细'!$AE$9:$AE$1592,0)))/SUM(INDEX('SKU明细'!$G$9:$G$1592,MATCH("[6574,""1S01-WT-10""]",'SKU明细'!$AE$9:$AE$1592,0))),"待核")</x:f>
        <x:v>待核</x:v>
      </x:c>
      <x:c r="Q181" s="16" t="str">
        <x:f>IF(AND(COUNT(INDEX('SKU明细'!$H$9:$H$1592,MATCH("[6574,""1S01-WT-41.5""]",'SKU明细'!$AE$9:$AE$1592,0)))=1,COUNT(INDEX('SKU明细'!$G$9:$G$1592,MATCH("[6574,""1S01-WT-41.5""]",'SKU明细'!$AE$9:$AE$1592,0)))=1,SUM(INDEX('SKU明细'!$G$9:$G$1592,MATCH("[6574,""1S01-WT-41.5""]",'SKU明细'!$AE$9:$AE$1592,0)))&gt;0),SUM(INDEX('SKU明细'!$H$9:$H$1592,MATCH("[6574,""1S01-WT-41.5""]",'SKU明细'!$AE$9:$AE$1592,0)))/SUM(INDEX('SKU明细'!$G$9:$G$1592,MATCH("[6574,""1S01-WT-41.5""]",'SKU明细'!$AE$9:$AE$1592,0))),"待核")</x:f>
        <x:v>待核</x:v>
      </x:c>
      <x:c r="R181" s="16" t="str">
        <x:f>IF(AND(COUNT(INDEX('SKU明细'!$H$9:$H$1592,MATCH("[6574,""1S01-WT-11""]",'SKU明细'!$AE$9:$AE$1592,0)))=1,COUNT(INDEX('SKU明细'!$G$9:$G$1592,MATCH("[6574,""1S01-WT-11""]",'SKU明细'!$AE$9:$AE$1592,0)))=1,SUM(INDEX('SKU明细'!$G$9:$G$1592,MATCH("[6574,""1S01-WT-11""]",'SKU明细'!$AE$9:$AE$1592,0)))&gt;0),SUM(INDEX('SKU明细'!$H$9:$H$1592,MATCH("[6574,""1S01-WT-11""]",'SKU明细'!$AE$9:$AE$1592,0)))/SUM(INDEX('SKU明细'!$G$9:$G$1592,MATCH("[6574,""1S01-WT-11""]",'SKU明细'!$AE$9:$AE$1592,0))),"待核")</x:f>
        <x:v>待核</x:v>
      </x:c>
      <x:c r="S181" s="16" t="str">
        <x:f>IF(AND(COUNT(INDEX('SKU明细'!$H$9:$H$1592,MATCH("[6574,""1S01-WT-10""]",'SKU明细'!$AE$9:$AE$1592,0)),INDEX('SKU明细'!$H$9:$H$1592,MATCH("[6574,""1S01-WT-11""]",'SKU明细'!$AE$9:$AE$1592,0)),INDEX('SKU明细'!$H$9:$H$1592,MATCH("[6574,""1S01-WT-6""]",'SKU明细'!$AE$9:$AE$1592,0)),INDEX('SKU明细'!$H$9:$H$1592,MATCH("[6574,""1S01-WT-7""]",'SKU明细'!$AE$9:$AE$1592,0)),INDEX('SKU明细'!$H$9:$H$1592,MATCH("[6574,""1S01-WT-8""]",'SKU明细'!$AE$9:$AE$1592,0)),INDEX('SKU明细'!$H$9:$H$1592,MATCH("[6574,""1S01-WT-9""]",'SKU明细'!$AE$9:$AE$1592,0)))=6,COUNT(INDEX('SKU明细'!$G$9:$G$1592,MATCH("[6574,""1S01-WT-10""]",'SKU明细'!$AE$9:$AE$1592,0)),INDEX('SKU明细'!$G$9:$G$1592,MATCH("[6574,""1S01-WT-11""]",'SKU明细'!$AE$9:$AE$1592,0)),INDEX('SKU明细'!$G$9:$G$1592,MATCH("[6574,""1S01-WT-6""]",'SKU明细'!$AE$9:$AE$1592,0)),INDEX('SKU明细'!$G$9:$G$1592,MATCH("[6574,""1S01-WT-7""]",'SKU明细'!$AE$9:$AE$1592,0)),INDEX('SKU明细'!$G$9:$G$1592,MATCH("[6574,""1S01-WT-8""]",'SKU明细'!$AE$9:$AE$1592,0)),INDEX('SKU明细'!$G$9:$G$1592,MATCH("[6574,""1S01-WT-9""]",'SKU明细'!$AE$9:$AE$1592,0)))=6,SUM(INDEX('SKU明细'!$G$9:$G$1592,MATCH("[6574,""1S01-WT-10""]",'SKU明细'!$AE$9:$AE$1592,0)),INDEX('SKU明细'!$G$9:$G$1592,MATCH("[6574,""1S01-WT-11""]",'SKU明细'!$AE$9:$AE$1592,0)),INDEX('SKU明细'!$G$9:$G$1592,MATCH("[6574,""1S01-WT-6""]",'SKU明细'!$AE$9:$AE$1592,0)),INDEX('SKU明细'!$G$9:$G$1592,MATCH("[6574,""1S01-WT-7""]",'SKU明细'!$AE$9:$AE$1592,0)),INDEX('SKU明细'!$G$9:$G$1592,MATCH("[6574,""1S01-WT-8""]",'SKU明细'!$AE$9:$AE$1592,0)),INDEX('SKU明细'!$G$9:$G$1592,MATCH("[6574,""1S01-WT-9""]",'SKU明细'!$AE$9:$AE$1592,0)))&gt;0),SUM(INDEX('SKU明细'!$H$9:$H$1592,MATCH("[6574,""1S01-WT-10""]",'SKU明细'!$AE$9:$AE$1592,0)),INDEX('SKU明细'!$H$9:$H$1592,MATCH("[6574,""1S01-WT-11""]",'SKU明细'!$AE$9:$AE$1592,0)),INDEX('SKU明细'!$H$9:$H$1592,MATCH("[6574,""1S01-WT-6""]",'SKU明细'!$AE$9:$AE$1592,0)),INDEX('SKU明细'!$H$9:$H$1592,MATCH("[6574,""1S01-WT-7""]",'SKU明细'!$AE$9:$AE$1592,0)),INDEX('SKU明细'!$H$9:$H$1592,MATCH("[6574,""1S01-WT-8""]",'SKU明细'!$AE$9:$AE$1592,0)),INDEX('SKU明细'!$H$9:$H$1592,MATCH("[6574,""1S01-WT-9""]",'SKU明细'!$AE$9:$AE$1592,0)))/SUM(INDEX('SKU明细'!$G$9:$G$1592,MATCH("[6574,""1S01-WT-10""]",'SKU明细'!$AE$9:$AE$1592,0)),INDEX('SKU明细'!$G$9:$G$1592,MATCH("[6574,""1S01-WT-11""]",'SKU明细'!$AE$9:$AE$1592,0)),INDEX('SKU明细'!$G$9:$G$1592,MATCH("[6574,""1S01-WT-6""]",'SKU明细'!$AE$9:$AE$1592,0)),INDEX('SKU明细'!$G$9:$G$1592,MATCH("[6574,""1S01-WT-7""]",'SKU明细'!$AE$9:$AE$1592,0)),INDEX('SKU明细'!$G$9:$G$1592,MATCH("[6574,""1S01-WT-8""]",'SKU明细'!$AE$9:$AE$1592,0)),INDEX('SKU明细'!$G$9:$G$1592,MATCH("[6574,""1S01-WT-9""]",'SKU明细'!$AE$9:$AE$1592,0))),"待核")</x:f>
        <x:v>待核</x:v>
      </x:c>
      <x:c r="T181" s="16" t="str">
        <x:f>IF(AND(COUNT(INDEX('SKU明细'!$I$9:$I$1592,MATCH("[6574,""1S01-WT-10""]",'SKU明细'!$AE$9:$AE$1592,0)),INDEX('SKU明细'!$I$9:$I$1592,MATCH("[6574,""1S01-WT-11""]",'SKU明细'!$AE$9:$AE$1592,0)),INDEX('SKU明细'!$I$9:$I$1592,MATCH("[6574,""1S01-WT-6""]",'SKU明细'!$AE$9:$AE$1592,0)),INDEX('SKU明细'!$I$9:$I$1592,MATCH("[6574,""1S01-WT-7""]",'SKU明细'!$AE$9:$AE$1592,0)),INDEX('SKU明细'!$I$9:$I$1592,MATCH("[6574,""1S01-WT-8""]",'SKU明细'!$AE$9:$AE$1592,0)),INDEX('SKU明细'!$I$9:$I$1592,MATCH("[6574,""1S01-WT-9""]",'SKU明细'!$AE$9:$AE$1592,0)))=6,COUNT(INDEX('SKU明细'!$AD$9:$AD$1592,MATCH("[6574,""1S01-WT-10""]",'SKU明细'!$AE$9:$AE$1592,0)),INDEX('SKU明细'!$AD$9:$AD$1592,MATCH("[6574,""1S01-WT-11""]",'SKU明细'!$AE$9:$AE$1592,0)),INDEX('SKU明细'!$AD$9:$AD$1592,MATCH("[6574,""1S01-WT-6""]",'SKU明细'!$AE$9:$AE$1592,0)),INDEX('SKU明细'!$AD$9:$AD$1592,MATCH("[6574,""1S01-WT-7""]",'SKU明细'!$AE$9:$AE$1592,0)),INDEX('SKU明细'!$AD$9:$AD$1592,MATCH("[6574,""1S01-WT-8""]",'SKU明细'!$AE$9:$AE$1592,0)),INDEX('SKU明细'!$AD$9:$AD$1592,MATCH("[6574,""1S01-WT-9""]",'SKU明细'!$AE$9:$AE$1592,0)))=6,SUM(INDEX('SKU明细'!$AD$9:$AD$1592,MATCH("[6574,""1S01-WT-10""]",'SKU明细'!$AE$9:$AE$1592,0)),INDEX('SKU明细'!$AD$9:$AD$1592,MATCH("[6574,""1S01-WT-11""]",'SKU明细'!$AE$9:$AE$1592,0)),INDEX('SKU明细'!$AD$9:$AD$1592,MATCH("[6574,""1S01-WT-6""]",'SKU明细'!$AE$9:$AE$1592,0)),INDEX('SKU明细'!$AD$9:$AD$1592,MATCH("[6574,""1S01-WT-7""]",'SKU明细'!$AE$9:$AE$1592,0)),INDEX('SKU明细'!$AD$9:$AD$1592,MATCH("[6574,""1S01-WT-8""]",'SKU明细'!$AE$9:$AE$1592,0)),INDEX('SKU明细'!$AD$9:$AD$1592,MATCH("[6574,""1S01-WT-9""]",'SKU明细'!$AE$9:$AE$1592,0)))&gt;0),SUM(INDEX('SKU明细'!$I$9:$I$1592,MATCH("[6574,""1S01-WT-10""]",'SKU明细'!$AE$9:$AE$1592,0)),INDEX('SKU明细'!$I$9:$I$1592,MATCH("[6574,""1S01-WT-11""]",'SKU明细'!$AE$9:$AE$1592,0)),INDEX('SKU明细'!$I$9:$I$1592,MATCH("[6574,""1S01-WT-6""]",'SKU明细'!$AE$9:$AE$1592,0)),INDEX('SKU明细'!$I$9:$I$1592,MATCH("[6574,""1S01-WT-7""]",'SKU明细'!$AE$9:$AE$1592,0)),INDEX('SKU明细'!$I$9:$I$1592,MATCH("[6574,""1S01-WT-8""]",'SKU明细'!$AE$9:$AE$1592,0)),INDEX('SKU明细'!$I$9:$I$1592,MATCH("[6574,""1S01-WT-9""]",'SKU明细'!$AE$9:$AE$1592,0)))/SUM(INDEX('SKU明细'!$AD$9:$AD$1592,MATCH("[6574,""1S01-WT-10""]",'SKU明细'!$AE$9:$AE$1592,0)),INDEX('SKU明细'!$AD$9:$AD$1592,MATCH("[6574,""1S01-WT-11""]",'SKU明细'!$AE$9:$AE$1592,0)),INDEX('SKU明细'!$AD$9:$AD$1592,MATCH("[6574,""1S01-WT-6""]",'SKU明细'!$AE$9:$AE$1592,0)),INDEX('SKU明细'!$AD$9:$AD$1592,MATCH("[6574,""1S01-WT-7""]",'SKU明细'!$AE$9:$AE$1592,0)),INDEX('SKU明细'!$AD$9:$AD$1592,MATCH("[6574,""1S01-WT-8""]",'SKU明细'!$AE$9:$AE$1592,0)),INDEX('SKU明细'!$AD$9:$AD$1592,MATCH("[6574,""1S01-WT-9""]",'SKU明细'!$AE$9:$AE$1592,0))),"待核")</x:f>
        <x:v>待核</x:v>
      </x:c>
      <x:c r="U181" s="16" t="str">
        <x:f>IF(COUNT(S181:T181)=2,S181-T181,"待核")</x:f>
        <x:v>待核</x:v>
      </x:c>
      <x:c r="V181" s="17" t="str">
        <x:f>IF(AND(ISNUMBER(U181),ISNUMBER(T181),T181&lt;&gt;0),U181/T181,"")</x:f>
      </x:c>
      <x:c r="W181" s="18" t="n">
        <x:f>IF(COUNT(INDEX('SKU明细'!$H$9:$H$1592,MATCH("[6574,""1S01-WT-10""]",'SKU明细'!$AE$9:$AE$1592,0)),INDEX('SKU明细'!$H$9:$H$1592,MATCH("[6574,""1S01-WT-11""]",'SKU明细'!$AE$9:$AE$1592,0)),INDEX('SKU明细'!$H$9:$H$1592,MATCH("[6574,""1S01-WT-37.5""]",'SKU明细'!$AE$9:$AE$1592,0)),INDEX('SKU明细'!$H$9:$H$1592,MATCH("[6574,""1S01-WT-38.5""]",'SKU明细'!$AE$9:$AE$1592,0)),INDEX('SKU明细'!$H$9:$H$1592,MATCH("[6574,""1S01-WT-39.5""]",'SKU明细'!$AE$9:$AE$1592,0)),INDEX('SKU明细'!$H$9:$H$1592,MATCH("[6574,""1S01-WT-40.5""]",'SKU明细'!$AE$9:$AE$1592,0)),INDEX('SKU明细'!$H$9:$H$1592,MATCH("[6574,""1S01-WT-41.5""]",'SKU明细'!$AE$9:$AE$1592,0)),INDEX('SKU明细'!$H$9:$H$1592,MATCH("[6574,""1S01-WT-6""]",'SKU明细'!$AE$9:$AE$1592,0)),INDEX('SKU明细'!$H$9:$H$1592,MATCH("[6574,""1S01-WT-7""]",'SKU明细'!$AE$9:$AE$1592,0)),INDEX('SKU明细'!$H$9:$H$1592,MATCH("[6574,""1S01-WT-8""]",'SKU明细'!$AE$9:$AE$1592,0)),INDEX('SKU明细'!$H$9:$H$1592,MATCH("[6574,""1S01-WT-9""]",'SKU明细'!$AE$9:$AE$1592,0)))=0,"待核",SUM(INDEX('SKU明细'!$H$9:$H$1592,MATCH("[6574,""1S01-WT-10""]",'SKU明细'!$AE$9:$AE$1592,0)),INDEX('SKU明细'!$H$9:$H$1592,MATCH("[6574,""1S01-WT-11""]",'SKU明细'!$AE$9:$AE$1592,0)),INDEX('SKU明细'!$H$9:$H$1592,MATCH("[6574,""1S01-WT-37.5""]",'SKU明细'!$AE$9:$AE$1592,0)),INDEX('SKU明细'!$H$9:$H$1592,MATCH("[6574,""1S01-WT-38.5""]",'SKU明细'!$AE$9:$AE$1592,0)),INDEX('SKU明细'!$H$9:$H$1592,MATCH("[6574,""1S01-WT-39.5""]",'SKU明细'!$AE$9:$AE$1592,0)),INDEX('SKU明细'!$H$9:$H$1592,MATCH("[6574,""1S01-WT-40.5""]",'SKU明细'!$AE$9:$AE$1592,0)),INDEX('SKU明细'!$H$9:$H$1592,MATCH("[6574,""1S01-WT-41.5""]",'SKU明细'!$AE$9:$AE$1592,0)),INDEX('SKU明细'!$H$9:$H$1592,MATCH("[6574,""1S01-WT-6""]",'SKU明细'!$AE$9:$AE$1592,0)),INDEX('SKU明细'!$H$9:$H$1592,MATCH("[6574,""1S01-WT-7""]",'SKU明细'!$AE$9:$AE$1592,0)),INDEX('SKU明细'!$H$9:$H$1592,MATCH("[6574,""1S01-WT-8""]",'SKU明细'!$AE$9:$AE$1592,0)),INDEX('SKU明细'!$H$9:$H$1592,MATCH("[6574,""1S01-WT-9""]",'SKU明细'!$AE$9:$AE$1592,0))))</x:f>
        <x:v>0</x:v>
      </x:c>
      <x:c r="X181" s="19" t="str">
        <x:f>IF(COUNTIFS('SKU明细'!$AH$9:$AH$1592,"[""1S01"",""1S01-WT"",""WT"",""白色""]",'SKU明细'!$E$9:$E$1592,"促销")&gt;0,"促销 ","")&amp;IF(COUNTIFS('SKU明细'!$AH$9:$AH$1592,"[""1S01"",""1S01-WT"",""WT"",""白色""]",'SKU明细'!$E$9:$E$1592,"红线促销")&gt;0,"红线促销 ","")&amp;IF(COUNTIFS('SKU明细'!$AH$9:$AH$1592,"[""1S01"",""1S01-WT"",""WT"",""白色""]",'SKU明细'!$E$9:$E$1592,"考虑清仓")&gt;0,"考虑清仓 ","")&amp;IF(COUNTIFS('SKU明细'!$AH$9:$AH$1592,"[""1S01"",""1S01-WT"",""WT"",""白色""]",'SKU明细'!$E$9:$E$1592,"断货")&gt;0,"断货 ","")&amp;IF(COUNTIFS('SKU明细'!$AH$9:$AH$1592,"[""1S01"",""1S01-WT"",""WT"",""白色""]",'SKU明细'!$E$9:$E$1592,"零日销待复核")&gt;0,"零日销待复核 ","")&amp;IF(COUNTIFS('SKU明细'!$AH$9:$AH$1592,"[""1S01"",""1S01-WT"",""WT"",""白色""]",'SKU明细'!$E$9:$E$1592,"数据待核")&gt;0,"数据待核 ","")&amp;IF(COUNTIFS('SKU明细'!$AH$9:$AH$1592,"[""1S01"",""1S01-WT"",""WT"",""白色""]",'SKU明细'!$E$9:$E$1592,"正常库存")&gt;0,"正常库存 ","")&amp;IF(COUNTIFS('SKU明细'!$AH$9:$AH$1592,"[""1S01"",""1S01-WT"",""WT"",""白色""]",'SKU明细'!$E$9:$E$1592,"补货提醒")&gt;0,"补货提醒 ","")</x:f>
        <x:v>断货 </x:v>
      </x:c>
      <x:c r="Y181" s="19" t="str">
        <x:f>IF(NOT(ISNUMBER(U181)),"覆盖待核／无可比基准","仅共同SKU")</x:f>
        <x:v>覆盖待核／无可比基准</x:v>
      </x:c>
      <x:c r="Z181" s="19" t="str">
        <x:v>停售</x:v>
      </x:c>
      <x:c r="AA181" s="19" t="n">
        <x:f>IF(SUMIFS('SKU明细'!$AF$9:$AF$1592,'SKU明细'!$D$9:$D$1592,A181,'SKU明细'!$Z$9:$Z$1592,"&lt;&gt;移出")=0,"待核",SUMIFS('SKU明细'!$H$9:$H$1592,'SKU明细'!$D$9:$D$1592,A181,'SKU明细'!$Z$9:$Z$1592,"&lt;&gt;移出"))</x:f>
        <x:v>476</x:v>
      </x:c>
    </x:row>
    <x:row r="182" ht="54" customHeight="1">
      <x:c r="A182" s="15" t="str">
        <x:v>1S01</x:v>
      </x:c>
      <x:c r="B182" s="15" t="str">
        <x:v>徐新怡</x:v>
      </x:c>
      <x:c r="C182" s="15" t="str">
        <x:v>黄色</x:v>
      </x:c>
      <x:c r="D182" s="15" t="str">
        <x:v>YL</x:v>
      </x:c>
      <x:c r="E182" s="15" t="str">
        <x:v>1S01-YL</x:v>
      </x:c>
      <x:c r="F182" s="15"/>
      <x:c r="G182" s="16" t="str">
        <x:f>"—"</x:f>
        <x:v>—</x:v>
      </x:c>
      <x:c r="H182" s="16" t="str">
        <x:f>IF(AND(COUNT(INDEX('SKU明细'!$H$9:$H$1592,MATCH("[13120,""1S01-YL-37""]",'SKU明细'!$AE$9:$AE$1592,0)))=1,COUNT(INDEX('SKU明细'!$G$9:$G$1592,MATCH("[13120,""1S01-YL-37""]",'SKU明细'!$AE$9:$AE$1592,0)))=1,SUM(INDEX('SKU明细'!$G$9:$G$1592,MATCH("[13120,""1S01-YL-37""]",'SKU明细'!$AE$9:$AE$1592,0)))&gt;0),SUM(INDEX('SKU明细'!$H$9:$H$1592,MATCH("[13120,""1S01-YL-37""]",'SKU明细'!$AE$9:$AE$1592,0)))/SUM(INDEX('SKU明细'!$G$9:$G$1592,MATCH("[13120,""1S01-YL-37""]",'SKU明细'!$AE$9:$AE$1592,0))),"待核")</x:f>
        <x:v>待核</x:v>
      </x:c>
      <x:c r="I182" s="16" t="str">
        <x:f>IF(AND(COUNT(INDEX('SKU明细'!$H$9:$H$1592,MATCH("[13120,""1S01-YL-37.5""]",'SKU明细'!$AE$9:$AE$1592,0)))=1,COUNT(INDEX('SKU明细'!$G$9:$G$1592,MATCH("[13120,""1S01-YL-37.5""]",'SKU明细'!$AE$9:$AE$1592,0)))=1,SUM(INDEX('SKU明细'!$G$9:$G$1592,MATCH("[13120,""1S01-YL-37.5""]",'SKU明细'!$AE$9:$AE$1592,0)))&gt;0),SUM(INDEX('SKU明细'!$H$9:$H$1592,MATCH("[13120,""1S01-YL-37.5""]",'SKU明细'!$AE$9:$AE$1592,0)))/SUM(INDEX('SKU明细'!$G$9:$G$1592,MATCH("[13120,""1S01-YL-37.5""]",'SKU明细'!$AE$9:$AE$1592,0))),"待核")</x:f>
        <x:v>待核</x:v>
      </x:c>
      <x:c r="J182" s="16" t="str">
        <x:f>IF(AND(COUNT(INDEX('SKU明细'!$H$9:$H$1592,MATCH("[13120,""1S01-YL-38""]",'SKU明细'!$AE$9:$AE$1592,0)))=1,COUNT(INDEX('SKU明细'!$G$9:$G$1592,MATCH("[13120,""1S01-YL-38""]",'SKU明细'!$AE$9:$AE$1592,0)))=1,SUM(INDEX('SKU明细'!$G$9:$G$1592,MATCH("[13120,""1S01-YL-38""]",'SKU明细'!$AE$9:$AE$1592,0)))&gt;0),SUM(INDEX('SKU明细'!$H$9:$H$1592,MATCH("[13120,""1S01-YL-38""]",'SKU明细'!$AE$9:$AE$1592,0)))/SUM(INDEX('SKU明细'!$G$9:$G$1592,MATCH("[13120,""1S01-YL-38""]",'SKU明细'!$AE$9:$AE$1592,0))),"待核")</x:f>
        <x:v>待核</x:v>
      </x:c>
      <x:c r="K182" s="16" t="str">
        <x:f>IF(AND(COUNT(INDEX('SKU明细'!$H$9:$H$1592,MATCH("[13120,""1S01-YL-38.5""]",'SKU明细'!$AE$9:$AE$1592,0)))=1,COUNT(INDEX('SKU明细'!$G$9:$G$1592,MATCH("[13120,""1S01-YL-38.5""]",'SKU明细'!$AE$9:$AE$1592,0)))=1,SUM(INDEX('SKU明细'!$G$9:$G$1592,MATCH("[13120,""1S01-YL-38.5""]",'SKU明细'!$AE$9:$AE$1592,0)))&gt;0),SUM(INDEX('SKU明细'!$H$9:$H$1592,MATCH("[13120,""1S01-YL-38.5""]",'SKU明细'!$AE$9:$AE$1592,0)))/SUM(INDEX('SKU明细'!$G$9:$G$1592,MATCH("[13120,""1S01-YL-38.5""]",'SKU明细'!$AE$9:$AE$1592,0))),"待核")</x:f>
        <x:v>待核</x:v>
      </x:c>
      <x:c r="L182" s="16" t="str">
        <x:f>IF(AND(COUNT(INDEX('SKU明细'!$H$9:$H$1592,MATCH("[13120,""1S01-YL-39""]",'SKU明细'!$AE$9:$AE$1592,0)))=1,COUNT(INDEX('SKU明细'!$G$9:$G$1592,MATCH("[13120,""1S01-YL-39""]",'SKU明细'!$AE$9:$AE$1592,0)))=1,SUM(INDEX('SKU明细'!$G$9:$G$1592,MATCH("[13120,""1S01-YL-39""]",'SKU明细'!$AE$9:$AE$1592,0)))&gt;0),SUM(INDEX('SKU明细'!$H$9:$H$1592,MATCH("[13120,""1S01-YL-39""]",'SKU明细'!$AE$9:$AE$1592,0)))/SUM(INDEX('SKU明细'!$G$9:$G$1592,MATCH("[13120,""1S01-YL-39""]",'SKU明细'!$AE$9:$AE$1592,0))),"待核")</x:f>
        <x:v>待核</x:v>
      </x:c>
      <x:c r="M182" s="16" t="str">
        <x:f>IF(AND(COUNT(INDEX('SKU明细'!$H$9:$H$1592,MATCH("[13120,""1S01-YL-39.5""]",'SKU明细'!$AE$9:$AE$1592,0)))=1,COUNT(INDEX('SKU明细'!$G$9:$G$1592,MATCH("[13120,""1S01-YL-39.5""]",'SKU明细'!$AE$9:$AE$1592,0)))=1,SUM(INDEX('SKU明细'!$G$9:$G$1592,MATCH("[13120,""1S01-YL-39.5""]",'SKU明细'!$AE$9:$AE$1592,0)))&gt;0),SUM(INDEX('SKU明细'!$H$9:$H$1592,MATCH("[13120,""1S01-YL-39.5""]",'SKU明细'!$AE$9:$AE$1592,0)))/SUM(INDEX('SKU明细'!$G$9:$G$1592,MATCH("[13120,""1S01-YL-39.5""]",'SKU明细'!$AE$9:$AE$1592,0))),"待核")</x:f>
        <x:v>待核</x:v>
      </x:c>
      <x:c r="N182" s="16" t="str">
        <x:f>IF(AND(COUNT(INDEX('SKU明细'!$H$9:$H$1592,MATCH("[13120,""1S01-YL-40""]",'SKU明细'!$AE$9:$AE$1592,0)))=1,COUNT(INDEX('SKU明细'!$G$9:$G$1592,MATCH("[13120,""1S01-YL-40""]",'SKU明细'!$AE$9:$AE$1592,0)))=1,SUM(INDEX('SKU明细'!$G$9:$G$1592,MATCH("[13120,""1S01-YL-40""]",'SKU明细'!$AE$9:$AE$1592,0)))&gt;0),SUM(INDEX('SKU明细'!$H$9:$H$1592,MATCH("[13120,""1S01-YL-40""]",'SKU明细'!$AE$9:$AE$1592,0)))/SUM(INDEX('SKU明细'!$G$9:$G$1592,MATCH("[13120,""1S01-YL-40""]",'SKU明细'!$AE$9:$AE$1592,0))),"待核")</x:f>
        <x:v>待核</x:v>
      </x:c>
      <x:c r="O182" s="16" t="str">
        <x:f>IF(AND(COUNT(INDEX('SKU明细'!$H$9:$H$1592,MATCH("[13120,""1S01-YL-40.5""]",'SKU明细'!$AE$9:$AE$1592,0)))=1,COUNT(INDEX('SKU明细'!$G$9:$G$1592,MATCH("[13120,""1S01-YL-40.5""]",'SKU明细'!$AE$9:$AE$1592,0)))=1,SUM(INDEX('SKU明细'!$G$9:$G$1592,MATCH("[13120,""1S01-YL-40.5""]",'SKU明细'!$AE$9:$AE$1592,0)))&gt;0),SUM(INDEX('SKU明细'!$H$9:$H$1592,MATCH("[13120,""1S01-YL-40.5""]",'SKU明细'!$AE$9:$AE$1592,0)))/SUM(INDEX('SKU明细'!$G$9:$G$1592,MATCH("[13120,""1S01-YL-40.5""]",'SKU明细'!$AE$9:$AE$1592,0))),"待核")</x:f>
        <x:v>待核</x:v>
      </x:c>
      <x:c r="P182" s="16" t="str">
        <x:f>IF(AND(COUNT(INDEX('SKU明细'!$H$9:$H$1592,MATCH("[13120,""1S01-YL-41""]",'SKU明细'!$AE$9:$AE$1592,0)))=1,COUNT(INDEX('SKU明细'!$G$9:$G$1592,MATCH("[13120,""1S01-YL-41""]",'SKU明细'!$AE$9:$AE$1592,0)))=1,SUM(INDEX('SKU明细'!$G$9:$G$1592,MATCH("[13120,""1S01-YL-41""]",'SKU明细'!$AE$9:$AE$1592,0)))&gt;0),SUM(INDEX('SKU明细'!$H$9:$H$1592,MATCH("[13120,""1S01-YL-41""]",'SKU明细'!$AE$9:$AE$1592,0)))/SUM(INDEX('SKU明细'!$G$9:$G$1592,MATCH("[13120,""1S01-YL-41""]",'SKU明细'!$AE$9:$AE$1592,0))),"待核")</x:f>
        <x:v>待核</x:v>
      </x:c>
      <x:c r="Q182" s="16" t="str">
        <x:f>IF(AND(COUNT(INDEX('SKU明细'!$H$9:$H$1592,MATCH("[13120,""1S01-YL-41.5""]",'SKU明细'!$AE$9:$AE$1592,0)))=1,COUNT(INDEX('SKU明细'!$G$9:$G$1592,MATCH("[13120,""1S01-YL-41.5""]",'SKU明细'!$AE$9:$AE$1592,0)))=1,SUM(INDEX('SKU明细'!$G$9:$G$1592,MATCH("[13120,""1S01-YL-41.5""]",'SKU明细'!$AE$9:$AE$1592,0)))&gt;0),SUM(INDEX('SKU明细'!$H$9:$H$1592,MATCH("[13120,""1S01-YL-41.5""]",'SKU明细'!$AE$9:$AE$1592,0)))/SUM(INDEX('SKU明细'!$G$9:$G$1592,MATCH("[13120,""1S01-YL-41.5""]",'SKU明细'!$AE$9:$AE$1592,0))),"待核")</x:f>
        <x:v>待核</x:v>
      </x:c>
      <x:c r="R182" s="16" t="str">
        <x:f>IF(AND(COUNT(INDEX('SKU明细'!$H$9:$H$1592,MATCH("[13120,""1S01-YL-42""]",'SKU明细'!$AE$9:$AE$1592,0)))=1,COUNT(INDEX('SKU明细'!$G$9:$G$1592,MATCH("[13120,""1S01-YL-42""]",'SKU明细'!$AE$9:$AE$1592,0)))=1,SUM(INDEX('SKU明细'!$G$9:$G$1592,MATCH("[13120,""1S01-YL-42""]",'SKU明细'!$AE$9:$AE$1592,0)))&gt;0),SUM(INDEX('SKU明细'!$H$9:$H$1592,MATCH("[13120,""1S01-YL-42""]",'SKU明细'!$AE$9:$AE$1592,0)))/SUM(INDEX('SKU明细'!$G$9:$G$1592,MATCH("[13120,""1S01-YL-42""]",'SKU明细'!$AE$9:$AE$1592,0))),"待核")</x:f>
        <x:v>待核</x:v>
      </x:c>
      <x:c r="S182" s="16" t="str">
        <x:f>"—"</x:f>
        <x:v>—</x:v>
      </x:c>
      <x:c r="T182" s="16" t="str">
        <x:f>"—"</x:f>
        <x:v>—</x:v>
      </x:c>
      <x:c r="U182" s="16" t="str">
        <x:f>IF(COUNT(S182:T182)=2,S182-T182,"待核")</x:f>
        <x:v>待核</x:v>
      </x:c>
      <x:c r="V182" s="17" t="str">
        <x:f>IF(AND(ISNUMBER(U182),ISNUMBER(T182),T182&lt;&gt;0),U182/T182,"")</x:f>
      </x:c>
      <x:c r="W182" s="18" t="str">
        <x:f>IF(COUNT(INDEX('SKU明细'!$H$9:$H$1592,MATCH("[13120,""1S01-YL-37""]",'SKU明细'!$AE$9:$AE$1592,0)),INDEX('SKU明细'!$H$9:$H$1592,MATCH("[13120,""1S01-YL-37.5""]",'SKU明细'!$AE$9:$AE$1592,0)),INDEX('SKU明细'!$H$9:$H$1592,MATCH("[13120,""1S01-YL-38""]",'SKU明细'!$AE$9:$AE$1592,0)),INDEX('SKU明细'!$H$9:$H$1592,MATCH("[13120,""1S01-YL-38.5""]",'SKU明细'!$AE$9:$AE$1592,0)),INDEX('SKU明细'!$H$9:$H$1592,MATCH("[13120,""1S01-YL-39""]",'SKU明细'!$AE$9:$AE$1592,0)),INDEX('SKU明细'!$H$9:$H$1592,MATCH("[13120,""1S01-YL-39.5""]",'SKU明细'!$AE$9:$AE$1592,0)),INDEX('SKU明细'!$H$9:$H$1592,MATCH("[13120,""1S01-YL-40""]",'SKU明细'!$AE$9:$AE$1592,0)),INDEX('SKU明细'!$H$9:$H$1592,MATCH("[13120,""1S01-YL-40.5""]",'SKU明细'!$AE$9:$AE$1592,0)),INDEX('SKU明细'!$H$9:$H$1592,MATCH("[13120,""1S01-YL-41""]",'SKU明细'!$AE$9:$AE$1592,0)),INDEX('SKU明细'!$H$9:$H$1592,MATCH("[13120,""1S01-YL-41.5""]",'SKU明细'!$AE$9:$AE$1592,0)),INDEX('SKU明细'!$H$9:$H$1592,MATCH("[13120,""1S01-YL-42""]",'SKU明细'!$AE$9:$AE$1592,0)))=0,"待核",SUM(INDEX('SKU明细'!$H$9:$H$1592,MATCH("[13120,""1S01-YL-37""]",'SKU明细'!$AE$9:$AE$1592,0)),INDEX('SKU明细'!$H$9:$H$1592,MATCH("[13120,""1S01-YL-37.5""]",'SKU明细'!$AE$9:$AE$1592,0)),INDEX('SKU明细'!$H$9:$H$1592,MATCH("[13120,""1S01-YL-38""]",'SKU明细'!$AE$9:$AE$1592,0)),INDEX('SKU明细'!$H$9:$H$1592,MATCH("[13120,""1S01-YL-38.5""]",'SKU明细'!$AE$9:$AE$1592,0)),INDEX('SKU明细'!$H$9:$H$1592,MATCH("[13120,""1S01-YL-39""]",'SKU明细'!$AE$9:$AE$1592,0)),INDEX('SKU明细'!$H$9:$H$1592,MATCH("[13120,""1S01-YL-39.5""]",'SKU明细'!$AE$9:$AE$1592,0)),INDEX('SKU明细'!$H$9:$H$1592,MATCH("[13120,""1S01-YL-40""]",'SKU明细'!$AE$9:$AE$1592,0)),INDEX('SKU明细'!$H$9:$H$1592,MATCH("[13120,""1S01-YL-40.5""]",'SKU明细'!$AE$9:$AE$1592,0)),INDEX('SKU明细'!$H$9:$H$1592,MATCH("[13120,""1S01-YL-41""]",'SKU明细'!$AE$9:$AE$1592,0)),INDEX('SKU明细'!$H$9:$H$1592,MATCH("[13120,""1S01-YL-41.5""]",'SKU明细'!$AE$9:$AE$1592,0)),INDEX('SKU明细'!$H$9:$H$1592,MATCH("[13120,""1S01-YL-42""]",'SKU明细'!$AE$9:$AE$1592,0))))</x:f>
        <x:v>待核</x:v>
      </x:c>
      <x:c r="X182" s="19" t="str">
        <x:f>IF(COUNTIFS('SKU明细'!$AH$9:$AH$1592,"[""1S01"",""1S01-YL"",""YL"",""黄色""]",'SKU明细'!$E$9:$E$1592,"促销")&gt;0,"促销 ","")&amp;IF(COUNTIFS('SKU明细'!$AH$9:$AH$1592,"[""1S01"",""1S01-YL"",""YL"",""黄色""]",'SKU明细'!$E$9:$E$1592,"红线促销")&gt;0,"红线促销 ","")&amp;IF(COUNTIFS('SKU明细'!$AH$9:$AH$1592,"[""1S01"",""1S01-YL"",""YL"",""黄色""]",'SKU明细'!$E$9:$E$1592,"考虑清仓")&gt;0,"考虑清仓 ","")&amp;IF(COUNTIFS('SKU明细'!$AH$9:$AH$1592,"[""1S01"",""1S01-YL"",""YL"",""黄色""]",'SKU明细'!$E$9:$E$1592,"断货")&gt;0,"断货 ","")&amp;IF(COUNTIFS('SKU明细'!$AH$9:$AH$1592,"[""1S01"",""1S01-YL"",""YL"",""黄色""]",'SKU明细'!$E$9:$E$1592,"零日销待复核")&gt;0,"零日销待复核 ","")&amp;IF(COUNTIFS('SKU明细'!$AH$9:$AH$1592,"[""1S01"",""1S01-YL"",""YL"",""黄色""]",'SKU明细'!$E$9:$E$1592,"数据待核")&gt;0,"数据待核 ","")&amp;IF(COUNTIFS('SKU明细'!$AH$9:$AH$1592,"[""1S01"",""1S01-YL"",""YL"",""黄色""]",'SKU明细'!$E$9:$E$1592,"正常库存")&gt;0,"正常库存 ","")&amp;IF(COUNTIFS('SKU明细'!$AH$9:$AH$1592,"[""1S01"",""1S01-YL"",""YL"",""黄色""]",'SKU明细'!$E$9:$E$1592,"补货提醒")&gt;0,"补货提醒 ","")</x:f>
        <x:v>数据待核 </x:v>
      </x:c>
      <x:c r="Y182" s="19" t="str">
        <x:f>IF(NOT(ISNUMBER(U182)),"覆盖待核／无可比基准","仅共同SKU")</x:f>
        <x:v>覆盖待核／无可比基准</x:v>
      </x:c>
      <x:c r="Z182" s="19" t="str">
        <x:v>停售</x:v>
      </x:c>
      <x:c r="AA182" s="19" t="n">
        <x:f>IF(SUMIFS('SKU明细'!$AF$9:$AF$1592,'SKU明细'!$D$9:$D$1592,A182,'SKU明细'!$Z$9:$Z$1592,"&lt;&gt;移出")=0,"待核",SUMIFS('SKU明细'!$H$9:$H$1592,'SKU明细'!$D$9:$D$1592,A182,'SKU明细'!$Z$9:$Z$1592,"&lt;&gt;移出"))</x:f>
        <x:v>476</x:v>
      </x:c>
    </x:row>
    <x:row r="183" ht="54" customHeight="1">
      <x:c r="A183" s="20" t="str">
        <x:v>9967</x:v>
      </x:c>
      <x:c r="B183" s="20" t="str">
        <x:v>徐新怡</x:v>
      </x:c>
      <x:c r="C183" s="20" t="str">
        <x:v>黑色</x:v>
      </x:c>
      <x:c r="D183" s="20" t="str">
        <x:v>BK</x:v>
      </x:c>
      <x:c r="E183" s="20" t="str">
        <x:v>9967-BK</x:v>
      </x:c>
      <x:c r="F183" s="20"/>
      <x:c r="G183" s="21" t="str">
        <x:f>"—"</x:f>
        <x:v>—</x:v>
      </x:c>
      <x:c r="H183" s="21" t="str">
        <x:f>IF(AND(COUNT(INDEX('SKU明细'!$H$9:$H$1592,MATCH("[13120,""9967-BK-37""]",'SKU明细'!$AE$9:$AE$1592,0)))=1,COUNT(INDEX('SKU明细'!$G$9:$G$1592,MATCH("[13120,""9967-BK-37""]",'SKU明细'!$AE$9:$AE$1592,0)))=1,SUM(INDEX('SKU明细'!$G$9:$G$1592,MATCH("[13120,""9967-BK-37""]",'SKU明细'!$AE$9:$AE$1592,0)))&gt;0),SUM(INDEX('SKU明细'!$H$9:$H$1592,MATCH("[13120,""9967-BK-37""]",'SKU明细'!$AE$9:$AE$1592,0)))/SUM(INDEX('SKU明细'!$G$9:$G$1592,MATCH("[13120,""9967-BK-37""]",'SKU明细'!$AE$9:$AE$1592,0))),"待核")</x:f>
        <x:v>待核</x:v>
      </x:c>
      <x:c r="I183" s="21" t="str">
        <x:f>"—"</x:f>
        <x:v>—</x:v>
      </x:c>
      <x:c r="J183" s="21" t="str">
        <x:f>"—"</x:f>
        <x:v>—</x:v>
      </x:c>
      <x:c r="K183" s="21" t="str">
        <x:f>"—"</x:f>
        <x:v>—</x:v>
      </x:c>
      <x:c r="L183" s="21" t="str">
        <x:f>"—"</x:f>
        <x:v>—</x:v>
      </x:c>
      <x:c r="M183" s="21" t="str">
        <x:f>"—"</x:f>
        <x:v>—</x:v>
      </x:c>
      <x:c r="N183" s="21" t="str">
        <x:f>"—"</x:f>
        <x:v>—</x:v>
      </x:c>
      <x:c r="O183" s="21" t="str">
        <x:f>IF(AND(COUNT(INDEX('SKU明细'!$H$9:$H$1592,MATCH("[13120,""9967-BK-41""]",'SKU明细'!$AE$9:$AE$1592,0)))=1,COUNT(INDEX('SKU明细'!$G$9:$G$1592,MATCH("[13120,""9967-BK-41""]",'SKU明细'!$AE$9:$AE$1592,0)))=1,SUM(INDEX('SKU明细'!$G$9:$G$1592,MATCH("[13120,""9967-BK-41""]",'SKU明细'!$AE$9:$AE$1592,0)))&gt;0),SUM(INDEX('SKU明细'!$H$9:$H$1592,MATCH("[13120,""9967-BK-41""]",'SKU明细'!$AE$9:$AE$1592,0)))/SUM(INDEX('SKU明细'!$G$9:$G$1592,MATCH("[13120,""9967-BK-41""]",'SKU明细'!$AE$9:$AE$1592,0))),"待核")</x:f>
        <x:v>待核</x:v>
      </x:c>
      <x:c r="P183" s="21" t="str">
        <x:f>IF(AND(COUNT(INDEX('SKU明细'!$H$9:$H$1592,MATCH("[13120,""9967-BK-42""]",'SKU明细'!$AE$9:$AE$1592,0)))=1,COUNT(INDEX('SKU明细'!$G$9:$G$1592,MATCH("[13120,""9967-BK-42""]",'SKU明细'!$AE$9:$AE$1592,0)))=1,SUM(INDEX('SKU明细'!$G$9:$G$1592,MATCH("[13120,""9967-BK-42""]",'SKU明细'!$AE$9:$AE$1592,0)))&gt;0),SUM(INDEX('SKU明细'!$H$9:$H$1592,MATCH("[13120,""9967-BK-42""]",'SKU明细'!$AE$9:$AE$1592,0)))/SUM(INDEX('SKU明细'!$G$9:$G$1592,MATCH("[13120,""9967-BK-42""]",'SKU明细'!$AE$9:$AE$1592,0))),"待核")</x:f>
        <x:v>待核</x:v>
      </x:c>
      <x:c r="Q183" s="21" t="str">
        <x:f>"—"</x:f>
        <x:v>—</x:v>
      </x:c>
      <x:c r="R183" s="21" t="str">
        <x:f>"—"</x:f>
        <x:v>—</x:v>
      </x:c>
      <x:c r="S183" s="21" t="str">
        <x:f>"—"</x:f>
        <x:v>—</x:v>
      </x:c>
      <x:c r="T183" s="21" t="str">
        <x:f>"—"</x:f>
        <x:v>—</x:v>
      </x:c>
      <x:c r="U183" s="21" t="str">
        <x:f>IF(COUNT(S183:T183)=2,S183-T183,"待核")</x:f>
        <x:v>待核</x:v>
      </x:c>
      <x:c r="V183" s="22" t="str">
        <x:f>IF(AND(ISNUMBER(U183),ISNUMBER(T183),T183&lt;&gt;0),U183/T183,"")</x:f>
      </x:c>
      <x:c r="W183" s="23" t="n">
        <x:f>IF(COUNT(INDEX('SKU明细'!$H$9:$H$1592,MATCH("[13120,""9967-BK-37""]",'SKU明细'!$AE$9:$AE$1592,0)),INDEX('SKU明细'!$H$9:$H$1592,MATCH("[13120,""9967-BK-41""]",'SKU明细'!$AE$9:$AE$1592,0)),INDEX('SKU明细'!$H$9:$H$1592,MATCH("[13120,""9967-BK-42""]",'SKU明细'!$AE$9:$AE$1592,0)))=0,"待核",SUM(INDEX('SKU明细'!$H$9:$H$1592,MATCH("[13120,""9967-BK-37""]",'SKU明细'!$AE$9:$AE$1592,0)),INDEX('SKU明细'!$H$9:$H$1592,MATCH("[13120,""9967-BK-41""]",'SKU明细'!$AE$9:$AE$1592,0)),INDEX('SKU明细'!$H$9:$H$1592,MATCH("[13120,""9967-BK-42""]",'SKU明细'!$AE$9:$AE$1592,0))))</x:f>
        <x:v>24</x:v>
      </x:c>
      <x:c r="X183" s="24" t="str">
        <x:f>IF(COUNTIFS('SKU明细'!$AH$9:$AH$1592,"[""9967"",""9967-BK"",""BK"",""黑色""]",'SKU明细'!$E$9:$E$1592,"促销")&gt;0,"促销 ","")&amp;IF(COUNTIFS('SKU明细'!$AH$9:$AH$1592,"[""9967"",""9967-BK"",""BK"",""黑色""]",'SKU明细'!$E$9:$E$1592,"红线促销")&gt;0,"红线促销 ","")&amp;IF(COUNTIFS('SKU明细'!$AH$9:$AH$1592,"[""9967"",""9967-BK"",""BK"",""黑色""]",'SKU明细'!$E$9:$E$1592,"考虑清仓")&gt;0,"考虑清仓 ","")&amp;IF(COUNTIFS('SKU明细'!$AH$9:$AH$1592,"[""9967"",""9967-BK"",""BK"",""黑色""]",'SKU明细'!$E$9:$E$1592,"断货")&gt;0,"断货 ","")&amp;IF(COUNTIFS('SKU明细'!$AH$9:$AH$1592,"[""9967"",""9967-BK"",""BK"",""黑色""]",'SKU明细'!$E$9:$E$1592,"零日销待复核")&gt;0,"零日销待复核 ","")&amp;IF(COUNTIFS('SKU明细'!$AH$9:$AH$1592,"[""9967"",""9967-BK"",""BK"",""黑色""]",'SKU明细'!$E$9:$E$1592,"数据待核")&gt;0,"数据待核 ","")&amp;IF(COUNTIFS('SKU明细'!$AH$9:$AH$1592,"[""9967"",""9967-BK"",""BK"",""黑色""]",'SKU明细'!$E$9:$E$1592,"正常库存")&gt;0,"正常库存 ","")&amp;IF(COUNTIFS('SKU明细'!$AH$9:$AH$1592,"[""9967"",""9967-BK"",""BK"",""黑色""]",'SKU明细'!$E$9:$E$1592,"补货提醒")&gt;0,"补货提醒 ","")</x:f>
        <x:v>零日销待复核 </x:v>
      </x:c>
      <x:c r="Y183" s="24" t="str">
        <x:f>IF(NOT(ISNUMBER(U183)),"覆盖待核／无可比基准","仅共同SKU")</x:f>
        <x:v>覆盖待核／无可比基准</x:v>
      </x:c>
      <x:c r="Z183" s="24" t="str">
        <x:v>在售</x:v>
      </x:c>
      <x:c r="AA183" s="24" t="n">
        <x:f>IF(SUMIFS('SKU明细'!$AF$9:$AF$1592,'SKU明细'!$D$9:$D$1592,A183,'SKU明细'!$Z$9:$Z$1592,"&lt;&gt;移出")=0,"待核",SUMIFS('SKU明细'!$H$9:$H$1592,'SKU明细'!$D$9:$D$1592,A183,'SKU明细'!$Z$9:$Z$1592,"&lt;&gt;移出"))</x:f>
        <x:v>131</x:v>
      </x:c>
    </x:row>
    <x:row r="184" ht="54" customHeight="1">
      <x:c r="A184" s="20" t="str">
        <x:v>9967</x:v>
      </x:c>
      <x:c r="B184" s="20" t="str">
        <x:v>徐新怡</x:v>
      </x:c>
      <x:c r="C184" s="20" t="str">
        <x:v>黑色</x:v>
      </x:c>
      <x:c r="D184" s="20" t="str">
        <x:v>BK-38B</x:v>
      </x:c>
      <x:c r="E184" s="20" t="str">
        <x:v>9967-BK-38B</x:v>
      </x:c>
      <x:c r="F184" s="20"/>
      <x:c r="G184" s="21" t="str">
        <x:f>"—"</x:f>
        <x:v>—</x:v>
      </x:c>
      <x:c r="H184" s="21" t="str">
        <x:f>"—"</x:f>
        <x:v>—</x:v>
      </x:c>
      <x:c r="I184" s="21" t="str">
        <x:f>"—"</x:f>
        <x:v>—</x:v>
      </x:c>
      <x:c r="J184" s="21" t="str">
        <x:f>IF(AND(COUNT(INDEX('SKU明细'!$H$9:$H$1592,MATCH("[13120,""9967-BK-38B""]",'SKU明细'!$AE$9:$AE$1592,0)))=1,COUNT(INDEX('SKU明细'!$G$9:$G$1592,MATCH("[13120,""9967-BK-38B""]",'SKU明细'!$AE$9:$AE$1592,0)))=1,SUM(INDEX('SKU明细'!$G$9:$G$1592,MATCH("[13120,""9967-BK-38B""]",'SKU明细'!$AE$9:$AE$1592,0)))&gt;0),SUM(INDEX('SKU明细'!$H$9:$H$1592,MATCH("[13120,""9967-BK-38B""]",'SKU明细'!$AE$9:$AE$1592,0)))/SUM(INDEX('SKU明细'!$G$9:$G$1592,MATCH("[13120,""9967-BK-38B""]",'SKU明细'!$AE$9:$AE$1592,0))),"待核")</x:f>
        <x:v>待核</x:v>
      </x:c>
      <x:c r="K184" s="21" t="str">
        <x:f>"—"</x:f>
        <x:v>—</x:v>
      </x:c>
      <x:c r="L184" s="21" t="str">
        <x:f>"—"</x:f>
        <x:v>—</x:v>
      </x:c>
      <x:c r="M184" s="21" t="str">
        <x:f>"—"</x:f>
        <x:v>—</x:v>
      </x:c>
      <x:c r="N184" s="21" t="str">
        <x:f>"—"</x:f>
        <x:v>—</x:v>
      </x:c>
      <x:c r="O184" s="21" t="str">
        <x:f>"—"</x:f>
        <x:v>—</x:v>
      </x:c>
      <x:c r="P184" s="21" t="str">
        <x:f>"—"</x:f>
        <x:v>—</x:v>
      </x:c>
      <x:c r="Q184" s="21" t="str">
        <x:f>"—"</x:f>
        <x:v>—</x:v>
      </x:c>
      <x:c r="R184" s="21" t="str">
        <x:f>"—"</x:f>
        <x:v>—</x:v>
      </x:c>
      <x:c r="S184" s="21" t="str">
        <x:f>"—"</x:f>
        <x:v>—</x:v>
      </x:c>
      <x:c r="T184" s="21" t="str">
        <x:f>"—"</x:f>
        <x:v>—</x:v>
      </x:c>
      <x:c r="U184" s="21" t="str">
        <x:f>IF(COUNT(S184:T184)=2,S184-T184,"待核")</x:f>
        <x:v>待核</x:v>
      </x:c>
      <x:c r="V184" s="22" t="str">
        <x:f>IF(AND(ISNUMBER(U184),ISNUMBER(T184),T184&lt;&gt;0),U184/T184,"")</x:f>
      </x:c>
      <x:c r="W184" s="23" t="n">
        <x:f>IF(COUNT(INDEX('SKU明细'!$H$9:$H$1592,MATCH("[13120,""9967-BK-38B""]",'SKU明细'!$AE$9:$AE$1592,0)))=0,"待核",SUM(INDEX('SKU明细'!$H$9:$H$1592,MATCH("[13120,""9967-BK-38B""]",'SKU明细'!$AE$9:$AE$1592,0))))</x:f>
        <x:v>10</x:v>
      </x:c>
      <x:c r="X184" s="24" t="str">
        <x:f>IF(COUNTIFS('SKU明细'!$AH$9:$AH$1592,"[""9967"",""9967-BK-38B"",""BK-38B"",""黑色""]",'SKU明细'!$E$9:$E$1592,"促销")&gt;0,"促销 ","")&amp;IF(COUNTIFS('SKU明细'!$AH$9:$AH$1592,"[""9967"",""9967-BK-38B"",""BK-38B"",""黑色""]",'SKU明细'!$E$9:$E$1592,"红线促销")&gt;0,"红线促销 ","")&amp;IF(COUNTIFS('SKU明细'!$AH$9:$AH$1592,"[""9967"",""9967-BK-38B"",""BK-38B"",""黑色""]",'SKU明细'!$E$9:$E$1592,"考虑清仓")&gt;0,"考虑清仓 ","")&amp;IF(COUNTIFS('SKU明细'!$AH$9:$AH$1592,"[""9967"",""9967-BK-38B"",""BK-38B"",""黑色""]",'SKU明细'!$E$9:$E$1592,"断货")&gt;0,"断货 ","")&amp;IF(COUNTIFS('SKU明细'!$AH$9:$AH$1592,"[""9967"",""9967-BK-38B"",""BK-38B"",""黑色""]",'SKU明细'!$E$9:$E$1592,"零日销待复核")&gt;0,"零日销待复核 ","")&amp;IF(COUNTIFS('SKU明细'!$AH$9:$AH$1592,"[""9967"",""9967-BK-38B"",""BK-38B"",""黑色""]",'SKU明细'!$E$9:$E$1592,"数据待核")&gt;0,"数据待核 ","")&amp;IF(COUNTIFS('SKU明细'!$AH$9:$AH$1592,"[""9967"",""9967-BK-38B"",""BK-38B"",""黑色""]",'SKU明细'!$E$9:$E$1592,"正常库存")&gt;0,"正常库存 ","")&amp;IF(COUNTIFS('SKU明细'!$AH$9:$AH$1592,"[""9967"",""9967-BK-38B"",""BK-38B"",""黑色""]",'SKU明细'!$E$9:$E$1592,"补货提醒")&gt;0,"补货提醒 ","")</x:f>
        <x:v>零日销待复核 </x:v>
      </x:c>
      <x:c r="Y184" s="24" t="str">
        <x:f>IF(NOT(ISNUMBER(U184)),"覆盖待核／无可比基准","仅共同SKU")</x:f>
        <x:v>覆盖待核／无可比基准</x:v>
      </x:c>
      <x:c r="Z184" s="24" t="str">
        <x:v>在售</x:v>
      </x:c>
      <x:c r="AA184" s="24" t="n">
        <x:f>IF(SUMIFS('SKU明细'!$AF$9:$AF$1592,'SKU明细'!$D$9:$D$1592,A184,'SKU明细'!$Z$9:$Z$1592,"&lt;&gt;移出")=0,"待核",SUMIFS('SKU明细'!$H$9:$H$1592,'SKU明细'!$D$9:$D$1592,A184,'SKU明细'!$Z$9:$Z$1592,"&lt;&gt;移出"))</x:f>
        <x:v>131</x:v>
      </x:c>
    </x:row>
    <x:row r="185" ht="54" customHeight="1">
      <x:c r="A185" s="20" t="str">
        <x:v>9967</x:v>
      </x:c>
      <x:c r="B185" s="20" t="str">
        <x:v>徐新怡</x:v>
      </x:c>
      <x:c r="C185" s="20" t="str">
        <x:v>黑色</x:v>
      </x:c>
      <x:c r="D185" s="20" t="str">
        <x:v>BK-39B</x:v>
      </x:c>
      <x:c r="E185" s="20" t="str">
        <x:v>9967-BK-39B</x:v>
      </x:c>
      <x:c r="F185" s="20"/>
      <x:c r="G185" s="21" t="str">
        <x:f>"—"</x:f>
        <x:v>—</x:v>
      </x:c>
      <x:c r="H185" s="21" t="str">
        <x:f>"—"</x:f>
        <x:v>—</x:v>
      </x:c>
      <x:c r="I185" s="21" t="str">
        <x:f>"—"</x:f>
        <x:v>—</x:v>
      </x:c>
      <x:c r="J185" s="21" t="str">
        <x:f>"—"</x:f>
        <x:v>—</x:v>
      </x:c>
      <x:c r="K185" s="21" t="str">
        <x:f>"—"</x:f>
        <x:v>—</x:v>
      </x:c>
      <x:c r="L185" s="21" t="n">
        <x:f>IF(AND(COUNT(INDEX('SKU明细'!$H$9:$H$1592,MATCH("[13120,""9967-BK-39B""]",'SKU明细'!$AE$9:$AE$1592,0)))=1,COUNT(INDEX('SKU明细'!$G$9:$G$1592,MATCH("[13120,""9967-BK-39B""]",'SKU明细'!$AE$9:$AE$1592,0)))=1,SUM(INDEX('SKU明细'!$G$9:$G$1592,MATCH("[13120,""9967-BK-39B""]",'SKU明细'!$AE$9:$AE$1592,0)))&gt;0),SUM(INDEX('SKU明细'!$H$9:$H$1592,MATCH("[13120,""9967-BK-39B""]",'SKU明细'!$AE$9:$AE$1592,0)))/SUM(INDEX('SKU明细'!$G$9:$G$1592,MATCH("[13120,""9967-BK-39B""]",'SKU明细'!$AE$9:$AE$1592,0))),"待核")</x:f>
        <x:v>281.3397129186603</x:v>
      </x:c>
      <x:c r="M185" s="21" t="str">
        <x:f>"—"</x:f>
        <x:v>—</x:v>
      </x:c>
      <x:c r="N185" s="21" t="str">
        <x:f>"—"</x:f>
        <x:v>—</x:v>
      </x:c>
      <x:c r="O185" s="21" t="str">
        <x:f>"—"</x:f>
        <x:v>—</x:v>
      </x:c>
      <x:c r="P185" s="21" t="str">
        <x:f>"—"</x:f>
        <x:v>—</x:v>
      </x:c>
      <x:c r="Q185" s="21" t="str">
        <x:f>"—"</x:f>
        <x:v>—</x:v>
      </x:c>
      <x:c r="R185" s="21" t="str">
        <x:f>"—"</x:f>
        <x:v>—</x:v>
      </x:c>
      <x:c r="S185" s="21" t="str">
        <x:f>"—"</x:f>
        <x:v>—</x:v>
      </x:c>
      <x:c r="T185" s="21" t="str">
        <x:f>"—"</x:f>
        <x:v>—</x:v>
      </x:c>
      <x:c r="U185" s="21" t="str">
        <x:f>IF(COUNT(S185:T185)=2,S185-T185,"待核")</x:f>
        <x:v>待核</x:v>
      </x:c>
      <x:c r="V185" s="22" t="str">
        <x:f>IF(AND(ISNUMBER(U185),ISNUMBER(T185),T185&lt;&gt;0),U185/T185,"")</x:f>
      </x:c>
      <x:c r="W185" s="23" t="n">
        <x:f>IF(COUNT(INDEX('SKU明细'!$H$9:$H$1592,MATCH("[13120,""9967-BK-39B""]",'SKU明细'!$AE$9:$AE$1592,0)))=0,"待核",SUM(INDEX('SKU明细'!$H$9:$H$1592,MATCH("[13120,""9967-BK-39B""]",'SKU明细'!$AE$9:$AE$1592,0))))</x:f>
        <x:v>28</x:v>
      </x:c>
      <x:c r="X185" s="24" t="str">
        <x:f>IF(COUNTIFS('SKU明细'!$AH$9:$AH$1592,"[""9967"",""9967-BK-39B"",""BK-39B"",""黑色""]",'SKU明细'!$E$9:$E$1592,"促销")&gt;0,"促销 ","")&amp;IF(COUNTIFS('SKU明细'!$AH$9:$AH$1592,"[""9967"",""9967-BK-39B"",""BK-39B"",""黑色""]",'SKU明细'!$E$9:$E$1592,"红线促销")&gt;0,"红线促销 ","")&amp;IF(COUNTIFS('SKU明细'!$AH$9:$AH$1592,"[""9967"",""9967-BK-39B"",""BK-39B"",""黑色""]",'SKU明细'!$E$9:$E$1592,"考虑清仓")&gt;0,"考虑清仓 ","")&amp;IF(COUNTIFS('SKU明细'!$AH$9:$AH$1592,"[""9967"",""9967-BK-39B"",""BK-39B"",""黑色""]",'SKU明细'!$E$9:$E$1592,"断货")&gt;0,"断货 ","")&amp;IF(COUNTIFS('SKU明细'!$AH$9:$AH$1592,"[""9967"",""9967-BK-39B"",""BK-39B"",""黑色""]",'SKU明细'!$E$9:$E$1592,"零日销待复核")&gt;0,"零日销待复核 ","")&amp;IF(COUNTIFS('SKU明细'!$AH$9:$AH$1592,"[""9967"",""9967-BK-39B"",""BK-39B"",""黑色""]",'SKU明细'!$E$9:$E$1592,"数据待核")&gt;0,"数据待核 ","")&amp;IF(COUNTIFS('SKU明细'!$AH$9:$AH$1592,"[""9967"",""9967-BK-39B"",""BK-39B"",""黑色""]",'SKU明细'!$E$9:$E$1592,"正常库存")&gt;0,"正常库存 ","")&amp;IF(COUNTIFS('SKU明细'!$AH$9:$AH$1592,"[""9967"",""9967-BK-39B"",""BK-39B"",""黑色""]",'SKU明细'!$E$9:$E$1592,"补货提醒")&gt;0,"补货提醒 ","")</x:f>
        <x:v>红线促销 </x:v>
      </x:c>
      <x:c r="Y185" s="24" t="str">
        <x:f>IF(NOT(ISNUMBER(U185)),"覆盖待核／无可比基准","仅共同SKU")</x:f>
        <x:v>覆盖待核／无可比基准</x:v>
      </x:c>
      <x:c r="Z185" s="24" t="str">
        <x:v>在售</x:v>
      </x:c>
      <x:c r="AA185" s="24" t="n">
        <x:f>IF(SUMIFS('SKU明细'!$AF$9:$AF$1592,'SKU明细'!$D$9:$D$1592,A185,'SKU明细'!$Z$9:$Z$1592,"&lt;&gt;移出")=0,"待核",SUMIFS('SKU明细'!$H$9:$H$1592,'SKU明细'!$D$9:$D$1592,A185,'SKU明细'!$Z$9:$Z$1592,"&lt;&gt;移出"))</x:f>
        <x:v>131</x:v>
      </x:c>
    </x:row>
    <x:row r="186" ht="54" customHeight="1">
      <x:c r="A186" s="20" t="str">
        <x:v>9967</x:v>
      </x:c>
      <x:c r="B186" s="20" t="str">
        <x:v>徐新怡</x:v>
      </x:c>
      <x:c r="C186" s="20" t="str">
        <x:v>黑色</x:v>
      </x:c>
      <x:c r="D186" s="20" t="str">
        <x:v>BK-40B</x:v>
      </x:c>
      <x:c r="E186" s="20" t="str">
        <x:v>9967-BK-40B</x:v>
      </x:c>
      <x:c r="F186" s="20"/>
      <x:c r="G186" s="21" t="str">
        <x:f>"—"</x:f>
        <x:v>—</x:v>
      </x:c>
      <x:c r="H186" s="21" t="str">
        <x:f>"—"</x:f>
        <x:v>—</x:v>
      </x:c>
      <x:c r="I186" s="21" t="str">
        <x:f>"—"</x:f>
        <x:v>—</x:v>
      </x:c>
      <x:c r="J186" s="21" t="str">
        <x:f>"—"</x:f>
        <x:v>—</x:v>
      </x:c>
      <x:c r="K186" s="21" t="str">
        <x:f>"—"</x:f>
        <x:v>—</x:v>
      </x:c>
      <x:c r="L186" s="21" t="str">
        <x:f>"—"</x:f>
        <x:v>—</x:v>
      </x:c>
      <x:c r="M186" s="21" t="str">
        <x:f>"—"</x:f>
        <x:v>—</x:v>
      </x:c>
      <x:c r="N186" s="21" t="n">
        <x:f>IF(AND(COUNT(INDEX('SKU明细'!$H$9:$H$1592,MATCH("[13120,""9967-BK-40B""]",'SKU明细'!$AE$9:$AE$1592,0)))=1,COUNT(INDEX('SKU明细'!$G$9:$G$1592,MATCH("[13120,""9967-BK-40B""]",'SKU明细'!$AE$9:$AE$1592,0)))=1,SUM(INDEX('SKU明细'!$G$9:$G$1592,MATCH("[13120,""9967-BK-40B""]",'SKU明细'!$AE$9:$AE$1592,0)))&gt;0),SUM(INDEX('SKU明细'!$H$9:$H$1592,MATCH("[13120,""9967-BK-40B""]",'SKU明细'!$AE$9:$AE$1592,0)))/SUM(INDEX('SKU明细'!$G$9:$G$1592,MATCH("[13120,""9967-BK-40B""]",'SKU明细'!$AE$9:$AE$1592,0))),"待核")</x:f>
        <x:v>381.81818181818187</x:v>
      </x:c>
      <x:c r="O186" s="21" t="str">
        <x:f>"—"</x:f>
        <x:v>—</x:v>
      </x:c>
      <x:c r="P186" s="21" t="str">
        <x:f>"—"</x:f>
        <x:v>—</x:v>
      </x:c>
      <x:c r="Q186" s="21" t="str">
        <x:f>"—"</x:f>
        <x:v>—</x:v>
      </x:c>
      <x:c r="R186" s="21" t="str">
        <x:f>"—"</x:f>
        <x:v>—</x:v>
      </x:c>
      <x:c r="S186" s="21" t="str">
        <x:f>"—"</x:f>
        <x:v>—</x:v>
      </x:c>
      <x:c r="T186" s="21" t="str">
        <x:f>"—"</x:f>
        <x:v>—</x:v>
      </x:c>
      <x:c r="U186" s="21" t="str">
        <x:f>IF(COUNT(S186:T186)=2,S186-T186,"待核")</x:f>
        <x:v>待核</x:v>
      </x:c>
      <x:c r="V186" s="22" t="str">
        <x:f>IF(AND(ISNUMBER(U186),ISNUMBER(T186),T186&lt;&gt;0),U186/T186,"")</x:f>
      </x:c>
      <x:c r="W186" s="23" t="n">
        <x:f>IF(COUNT(INDEX('SKU明细'!$H$9:$H$1592,MATCH("[13120,""9967-BK-40B""]",'SKU明细'!$AE$9:$AE$1592,0)))=0,"待核",SUM(INDEX('SKU明细'!$H$9:$H$1592,MATCH("[13120,""9967-BK-40B""]",'SKU明细'!$AE$9:$AE$1592,0))))</x:f>
        <x:v>38</x:v>
      </x:c>
      <x:c r="X186" s="24" t="str">
        <x:f>IF(COUNTIFS('SKU明细'!$AH$9:$AH$1592,"[""9967"",""9967-BK-40B"",""BK-40B"",""黑色""]",'SKU明细'!$E$9:$E$1592,"促销")&gt;0,"促销 ","")&amp;IF(COUNTIFS('SKU明细'!$AH$9:$AH$1592,"[""9967"",""9967-BK-40B"",""BK-40B"",""黑色""]",'SKU明细'!$E$9:$E$1592,"红线促销")&gt;0,"红线促销 ","")&amp;IF(COUNTIFS('SKU明细'!$AH$9:$AH$1592,"[""9967"",""9967-BK-40B"",""BK-40B"",""黑色""]",'SKU明细'!$E$9:$E$1592,"考虑清仓")&gt;0,"考虑清仓 ","")&amp;IF(COUNTIFS('SKU明细'!$AH$9:$AH$1592,"[""9967"",""9967-BK-40B"",""BK-40B"",""黑色""]",'SKU明细'!$E$9:$E$1592,"断货")&gt;0,"断货 ","")&amp;IF(COUNTIFS('SKU明细'!$AH$9:$AH$1592,"[""9967"",""9967-BK-40B"",""BK-40B"",""黑色""]",'SKU明细'!$E$9:$E$1592,"零日销待复核")&gt;0,"零日销待复核 ","")&amp;IF(COUNTIFS('SKU明细'!$AH$9:$AH$1592,"[""9967"",""9967-BK-40B"",""BK-40B"",""黑色""]",'SKU明细'!$E$9:$E$1592,"数据待核")&gt;0,"数据待核 ","")&amp;IF(COUNTIFS('SKU明细'!$AH$9:$AH$1592,"[""9967"",""9967-BK-40B"",""BK-40B"",""黑色""]",'SKU明细'!$E$9:$E$1592,"正常库存")&gt;0,"正常库存 ","")&amp;IF(COUNTIFS('SKU明细'!$AH$9:$AH$1592,"[""9967"",""9967-BK-40B"",""BK-40B"",""黑色""]",'SKU明细'!$E$9:$E$1592,"补货提醒")&gt;0,"补货提醒 ","")</x:f>
        <x:v>考虑清仓 </x:v>
      </x:c>
      <x:c r="Y186" s="24" t="str">
        <x:f>IF(NOT(ISNUMBER(U186)),"覆盖待核／无可比基准","仅共同SKU")</x:f>
        <x:v>覆盖待核／无可比基准</x:v>
      </x:c>
      <x:c r="Z186" s="24" t="str">
        <x:v>在售</x:v>
      </x:c>
      <x:c r="AA186" s="24" t="n">
        <x:f>IF(SUMIFS('SKU明细'!$AF$9:$AF$1592,'SKU明细'!$D$9:$D$1592,A186,'SKU明细'!$Z$9:$Z$1592,"&lt;&gt;移出")=0,"待核",SUMIFS('SKU明细'!$H$9:$H$1592,'SKU明细'!$D$9:$D$1592,A186,'SKU明细'!$Z$9:$Z$1592,"&lt;&gt;移出"))</x:f>
        <x:v>131</x:v>
      </x:c>
    </x:row>
    <x:row r="187" ht="54" customHeight="1">
      <x:c r="A187" s="20" t="str">
        <x:v>9967</x:v>
      </x:c>
      <x:c r="B187" s="20" t="str">
        <x:v>徐新怡</x:v>
      </x:c>
      <x:c r="C187" s="20" t="str">
        <x:v>棕色</x:v>
      </x:c>
      <x:c r="D187" s="20" t="str">
        <x:v>CT</x:v>
      </x:c>
      <x:c r="E187" s="20" t="str">
        <x:v>9967-CT</x:v>
      </x:c>
      <x:c r="F187" s="20"/>
      <x:c r="G187" s="21" t="str">
        <x:f>"—"</x:f>
        <x:v>—</x:v>
      </x:c>
      <x:c r="H187" s="21" t="n">
        <x:f>IF(AND(COUNT(INDEX('SKU明细'!$H$9:$H$1592,MATCH("[13120,""9967-CT-37""]",'SKU明细'!$AE$9:$AE$1592,0)))=1,COUNT(INDEX('SKU明细'!$G$9:$G$1592,MATCH("[13120,""9967-CT-37""]",'SKU明细'!$AE$9:$AE$1592,0)))=1,SUM(INDEX('SKU明细'!$G$9:$G$1592,MATCH("[13120,""9967-CT-37""]",'SKU明细'!$AE$9:$AE$1592,0)))&gt;0),SUM(INDEX('SKU明细'!$H$9:$H$1592,MATCH("[13120,""9967-CT-37""]",'SKU明细'!$AE$9:$AE$1592,0)))/SUM(INDEX('SKU明细'!$G$9:$G$1592,MATCH("[13120,""9967-CT-37""]",'SKU明细'!$AE$9:$AE$1592,0))),"待核")</x:f>
        <x:v>20.09569377990431</x:v>
      </x:c>
      <x:c r="I187" s="21" t="str">
        <x:f>"—"</x:f>
        <x:v>—</x:v>
      </x:c>
      <x:c r="J187" s="21" t="str">
        <x:f>"—"</x:f>
        <x:v>—</x:v>
      </x:c>
      <x:c r="K187" s="21" t="str">
        <x:f>"—"</x:f>
        <x:v>—</x:v>
      </x:c>
      <x:c r="L187" s="21" t="str">
        <x:f>"—"</x:f>
        <x:v>—</x:v>
      </x:c>
      <x:c r="M187" s="21" t="str">
        <x:f>"—"</x:f>
        <x:v>—</x:v>
      </x:c>
      <x:c r="N187" s="21" t="str">
        <x:f>"—"</x:f>
        <x:v>—</x:v>
      </x:c>
      <x:c r="O187" s="21" t="str">
        <x:f>IF(AND(COUNT(INDEX('SKU明细'!$H$9:$H$1592,MATCH("[13120,""9967-CT-41""]",'SKU明细'!$AE$9:$AE$1592,0)))=1,COUNT(INDEX('SKU明细'!$G$9:$G$1592,MATCH("[13120,""9967-CT-41""]",'SKU明细'!$AE$9:$AE$1592,0)))=1,SUM(INDEX('SKU明细'!$G$9:$G$1592,MATCH("[13120,""9967-CT-41""]",'SKU明细'!$AE$9:$AE$1592,0)))&gt;0),SUM(INDEX('SKU明细'!$H$9:$H$1592,MATCH("[13120,""9967-CT-41""]",'SKU明细'!$AE$9:$AE$1592,0)))/SUM(INDEX('SKU明细'!$G$9:$G$1592,MATCH("[13120,""9967-CT-41""]",'SKU明细'!$AE$9:$AE$1592,0))),"待核")</x:f>
        <x:v>待核</x:v>
      </x:c>
      <x:c r="P187" s="21" t="str">
        <x:f>IF(AND(COUNT(INDEX('SKU明细'!$H$9:$H$1592,MATCH("[13120,""9967-CT-42""]",'SKU明细'!$AE$9:$AE$1592,0)))=1,COUNT(INDEX('SKU明细'!$G$9:$G$1592,MATCH("[13120,""9967-CT-42""]",'SKU明细'!$AE$9:$AE$1592,0)))=1,SUM(INDEX('SKU明细'!$G$9:$G$1592,MATCH("[13120,""9967-CT-42""]",'SKU明细'!$AE$9:$AE$1592,0)))&gt;0),SUM(INDEX('SKU明细'!$H$9:$H$1592,MATCH("[13120,""9967-CT-42""]",'SKU明细'!$AE$9:$AE$1592,0)))/SUM(INDEX('SKU明细'!$G$9:$G$1592,MATCH("[13120,""9967-CT-42""]",'SKU明细'!$AE$9:$AE$1592,0))),"待核")</x:f>
        <x:v>待核</x:v>
      </x:c>
      <x:c r="Q187" s="21" t="str">
        <x:f>"—"</x:f>
        <x:v>—</x:v>
      </x:c>
      <x:c r="R187" s="21" t="str">
        <x:f>"—"</x:f>
        <x:v>—</x:v>
      </x:c>
      <x:c r="S187" s="21" t="str">
        <x:f>"—"</x:f>
        <x:v>—</x:v>
      </x:c>
      <x:c r="T187" s="21" t="str">
        <x:f>"—"</x:f>
        <x:v>—</x:v>
      </x:c>
      <x:c r="U187" s="21" t="str">
        <x:f>IF(COUNT(S187:T187)=2,S187-T187,"待核")</x:f>
        <x:v>待核</x:v>
      </x:c>
      <x:c r="V187" s="22" t="str">
        <x:f>IF(AND(ISNUMBER(U187),ISNUMBER(T187),T187&lt;&gt;0),U187/T187,"")</x:f>
      </x:c>
      <x:c r="W187" s="23" t="n">
        <x:f>IF(COUNT(INDEX('SKU明细'!$H$9:$H$1592,MATCH("[13120,""9967-CT-41""]",'SKU明细'!$AE$9:$AE$1592,0)),INDEX('SKU明细'!$H$9:$H$1592,MATCH("[13120,""9967-CT-42""]",'SKU明细'!$AE$9:$AE$1592,0)),INDEX('SKU明细'!$H$9:$H$1592,MATCH("[13120,""9967-CT-37""]",'SKU明细'!$AE$9:$AE$1592,0)))=0,"待核",SUM(INDEX('SKU明细'!$H$9:$H$1592,MATCH("[13120,""9967-CT-41""]",'SKU明细'!$AE$9:$AE$1592,0)),INDEX('SKU明细'!$H$9:$H$1592,MATCH("[13120,""9967-CT-42""]",'SKU明细'!$AE$9:$AE$1592,0)),INDEX('SKU明细'!$H$9:$H$1592,MATCH("[13120,""9967-CT-37""]",'SKU明细'!$AE$9:$AE$1592,0))))</x:f>
        <x:v>6</x:v>
      </x:c>
      <x:c r="X187" s="24" t="str">
        <x:f>IF(COUNTIFS('SKU明细'!$AH$9:$AH$1592,"[""9967"",""9967-CT"",""CT"",""棕色""]",'SKU明细'!$E$9:$E$1592,"促销")&gt;0,"促销 ","")&amp;IF(COUNTIFS('SKU明细'!$AH$9:$AH$1592,"[""9967"",""9967-CT"",""CT"",""棕色""]",'SKU明细'!$E$9:$E$1592,"红线促销")&gt;0,"红线促销 ","")&amp;IF(COUNTIFS('SKU明细'!$AH$9:$AH$1592,"[""9967"",""9967-CT"",""CT"",""棕色""]",'SKU明细'!$E$9:$E$1592,"考虑清仓")&gt;0,"考虑清仓 ","")&amp;IF(COUNTIFS('SKU明细'!$AH$9:$AH$1592,"[""9967"",""9967-CT"",""CT"",""棕色""]",'SKU明细'!$E$9:$E$1592,"断货")&gt;0,"断货 ","")&amp;IF(COUNTIFS('SKU明细'!$AH$9:$AH$1592,"[""9967"",""9967-CT"",""CT"",""棕色""]",'SKU明细'!$E$9:$E$1592,"零日销待复核")&gt;0,"零日销待复核 ","")&amp;IF(COUNTIFS('SKU明细'!$AH$9:$AH$1592,"[""9967"",""9967-CT"",""CT"",""棕色""]",'SKU明细'!$E$9:$E$1592,"数据待核")&gt;0,"数据待核 ","")&amp;IF(COUNTIFS('SKU明细'!$AH$9:$AH$1592,"[""9967"",""9967-CT"",""CT"",""棕色""]",'SKU明细'!$E$9:$E$1592,"正常库存")&gt;0,"正常库存 ","")&amp;IF(COUNTIFS('SKU明细'!$AH$9:$AH$1592,"[""9967"",""9967-CT"",""CT"",""棕色""]",'SKU明细'!$E$9:$E$1592,"补货提醒")&gt;0,"补货提醒 ","")</x:f>
        <x:v>零日销待复核 补货提醒 </x:v>
      </x:c>
      <x:c r="Y187" s="24" t="str">
        <x:f>IF(NOT(ISNUMBER(U187)),"覆盖待核／无可比基准","仅共同SKU")</x:f>
        <x:v>覆盖待核／无可比基准</x:v>
      </x:c>
      <x:c r="Z187" s="24" t="str">
        <x:v>在售</x:v>
      </x:c>
      <x:c r="AA187" s="24" t="n">
        <x:f>IF(SUMIFS('SKU明细'!$AF$9:$AF$1592,'SKU明细'!$D$9:$D$1592,A187,'SKU明细'!$Z$9:$Z$1592,"&lt;&gt;移出")=0,"待核",SUMIFS('SKU明细'!$H$9:$H$1592,'SKU明细'!$D$9:$D$1592,A187,'SKU明细'!$Z$9:$Z$1592,"&lt;&gt;移出"))</x:f>
        <x:v>131</x:v>
      </x:c>
    </x:row>
    <x:row r="188" ht="54" customHeight="1">
      <x:c r="A188" s="20" t="str">
        <x:v>9967</x:v>
      </x:c>
      <x:c r="B188" s="20" t="str">
        <x:v>徐新怡</x:v>
      </x:c>
      <x:c r="C188" s="20" t="str">
        <x:v>棕色</x:v>
      </x:c>
      <x:c r="D188" s="20" t="str">
        <x:v>CT-38B</x:v>
      </x:c>
      <x:c r="E188" s="20" t="str">
        <x:v>9967-CT-38B</x:v>
      </x:c>
      <x:c r="F188" s="20"/>
      <x:c r="G188" s="21" t="str">
        <x:f>"—"</x:f>
        <x:v>—</x:v>
      </x:c>
      <x:c r="H188" s="21" t="str">
        <x:f>"—"</x:f>
        <x:v>—</x:v>
      </x:c>
      <x:c r="I188" s="21" t="str">
        <x:f>"—"</x:f>
        <x:v>—</x:v>
      </x:c>
      <x:c r="J188" s="21" t="n">
        <x:f>IF(AND(COUNT(INDEX('SKU明细'!$H$9:$H$1592,MATCH("[13120,""9967-CT-38B""]",'SKU明细'!$AE$9:$AE$1592,0)))=1,COUNT(INDEX('SKU明细'!$G$9:$G$1592,MATCH("[13120,""9967-CT-38B""]",'SKU明细'!$AE$9:$AE$1592,0)))=1,SUM(INDEX('SKU明细'!$G$9:$G$1592,MATCH("[13120,""9967-CT-38B""]",'SKU明细'!$AE$9:$AE$1592,0)))&gt;0),SUM(INDEX('SKU明细'!$H$9:$H$1592,MATCH("[13120,""9967-CT-38B""]",'SKU明细'!$AE$9:$AE$1592,0)))/SUM(INDEX('SKU明细'!$G$9:$G$1592,MATCH("[13120,""9967-CT-38B""]",'SKU明细'!$AE$9:$AE$1592,0))),"待核")</x:f>
        <x:v>177.96610169491527</x:v>
      </x:c>
      <x:c r="K188" s="21" t="str">
        <x:f>"—"</x:f>
        <x:v>—</x:v>
      </x:c>
      <x:c r="L188" s="21" t="str">
        <x:f>"—"</x:f>
        <x:v>—</x:v>
      </x:c>
      <x:c r="M188" s="21" t="str">
        <x:f>"—"</x:f>
        <x:v>—</x:v>
      </x:c>
      <x:c r="N188" s="21" t="str">
        <x:f>"—"</x:f>
        <x:v>—</x:v>
      </x:c>
      <x:c r="O188" s="21" t="str">
        <x:f>"—"</x:f>
        <x:v>—</x:v>
      </x:c>
      <x:c r="P188" s="21" t="str">
        <x:f>"—"</x:f>
        <x:v>—</x:v>
      </x:c>
      <x:c r="Q188" s="21" t="str">
        <x:f>"—"</x:f>
        <x:v>—</x:v>
      </x:c>
      <x:c r="R188" s="21" t="str">
        <x:f>"—"</x:f>
        <x:v>—</x:v>
      </x:c>
      <x:c r="S188" s="21" t="str">
        <x:f>"—"</x:f>
        <x:v>—</x:v>
      </x:c>
      <x:c r="T188" s="21" t="str">
        <x:f>"—"</x:f>
        <x:v>—</x:v>
      </x:c>
      <x:c r="U188" s="21" t="str">
        <x:f>IF(COUNT(S188:T188)=2,S188-T188,"待核")</x:f>
        <x:v>待核</x:v>
      </x:c>
      <x:c r="V188" s="22" t="str">
        <x:f>IF(AND(ISNUMBER(U188),ISNUMBER(T188),T188&lt;&gt;0),U188/T188,"")</x:f>
      </x:c>
      <x:c r="W188" s="23" t="n">
        <x:f>IF(COUNT(INDEX('SKU明细'!$H$9:$H$1592,MATCH("[13120,""9967-CT-38B""]",'SKU明细'!$AE$9:$AE$1592,0)))=0,"待核",SUM(INDEX('SKU明细'!$H$9:$H$1592,MATCH("[13120,""9967-CT-38B""]",'SKU明细'!$AE$9:$AE$1592,0))))</x:f>
        <x:v>5</x:v>
      </x:c>
      <x:c r="X188" s="24" t="str">
        <x:f>IF(COUNTIFS('SKU明细'!$AH$9:$AH$1592,"[""9967"",""9967-CT-38B"",""CT-38B"",""棕色""]",'SKU明细'!$E$9:$E$1592,"促销")&gt;0,"促销 ","")&amp;IF(COUNTIFS('SKU明细'!$AH$9:$AH$1592,"[""9967"",""9967-CT-38B"",""CT-38B"",""棕色""]",'SKU明细'!$E$9:$E$1592,"红线促销")&gt;0,"红线促销 ","")&amp;IF(COUNTIFS('SKU明细'!$AH$9:$AH$1592,"[""9967"",""9967-CT-38B"",""CT-38B"",""棕色""]",'SKU明细'!$E$9:$E$1592,"考虑清仓")&gt;0,"考虑清仓 ","")&amp;IF(COUNTIFS('SKU明细'!$AH$9:$AH$1592,"[""9967"",""9967-CT-38B"",""CT-38B"",""棕色""]",'SKU明细'!$E$9:$E$1592,"断货")&gt;0,"断货 ","")&amp;IF(COUNTIFS('SKU明细'!$AH$9:$AH$1592,"[""9967"",""9967-CT-38B"",""CT-38B"",""棕色""]",'SKU明细'!$E$9:$E$1592,"零日销待复核")&gt;0,"零日销待复核 ","")&amp;IF(COUNTIFS('SKU明细'!$AH$9:$AH$1592,"[""9967"",""9967-CT-38B"",""CT-38B"",""棕色""]",'SKU明细'!$E$9:$E$1592,"数据待核")&gt;0,"数据待核 ","")&amp;IF(COUNTIFS('SKU明细'!$AH$9:$AH$1592,"[""9967"",""9967-CT-38B"",""CT-38B"",""棕色""]",'SKU明细'!$E$9:$E$1592,"正常库存")&gt;0,"正常库存 ","")&amp;IF(COUNTIFS('SKU明细'!$AH$9:$AH$1592,"[""9967"",""9967-CT-38B"",""CT-38B"",""棕色""]",'SKU明细'!$E$9:$E$1592,"补货提醒")&gt;0,"补货提醒 ","")</x:f>
        <x:v>促销 </x:v>
      </x:c>
      <x:c r="Y188" s="24" t="str">
        <x:f>IF(NOT(ISNUMBER(U188)),"覆盖待核／无可比基准","仅共同SKU")</x:f>
        <x:v>覆盖待核／无可比基准</x:v>
      </x:c>
      <x:c r="Z188" s="24" t="str">
        <x:v>在售</x:v>
      </x:c>
      <x:c r="AA188" s="24" t="n">
        <x:f>IF(SUMIFS('SKU明细'!$AF$9:$AF$1592,'SKU明细'!$D$9:$D$1592,A188,'SKU明细'!$Z$9:$Z$1592,"&lt;&gt;移出")=0,"待核",SUMIFS('SKU明细'!$H$9:$H$1592,'SKU明细'!$D$9:$D$1592,A188,'SKU明细'!$Z$9:$Z$1592,"&lt;&gt;移出"))</x:f>
        <x:v>131</x:v>
      </x:c>
    </x:row>
    <x:row r="189" ht="54" customHeight="1">
      <x:c r="A189" s="20" t="str">
        <x:v>9967</x:v>
      </x:c>
      <x:c r="B189" s="20" t="str">
        <x:v>徐新怡</x:v>
      </x:c>
      <x:c r="C189" s="20" t="str">
        <x:v>棕色</x:v>
      </x:c>
      <x:c r="D189" s="20" t="str">
        <x:v>CT-39B</x:v>
      </x:c>
      <x:c r="E189" s="20" t="str">
        <x:v>9967-CT-39B</x:v>
      </x:c>
      <x:c r="F189" s="20"/>
      <x:c r="G189" s="21" t="str">
        <x:f>"—"</x:f>
        <x:v>—</x:v>
      </x:c>
      <x:c r="H189" s="21" t="str">
        <x:f>"—"</x:f>
        <x:v>—</x:v>
      </x:c>
      <x:c r="I189" s="21" t="str">
        <x:f>"—"</x:f>
        <x:v>—</x:v>
      </x:c>
      <x:c r="J189" s="21" t="str">
        <x:f>"—"</x:f>
        <x:v>—</x:v>
      </x:c>
      <x:c r="K189" s="21" t="str">
        <x:f>"—"</x:f>
        <x:v>—</x:v>
      </x:c>
      <x:c r="L189" s="21" t="str">
        <x:f>IF(AND(COUNT(INDEX('SKU明细'!$H$9:$H$1592,MATCH("[13120,""9967-CT-39B""]",'SKU明细'!$AE$9:$AE$1592,0)))=1,COUNT(INDEX('SKU明细'!$G$9:$G$1592,MATCH("[13120,""9967-CT-39B""]",'SKU明细'!$AE$9:$AE$1592,0)))=1,SUM(INDEX('SKU明细'!$G$9:$G$1592,MATCH("[13120,""9967-CT-39B""]",'SKU明细'!$AE$9:$AE$1592,0)))&gt;0),SUM(INDEX('SKU明细'!$H$9:$H$1592,MATCH("[13120,""9967-CT-39B""]",'SKU明细'!$AE$9:$AE$1592,0)))/SUM(INDEX('SKU明细'!$G$9:$G$1592,MATCH("[13120,""9967-CT-39B""]",'SKU明细'!$AE$9:$AE$1592,0))),"待核")</x:f>
        <x:v>待核</x:v>
      </x:c>
      <x:c r="M189" s="21" t="str">
        <x:f>"—"</x:f>
        <x:v>—</x:v>
      </x:c>
      <x:c r="N189" s="21" t="str">
        <x:f>"—"</x:f>
        <x:v>—</x:v>
      </x:c>
      <x:c r="O189" s="21" t="str">
        <x:f>"—"</x:f>
        <x:v>—</x:v>
      </x:c>
      <x:c r="P189" s="21" t="str">
        <x:f>"—"</x:f>
        <x:v>—</x:v>
      </x:c>
      <x:c r="Q189" s="21" t="str">
        <x:f>"—"</x:f>
        <x:v>—</x:v>
      </x:c>
      <x:c r="R189" s="21" t="str">
        <x:f>"—"</x:f>
        <x:v>—</x:v>
      </x:c>
      <x:c r="S189" s="21" t="str">
        <x:f>"—"</x:f>
        <x:v>—</x:v>
      </x:c>
      <x:c r="T189" s="21" t="str">
        <x:f>"—"</x:f>
        <x:v>—</x:v>
      </x:c>
      <x:c r="U189" s="21" t="str">
        <x:f>IF(COUNT(S189:T189)=2,S189-T189,"待核")</x:f>
        <x:v>待核</x:v>
      </x:c>
      <x:c r="V189" s="22" t="str">
        <x:f>IF(AND(ISNUMBER(U189),ISNUMBER(T189),T189&lt;&gt;0),U189/T189,"")</x:f>
      </x:c>
      <x:c r="W189" s="23" t="n">
        <x:f>IF(COUNT(INDEX('SKU明细'!$H$9:$H$1592,MATCH("[13120,""9967-CT-39B""]",'SKU明细'!$AE$9:$AE$1592,0)))=0,"待核",SUM(INDEX('SKU明细'!$H$9:$H$1592,MATCH("[13120,""9967-CT-39B""]",'SKU明细'!$AE$9:$AE$1592,0))))</x:f>
        <x:v>12</x:v>
      </x:c>
      <x:c r="X189" s="24" t="str">
        <x:f>IF(COUNTIFS('SKU明细'!$AH$9:$AH$1592,"[""9967"",""9967-CT-39B"",""CT-39B"",""棕色""]",'SKU明细'!$E$9:$E$1592,"促销")&gt;0,"促销 ","")&amp;IF(COUNTIFS('SKU明细'!$AH$9:$AH$1592,"[""9967"",""9967-CT-39B"",""CT-39B"",""棕色""]",'SKU明细'!$E$9:$E$1592,"红线促销")&gt;0,"红线促销 ","")&amp;IF(COUNTIFS('SKU明细'!$AH$9:$AH$1592,"[""9967"",""9967-CT-39B"",""CT-39B"",""棕色""]",'SKU明细'!$E$9:$E$1592,"考虑清仓")&gt;0,"考虑清仓 ","")&amp;IF(COUNTIFS('SKU明细'!$AH$9:$AH$1592,"[""9967"",""9967-CT-39B"",""CT-39B"",""棕色""]",'SKU明细'!$E$9:$E$1592,"断货")&gt;0,"断货 ","")&amp;IF(COUNTIFS('SKU明细'!$AH$9:$AH$1592,"[""9967"",""9967-CT-39B"",""CT-39B"",""棕色""]",'SKU明细'!$E$9:$E$1592,"零日销待复核")&gt;0,"零日销待复核 ","")&amp;IF(COUNTIFS('SKU明细'!$AH$9:$AH$1592,"[""9967"",""9967-CT-39B"",""CT-39B"",""棕色""]",'SKU明细'!$E$9:$E$1592,"数据待核")&gt;0,"数据待核 ","")&amp;IF(COUNTIFS('SKU明细'!$AH$9:$AH$1592,"[""9967"",""9967-CT-39B"",""CT-39B"",""棕色""]",'SKU明细'!$E$9:$E$1592,"正常库存")&gt;0,"正常库存 ","")&amp;IF(COUNTIFS('SKU明细'!$AH$9:$AH$1592,"[""9967"",""9967-CT-39B"",""CT-39B"",""棕色""]",'SKU明细'!$E$9:$E$1592,"补货提醒")&gt;0,"补货提醒 ","")</x:f>
        <x:v>零日销待复核 </x:v>
      </x:c>
      <x:c r="Y189" s="24" t="str">
        <x:f>IF(NOT(ISNUMBER(U189)),"覆盖待核／无可比基准","仅共同SKU")</x:f>
        <x:v>覆盖待核／无可比基准</x:v>
      </x:c>
      <x:c r="Z189" s="24" t="str">
        <x:v>在售</x:v>
      </x:c>
      <x:c r="AA189" s="24" t="n">
        <x:f>IF(SUMIFS('SKU明细'!$AF$9:$AF$1592,'SKU明细'!$D$9:$D$1592,A189,'SKU明细'!$Z$9:$Z$1592,"&lt;&gt;移出")=0,"待核",SUMIFS('SKU明细'!$H$9:$H$1592,'SKU明细'!$D$9:$D$1592,A189,'SKU明细'!$Z$9:$Z$1592,"&lt;&gt;移出"))</x:f>
        <x:v>131</x:v>
      </x:c>
    </x:row>
    <x:row r="190" ht="54" customHeight="1">
      <x:c r="A190" s="20" t="str">
        <x:v>9967</x:v>
      </x:c>
      <x:c r="B190" s="20" t="str">
        <x:v>徐新怡</x:v>
      </x:c>
      <x:c r="C190" s="20" t="str">
        <x:v>棕色</x:v>
      </x:c>
      <x:c r="D190" s="20" t="str">
        <x:v>CT-40B</x:v>
      </x:c>
      <x:c r="E190" s="20" t="str">
        <x:v>9967-CT-40B</x:v>
      </x:c>
      <x:c r="F190" s="20"/>
      <x:c r="G190" s="21" t="str">
        <x:f>"—"</x:f>
        <x:v>—</x:v>
      </x:c>
      <x:c r="H190" s="21" t="str">
        <x:f>"—"</x:f>
        <x:v>—</x:v>
      </x:c>
      <x:c r="I190" s="21" t="str">
        <x:f>"—"</x:f>
        <x:v>—</x:v>
      </x:c>
      <x:c r="J190" s="21" t="str">
        <x:f>"—"</x:f>
        <x:v>—</x:v>
      </x:c>
      <x:c r="K190" s="21" t="str">
        <x:f>"—"</x:f>
        <x:v>—</x:v>
      </x:c>
      <x:c r="L190" s="21" t="str">
        <x:f>"—"</x:f>
        <x:v>—</x:v>
      </x:c>
      <x:c r="M190" s="21" t="str">
        <x:f>"—"</x:f>
        <x:v>—</x:v>
      </x:c>
      <x:c r="N190" s="21" t="str">
        <x:f>IF(AND(COUNT(INDEX('SKU明细'!$H$9:$H$1592,MATCH("[13120,""9967-CT-40B""]",'SKU明细'!$AE$9:$AE$1592,0)))=1,COUNT(INDEX('SKU明细'!$G$9:$G$1592,MATCH("[13120,""9967-CT-40B""]",'SKU明细'!$AE$9:$AE$1592,0)))=1,SUM(INDEX('SKU明细'!$G$9:$G$1592,MATCH("[13120,""9967-CT-40B""]",'SKU明细'!$AE$9:$AE$1592,0)))&gt;0),SUM(INDEX('SKU明细'!$H$9:$H$1592,MATCH("[13120,""9967-CT-40B""]",'SKU明细'!$AE$9:$AE$1592,0)))/SUM(INDEX('SKU明细'!$G$9:$G$1592,MATCH("[13120,""9967-CT-40B""]",'SKU明细'!$AE$9:$AE$1592,0))),"待核")</x:f>
        <x:v>待核</x:v>
      </x:c>
      <x:c r="O190" s="21" t="str">
        <x:f>"—"</x:f>
        <x:v>—</x:v>
      </x:c>
      <x:c r="P190" s="21" t="str">
        <x:f>"—"</x:f>
        <x:v>—</x:v>
      </x:c>
      <x:c r="Q190" s="21" t="str">
        <x:f>"—"</x:f>
        <x:v>—</x:v>
      </x:c>
      <x:c r="R190" s="21" t="str">
        <x:f>"—"</x:f>
        <x:v>—</x:v>
      </x:c>
      <x:c r="S190" s="21" t="str">
        <x:f>"—"</x:f>
        <x:v>—</x:v>
      </x:c>
      <x:c r="T190" s="21" t="str">
        <x:f>"—"</x:f>
        <x:v>—</x:v>
      </x:c>
      <x:c r="U190" s="21" t="str">
        <x:f>IF(COUNT(S190:T190)=2,S190-T190,"待核")</x:f>
        <x:v>待核</x:v>
      </x:c>
      <x:c r="V190" s="22" t="str">
        <x:f>IF(AND(ISNUMBER(U190),ISNUMBER(T190),T190&lt;&gt;0),U190/T190,"")</x:f>
      </x:c>
      <x:c r="W190" s="23" t="n">
        <x:f>IF(COUNT(INDEX('SKU明细'!$H$9:$H$1592,MATCH("[13120,""9967-CT-40B""]",'SKU明细'!$AE$9:$AE$1592,0)))=0,"待核",SUM(INDEX('SKU明细'!$H$9:$H$1592,MATCH("[13120,""9967-CT-40B""]",'SKU明细'!$AE$9:$AE$1592,0))))</x:f>
        <x:v>6</x:v>
      </x:c>
      <x:c r="X190" s="24" t="str">
        <x:f>IF(COUNTIFS('SKU明细'!$AH$9:$AH$1592,"[""9967"",""9967-CT-40B"",""CT-40B"",""棕色""]",'SKU明细'!$E$9:$E$1592,"促销")&gt;0,"促销 ","")&amp;IF(COUNTIFS('SKU明细'!$AH$9:$AH$1592,"[""9967"",""9967-CT-40B"",""CT-40B"",""棕色""]",'SKU明细'!$E$9:$E$1592,"红线促销")&gt;0,"红线促销 ","")&amp;IF(COUNTIFS('SKU明细'!$AH$9:$AH$1592,"[""9967"",""9967-CT-40B"",""CT-40B"",""棕色""]",'SKU明细'!$E$9:$E$1592,"考虑清仓")&gt;0,"考虑清仓 ","")&amp;IF(COUNTIFS('SKU明细'!$AH$9:$AH$1592,"[""9967"",""9967-CT-40B"",""CT-40B"",""棕色""]",'SKU明细'!$E$9:$E$1592,"断货")&gt;0,"断货 ","")&amp;IF(COUNTIFS('SKU明细'!$AH$9:$AH$1592,"[""9967"",""9967-CT-40B"",""CT-40B"",""棕色""]",'SKU明细'!$E$9:$E$1592,"零日销待复核")&gt;0,"零日销待复核 ","")&amp;IF(COUNTIFS('SKU明细'!$AH$9:$AH$1592,"[""9967"",""9967-CT-40B"",""CT-40B"",""棕色""]",'SKU明细'!$E$9:$E$1592,"数据待核")&gt;0,"数据待核 ","")&amp;IF(COUNTIFS('SKU明细'!$AH$9:$AH$1592,"[""9967"",""9967-CT-40B"",""CT-40B"",""棕色""]",'SKU明细'!$E$9:$E$1592,"正常库存")&gt;0,"正常库存 ","")&amp;IF(COUNTIFS('SKU明细'!$AH$9:$AH$1592,"[""9967"",""9967-CT-40B"",""CT-40B"",""棕色""]",'SKU明细'!$E$9:$E$1592,"补货提醒")&gt;0,"补货提醒 ","")</x:f>
        <x:v>零日销待复核 </x:v>
      </x:c>
      <x:c r="Y190" s="24" t="str">
        <x:f>IF(NOT(ISNUMBER(U190)),"覆盖待核／无可比基准","仅共同SKU")</x:f>
        <x:v>覆盖待核／无可比基准</x:v>
      </x:c>
      <x:c r="Z190" s="24" t="str">
        <x:v>在售</x:v>
      </x:c>
      <x:c r="AA190" s="24" t="n">
        <x:f>IF(SUMIFS('SKU明细'!$AF$9:$AF$1592,'SKU明细'!$D$9:$D$1592,A190,'SKU明细'!$Z$9:$Z$1592,"&lt;&gt;移出")=0,"待核",SUMIFS('SKU明细'!$H$9:$H$1592,'SKU明细'!$D$9:$D$1592,A190,'SKU明细'!$Z$9:$Z$1592,"&lt;&gt;移出"))</x:f>
        <x:v>131</x:v>
      </x:c>
    </x:row>
    <x:row r="191" ht="54" customHeight="1">
      <x:c r="A191" s="20" t="str">
        <x:v>9967</x:v>
      </x:c>
      <x:c r="B191" s="20" t="str">
        <x:v>徐新怡</x:v>
      </x:c>
      <x:c r="C191" s="20" t="str">
        <x:v>灰色</x:v>
      </x:c>
      <x:c r="D191" s="20" t="str">
        <x:v>GY</x:v>
      </x:c>
      <x:c r="E191" s="20" t="str">
        <x:v>9967-GY</x:v>
      </x:c>
      <x:c r="F191" s="20"/>
      <x:c r="G191" s="21" t="str">
        <x:f>"—"</x:f>
        <x:v>—</x:v>
      </x:c>
      <x:c r="H191" s="21" t="str">
        <x:f>IF(AND(COUNT(INDEX('SKU明细'!$H$9:$H$1592,MATCH("[13120,""9967-GY-37""]",'SKU明细'!$AE$9:$AE$1592,0)))=1,COUNT(INDEX('SKU明细'!$G$9:$G$1592,MATCH("[13120,""9967-GY-37""]",'SKU明细'!$AE$9:$AE$1592,0)))=1,SUM(INDEX('SKU明细'!$G$9:$G$1592,MATCH("[13120,""9967-GY-37""]",'SKU明细'!$AE$9:$AE$1592,0)))&gt;0),SUM(INDEX('SKU明细'!$H$9:$H$1592,MATCH("[13120,""9967-GY-37""]",'SKU明细'!$AE$9:$AE$1592,0)))/SUM(INDEX('SKU明细'!$G$9:$G$1592,MATCH("[13120,""9967-GY-37""]",'SKU明细'!$AE$9:$AE$1592,0))),"待核")</x:f>
        <x:v>待核</x:v>
      </x:c>
      <x:c r="I191" s="21" t="str">
        <x:f>"—"</x:f>
        <x:v>—</x:v>
      </x:c>
      <x:c r="J191" s="21" t="str">
        <x:f>"—"</x:f>
        <x:v>—</x:v>
      </x:c>
      <x:c r="K191" s="21" t="str">
        <x:f>"—"</x:f>
        <x:v>—</x:v>
      </x:c>
      <x:c r="L191" s="21" t="str">
        <x:f>"—"</x:f>
        <x:v>—</x:v>
      </x:c>
      <x:c r="M191" s="21" t="str">
        <x:f>"—"</x:f>
        <x:v>—</x:v>
      </x:c>
      <x:c r="N191" s="21" t="str">
        <x:f>"—"</x:f>
        <x:v>—</x:v>
      </x:c>
      <x:c r="O191" s="21" t="str">
        <x:f>IF(AND(COUNT(INDEX('SKU明细'!$H$9:$H$1592,MATCH("[13120,""9967-GY-41""]",'SKU明细'!$AE$9:$AE$1592,0)))=1,COUNT(INDEX('SKU明细'!$G$9:$G$1592,MATCH("[13120,""9967-GY-41""]",'SKU明细'!$AE$9:$AE$1592,0)))=1,SUM(INDEX('SKU明细'!$G$9:$G$1592,MATCH("[13120,""9967-GY-41""]",'SKU明细'!$AE$9:$AE$1592,0)))&gt;0),SUM(INDEX('SKU明细'!$H$9:$H$1592,MATCH("[13120,""9967-GY-41""]",'SKU明细'!$AE$9:$AE$1592,0)))/SUM(INDEX('SKU明细'!$G$9:$G$1592,MATCH("[13120,""9967-GY-41""]",'SKU明细'!$AE$9:$AE$1592,0))),"待核")</x:f>
        <x:v>待核</x:v>
      </x:c>
      <x:c r="P191" s="21" t="str">
        <x:f>IF(AND(COUNT(INDEX('SKU明细'!$H$9:$H$1592,MATCH("[13120,""9967-GY-42""]",'SKU明细'!$AE$9:$AE$1592,0)))=1,COUNT(INDEX('SKU明细'!$G$9:$G$1592,MATCH("[13120,""9967-GY-42""]",'SKU明细'!$AE$9:$AE$1592,0)))=1,SUM(INDEX('SKU明细'!$G$9:$G$1592,MATCH("[13120,""9967-GY-42""]",'SKU明细'!$AE$9:$AE$1592,0)))&gt;0),SUM(INDEX('SKU明细'!$H$9:$H$1592,MATCH("[13120,""9967-GY-42""]",'SKU明细'!$AE$9:$AE$1592,0)))/SUM(INDEX('SKU明细'!$G$9:$G$1592,MATCH("[13120,""9967-GY-42""]",'SKU明细'!$AE$9:$AE$1592,0))),"待核")</x:f>
        <x:v>待核</x:v>
      </x:c>
      <x:c r="Q191" s="21" t="str">
        <x:f>"—"</x:f>
        <x:v>—</x:v>
      </x:c>
      <x:c r="R191" s="21" t="str">
        <x:f>"—"</x:f>
        <x:v>—</x:v>
      </x:c>
      <x:c r="S191" s="21" t="str">
        <x:f>"—"</x:f>
        <x:v>—</x:v>
      </x:c>
      <x:c r="T191" s="21" t="str">
        <x:f>"—"</x:f>
        <x:v>—</x:v>
      </x:c>
      <x:c r="U191" s="21" t="str">
        <x:f>IF(COUNT(S191:T191)=2,S191-T191,"待核")</x:f>
        <x:v>待核</x:v>
      </x:c>
      <x:c r="V191" s="22" t="str">
        <x:f>IF(AND(ISNUMBER(U191),ISNUMBER(T191),T191&lt;&gt;0),U191/T191,"")</x:f>
      </x:c>
      <x:c r="W191" s="23" t="n">
        <x:f>IF(COUNT(INDEX('SKU明细'!$H$9:$H$1592,MATCH("[13120,""9967-GY-41""]",'SKU明细'!$AE$9:$AE$1592,0)),INDEX('SKU明细'!$H$9:$H$1592,MATCH("[13120,""9967-GY-42""]",'SKU明细'!$AE$9:$AE$1592,0)),INDEX('SKU明细'!$H$9:$H$1592,MATCH("[13120,""9967-GY-37""]",'SKU明细'!$AE$9:$AE$1592,0)))=0,"待核",SUM(INDEX('SKU明细'!$H$9:$H$1592,MATCH("[13120,""9967-GY-41""]",'SKU明细'!$AE$9:$AE$1592,0)),INDEX('SKU明细'!$H$9:$H$1592,MATCH("[13120,""9967-GY-42""]",'SKU明细'!$AE$9:$AE$1592,0)),INDEX('SKU明细'!$H$9:$H$1592,MATCH("[13120,""9967-GY-37""]",'SKU明细'!$AE$9:$AE$1592,0))))</x:f>
        <x:v>1</x:v>
      </x:c>
      <x:c r="X191" s="24" t="str">
        <x:f>IF(COUNTIFS('SKU明细'!$AH$9:$AH$1592,"[""9967"",""9967-GY"",""GY"",""灰色""]",'SKU明细'!$E$9:$E$1592,"促销")&gt;0,"促销 ","")&amp;IF(COUNTIFS('SKU明细'!$AH$9:$AH$1592,"[""9967"",""9967-GY"",""GY"",""灰色""]",'SKU明细'!$E$9:$E$1592,"红线促销")&gt;0,"红线促销 ","")&amp;IF(COUNTIFS('SKU明细'!$AH$9:$AH$1592,"[""9967"",""9967-GY"",""GY"",""灰色""]",'SKU明细'!$E$9:$E$1592,"考虑清仓")&gt;0,"考虑清仓 ","")&amp;IF(COUNTIFS('SKU明细'!$AH$9:$AH$1592,"[""9967"",""9967-GY"",""GY"",""灰色""]",'SKU明细'!$E$9:$E$1592,"断货")&gt;0,"断货 ","")&amp;IF(COUNTIFS('SKU明细'!$AH$9:$AH$1592,"[""9967"",""9967-GY"",""GY"",""灰色""]",'SKU明细'!$E$9:$E$1592,"零日销待复核")&gt;0,"零日销待复核 ","")&amp;IF(COUNTIFS('SKU明细'!$AH$9:$AH$1592,"[""9967"",""9967-GY"",""GY"",""灰色""]",'SKU明细'!$E$9:$E$1592,"数据待核")&gt;0,"数据待核 ","")&amp;IF(COUNTIFS('SKU明细'!$AH$9:$AH$1592,"[""9967"",""9967-GY"",""GY"",""灰色""]",'SKU明细'!$E$9:$E$1592,"正常库存")&gt;0,"正常库存 ","")&amp;IF(COUNTIFS('SKU明细'!$AH$9:$AH$1592,"[""9967"",""9967-GY"",""GY"",""灰色""]",'SKU明细'!$E$9:$E$1592,"补货提醒")&gt;0,"补货提醒 ","")</x:f>
        <x:v>断货 零日销待复核 </x:v>
      </x:c>
      <x:c r="Y191" s="24" t="str">
        <x:f>IF(NOT(ISNUMBER(U191)),"覆盖待核／无可比基准","仅共同SKU")</x:f>
        <x:v>覆盖待核／无可比基准</x:v>
      </x:c>
      <x:c r="Z191" s="24" t="str">
        <x:v>停售、在售</x:v>
      </x:c>
      <x:c r="AA191" s="24" t="n">
        <x:f>IF(SUMIFS('SKU明细'!$AF$9:$AF$1592,'SKU明细'!$D$9:$D$1592,A191,'SKU明细'!$Z$9:$Z$1592,"&lt;&gt;移出")=0,"待核",SUMIFS('SKU明细'!$H$9:$H$1592,'SKU明细'!$D$9:$D$1592,A191,'SKU明细'!$Z$9:$Z$1592,"&lt;&gt;移出"))</x:f>
        <x:v>131</x:v>
      </x:c>
    </x:row>
    <x:row r="192" ht="54" customHeight="1">
      <x:c r="A192" s="20" t="str">
        <x:v>9967</x:v>
      </x:c>
      <x:c r="B192" s="20" t="str">
        <x:v>徐新怡</x:v>
      </x:c>
      <x:c r="C192" s="20" t="str">
        <x:v>灰色</x:v>
      </x:c>
      <x:c r="D192" s="20" t="str">
        <x:v>GY-38B</x:v>
      </x:c>
      <x:c r="E192" s="20" t="str">
        <x:v>9967-GY-38B</x:v>
      </x:c>
      <x:c r="F192" s="20"/>
      <x:c r="G192" s="21" t="str">
        <x:f>"—"</x:f>
        <x:v>—</x:v>
      </x:c>
      <x:c r="H192" s="21" t="str">
        <x:f>"—"</x:f>
        <x:v>—</x:v>
      </x:c>
      <x:c r="I192" s="21" t="str">
        <x:f>"—"</x:f>
        <x:v>—</x:v>
      </x:c>
      <x:c r="J192" s="21" t="n">
        <x:f>IF(AND(COUNT(INDEX('SKU明细'!$H$9:$H$1592,MATCH("[13120,""9967-GY-38B""]",'SKU明细'!$AE$9:$AE$1592,0)))=1,COUNT(INDEX('SKU明细'!$G$9:$G$1592,MATCH("[13120,""9967-GY-38B""]",'SKU明细'!$AE$9:$AE$1592,0)))=1,SUM(INDEX('SKU明细'!$G$9:$G$1592,MATCH("[13120,""9967-GY-38B""]",'SKU明细'!$AE$9:$AE$1592,0)))&gt;0),SUM(INDEX('SKU明细'!$H$9:$H$1592,MATCH("[13120,""9967-GY-38B""]",'SKU明细'!$AE$9:$AE$1592,0)))/SUM(INDEX('SKU明细'!$G$9:$G$1592,MATCH("[13120,""9967-GY-38B""]",'SKU明细'!$AE$9:$AE$1592,0))),"待核")</x:f>
        <x:v>150</x:v>
      </x:c>
      <x:c r="K192" s="21" t="str">
        <x:f>"—"</x:f>
        <x:v>—</x:v>
      </x:c>
      <x:c r="L192" s="21" t="str">
        <x:f>"—"</x:f>
        <x:v>—</x:v>
      </x:c>
      <x:c r="M192" s="21" t="str">
        <x:f>"—"</x:f>
        <x:v>—</x:v>
      </x:c>
      <x:c r="N192" s="21" t="str">
        <x:f>"—"</x:f>
        <x:v>—</x:v>
      </x:c>
      <x:c r="O192" s="21" t="str">
        <x:f>"—"</x:f>
        <x:v>—</x:v>
      </x:c>
      <x:c r="P192" s="21" t="str">
        <x:f>"—"</x:f>
        <x:v>—</x:v>
      </x:c>
      <x:c r="Q192" s="21" t="str">
        <x:f>"—"</x:f>
        <x:v>—</x:v>
      </x:c>
      <x:c r="R192" s="21" t="str">
        <x:f>"—"</x:f>
        <x:v>—</x:v>
      </x:c>
      <x:c r="S192" s="21" t="str">
        <x:f>"—"</x:f>
        <x:v>—</x:v>
      </x:c>
      <x:c r="T192" s="21" t="str">
        <x:f>"—"</x:f>
        <x:v>—</x:v>
      </x:c>
      <x:c r="U192" s="21" t="str">
        <x:f>IF(COUNT(S192:T192)=2,S192-T192,"待核")</x:f>
        <x:v>待核</x:v>
      </x:c>
      <x:c r="V192" s="22" t="str">
        <x:f>IF(AND(ISNUMBER(U192),ISNUMBER(T192),T192&lt;&gt;0),U192/T192,"")</x:f>
      </x:c>
      <x:c r="W192" s="23" t="n">
        <x:f>IF(COUNT(INDEX('SKU明细'!$H$9:$H$1592,MATCH("[13120,""9967-GY-38B""]",'SKU明细'!$AE$9:$AE$1592,0)))=0,"待核",SUM(INDEX('SKU明细'!$H$9:$H$1592,MATCH("[13120,""9967-GY-38B""]",'SKU明细'!$AE$9:$AE$1592,0))))</x:f>
        <x:v>1</x:v>
      </x:c>
      <x:c r="X192" s="24" t="str">
        <x:f>IF(COUNTIFS('SKU明细'!$AH$9:$AH$1592,"[""9967"",""9967-GY-38B"",""GY-38B"",""灰色""]",'SKU明细'!$E$9:$E$1592,"促销")&gt;0,"促销 ","")&amp;IF(COUNTIFS('SKU明细'!$AH$9:$AH$1592,"[""9967"",""9967-GY-38B"",""GY-38B"",""灰色""]",'SKU明细'!$E$9:$E$1592,"红线促销")&gt;0,"红线促销 ","")&amp;IF(COUNTIFS('SKU明细'!$AH$9:$AH$1592,"[""9967"",""9967-GY-38B"",""GY-38B"",""灰色""]",'SKU明细'!$E$9:$E$1592,"考虑清仓")&gt;0,"考虑清仓 ","")&amp;IF(COUNTIFS('SKU明细'!$AH$9:$AH$1592,"[""9967"",""9967-GY-38B"",""GY-38B"",""灰色""]",'SKU明细'!$E$9:$E$1592,"断货")&gt;0,"断货 ","")&amp;IF(COUNTIFS('SKU明细'!$AH$9:$AH$1592,"[""9967"",""9967-GY-38B"",""GY-38B"",""灰色""]",'SKU明细'!$E$9:$E$1592,"零日销待复核")&gt;0,"零日销待复核 ","")&amp;IF(COUNTIFS('SKU明细'!$AH$9:$AH$1592,"[""9967"",""9967-GY-38B"",""GY-38B"",""灰色""]",'SKU明细'!$E$9:$E$1592,"数据待核")&gt;0,"数据待核 ","")&amp;IF(COUNTIFS('SKU明细'!$AH$9:$AH$1592,"[""9967"",""9967-GY-38B"",""GY-38B"",""灰色""]",'SKU明细'!$E$9:$E$1592,"正常库存")&gt;0,"正常库存 ","")&amp;IF(COUNTIFS('SKU明细'!$AH$9:$AH$1592,"[""9967"",""9967-GY-38B"",""GY-38B"",""灰色""]",'SKU明细'!$E$9:$E$1592,"补货提醒")&gt;0,"补货提醒 ","")</x:f>
        <x:v>促销 </x:v>
      </x:c>
      <x:c r="Y192" s="24" t="str">
        <x:f>IF(NOT(ISNUMBER(U192)),"覆盖待核／无可比基准","仅共同SKU")</x:f>
        <x:v>覆盖待核／无可比基准</x:v>
      </x:c>
      <x:c r="Z192" s="24" t="str">
        <x:v>在售</x:v>
      </x:c>
      <x:c r="AA192" s="24" t="n">
        <x:f>IF(SUMIFS('SKU明细'!$AF$9:$AF$1592,'SKU明细'!$D$9:$D$1592,A192,'SKU明细'!$Z$9:$Z$1592,"&lt;&gt;移出")=0,"待核",SUMIFS('SKU明细'!$H$9:$H$1592,'SKU明细'!$D$9:$D$1592,A192,'SKU明细'!$Z$9:$Z$1592,"&lt;&gt;移出"))</x:f>
        <x:v>131</x:v>
      </x:c>
    </x:row>
    <x:row r="193" ht="54" customHeight="1">
      <x:c r="A193" s="20" t="str">
        <x:v>9967</x:v>
      </x:c>
      <x:c r="B193" s="20" t="str">
        <x:v>徐新怡</x:v>
      </x:c>
      <x:c r="C193" s="20" t="str">
        <x:v>灰色</x:v>
      </x:c>
      <x:c r="D193" s="20" t="str">
        <x:v>GY-39B</x:v>
      </x:c>
      <x:c r="E193" s="20" t="str">
        <x:v>9967-GY-39B</x:v>
      </x:c>
      <x:c r="F193" s="20"/>
      <x:c r="G193" s="21" t="str">
        <x:f>"—"</x:f>
        <x:v>—</x:v>
      </x:c>
      <x:c r="H193" s="21" t="str">
        <x:f>"—"</x:f>
        <x:v>—</x:v>
      </x:c>
      <x:c r="I193" s="21" t="str">
        <x:f>"—"</x:f>
        <x:v>—</x:v>
      </x:c>
      <x:c r="J193" s="21" t="str">
        <x:f>"—"</x:f>
        <x:v>—</x:v>
      </x:c>
      <x:c r="K193" s="21" t="str">
        <x:f>"—"</x:f>
        <x:v>—</x:v>
      </x:c>
      <x:c r="L193" s="21" t="str">
        <x:f>IF(AND(COUNT(INDEX('SKU明细'!$H$9:$H$1592,MATCH("[13120,""9967-GY-39B""]",'SKU明细'!$AE$9:$AE$1592,0)))=1,COUNT(INDEX('SKU明细'!$G$9:$G$1592,MATCH("[13120,""9967-GY-39B""]",'SKU明细'!$AE$9:$AE$1592,0)))=1,SUM(INDEX('SKU明细'!$G$9:$G$1592,MATCH("[13120,""9967-GY-39B""]",'SKU明细'!$AE$9:$AE$1592,0)))&gt;0),SUM(INDEX('SKU明细'!$H$9:$H$1592,MATCH("[13120,""9967-GY-39B""]",'SKU明细'!$AE$9:$AE$1592,0)))/SUM(INDEX('SKU明细'!$G$9:$G$1592,MATCH("[13120,""9967-GY-39B""]",'SKU明细'!$AE$9:$AE$1592,0))),"待核")</x:f>
        <x:v>待核</x:v>
      </x:c>
      <x:c r="M193" s="21" t="str">
        <x:f>"—"</x:f>
        <x:v>—</x:v>
      </x:c>
      <x:c r="N193" s="21" t="str">
        <x:f>"—"</x:f>
        <x:v>—</x:v>
      </x:c>
      <x:c r="O193" s="21" t="str">
        <x:f>"—"</x:f>
        <x:v>—</x:v>
      </x:c>
      <x:c r="P193" s="21" t="str">
        <x:f>"—"</x:f>
        <x:v>—</x:v>
      </x:c>
      <x:c r="Q193" s="21" t="str">
        <x:f>"—"</x:f>
        <x:v>—</x:v>
      </x:c>
      <x:c r="R193" s="21" t="str">
        <x:f>"—"</x:f>
        <x:v>—</x:v>
      </x:c>
      <x:c r="S193" s="21" t="str">
        <x:f>"—"</x:f>
        <x:v>—</x:v>
      </x:c>
      <x:c r="T193" s="21" t="str">
        <x:f>"—"</x:f>
        <x:v>—</x:v>
      </x:c>
      <x:c r="U193" s="21" t="str">
        <x:f>IF(COUNT(S193:T193)=2,S193-T193,"待核")</x:f>
        <x:v>待核</x:v>
      </x:c>
      <x:c r="V193" s="22" t="str">
        <x:f>IF(AND(ISNUMBER(U193),ISNUMBER(T193),T193&lt;&gt;0),U193/T193,"")</x:f>
      </x:c>
      <x:c r="W193" s="23" t="n">
        <x:f>IF(COUNT(INDEX('SKU明细'!$H$9:$H$1592,MATCH("[13120,""9967-GY-39B""]",'SKU明细'!$AE$9:$AE$1592,0)))=0,"待核",SUM(INDEX('SKU明细'!$H$9:$H$1592,MATCH("[13120,""9967-GY-39B""]",'SKU明细'!$AE$9:$AE$1592,0))))</x:f>
        <x:v>0</x:v>
      </x:c>
      <x:c r="X193" s="24" t="str">
        <x:f>IF(COUNTIFS('SKU明细'!$AH$9:$AH$1592,"[""9967"",""9967-GY-39B"",""GY-39B"",""灰色""]",'SKU明细'!$E$9:$E$1592,"促销")&gt;0,"促销 ","")&amp;IF(COUNTIFS('SKU明细'!$AH$9:$AH$1592,"[""9967"",""9967-GY-39B"",""GY-39B"",""灰色""]",'SKU明细'!$E$9:$E$1592,"红线促销")&gt;0,"红线促销 ","")&amp;IF(COUNTIFS('SKU明细'!$AH$9:$AH$1592,"[""9967"",""9967-GY-39B"",""GY-39B"",""灰色""]",'SKU明细'!$E$9:$E$1592,"考虑清仓")&gt;0,"考虑清仓 ","")&amp;IF(COUNTIFS('SKU明细'!$AH$9:$AH$1592,"[""9967"",""9967-GY-39B"",""GY-39B"",""灰色""]",'SKU明细'!$E$9:$E$1592,"断货")&gt;0,"断货 ","")&amp;IF(COUNTIFS('SKU明细'!$AH$9:$AH$1592,"[""9967"",""9967-GY-39B"",""GY-39B"",""灰色""]",'SKU明细'!$E$9:$E$1592,"零日销待复核")&gt;0,"零日销待复核 ","")&amp;IF(COUNTIFS('SKU明细'!$AH$9:$AH$1592,"[""9967"",""9967-GY-39B"",""GY-39B"",""灰色""]",'SKU明细'!$E$9:$E$1592,"数据待核")&gt;0,"数据待核 ","")&amp;IF(COUNTIFS('SKU明细'!$AH$9:$AH$1592,"[""9967"",""9967-GY-39B"",""GY-39B"",""灰色""]",'SKU明细'!$E$9:$E$1592,"正常库存")&gt;0,"正常库存 ","")&amp;IF(COUNTIFS('SKU明细'!$AH$9:$AH$1592,"[""9967"",""9967-GY-39B"",""GY-39B"",""灰色""]",'SKU明细'!$E$9:$E$1592,"补货提醒")&gt;0,"补货提醒 ","")</x:f>
        <x:v>断货 </x:v>
      </x:c>
      <x:c r="Y193" s="24" t="str">
        <x:f>IF(NOT(ISNUMBER(U193)),"覆盖待核／无可比基准","仅共同SKU")</x:f>
        <x:v>覆盖待核／无可比基准</x:v>
      </x:c>
      <x:c r="Z193" s="24" t="str">
        <x:v>停售</x:v>
      </x:c>
      <x:c r="AA193" s="24" t="n">
        <x:f>IF(SUMIFS('SKU明细'!$AF$9:$AF$1592,'SKU明细'!$D$9:$D$1592,A193,'SKU明细'!$Z$9:$Z$1592,"&lt;&gt;移出")=0,"待核",SUMIFS('SKU明细'!$H$9:$H$1592,'SKU明细'!$D$9:$D$1592,A193,'SKU明细'!$Z$9:$Z$1592,"&lt;&gt;移出"))</x:f>
        <x:v>131</x:v>
      </x:c>
    </x:row>
    <x:row r="194" ht="54" customHeight="1">
      <x:c r="A194" s="20" t="str">
        <x:v>9967</x:v>
      </x:c>
      <x:c r="B194" s="20" t="str">
        <x:v>徐新怡</x:v>
      </x:c>
      <x:c r="C194" s="20" t="str">
        <x:v>灰色</x:v>
      </x:c>
      <x:c r="D194" s="20" t="str">
        <x:v>GY-40B</x:v>
      </x:c>
      <x:c r="E194" s="20" t="str">
        <x:v>9967-GY-40B</x:v>
      </x:c>
      <x:c r="F194" s="20"/>
      <x:c r="G194" s="21" t="str">
        <x:f>"—"</x:f>
        <x:v>—</x:v>
      </x:c>
      <x:c r="H194" s="21" t="str">
        <x:f>"—"</x:f>
        <x:v>—</x:v>
      </x:c>
      <x:c r="I194" s="21" t="str">
        <x:f>"—"</x:f>
        <x:v>—</x:v>
      </x:c>
      <x:c r="J194" s="21" t="str">
        <x:f>"—"</x:f>
        <x:v>—</x:v>
      </x:c>
      <x:c r="K194" s="21" t="str">
        <x:f>"—"</x:f>
        <x:v>—</x:v>
      </x:c>
      <x:c r="L194" s="21" t="str">
        <x:f>"—"</x:f>
        <x:v>—</x:v>
      </x:c>
      <x:c r="M194" s="21" t="str">
        <x:f>"—"</x:f>
        <x:v>—</x:v>
      </x:c>
      <x:c r="N194" s="21" t="str">
        <x:f>IF(AND(COUNT(INDEX('SKU明细'!$H$9:$H$1592,MATCH("[13120,""9967-GY-40B""]",'SKU明细'!$AE$9:$AE$1592,0)))=1,COUNT(INDEX('SKU明细'!$G$9:$G$1592,MATCH("[13120,""9967-GY-40B""]",'SKU明细'!$AE$9:$AE$1592,0)))=1,SUM(INDEX('SKU明细'!$G$9:$G$1592,MATCH("[13120,""9967-GY-40B""]",'SKU明细'!$AE$9:$AE$1592,0)))&gt;0),SUM(INDEX('SKU明细'!$H$9:$H$1592,MATCH("[13120,""9967-GY-40B""]",'SKU明细'!$AE$9:$AE$1592,0)))/SUM(INDEX('SKU明细'!$G$9:$G$1592,MATCH("[13120,""9967-GY-40B""]",'SKU明细'!$AE$9:$AE$1592,0))),"待核")</x:f>
        <x:v>待核</x:v>
      </x:c>
      <x:c r="O194" s="21" t="str">
        <x:f>"—"</x:f>
        <x:v>—</x:v>
      </x:c>
      <x:c r="P194" s="21" t="str">
        <x:f>"—"</x:f>
        <x:v>—</x:v>
      </x:c>
      <x:c r="Q194" s="21" t="str">
        <x:f>"—"</x:f>
        <x:v>—</x:v>
      </x:c>
      <x:c r="R194" s="21" t="str">
        <x:f>"—"</x:f>
        <x:v>—</x:v>
      </x:c>
      <x:c r="S194" s="21" t="str">
        <x:f>"—"</x:f>
        <x:v>—</x:v>
      </x:c>
      <x:c r="T194" s="21" t="str">
        <x:f>"—"</x:f>
        <x:v>—</x:v>
      </x:c>
      <x:c r="U194" s="21" t="str">
        <x:f>IF(COUNT(S194:T194)=2,S194-T194,"待核")</x:f>
        <x:v>待核</x:v>
      </x:c>
      <x:c r="V194" s="22" t="str">
        <x:f>IF(AND(ISNUMBER(U194),ISNUMBER(T194),T194&lt;&gt;0),U194/T194,"")</x:f>
      </x:c>
      <x:c r="W194" s="23" t="n">
        <x:f>IF(COUNT(INDEX('SKU明细'!$H$9:$H$1592,MATCH("[13120,""9967-GY-40B""]",'SKU明细'!$AE$9:$AE$1592,0)))=0,"待核",SUM(INDEX('SKU明细'!$H$9:$H$1592,MATCH("[13120,""9967-GY-40B""]",'SKU明细'!$AE$9:$AE$1592,0))))</x:f>
        <x:v>0</x:v>
      </x:c>
      <x:c r="X194" s="24" t="str">
        <x:f>IF(COUNTIFS('SKU明细'!$AH$9:$AH$1592,"[""9967"",""9967-GY-40B"",""GY-40B"",""灰色""]",'SKU明细'!$E$9:$E$1592,"促销")&gt;0,"促销 ","")&amp;IF(COUNTIFS('SKU明细'!$AH$9:$AH$1592,"[""9967"",""9967-GY-40B"",""GY-40B"",""灰色""]",'SKU明细'!$E$9:$E$1592,"红线促销")&gt;0,"红线促销 ","")&amp;IF(COUNTIFS('SKU明细'!$AH$9:$AH$1592,"[""9967"",""9967-GY-40B"",""GY-40B"",""灰色""]",'SKU明细'!$E$9:$E$1592,"考虑清仓")&gt;0,"考虑清仓 ","")&amp;IF(COUNTIFS('SKU明细'!$AH$9:$AH$1592,"[""9967"",""9967-GY-40B"",""GY-40B"",""灰色""]",'SKU明细'!$E$9:$E$1592,"断货")&gt;0,"断货 ","")&amp;IF(COUNTIFS('SKU明细'!$AH$9:$AH$1592,"[""9967"",""9967-GY-40B"",""GY-40B"",""灰色""]",'SKU明细'!$E$9:$E$1592,"零日销待复核")&gt;0,"零日销待复核 ","")&amp;IF(COUNTIFS('SKU明细'!$AH$9:$AH$1592,"[""9967"",""9967-GY-40B"",""GY-40B"",""灰色""]",'SKU明细'!$E$9:$E$1592,"数据待核")&gt;0,"数据待核 ","")&amp;IF(COUNTIFS('SKU明细'!$AH$9:$AH$1592,"[""9967"",""9967-GY-40B"",""GY-40B"",""灰色""]",'SKU明细'!$E$9:$E$1592,"正常库存")&gt;0,"正常库存 ","")&amp;IF(COUNTIFS('SKU明细'!$AH$9:$AH$1592,"[""9967"",""9967-GY-40B"",""GY-40B"",""灰色""]",'SKU明细'!$E$9:$E$1592,"补货提醒")&gt;0,"补货提醒 ","")</x:f>
        <x:v>断货 </x:v>
      </x:c>
      <x:c r="Y194" s="24" t="str">
        <x:f>IF(NOT(ISNUMBER(U194)),"覆盖待核／无可比基准","仅共同SKU")</x:f>
        <x:v>覆盖待核／无可比基准</x:v>
      </x:c>
      <x:c r="Z194" s="24" t="str">
        <x:v>停售</x:v>
      </x:c>
      <x:c r="AA194" s="24" t="n">
        <x:f>IF(SUMIFS('SKU明细'!$AF$9:$AF$1592,'SKU明细'!$D$9:$D$1592,A194,'SKU明细'!$Z$9:$Z$1592,"&lt;&gt;移出")=0,"待核",SUMIFS('SKU明细'!$H$9:$H$1592,'SKU明细'!$D$9:$D$1592,A194,'SKU明细'!$Z$9:$Z$1592,"&lt;&gt;移出"))</x:f>
        <x:v>131</x:v>
      </x:c>
    </x:row>
  </x:sheetData>
  <x:pageMargins left="0.7" right="0.7" top="0.75" bottom="0.75" header="0.3" footer="0.3"/>
  <x:drawing xmlns:r="http://schemas.openxmlformats.org/officeDocument/2006/relationships" r:id="R7d3034f621094c1c"/>
  <x:tableParts count="1">
    <x:tablePart xmlns:r="http://schemas.openxmlformats.org/officeDocument/2006/relationships" r:id="R9201b13f21554b6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9" hidden="0" customWidth="1"/>
    <x:col min="2" max="2" width="24" hidden="0" customWidth="1"/>
    <x:col min="3" max="3" width="12" hidden="0" customWidth="1"/>
    <x:col min="4" max="4" width="12" hidden="0" customWidth="1"/>
    <x:col min="5" max="5" width="23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23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4" hidden="0" customWidth="1"/>
    <x:col min="27" max="27" width="23" hidden="0" customWidth="1"/>
    <x:col min="28" max="28" width="16" hidden="0" customWidth="1"/>
    <x:col min="29" max="29" width="38" hidden="0" customWidth="1"/>
    <x:col min="30" max="30" width="16" hidden="0" customWidth="1"/>
    <x:col min="31" max="31" width="42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</x:row>
    <x:row r="2" ht="26" customHeight="1">
      <x:c r="A2" s="5" t="str">
        <x:v>冗余促销与覆盖天数环比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</x:row>
    <x:row r="3" ht="30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  <x:c r="AB3" s="3"/>
      <x:c r="AC3" s="3"/>
      <x:c r="AD3" s="3"/>
      <x:c r="AE3" s="3"/>
    </x:row>
    <x:row r="4" ht="30" customHeight="1">
      <x:c r="A4" s="6" t="str">
        <x:v>销量截至 2026-10-21；FBA可售库存 2026-10-22 16:01:25（北京时间）。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  <x:c r="AE4" s="3"/>
    </x:row>
    <x:row r="5" ht="30" customHeight="1">
      <x:c r="A5" s="6" t="str">
        <x:v>覆盖天数变化＝本次−基准；变化率＝变化天数÷基准天数。新增、移出及待核不补0。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  <x:c r="V5" s="3"/>
      <x:c r="W5" s="3"/>
      <x:c r="X5" s="3"/>
      <x:c r="Y5" s="3"/>
      <x:c r="Z5" s="3"/>
      <x:c r="AA5" s="3"/>
      <x:c r="AB5" s="3"/>
      <x:c r="AC5" s="3"/>
      <x:c r="AD5" s="3"/>
      <x:c r="AE5" s="3"/>
    </x:row>
    <x:row r="6" ht="30" customHeight="1">
      <x:c r="A6" s="6" t="str">
        <x:v>包含当前全量SKU及基准移出记录；按同店铺同SKU比较，覆盖同时受库存和日销影响，不能直接归因为促销。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  <x:c r="Y6" s="3"/>
      <x:c r="Z6" s="3"/>
      <x:c r="AA6" s="3"/>
      <x:c r="AB6" s="3"/>
      <x:c r="AC6" s="3"/>
      <x:c r="AD6" s="3"/>
      <x:c r="AE6" s="3"/>
    </x:row>
    <x:row r="7" ht="3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  <x:c r="V7" s="3"/>
      <x:c r="W7" s="3"/>
      <x:c r="X7" s="3"/>
      <x:c r="Y7" s="3"/>
      <x:c r="Z7" s="3"/>
      <x:c r="AA7" s="3"/>
      <x:c r="AB7" s="3"/>
      <x:c r="AC7" s="3"/>
      <x:c r="AD7" s="3"/>
      <x:c r="AE7" s="3"/>
    </x:row>
    <x:row r="8" ht="42" customHeight="1">
      <x:c r="A8" s="9" t="str">
        <x:v>SKU</x:v>
      </x:c>
      <x:c r="B8" s="9" t="str">
        <x:v>店铺</x:v>
      </x:c>
      <x:c r="C8" s="9" t="str">
        <x:v>运营</x:v>
      </x:c>
      <x:c r="D8" s="9" t="str">
        <x:v>SPU</x:v>
      </x:c>
      <x:c r="E8" s="9" t="str">
        <x:v>本次分类</x:v>
      </x:c>
      <x:c r="F8" s="9" t="str">
        <x:v>覆盖 / 天</x:v>
      </x:c>
      <x:c r="G8" s="9" t="str">
        <x:v>正常日加权日销 / 双/天</x:v>
      </x:c>
      <x:c r="H8" s="9" t="str">
        <x:v>FBA可售库存 / 双</x:v>
      </x:c>
      <x:c r="I8" s="9" t="str">
        <x:v>基准FBA可售库存 / 双</x:v>
      </x:c>
      <x:c r="J8" s="9" t="str">
        <x:v>覆盖变化 / 天</x:v>
      </x:c>
      <x:c r="K8" s="9" t="str">
        <x:v>覆盖变化率</x:v>
      </x:c>
      <x:c r="L8" s="9" t="str">
        <x:v>基准分类</x:v>
      </x:c>
      <x:c r="M8" s="9" t="str">
        <x:v>基准覆盖 / 天</x:v>
      </x:c>
      <x:c r="N8" s="9" t="str">
        <x:v>辅助库存变化 / 双</x:v>
      </x:c>
      <x:c r="O8" s="9" t="str">
        <x:v>国内可用 / 双</x:v>
      </x:c>
      <x:c r="P8" s="9" t="str">
        <x:v>近7有效日销量</x:v>
      </x:c>
      <x:c r="Q8" s="9" t="str">
        <x:v>近14有效日销量</x:v>
      </x:c>
      <x:c r="R8" s="9" t="str">
        <x:v>近30有效日销量</x:v>
      </x:c>
      <x:c r="S8" s="9" t="str">
        <x:v>FBA原可用</x:v>
      </x:c>
      <x:c r="T8" s="9" t="str">
        <x:v>买家待发货</x:v>
      </x:c>
      <x:c r="U8" s="9" t="str">
        <x:v>分级FBA可售</x:v>
      </x:c>
      <x:c r="V8" s="9" t="str">
        <x:v>入库中</x:v>
      </x:c>
      <x:c r="W8" s="9" t="str">
        <x:v>实际在途</x:v>
      </x:c>
      <x:c r="X8" s="9" t="str">
        <x:v>FBA可售</x:v>
      </x:c>
      <x:c r="Y8" s="9" t="str">
        <x:v>库存冲突</x:v>
      </x:c>
      <x:c r="Z8" s="9" t="str">
        <x:v>比较范围</x:v>
      </x:c>
      <x:c r="AA8" s="9" t="str">
        <x:v>Listing销售状态</x:v>
      </x:c>
      <x:c r="AB8" s="9" t="str">
        <x:v>日销变化 / 双</x:v>
      </x:c>
      <x:c r="AC8" s="9" t="str">
        <x:v>匹配说明</x:v>
      </x:c>
      <x:c r="AD8" s="9" t="str">
        <x:v>基准日销 / 双</x:v>
      </x:c>
      <x:c r="AE8" s="9" t="str">
        <x:v>比较键</x:v>
      </x:c>
      <x:c r="AF8" t="str">
        <x:v>本期库存有效</x:v>
      </x:c>
      <x:c r="AG8" t="str">
        <x:v>基准库存有效</x:v>
      </x:c>
      <x:c r="AH8" t="str">
        <x:v>款色分组</x:v>
      </x:c>
      <x:c r="AI8" t="str">
        <x:v>本期日销有效</x:v>
      </x:c>
      <x:c r="AJ8" t="str">
        <x:v>基准日销有效</x:v>
      </x:c>
    </x:row>
    <x:row r="9" ht="30" customHeight="1">
      <x:c r="A9" s="3" t="str">
        <x:v>1S01-TAN-41.5</x:v>
      </x:c>
      <x:c r="B9" s="3" t="str">
        <x:v>3店-SANDIEX-US</x:v>
      </x:c>
      <x:c r="C9" s="3" t="str">
        <x:v>徐新怡</x:v>
      </x:c>
      <x:c r="D9" s="3" t="str">
        <x:v>1S01</x:v>
      </x:c>
      <x:c r="E9" s="3" t="str">
        <x:f>IF(Z9="移出","已移出",IF(NOT(ISNUMBER(H9)),"数据待核",IF(H9=0,"断货",IF(NOT(ISNUMBER(G9)),"数据待核",IF(G9=0,"零日销待复核",IF(F9&lt;60,"补货提醒",IF(F9&lt;=90,"正常库存",IF(F9&lt;180,"促销",IF(F9&lt;=365,"红线促销","考虑清仓")))))))))</x:f>
        <x:v>考虑清仓</x:v>
      </x:c>
      <x:c r="F9" s="11" t="n">
        <x:f>IF(AND(ISNUMBER(H9),ISNUMBER(G9),G9&gt;0),H9/G9,"")</x:f>
        <x:v>600</x:v>
      </x:c>
      <x:c r="G9" s="12" t="n">
        <x:f>IF(AND(COUNT(P9:R9)=3,MIN(P9:R9)&gt;=0,P9&lt;=Q9,Q9&lt;=R9),P9/7*0.5+Q9/14*0.3+R9/30*0.2,"")</x:f>
        <x:v>0.006666666666666667</x:v>
      </x:c>
      <x:c r="H9" s="10" t="n">
        <x:f>IF(ISNUMBER(U9),U9,"")</x:f>
        <x:v>4</x:v>
      </x:c>
      <x:c r="I9" s="10" t="n">
        <x:v>4</x:v>
      </x:c>
      <x:c r="J9" s="11" t="n">
        <x:f>IF(AND(Z9="共同",ISNUMBER(F9),ISNUMBER(M9)),F9-M9,"")</x:f>
        <x:v>484.93150684931504</x:v>
      </x:c>
      <x:c r="K9" s="13" t="n">
        <x:f>IF(AND(ISNUMBER(J9),M9&lt;&gt;0),J9/M9,"")</x:f>
        <x:v>4.2142857142857135</x:v>
      </x:c>
      <x:c r="L9" s="10" t="str">
        <x:v>促销</x:v>
      </x:c>
      <x:c r="M9" s="11" t="n">
        <x:v>115.06849315068494</x:v>
      </x:c>
      <x:c r="N9" s="10" t="n">
        <x:f>IF(AND(Z9="共同",COUNT(H9:I9)=2),H9-I9,"")</x:f>
        <x:v>0</x:v>
      </x:c>
      <x:c r="O9" s="10" t="n">
        <x:v>0</x:v>
      </x:c>
      <x:c r="P9" s="10" t="n">
        <x:v>0</x:v>
      </x:c>
      <x:c r="Q9" s="10" t="n">
        <x:v>0</x:v>
      </x:c>
      <x:c r="R9" s="10" t="n">
        <x:v>1</x:v>
      </x:c>
      <x:c r="S9" s="10" t="n">
        <x:v>4</x:v>
      </x:c>
      <x:c r="T9" s="10" t="n">
        <x:v>0</x:v>
      </x:c>
      <x:c r="U9" s="10" t="n">
        <x:f>IF(AND(ISNUMBER(X9),X9&gt;=0,Y9&lt;&gt;1),X9,"")</x:f>
        <x:v>4</x:v>
      </x:c>
      <x:c r="V9" s="10" t="n">
        <x:v>0</x:v>
      </x:c>
      <x:c r="W9" s="10" t="n">
        <x:v>0</x:v>
      </x:c>
      <x:c r="X9" s="10" t="n">
        <x:v>4</x:v>
      </x:c>
      <x:c r="Y9" s="3" t="n">
        <x:v>0</x:v>
      </x:c>
      <x:c r="Z9" s="3" t="str">
        <x:v>共同</x:v>
      </x:c>
      <x:c r="AA9" s="3" t="str">
        <x:v>在售</x:v>
      </x:c>
      <x:c r="AB9" s="12" t="n">
        <x:f>IF(AND(Z9="共同",ISNUMBER(G9),ISNUMBER(AD9)),G9-AD9,"")</x:f>
        <x:v>-0.02809523809523809</x:v>
      </x:c>
      <x:c r="AC9" s="3" t="str"/>
      <x:c r="AD9" s="12" t="n">
        <x:v>0.03476190476190476</x:v>
      </x:c>
      <x:c r="AE9" s="3" t="str">
        <x:v>[6574,"1S01-TAN-41.5"]</x:v>
      </x:c>
      <x:c r="AF9" t="n">
        <x:f>IF(ISNUMBER(H9),1,0)</x:f>
        <x:v>1</x:v>
      </x:c>
      <x:c r="AG9" t="n">
        <x:f>IF(ISNUMBER(I9),1,0)</x:f>
        <x:v>1</x:v>
      </x:c>
      <x:c r="AH9" t="str">
        <x:v>["1S01","1S01-TAN","TAN","驼色"]</x:v>
      </x:c>
      <x:c r="AI9" t="n">
        <x:f>IF(ISNUMBER(G9),1,0)</x:f>
        <x:v>1</x:v>
      </x:c>
      <x:c r="AJ9" t="n">
        <x:f>IF(ISNUMBER(AD9),1,0)</x:f>
        <x:v>1</x:v>
      </x:c>
    </x:row>
    <x:row r="10" ht="30" customHeight="1">
      <x:c r="A10" s="3" t="str">
        <x:v>1S01-TN-39.5</x:v>
      </x:c>
      <x:c r="B10" s="3" t="str">
        <x:v>3店-SANDIEX-US</x:v>
      </x:c>
      <x:c r="C10" s="3" t="str">
        <x:v>徐新怡</x:v>
      </x:c>
      <x:c r="D10" s="3" t="str">
        <x:v>1S01</x:v>
      </x:c>
      <x:c r="E10" s="3" t="str">
        <x:f>IF(Z10="移出","已移出",IF(NOT(ISNUMBER(H10)),"数据待核",IF(H10=0,"断货",IF(NOT(ISNUMBER(G10)),"数据待核",IF(G10=0,"零日销待复核",IF(F10&lt;60,"补货提醒",IF(F10&lt;=90,"正常库存",IF(F10&lt;180,"促销",IF(F10&lt;=365,"红线促销","考虑清仓")))))))))</x:f>
        <x:v>考虑清仓</x:v>
      </x:c>
      <x:c r="F10" s="11" t="n">
        <x:f>IF(AND(ISNUMBER(H10),ISNUMBER(G10),G10&gt;0),H10/G10,"")</x:f>
        <x:v>849.9999999999999</x:v>
      </x:c>
      <x:c r="G10" s="12" t="n">
        <x:f>IF(AND(COUNT(P10:R10)=3,MIN(P10:R10)&gt;=0,P10&lt;=Q10,Q10&lt;=R10),P10/7*0.5+Q10/14*0.3+R10/30*0.2,"")</x:f>
        <x:v>0.020000000000000004</x:v>
      </x:c>
      <x:c r="H10" s="10" t="n">
        <x:f>IF(ISNUMBER(U10),U10,"")</x:f>
        <x:v>17</x:v>
      </x:c>
      <x:c r="I10" s="10" t="n">
        <x:v>17</x:v>
      </x:c>
      <x:c r="J10" s="11" t="n">
        <x:f>IF(AND(Z10="共同",ISNUMBER(F10),ISNUMBER(M10)),F10-M10,"")</x:f>
        <x:v>739.8148148148147</x:v>
      </x:c>
      <x:c r="K10" s="13" t="n">
        <x:f>IF(AND(ISNUMBER(J10),M10&lt;&gt;0),J10/M10,"")</x:f>
        <x:v>6.714285714285713</x:v>
      </x:c>
      <x:c r="L10" s="10" t="str">
        <x:v>促销</x:v>
      </x:c>
      <x:c r="M10" s="11" t="n">
        <x:v>110.18518518518519</x:v>
      </x:c>
      <x:c r="N10" s="10" t="n">
        <x:f>IF(AND(Z10="共同",COUNT(H10:I10)=2),H10-I10,"")</x:f>
        <x:v>0</x:v>
      </x:c>
      <x:c r="O10" s="10" t="n">
        <x:v>30</x:v>
      </x:c>
      <x:c r="P10" s="10" t="n">
        <x:v>0</x:v>
      </x:c>
      <x:c r="Q10" s="10" t="n">
        <x:v>0</x:v>
      </x:c>
      <x:c r="R10" s="10" t="n">
        <x:v>3</x:v>
      </x:c>
      <x:c r="S10" s="10" t="n">
        <x:v>18</x:v>
      </x:c>
      <x:c r="T10" s="10" t="n">
        <x:v>0</x:v>
      </x:c>
      <x:c r="U10" s="10" t="n">
        <x:f>IF(AND(ISNUMBER(X10),X10&gt;=0,Y10&lt;&gt;1),X10,"")</x:f>
        <x:v>17</x:v>
      </x:c>
      <x:c r="V10" s="10" t="n">
        <x:v>0</x:v>
      </x:c>
      <x:c r="W10" s="10" t="n">
        <x:v>0</x:v>
      </x:c>
      <x:c r="X10" s="10" t="n">
        <x:v>17</x:v>
      </x:c>
      <x:c r="Y10" s="3" t="n">
        <x:v>0</x:v>
      </x:c>
      <x:c r="Z10" s="3" t="str">
        <x:v>共同</x:v>
      </x:c>
      <x:c r="AA10" s="3" t="str">
        <x:v>在售</x:v>
      </x:c>
      <x:c r="AB10" s="12" t="n">
        <x:f>IF(AND(Z10="共同",ISNUMBER(G10),ISNUMBER(AD10)),G10-AD10,"")</x:f>
        <x:v>-0.13428571428571429</x:v>
      </x:c>
      <x:c r="AC10" s="3" t="str"/>
      <x:c r="AD10" s="12" t="n">
        <x:v>0.15428571428571428</x:v>
      </x:c>
      <x:c r="AE10" s="3" t="str">
        <x:v>[6574,"1S01-TN-39.5"]</x:v>
      </x:c>
      <x:c r="AF10" t="n">
        <x:f>IF(ISNUMBER(H10),1,0)</x:f>
        <x:v>1</x:v>
      </x:c>
      <x:c r="AG10" t="n">
        <x:f>IF(ISNUMBER(I10),1,0)</x:f>
        <x:v>1</x:v>
      </x:c>
      <x:c r="AH10" t="str">
        <x:v>["1S01","1S01-TN","TN","驼色"]</x:v>
      </x:c>
      <x:c r="AI10" t="n">
        <x:f>IF(ISNUMBER(G10),1,0)</x:f>
        <x:v>1</x:v>
      </x:c>
      <x:c r="AJ10" t="n">
        <x:f>IF(ISNUMBER(AD10),1,0)</x:f>
        <x:v>1</x:v>
      </x:c>
    </x:row>
    <x:row r="11" ht="30" customHeight="1">
      <x:c r="A11" s="3" t="str">
        <x:v>1S01-TN-40.5</x:v>
      </x:c>
      <x:c r="B11" s="3" t="str">
        <x:v>3店-SANDIEX-US</x:v>
      </x:c>
      <x:c r="C11" s="3" t="str">
        <x:v>徐新怡</x:v>
      </x:c>
      <x:c r="D11" s="3" t="str">
        <x:v>1S01</x:v>
      </x:c>
      <x:c r="E11" s="3" t="str">
        <x:f>IF(Z11="移出","已移出",IF(NOT(ISNUMBER(H11)),"数据待核",IF(H11=0,"断货",IF(NOT(ISNUMBER(G11)),"数据待核",IF(G11=0,"零日销待复核",IF(F11&lt;60,"补货提醒",IF(F11&lt;=90,"正常库存",IF(F11&lt;180,"促销",IF(F11&lt;=365,"红线促销","考虑清仓")))))))))</x:f>
        <x:v>考虑清仓</x:v>
      </x:c>
      <x:c r="F11" s="11" t="n">
        <x:f>IF(AND(ISNUMBER(H11),ISNUMBER(G11),G11&gt;0),H11/G11,"")</x:f>
        <x:v>4049.9999999999995</x:v>
      </x:c>
      <x:c r="G11" s="12" t="n">
        <x:f>IF(AND(COUNT(P11:R11)=3,MIN(P11:R11)&gt;=0,P11&lt;=Q11,Q11&lt;=R11),P11/7*0.5+Q11/14*0.3+R11/30*0.2,"")</x:f>
        <x:v>0.006666666666666667</x:v>
      </x:c>
      <x:c r="H11" s="10" t="n">
        <x:f>IF(ISNUMBER(U11),U11,"")</x:f>
        <x:v>27</x:v>
      </x:c>
      <x:c r="I11" s="10" t="n">
        <x:v>25</x:v>
      </x:c>
      <x:c r="J11" s="11" t="n">
        <x:f>IF(AND(Z11="共同",ISNUMBER(F11),ISNUMBER(M11)),F11-M11,"")</x:f>
        <x:v>3840.8366533864537</x:v>
      </x:c>
      <x:c r="K11" s="13" t="n">
        <x:f>IF(AND(ISNUMBER(J11),M11&lt;&gt;0),J11/M11,"")</x:f>
        <x:v>18.36285714285714</x:v>
      </x:c>
      <x:c r="L11" s="10" t="str">
        <x:v>红线促销</x:v>
      </x:c>
      <x:c r="M11" s="11" t="n">
        <x:v>209.16334661354583</x:v>
      </x:c>
      <x:c r="N11" s="10" t="n">
        <x:f>IF(AND(Z11="共同",COUNT(H11:I11)=2),H11-I11,"")</x:f>
        <x:v>2</x:v>
      </x:c>
      <x:c r="O11" s="10" t="n">
        <x:v>120</x:v>
      </x:c>
      <x:c r="P11" s="10" t="n">
        <x:v>0</x:v>
      </x:c>
      <x:c r="Q11" s="10" t="n">
        <x:v>0</x:v>
      </x:c>
      <x:c r="R11" s="10" t="n">
        <x:v>1</x:v>
      </x:c>
      <x:c r="S11" s="10" t="n">
        <x:v>28</x:v>
      </x:c>
      <x:c r="T11" s="10" t="n">
        <x:v>0</x:v>
      </x:c>
      <x:c r="U11" s="10" t="n">
        <x:f>IF(AND(ISNUMBER(X11),X11&gt;=0,Y11&lt;&gt;1),X11,"")</x:f>
        <x:v>27</x:v>
      </x:c>
      <x:c r="V11" s="10" t="n">
        <x:v>0</x:v>
      </x:c>
      <x:c r="W11" s="10" t="n">
        <x:v>0</x:v>
      </x:c>
      <x:c r="X11" s="10" t="n">
        <x:v>27</x:v>
      </x:c>
      <x:c r="Y11" s="3" t="n">
        <x:v>0</x:v>
      </x:c>
      <x:c r="Z11" s="3" t="str">
        <x:v>共同</x:v>
      </x:c>
      <x:c r="AA11" s="3" t="str">
        <x:v>在售</x:v>
      </x:c>
      <x:c r="AB11" s="12" t="n">
        <x:f>IF(AND(Z11="共同",ISNUMBER(G11),ISNUMBER(AD11)),G11-AD11,"")</x:f>
        <x:v>-0.11285714285714285</x:v>
      </x:c>
      <x:c r="AC11" s="3" t="str"/>
      <x:c r="AD11" s="12" t="n">
        <x:v>0.11952380952380952</x:v>
      </x:c>
      <x:c r="AE11" s="3" t="str">
        <x:v>[6574,"1S01-TN-40.5"]</x:v>
      </x:c>
      <x:c r="AF11" t="n">
        <x:f>IF(ISNUMBER(H11),1,0)</x:f>
        <x:v>1</x:v>
      </x:c>
      <x:c r="AG11" t="n">
        <x:f>IF(ISNUMBER(I11),1,0)</x:f>
        <x:v>1</x:v>
      </x:c>
      <x:c r="AH11" t="str">
        <x:v>["1S01","1S01-TN","TN","驼色"]</x:v>
      </x:c>
      <x:c r="AI11" t="n">
        <x:f>IF(ISNUMBER(G11),1,0)</x:f>
        <x:v>1</x:v>
      </x:c>
      <x:c r="AJ11" t="n">
        <x:f>IF(ISNUMBER(AD11),1,0)</x:f>
        <x:v>1</x:v>
      </x:c>
    </x:row>
    <x:row r="12" ht="30" customHeight="1">
      <x:c r="A12" s="3" t="str">
        <x:v>1S01-TN-41</x:v>
      </x:c>
      <x:c r="B12" s="3" t="str">
        <x:v>3店-SANDIEX-US</x:v>
      </x:c>
      <x:c r="C12" s="3" t="str">
        <x:v>徐新怡</x:v>
      </x:c>
      <x:c r="D12" s="3" t="str">
        <x:v>1S01</x:v>
      </x:c>
      <x:c r="E12" s="3" t="str">
        <x:f>IF(Z12="移出","已移出",IF(NOT(ISNUMBER(H12)),"数据待核",IF(H12=0,"断货",IF(NOT(ISNUMBER(G12)),"数据待核",IF(G12=0,"零日销待复核",IF(F12&lt;60,"补货提醒",IF(F12&lt;=90,"正常库存",IF(F12&lt;180,"促销",IF(F12&lt;=365,"红线促销","考虑清仓")))))))))</x:f>
        <x:v>考虑清仓</x:v>
      </x:c>
      <x:c r="F12" s="11" t="n">
        <x:f>IF(AND(ISNUMBER(H12),ISNUMBER(G12),G12&gt;0),H12/G12,"")</x:f>
        <x:v>443.661971830986</x:v>
      </x:c>
      <x:c r="G12" s="12" t="n">
        <x:f>IF(AND(COUNT(P12:R12)=3,MIN(P12:R12)&gt;=0,P12&lt;=Q12,Q12&lt;=R12),P12/7*0.5+Q12/14*0.3+R12/30*0.2,"")</x:f>
        <x:v>0.16904761904761903</x:v>
      </x:c>
      <x:c r="H12" s="10" t="n">
        <x:f>IF(ISNUMBER(U12),U12,"")</x:f>
        <x:v>75</x:v>
      </x:c>
      <x:c r="I12" s="10" t="n">
        <x:v>78</x:v>
      </x:c>
      <x:c r="J12" s="11" t="n">
        <x:f>IF(AND(Z12="共同",ISNUMBER(F12),ISNUMBER(M12)),F12-M12,"")</x:f>
        <x:v>-61.89358372456962</x:v>
      </x:c>
      <x:c r="K12" s="13" t="n">
        <x:f>IF(AND(ISNUMBER(J12),M12&lt;&gt;0),J12/M12,"")</x:f>
        <x:v>-0.1224268689057421</x:v>
      </x:c>
      <x:c r="L12" s="10" t="str">
        <x:v>考虑清仓</x:v>
      </x:c>
      <x:c r="M12" s="11" t="n">
        <x:v>505.5555555555556</x:v>
      </x:c>
      <x:c r="N12" s="10" t="n">
        <x:f>IF(AND(Z12="共同",COUNT(H12:I12)=2),H12-I12,"")</x:f>
        <x:v>-3</x:v>
      </x:c>
      <x:c r="O12" s="10" t="n">
        <x:v>10</x:v>
      </x:c>
      <x:c r="P12" s="10" t="n">
        <x:v>1</x:v>
      </x:c>
      <x:c r="Q12" s="10" t="n">
        <x:v>3</x:v>
      </x:c>
      <x:c r="R12" s="10" t="n">
        <x:v>5</x:v>
      </x:c>
      <x:c r="S12" s="10" t="n">
        <x:v>76</x:v>
      </x:c>
      <x:c r="T12" s="10" t="n">
        <x:v>0</x:v>
      </x:c>
      <x:c r="U12" s="10" t="n">
        <x:f>IF(AND(ISNUMBER(X12),X12&gt;=0,Y12&lt;&gt;1),X12,"")</x:f>
        <x:v>75</x:v>
      </x:c>
      <x:c r="V12" s="10" t="n">
        <x:v>0</x:v>
      </x:c>
      <x:c r="W12" s="10" t="n">
        <x:v>0</x:v>
      </x:c>
      <x:c r="X12" s="10" t="n">
        <x:v>75</x:v>
      </x:c>
      <x:c r="Y12" s="3" t="n">
        <x:v>0</x:v>
      </x:c>
      <x:c r="Z12" s="3" t="str">
        <x:v>共同</x:v>
      </x:c>
      <x:c r="AA12" s="3" t="str">
        <x:v>在售</x:v>
      </x:c>
      <x:c r="AB12" s="12" t="n">
        <x:f>IF(AND(Z12="共同",ISNUMBER(G12),ISNUMBER(AD12)),G12-AD12,"")</x:f>
        <x:v>0.014761904761904754</x:v>
      </x:c>
      <x:c r="AC12" s="3" t="str"/>
      <x:c r="AD12" s="12" t="n">
        <x:v>0.15428571428571428</x:v>
      </x:c>
      <x:c r="AE12" s="3" t="str">
        <x:v>[6574,"1S01-TN-41"]</x:v>
      </x:c>
      <x:c r="AF12" t="n">
        <x:f>IF(ISNUMBER(H12),1,0)</x:f>
        <x:v>1</x:v>
      </x:c>
      <x:c r="AG12" t="n">
        <x:f>IF(ISNUMBER(I12),1,0)</x:f>
        <x:v>1</x:v>
      </x:c>
      <x:c r="AH12" t="str">
        <x:v>["1S01","1S01-TN","TN","驼色"]</x:v>
      </x:c>
      <x:c r="AI12" t="n">
        <x:f>IF(ISNUMBER(G12),1,0)</x:f>
        <x:v>1</x:v>
      </x:c>
      <x:c r="AJ12" t="n">
        <x:f>IF(ISNUMBER(AD12),1,0)</x:f>
        <x:v>1</x:v>
      </x:c>
    </x:row>
    <x:row r="13" ht="30" customHeight="1">
      <x:c r="A13" s="3" t="str">
        <x:v>230918-TN-P-Z-6</x:v>
      </x:c>
      <x:c r="B13" s="3" t="str">
        <x:v>1店-MUSSHOE-US</x:v>
      </x:c>
      <x:c r="C13" s="3" t="str">
        <x:v>艾年</x:v>
      </x:c>
      <x:c r="D13" s="3" t="str">
        <x:v>230918</x:v>
      </x:c>
      <x:c r="E13" s="3" t="str">
        <x:f>IF(Z13="移出","已移出",IF(NOT(ISNUMBER(H13)),"数据待核",IF(H13=0,"断货",IF(NOT(ISNUMBER(G13)),"数据待核",IF(G13=0,"零日销待复核",IF(F13&lt;60,"补货提醒",IF(F13&lt;=90,"正常库存",IF(F13&lt;180,"促销",IF(F13&lt;=365,"红线促销","考虑清仓")))))))))</x:f>
        <x:v>考虑清仓</x:v>
      </x:c>
      <x:c r="F13" s="11" t="n">
        <x:f>IF(AND(ISNUMBER(H13),ISNUMBER(G13),G13&gt;0),H13/G13,"")</x:f>
        <x:v>386.2068965517242</x:v>
      </x:c>
      <x:c r="G13" s="12" t="n">
        <x:f>IF(AND(COUNT(P13:R13)=3,MIN(P13:R13)&gt;=0,P13&lt;=Q13,Q13&lt;=R13),P13/7*0.5+Q13/14*0.3+R13/30*0.2,"")</x:f>
        <x:v>0.041428571428571426</x:v>
      </x:c>
      <x:c r="H13" s="10" t="n">
        <x:f>IF(ISNUMBER(U13),U13,"")</x:f>
        <x:v>16</x:v>
      </x:c>
      <x:c r="I13" s="10" t="n">
        <x:v>9</x:v>
      </x:c>
      <x:c r="J13" s="11" t="n">
        <x:f>IF(AND(Z13="共同",ISNUMBER(F13),ISNUMBER(M13)),F13-M13,"")</x:f>
        <x:v>239.69526864474744</x:v>
      </x:c>
      <x:c r="K13" s="13" t="n">
        <x:f>IF(AND(ISNUMBER(J13),M13&lt;&gt;0),J13/M13,"")</x:f>
        <x:v>1.6360153256704983</x:v>
      </x:c>
      <x:c r="L13" s="10" t="str">
        <x:v>促销</x:v>
      </x:c>
      <x:c r="M13" s="11" t="n">
        <x:v>146.51162790697674</x:v>
      </x:c>
      <x:c r="N13" s="10" t="n">
        <x:f>IF(AND(Z13="共同",COUNT(H13:I13)=2),H13-I13,"")</x:f>
        <x:v>7</x:v>
      </x:c>
      <x:c r="O13" s="10" t="n">
        <x:v>41</x:v>
      </x:c>
      <x:c r="P13" s="10" t="n">
        <x:v>0</x:v>
      </x:c>
      <x:c r="Q13" s="10" t="n">
        <x:v>1</x:v>
      </x:c>
      <x:c r="R13" s="10" t="n">
        <x:v>3</x:v>
      </x:c>
      <x:c r="S13" s="10" t="n">
        <x:v>17</x:v>
      </x:c>
      <x:c r="T13" s="10" t="n">
        <x:v>0</x:v>
      </x:c>
      <x:c r="U13" s="10" t="n">
        <x:f>IF(AND(ISNUMBER(X13),X13&gt;=0,Y13&lt;&gt;1),X13,"")</x:f>
        <x:v>16</x:v>
      </x:c>
      <x:c r="V13" s="10" t="n">
        <x:v>0</x:v>
      </x:c>
      <x:c r="W13" s="10" t="n">
        <x:v>29</x:v>
      </x:c>
      <x:c r="X13" s="10" t="n">
        <x:v>16</x:v>
      </x:c>
      <x:c r="Y13" s="3" t="n">
        <x:v>0</x:v>
      </x:c>
      <x:c r="Z13" s="3" t="str">
        <x:v>共同</x:v>
      </x:c>
      <x:c r="AA13" s="3" t="str">
        <x:v>在售</x:v>
      </x:c>
      <x:c r="AB13" s="12" t="n">
        <x:f>IF(AND(Z13="共同",ISNUMBER(G13),ISNUMBER(AD13)),G13-AD13,"")</x:f>
        <x:v>-0.020000000000000004</x:v>
      </x:c>
      <x:c r="AC13" s="3" t="str"/>
      <x:c r="AD13" s="12" t="n">
        <x:v>0.06142857142857143</x:v>
      </x:c>
      <x:c r="AE13" s="3" t="str">
        <x:v>[13120,"230918-TN-P-Z-6"]</x:v>
      </x:c>
      <x:c r="AF13" t="n">
        <x:f>IF(ISNUMBER(H13),1,0)</x:f>
        <x:v>1</x:v>
      </x:c>
      <x:c r="AG13" t="n">
        <x:f>IF(ISNUMBER(I13),1,0)</x:f>
        <x:v>1</x:v>
      </x:c>
      <x:c r="AH13" t="str">
        <x:v>["230918","230918-TN-P-Z","TN-P","驼色PU"]</x:v>
      </x:c>
      <x:c r="AI13" t="n">
        <x:f>IF(ISNUMBER(G13),1,0)</x:f>
        <x:v>1</x:v>
      </x:c>
      <x:c r="AJ13" t="n">
        <x:f>IF(ISNUMBER(AD13),1,0)</x:f>
        <x:v>1</x:v>
      </x:c>
    </x:row>
    <x:row r="14" ht="30" customHeight="1">
      <x:c r="A14" s="3" t="str">
        <x:v>2311062-BR-V-O-10</x:v>
      </x:c>
      <x:c r="B14" s="3" t="str">
        <x:v>4店-彬郁-US</x:v>
      </x:c>
      <x:c r="C14" s="3" t="str">
        <x:v>陈晨</x:v>
      </x:c>
      <x:c r="D14" s="3" t="str">
        <x:v>2311062</x:v>
      </x:c>
      <x:c r="E14" s="3" t="str">
        <x:f>IF(Z14="移出","已移出",IF(NOT(ISNUMBER(H14)),"数据待核",IF(H14=0,"断货",IF(NOT(ISNUMBER(G14)),"数据待核",IF(G14=0,"零日销待复核",IF(F14&lt;60,"补货提醒",IF(F14&lt;=90,"正常库存",IF(F14&lt;180,"促销",IF(F14&lt;=365,"红线促销","考虑清仓")))))))))</x:f>
        <x:v>考虑清仓</x:v>
      </x:c>
      <x:c r="F14" s="11" t="n">
        <x:f>IF(AND(ISNUMBER(H14),ISNUMBER(G14),G14&gt;0),H14/G14,"")</x:f>
        <x:v>456.5217391304348</x:v>
      </x:c>
      <x:c r="G14" s="12" t="n">
        <x:f>IF(AND(COUNT(P14:R14)=3,MIN(P14:R14)&gt;=0,P14&lt;=Q14,Q14&lt;=R14),P14/7*0.5+Q14/14*0.3+R14/30*0.2,"")</x:f>
        <x:v>0.05476190476190476</x:v>
      </x:c>
      <x:c r="H14" s="10" t="n">
        <x:f>IF(ISNUMBER(U14),U14,"")</x:f>
        <x:v>25</x:v>
      </x:c>
      <x:c r="I14" s="10" t="n">
        <x:v>15</x:v>
      </x:c>
      <x:c r="J14" s="11" t="n">
        <x:f>IF(AND(Z14="共同",ISNUMBER(F14),ISNUMBER(M14)),F14-M14,"")</x:f>
        <x:v>395.8280975119377</x:v>
      </x:c>
      <x:c r="K14" s="13" t="n">
        <x:f>IF(AND(ISNUMBER(J14),M14&lt;&gt;0),J14/M14,"")</x:f>
        <x:v>6.521739130434782</x:v>
      </x:c>
      <x:c r="L14" s="10" t="str">
        <x:v>正常库存</x:v>
      </x:c>
      <x:c r="M14" s="11" t="n">
        <x:v>60.69364161849712</x:v>
      </x:c>
      <x:c r="N14" s="10" t="n">
        <x:f>IF(AND(Z14="共同",COUNT(H14:I14)=2),H14-I14,"")</x:f>
        <x:v>10</x:v>
      </x:c>
      <x:c r="O14" s="10" t="n">
        <x:v>0</x:v>
      </x:c>
      <x:c r="P14" s="10" t="n">
        <x:v>0</x:v>
      </x:c>
      <x:c r="Q14" s="10" t="n">
        <x:v>1</x:v>
      </x:c>
      <x:c r="R14" s="10" t="n">
        <x:v>5</x:v>
      </x:c>
      <x:c r="S14" s="10" t="n">
        <x:v>25</x:v>
      </x:c>
      <x:c r="T14" s="10" t="n">
        <x:v>0</x:v>
      </x:c>
      <x:c r="U14" s="10" t="n">
        <x:f>IF(AND(ISNUMBER(X14),X14&gt;=0,Y14&lt;&gt;1),X14,"")</x:f>
        <x:v>25</x:v>
      </x:c>
      <x:c r="V14" s="10" t="n">
        <x:v>4</x:v>
      </x:c>
      <x:c r="W14" s="10" t="n">
        <x:v>19</x:v>
      </x:c>
      <x:c r="X14" s="10" t="n">
        <x:v>25</x:v>
      </x:c>
      <x:c r="Y14" s="3" t="n">
        <x:v>0</x:v>
      </x:c>
      <x:c r="Z14" s="3" t="str">
        <x:v>共同</x:v>
      </x:c>
      <x:c r="AA14" s="3" t="str">
        <x:v>在售</x:v>
      </x:c>
      <x:c r="AB14" s="12" t="n">
        <x:f>IF(AND(Z14="共同",ISNUMBER(G14),ISNUMBER(AD14)),G14-AD14,"")</x:f>
        <x:v>-0.19238095238095235</x:v>
      </x:c>
      <x:c r="AC14" s="3" t="str"/>
      <x:c r="AD14" s="12" t="n">
        <x:v>0.2471428571428571</x:v>
      </x:c>
      <x:c r="AE14" s="3" t="str">
        <x:v>[13306,"2311062-BR-V-O-10"]</x:v>
      </x:c>
      <x:c r="AF14" t="n">
        <x:f>IF(ISNUMBER(H14),1,0)</x:f>
        <x:v>1</x:v>
      </x:c>
      <x:c r="AG14" t="n">
        <x:f>IF(ISNUMBER(I14),1,0)</x:f>
        <x:v>1</x:v>
      </x:c>
      <x:c r="AH14" t="str">
        <x:v>["2311062","2311062-BR-V-O","BR-V","棕色锦纶"]</x:v>
      </x:c>
      <x:c r="AI14" t="n">
        <x:f>IF(ISNUMBER(G14),1,0)</x:f>
        <x:v>1</x:v>
      </x:c>
      <x:c r="AJ14" t="n">
        <x:f>IF(ISNUMBER(AD14),1,0)</x:f>
        <x:v>1</x:v>
      </x:c>
    </x:row>
    <x:row r="15" ht="30" customHeight="1">
      <x:c r="A15" s="3" t="str">
        <x:v>2311062-BR-V-O-6</x:v>
      </x:c>
      <x:c r="B15" s="3" t="str">
        <x:v>4店-彬郁-US</x:v>
      </x:c>
      <x:c r="C15" s="3" t="str">
        <x:v>陈晨</x:v>
      </x:c>
      <x:c r="D15" s="3" t="str">
        <x:v>2311062</x:v>
      </x:c>
      <x:c r="E15" s="3" t="str">
        <x:f>IF(Z15="移出","已移出",IF(NOT(ISNUMBER(H15)),"数据待核",IF(H15=0,"断货",IF(NOT(ISNUMBER(G15)),"数据待核",IF(G15=0,"零日销待复核",IF(F15&lt;60,"补货提醒",IF(F15&lt;=90,"正常库存",IF(F15&lt;180,"促销",IF(F15&lt;=365,"红线促销","考虑清仓")))))))))</x:f>
        <x:v>考虑清仓</x:v>
      </x:c>
      <x:c r="F15" s="11" t="n">
        <x:f>IF(AND(ISNUMBER(H15),ISNUMBER(G15),G15&gt;0),H15/G15,"")</x:f>
        <x:v>889.8305084745763</x:v>
      </x:c>
      <x:c r="G15" s="12" t="n">
        <x:f>IF(AND(COUNT(P15:R15)=3,MIN(P15:R15)&gt;=0,P15&lt;=Q15,Q15&lt;=R15),P15/7*0.5+Q15/14*0.3+R15/30*0.2,"")</x:f>
        <x:v>0.028095238095238093</x:v>
      </x:c>
      <x:c r="H15" s="10" t="n">
        <x:f>IF(ISNUMBER(U15),U15,"")</x:f>
        <x:v>25</x:v>
      </x:c>
      <x:c r="I15" s="10" t="n">
        <x:v>23</x:v>
      </x:c>
      <x:c r="J15" s="11" t="str">
        <x:f>IF(AND(Z15="共同",ISNUMBER(F15),ISNUMBER(M15)),F15-M15,"")</x:f>
      </x:c>
      <x:c r="K15" s="13" t="str">
        <x:f>IF(AND(ISNUMBER(J15),M15&lt;&gt;0),J15/M15,"")</x:f>
      </x:c>
      <x:c r="L15" s="10" t="str">
        <x:v>零日销待复核</x:v>
      </x:c>
      <x:c r="M15" s="11"/>
      <x:c r="N15" s="10" t="n">
        <x:f>IF(AND(Z15="共同",COUNT(H15:I15)=2),H15-I15,"")</x:f>
        <x:v>2</x:v>
      </x:c>
      <x:c r="O15" s="10" t="n">
        <x:v>0</x:v>
      </x:c>
      <x:c r="P15" s="10" t="n">
        <x:v>0</x:v>
      </x:c>
      <x:c r="Q15" s="10" t="n">
        <x:v>1</x:v>
      </x:c>
      <x:c r="R15" s="10" t="n">
        <x:v>1</x:v>
      </x:c>
      <x:c r="S15" s="10" t="n">
        <x:v>36</x:v>
      </x:c>
      <x:c r="T15" s="10" t="n">
        <x:v>1</x:v>
      </x:c>
      <x:c r="U15" s="10" t="n">
        <x:f>IF(AND(ISNUMBER(X15),X15&gt;=0,Y15&lt;&gt;1),X15,"")</x:f>
        <x:v>25</x:v>
      </x:c>
      <x:c r="V15" s="10" t="n">
        <x:v>0</x:v>
      </x:c>
      <x:c r="W15" s="10" t="n">
        <x:v>0</x:v>
      </x:c>
      <x:c r="X15" s="10" t="n">
        <x:v>25</x:v>
      </x:c>
      <x:c r="Y15" s="3" t="n">
        <x:v>0</x:v>
      </x:c>
      <x:c r="Z15" s="3" t="str">
        <x:v>共同</x:v>
      </x:c>
      <x:c r="AA15" s="3" t="str">
        <x:v>在售</x:v>
      </x:c>
      <x:c r="AB15" s="12" t="n">
        <x:f>IF(AND(Z15="共同",ISNUMBER(G15),ISNUMBER(AD15)),G15-AD15,"")</x:f>
        <x:v>0.028095238095238093</x:v>
      </x:c>
      <x:c r="AC15" s="3" t="str"/>
      <x:c r="AD15" s="12" t="n">
        <x:v>0</x:v>
      </x:c>
      <x:c r="AE15" s="3" t="str">
        <x:v>[13306,"2311062-BR-V-O-6"]</x:v>
      </x:c>
      <x:c r="AF15" t="n">
        <x:f>IF(ISNUMBER(H15),1,0)</x:f>
        <x:v>1</x:v>
      </x:c>
      <x:c r="AG15" t="n">
        <x:f>IF(ISNUMBER(I15),1,0)</x:f>
        <x:v>1</x:v>
      </x:c>
      <x:c r="AH15" t="str">
        <x:v>["2311062","2311062-BR-V-O","BR-V","棕色锦纶"]</x:v>
      </x:c>
      <x:c r="AI15" t="n">
        <x:f>IF(ISNUMBER(G15),1,0)</x:f>
        <x:v>1</x:v>
      </x:c>
      <x:c r="AJ15" t="n">
        <x:f>IF(ISNUMBER(AD15),1,0)</x:f>
        <x:v>1</x:v>
      </x:c>
    </x:row>
    <x:row r="16" ht="30" customHeight="1">
      <x:c r="A16" s="3" t="str">
        <x:v>2311062-BR-V-O-7</x:v>
      </x:c>
      <x:c r="B16" s="3" t="str">
        <x:v>4店-彬郁-US</x:v>
      </x:c>
      <x:c r="C16" s="3" t="str">
        <x:v>陈晨</x:v>
      </x:c>
      <x:c r="D16" s="3" t="str">
        <x:v>2311062</x:v>
      </x:c>
      <x:c r="E16" s="3" t="str">
        <x:f>IF(Z16="移出","已移出",IF(NOT(ISNUMBER(H16)),"数据待核",IF(H16=0,"断货",IF(NOT(ISNUMBER(G16)),"数据待核",IF(G16=0,"零日销待复核",IF(F16&lt;60,"补货提醒",IF(F16&lt;=90,"正常库存",IF(F16&lt;180,"促销",IF(F16&lt;=365,"红线促销","考虑清仓")))))))))</x:f>
        <x:v>考虑清仓</x:v>
      </x:c>
      <x:c r="F16" s="11" t="n">
        <x:f>IF(AND(ISNUMBER(H16),ISNUMBER(G16),G16&gt;0),H16/G16,"")</x:f>
        <x:v>375</x:v>
      </x:c>
      <x:c r="G16" s="12" t="n">
        <x:f>IF(AND(COUNT(P16:R16)=3,MIN(P16:R16)&gt;=0,P16&lt;=Q16,Q16&lt;=R16),P16/7*0.5+Q16/14*0.3+R16/30*0.2,"")</x:f>
        <x:v>0.02666666666666667</x:v>
      </x:c>
      <x:c r="H16" s="10" t="n">
        <x:f>IF(ISNUMBER(U16),U16,"")</x:f>
        <x:v>10</x:v>
      </x:c>
      <x:c r="I16" s="10" t="n">
        <x:v>5</x:v>
      </x:c>
      <x:c r="J16" s="11" t="n">
        <x:f>IF(AND(Z16="共同",ISNUMBER(F16),ISNUMBER(M16)),F16-M16,"")</x:f>
        <x:v>353.61507128309574</x:v>
      </x:c>
      <x:c r="K16" s="13" t="n">
        <x:f>IF(AND(ISNUMBER(J16),M16&lt;&gt;0),J16/M16,"")</x:f>
        <x:v>16.535714285714285</x:v>
      </x:c>
      <x:c r="L16" s="10" t="str">
        <x:v>补货提醒</x:v>
      </x:c>
      <x:c r="M16" s="11" t="n">
        <x:v>21.38492871690428</x:v>
      </x:c>
      <x:c r="N16" s="10" t="n">
        <x:f>IF(AND(Z16="共同",COUNT(H16:I16)=2),H16-I16,"")</x:f>
        <x:v>5</x:v>
      </x:c>
      <x:c r="O16" s="10" t="n">
        <x:v>0</x:v>
      </x:c>
      <x:c r="P16" s="10" t="n">
        <x:v>0</x:v>
      </x:c>
      <x:c r="Q16" s="10" t="n">
        <x:v>0</x:v>
      </x:c>
      <x:c r="R16" s="10" t="n">
        <x:v>4</x:v>
      </x:c>
      <x:c r="S16" s="10" t="n">
        <x:v>14</x:v>
      </x:c>
      <x:c r="T16" s="10" t="n">
        <x:v>0</x:v>
      </x:c>
      <x:c r="U16" s="10" t="n">
        <x:f>IF(AND(ISNUMBER(X16),X16&gt;=0,Y16&lt;&gt;1),X16,"")</x:f>
        <x:v>10</x:v>
      </x:c>
      <x:c r="V16" s="10" t="n">
        <x:v>3</x:v>
      </x:c>
      <x:c r="W16" s="10" t="n">
        <x:v>26</x:v>
      </x:c>
      <x:c r="X16" s="10" t="n">
        <x:v>10</x:v>
      </x:c>
      <x:c r="Y16" s="3" t="n">
        <x:v>0</x:v>
      </x:c>
      <x:c r="Z16" s="3" t="str">
        <x:v>共同</x:v>
      </x:c>
      <x:c r="AA16" s="3" t="str">
        <x:v>在售</x:v>
      </x:c>
      <x:c r="AB16" s="12" t="n">
        <x:f>IF(AND(Z16="共同",ISNUMBER(G16),ISNUMBER(AD16)),G16-AD16,"")</x:f>
        <x:v>-0.2071428571428571</x:v>
      </x:c>
      <x:c r="AC16" s="3" t="str"/>
      <x:c r="AD16" s="12" t="n">
        <x:v>0.23380952380952377</x:v>
      </x:c>
      <x:c r="AE16" s="3" t="str">
        <x:v>[13306,"2311062-BR-V-O-7"]</x:v>
      </x:c>
      <x:c r="AF16" t="n">
        <x:f>IF(ISNUMBER(H16),1,0)</x:f>
        <x:v>1</x:v>
      </x:c>
      <x:c r="AG16" t="n">
        <x:f>IF(ISNUMBER(I16),1,0)</x:f>
        <x:v>1</x:v>
      </x:c>
      <x:c r="AH16" t="str">
        <x:v>["2311062","2311062-BR-V-O","BR-V","棕色锦纶"]</x:v>
      </x:c>
      <x:c r="AI16" t="n">
        <x:f>IF(ISNUMBER(G16),1,0)</x:f>
        <x:v>1</x:v>
      </x:c>
      <x:c r="AJ16" t="n">
        <x:f>IF(ISNUMBER(AD16),1,0)</x:f>
        <x:v>1</x:v>
      </x:c>
    </x:row>
    <x:row r="17" ht="30" customHeight="1">
      <x:c r="A17" s="3" t="str">
        <x:v>2311062-BR-V-O-8</x:v>
      </x:c>
      <x:c r="B17" s="3" t="str">
        <x:v>4店-彬郁-US</x:v>
      </x:c>
      <x:c r="C17" s="3" t="str">
        <x:v>陈晨</x:v>
      </x:c>
      <x:c r="D17" s="3" t="str">
        <x:v>2311062</x:v>
      </x:c>
      <x:c r="E17" s="3" t="str">
        <x:f>IF(Z17="移出","已移出",IF(NOT(ISNUMBER(H17)),"数据待核",IF(H17=0,"断货",IF(NOT(ISNUMBER(G17)),"数据待核",IF(G17=0,"零日销待复核",IF(F17&lt;60,"补货提醒",IF(F17&lt;=90,"正常库存",IF(F17&lt;180,"促销",IF(F17&lt;=365,"红线促销","考虑清仓")))))))))</x:f>
        <x:v>考虑清仓</x:v>
      </x:c>
      <x:c r="F17" s="11" t="n">
        <x:f>IF(AND(ISNUMBER(H17),ISNUMBER(G17),G17&gt;0),H17/G17,"")</x:f>
        <x:v>891.7808219178083</x:v>
      </x:c>
      <x:c r="G17" s="12" t="n">
        <x:f>IF(AND(COUNT(P17:R17)=3,MIN(P17:R17)&gt;=0,P17&lt;=Q17,Q17&lt;=R17),P17/7*0.5+Q17/14*0.3+R17/30*0.2,"")</x:f>
        <x:v>0.03476190476190476</x:v>
      </x:c>
      <x:c r="H17" s="10" t="n">
        <x:f>IF(ISNUMBER(U17),U17,"")</x:f>
        <x:v>31</x:v>
      </x:c>
      <x:c r="I17" s="10" t="n">
        <x:v>15</x:v>
      </x:c>
      <x:c r="J17" s="11" t="n">
        <x:f>IF(AND(Z17="共同",ISNUMBER(F17),ISNUMBER(M17)),F17-M17,"")</x:f>
        <x:v>784.2722894946002</x:v>
      </x:c>
      <x:c r="K17" s="13" t="n">
        <x:f>IF(AND(ISNUMBER(J17),M17&lt;&gt;0),J17/M17,"")</x:f>
        <x:v>7.294977168949773</x:v>
      </x:c>
      <x:c r="L17" s="10" t="str">
        <x:v>促销</x:v>
      </x:c>
      <x:c r="M17" s="11" t="n">
        <x:v>107.5085324232082</x:v>
      </x:c>
      <x:c r="N17" s="10" t="n">
        <x:f>IF(AND(Z17="共同",COUNT(H17:I17)=2),H17-I17,"")</x:f>
        <x:v>16</x:v>
      </x:c>
      <x:c r="O17" s="10" t="n">
        <x:v>0</x:v>
      </x:c>
      <x:c r="P17" s="10" t="n">
        <x:v>0</x:v>
      </x:c>
      <x:c r="Q17" s="10" t="n">
        <x:v>1</x:v>
      </x:c>
      <x:c r="R17" s="10" t="n">
        <x:v>2</x:v>
      </x:c>
      <x:c r="S17" s="10" t="n">
        <x:v>43</x:v>
      </x:c>
      <x:c r="T17" s="10" t="n">
        <x:v>0</x:v>
      </x:c>
      <x:c r="U17" s="10" t="n">
        <x:f>IF(AND(ISNUMBER(X17),X17&gt;=0,Y17&lt;&gt;1),X17,"")</x:f>
        <x:v>31</x:v>
      </x:c>
      <x:c r="V17" s="10" t="n">
        <x:v>6</x:v>
      </x:c>
      <x:c r="W17" s="10" t="n">
        <x:v>19</x:v>
      </x:c>
      <x:c r="X17" s="10" t="n">
        <x:v>31</x:v>
      </x:c>
      <x:c r="Y17" s="3" t="n">
        <x:v>0</x:v>
      </x:c>
      <x:c r="Z17" s="3" t="str">
        <x:v>共同</x:v>
      </x:c>
      <x:c r="AA17" s="3" t="str">
        <x:v>在售</x:v>
      </x:c>
      <x:c r="AB17" s="12" t="n">
        <x:f>IF(AND(Z17="共同",ISNUMBER(G17),ISNUMBER(AD17)),G17-AD17,"")</x:f>
        <x:v>-0.10476190476190476</x:v>
      </x:c>
      <x:c r="AC17" s="3" t="str"/>
      <x:c r="AD17" s="12" t="n">
        <x:v>0.13952380952380952</x:v>
      </x:c>
      <x:c r="AE17" s="3" t="str">
        <x:v>[13306,"2311062-BR-V-O-8"]</x:v>
      </x:c>
      <x:c r="AF17" t="n">
        <x:f>IF(ISNUMBER(H17),1,0)</x:f>
        <x:v>1</x:v>
      </x:c>
      <x:c r="AG17" t="n">
        <x:f>IF(ISNUMBER(I17),1,0)</x:f>
        <x:v>1</x:v>
      </x:c>
      <x:c r="AH17" t="str">
        <x:v>["2311062","2311062-BR-V-O","BR-V","棕色锦纶"]</x:v>
      </x:c>
      <x:c r="AI17" t="n">
        <x:f>IF(ISNUMBER(G17),1,0)</x:f>
        <x:v>1</x:v>
      </x:c>
      <x:c r="AJ17" t="n">
        <x:f>IF(ISNUMBER(AD17),1,0)</x:f>
        <x:v>1</x:v>
      </x:c>
    </x:row>
    <x:row r="18" ht="30" customHeight="1">
      <x:c r="A18" s="3" t="str">
        <x:v>2311062-BR-V-O-9</x:v>
      </x:c>
      <x:c r="B18" s="3" t="str">
        <x:v>4店-彬郁-US</x:v>
      </x:c>
      <x:c r="C18" s="3" t="str">
        <x:v>陈晨</x:v>
      </x:c>
      <x:c r="D18" s="3" t="str">
        <x:v>2311062</x:v>
      </x:c>
      <x:c r="E18" s="3" t="str">
        <x:f>IF(Z18="移出","已移出",IF(NOT(ISNUMBER(H18)),"数据待核",IF(H18=0,"断货",IF(NOT(ISNUMBER(G18)),"数据待核",IF(G18=0,"零日销待复核",IF(F18&lt;60,"补货提醒",IF(F18&lt;=90,"正常库存",IF(F18&lt;180,"促销",IF(F18&lt;=365,"红线促销","考虑清仓")))))))))</x:f>
        <x:v>考虑清仓</x:v>
      </x:c>
      <x:c r="F18" s="11" t="n">
        <x:f>IF(AND(ISNUMBER(H18),ISNUMBER(G18),G18&gt;0),H18/G18,"")</x:f>
        <x:v>5550</x:v>
      </x:c>
      <x:c r="G18" s="12" t="n">
        <x:f>IF(AND(COUNT(P18:R18)=3,MIN(P18:R18)&gt;=0,P18&lt;=Q18,Q18&lt;=R18),P18/7*0.5+Q18/14*0.3+R18/30*0.2,"")</x:f>
        <x:v>0.006666666666666667</x:v>
      </x:c>
      <x:c r="H18" s="10" t="n">
        <x:f>IF(ISNUMBER(U18),U18,"")</x:f>
        <x:v>37</x:v>
      </x:c>
      <x:c r="I18" s="10" t="n">
        <x:v>35</x:v>
      </x:c>
      <x:c r="J18" s="11" t="n">
        <x:f>IF(AND(Z18="共同",ISNUMBER(F18),ISNUMBER(M18)),F18-M18,"")</x:f>
        <x:v>4543.1506849315065</x:v>
      </x:c>
      <x:c r="K18" s="13" t="n">
        <x:f>IF(AND(ISNUMBER(J18),M18&lt;&gt;0),J18/M18,"")</x:f>
        <x:v>4.5122448979591825</x:v>
      </x:c>
      <x:c r="L18" s="10" t="str">
        <x:v>考虑清仓</x:v>
      </x:c>
      <x:c r="M18" s="11" t="n">
        <x:v>1006.8493150684933</x:v>
      </x:c>
      <x:c r="N18" s="10" t="n">
        <x:f>IF(AND(Z18="共同",COUNT(H18:I18)=2),H18-I18,"")</x:f>
        <x:v>2</x:v>
      </x:c>
      <x:c r="O18" s="10" t="n">
        <x:v>0</x:v>
      </x:c>
      <x:c r="P18" s="10" t="n">
        <x:v>0</x:v>
      </x:c>
      <x:c r="Q18" s="10" t="n">
        <x:v>0</x:v>
      </x:c>
      <x:c r="R18" s="10" t="n">
        <x:v>1</x:v>
      </x:c>
      <x:c r="S18" s="10" t="n">
        <x:v>46</x:v>
      </x:c>
      <x:c r="T18" s="10" t="n">
        <x:v>0</x:v>
      </x:c>
      <x:c r="U18" s="10" t="n">
        <x:f>IF(AND(ISNUMBER(X18),X18&gt;=0,Y18&lt;&gt;1),X18,"")</x:f>
        <x:v>37</x:v>
      </x:c>
      <x:c r="V18" s="10" t="n">
        <x:v>0</x:v>
      </x:c>
      <x:c r="W18" s="10" t="n">
        <x:v>0</x:v>
      </x:c>
      <x:c r="X18" s="10" t="n">
        <x:v>37</x:v>
      </x:c>
      <x:c r="Y18" s="3" t="n">
        <x:v>0</x:v>
      </x:c>
      <x:c r="Z18" s="3" t="str">
        <x:v>共同</x:v>
      </x:c>
      <x:c r="AA18" s="3" t="str">
        <x:v>在售</x:v>
      </x:c>
      <x:c r="AB18" s="12" t="n">
        <x:f>IF(AND(Z18="共同",ISNUMBER(G18),ISNUMBER(AD18)),G18-AD18,"")</x:f>
        <x:v>-0.02809523809523809</x:v>
      </x:c>
      <x:c r="AC18" s="3" t="str"/>
      <x:c r="AD18" s="12" t="n">
        <x:v>0.03476190476190476</x:v>
      </x:c>
      <x:c r="AE18" s="3" t="str">
        <x:v>[13306,"2311062-BR-V-O-9"]</x:v>
      </x:c>
      <x:c r="AF18" t="n">
        <x:f>IF(ISNUMBER(H18),1,0)</x:f>
        <x:v>1</x:v>
      </x:c>
      <x:c r="AG18" t="n">
        <x:f>IF(ISNUMBER(I18),1,0)</x:f>
        <x:v>1</x:v>
      </x:c>
      <x:c r="AH18" t="str">
        <x:v>["2311062","2311062-BR-V-O","BR-V","棕色锦纶"]</x:v>
      </x:c>
      <x:c r="AI18" t="n">
        <x:f>IF(ISNUMBER(G18),1,0)</x:f>
        <x:v>1</x:v>
      </x:c>
      <x:c r="AJ18" t="n">
        <x:f>IF(ISNUMBER(AD18),1,0)</x:f>
        <x:v>1</x:v>
      </x:c>
    </x:row>
    <x:row r="19" ht="30" customHeight="1">
      <x:c r="A19" s="3" t="str">
        <x:v>2311062-RD-V-O-10</x:v>
      </x:c>
      <x:c r="B19" s="3" t="str">
        <x:v>4店-彬郁-US</x:v>
      </x:c>
      <x:c r="C19" s="3" t="str">
        <x:v>陈晨</x:v>
      </x:c>
      <x:c r="D19" s="3" t="str">
        <x:v>2311062</x:v>
      </x:c>
      <x:c r="E19" s="3" t="str">
        <x:f>IF(Z19="移出","已移出",IF(NOT(ISNUMBER(H19)),"数据待核",IF(H19=0,"断货",IF(NOT(ISNUMBER(G19)),"数据待核",IF(G19=0,"零日销待复核",IF(F19&lt;60,"补货提醒",IF(F19&lt;=90,"正常库存",IF(F19&lt;180,"促销",IF(F19&lt;=365,"红线促销","考虑清仓")))))))))</x:f>
        <x:v>考虑清仓</x:v>
      </x:c>
      <x:c r="F19" s="11" t="n">
        <x:f>IF(AND(ISNUMBER(H19),ISNUMBER(G19),G19&gt;0),H19/G19,"")</x:f>
        <x:v>1174.5762711864409</x:v>
      </x:c>
      <x:c r="G19" s="12" t="n">
        <x:f>IF(AND(COUNT(P19:R19)=3,MIN(P19:R19)&gt;=0,P19&lt;=Q19,Q19&lt;=R19),P19/7*0.5+Q19/14*0.3+R19/30*0.2,"")</x:f>
        <x:v>0.028095238095238093</x:v>
      </x:c>
      <x:c r="H19" s="10" t="n">
        <x:f>IF(ISNUMBER(U19),U19,"")</x:f>
        <x:v>33</x:v>
      </x:c>
      <x:c r="I19" s="10" t="n">
        <x:v>21</x:v>
      </x:c>
      <x:c r="J19" s="11" t="n">
        <x:f>IF(AND(Z19="共同",ISNUMBER(F19),ISNUMBER(M19)),F19-M19,"")</x:f>
        <x:v>-400.42372881355914</x:v>
      </x:c>
      <x:c r="K19" s="13" t="n">
        <x:f>IF(AND(ISNUMBER(J19),M19&lt;&gt;0),J19/M19,"")</x:f>
        <x:v>-0.2542372881355931</x:v>
      </x:c>
      <x:c r="L19" s="10" t="str">
        <x:v>考虑清仓</x:v>
      </x:c>
      <x:c r="M19" s="11" t="n">
        <x:v>1575</x:v>
      </x:c>
      <x:c r="N19" s="10" t="n">
        <x:f>IF(AND(Z19="共同",COUNT(H19:I19)=2),H19-I19,"")</x:f>
        <x:v>12</x:v>
      </x:c>
      <x:c r="O19" s="10" t="n">
        <x:v>0</x:v>
      </x:c>
      <x:c r="P19" s="10" t="n">
        <x:v>0</x:v>
      </x:c>
      <x:c r="Q19" s="10" t="n">
        <x:v>1</x:v>
      </x:c>
      <x:c r="R19" s="10" t="n">
        <x:v>1</x:v>
      </x:c>
      <x:c r="S19" s="10" t="n">
        <x:v>43</x:v>
      </x:c>
      <x:c r="T19" s="10" t="n">
        <x:v>0</x:v>
      </x:c>
      <x:c r="U19" s="10" t="n">
        <x:f>IF(AND(ISNUMBER(X19),X19&gt;=0,Y19&lt;&gt;1),X19,"")</x:f>
        <x:v>33</x:v>
      </x:c>
      <x:c r="V19" s="10" t="n">
        <x:v>2</x:v>
      </x:c>
      <x:c r="W19" s="10" t="n">
        <x:v>2</x:v>
      </x:c>
      <x:c r="X19" s="10" t="n">
        <x:v>33</x:v>
      </x:c>
      <x:c r="Y19" s="3" t="n">
        <x:v>0</x:v>
      </x:c>
      <x:c r="Z19" s="3" t="str">
        <x:v>共同</x:v>
      </x:c>
      <x:c r="AA19" s="3" t="str">
        <x:v>在售</x:v>
      </x:c>
      <x:c r="AB19" s="12" t="n">
        <x:f>IF(AND(Z19="共同",ISNUMBER(G19),ISNUMBER(AD19)),G19-AD19,"")</x:f>
        <x:v>0.01476190476190476</x:v>
      </x:c>
      <x:c r="AC19" s="3" t="str"/>
      <x:c r="AD19" s="12" t="n">
        <x:v>0.013333333333333332</x:v>
      </x:c>
      <x:c r="AE19" s="3" t="str">
        <x:v>[13306,"2311062-RD-V-O-10"]</x:v>
      </x:c>
      <x:c r="AF19" t="n">
        <x:f>IF(ISNUMBER(H19),1,0)</x:f>
        <x:v>1</x:v>
      </x:c>
      <x:c r="AG19" t="n">
        <x:f>IF(ISNUMBER(I19),1,0)</x:f>
        <x:v>1</x:v>
      </x:c>
      <x:c r="AH19" t="str">
        <x:v>["2311062","2311062-RD-V-O","RD-V","酒红锦纶"]</x:v>
      </x:c>
      <x:c r="AI19" t="n">
        <x:f>IF(ISNUMBER(G19),1,0)</x:f>
        <x:v>1</x:v>
      </x:c>
      <x:c r="AJ19" t="n">
        <x:f>IF(ISNUMBER(AD19),1,0)</x:f>
        <x:v>1</x:v>
      </x:c>
    </x:row>
    <x:row r="20" ht="30" customHeight="1">
      <x:c r="A20" s="3" t="str">
        <x:v>2311062-RD-V-O-6</x:v>
      </x:c>
      <x:c r="B20" s="3" t="str">
        <x:v>4店-彬郁-US</x:v>
      </x:c>
      <x:c r="C20" s="3" t="str">
        <x:v>陈晨</x:v>
      </x:c>
      <x:c r="D20" s="3" t="str">
        <x:v>2311062</x:v>
      </x:c>
      <x:c r="E20" s="3" t="str">
        <x:f>IF(Z20="移出","已移出",IF(NOT(ISNUMBER(H20)),"数据待核",IF(H20=0,"断货",IF(NOT(ISNUMBER(G20)),"数据待核",IF(G20=0,"零日销待复核",IF(F20&lt;60,"补货提醒",IF(F20&lt;=90,"正常库存",IF(F20&lt;180,"促销",IF(F20&lt;=365,"红线促销","考虑清仓")))))))))</x:f>
        <x:v>考虑清仓</x:v>
      </x:c>
      <x:c r="F20" s="11" t="n">
        <x:f>IF(AND(ISNUMBER(H20),ISNUMBER(G20),G20&gt;0),H20/G20,"")</x:f>
        <x:v>375</x:v>
      </x:c>
      <x:c r="G20" s="12" t="n">
        <x:f>IF(AND(COUNT(P20:R20)=3,MIN(P20:R20)&gt;=0,P20&lt;=Q20,Q20&lt;=R20),P20/7*0.5+Q20/14*0.3+R20/30*0.2,"")</x:f>
        <x:v>0.013333333333333334</x:v>
      </x:c>
      <x:c r="H20" s="10" t="n">
        <x:f>IF(ISNUMBER(U20),U20,"")</x:f>
        <x:v>5</x:v>
      </x:c>
      <x:c r="I20" s="10" t="n">
        <x:v>5</x:v>
      </x:c>
      <x:c r="J20" s="11" t="n">
        <x:f>IF(AND(Z20="共同",ISNUMBER(F20),ISNUMBER(M20)),F20-M20,"")</x:f>
        <x:v>351.45739910313904</x:v>
      </x:c>
      <x:c r="K20" s="13" t="n">
        <x:f>IF(AND(ISNUMBER(J20),M20&lt;&gt;0),J20/M20,"")</x:f>
        <x:v>14.92857142857143</x:v>
      </x:c>
      <x:c r="L20" s="10" t="str">
        <x:v>补货提醒</x:v>
      </x:c>
      <x:c r="M20" s="11" t="n">
        <x:v>23.542600896860986</x:v>
      </x:c>
      <x:c r="N20" s="10" t="n">
        <x:f>IF(AND(Z20="共同",COUNT(H20:I20)=2),H20-I20,"")</x:f>
        <x:v>0</x:v>
      </x:c>
      <x:c r="O20" s="10" t="n">
        <x:v>0</x:v>
      </x:c>
      <x:c r="P20" s="10" t="n">
        <x:v>0</x:v>
      </x:c>
      <x:c r="Q20" s="10" t="n">
        <x:v>0</x:v>
      </x:c>
      <x:c r="R20" s="10" t="n">
        <x:v>2</x:v>
      </x:c>
      <x:c r="S20" s="10" t="n">
        <x:v>5</x:v>
      </x:c>
      <x:c r="T20" s="10" t="n">
        <x:v>0</x:v>
      </x:c>
      <x:c r="U20" s="10" t="n">
        <x:f>IF(AND(ISNUMBER(X20),X20&gt;=0,Y20&lt;&gt;1),X20,"")</x:f>
        <x:v>5</x:v>
      </x:c>
      <x:c r="V20" s="10" t="n">
        <x:v>0</x:v>
      </x:c>
      <x:c r="W20" s="10" t="n">
        <x:v>0</x:v>
      </x:c>
      <x:c r="X20" s="10" t="n">
        <x:v>5</x:v>
      </x:c>
      <x:c r="Y20" s="3" t="n">
        <x:v>0</x:v>
      </x:c>
      <x:c r="Z20" s="3" t="str">
        <x:v>共同</x:v>
      </x:c>
      <x:c r="AA20" s="3" t="str">
        <x:v>在售</x:v>
      </x:c>
      <x:c r="AB20" s="12" t="n">
        <x:f>IF(AND(Z20="共同",ISNUMBER(G20),ISNUMBER(AD20)),G20-AD20,"")</x:f>
        <x:v>-0.19904761904761906</x:v>
      </x:c>
      <x:c r="AC20" s="3" t="str"/>
      <x:c r="AD20" s="12" t="n">
        <x:v>0.2123809523809524</x:v>
      </x:c>
      <x:c r="AE20" s="3" t="str">
        <x:v>[13306,"2311062-RD-V-O-6"]</x:v>
      </x:c>
      <x:c r="AF20" t="n">
        <x:f>IF(ISNUMBER(H20),1,0)</x:f>
        <x:v>1</x:v>
      </x:c>
      <x:c r="AG20" t="n">
        <x:f>IF(ISNUMBER(I20),1,0)</x:f>
        <x:v>1</x:v>
      </x:c>
      <x:c r="AH20" t="str">
        <x:v>["2311062","2311062-RD-V-O","RD-V","酒红锦纶"]</x:v>
      </x:c>
      <x:c r="AI20" t="n">
        <x:f>IF(ISNUMBER(G20),1,0)</x:f>
        <x:v>1</x:v>
      </x:c>
      <x:c r="AJ20" t="n">
        <x:f>IF(ISNUMBER(AD20),1,0)</x:f>
        <x:v>1</x:v>
      </x:c>
    </x:row>
    <x:row r="21" ht="30" customHeight="1">
      <x:c r="A21" s="3" t="str">
        <x:v>2311062-RD-V-O-9</x:v>
      </x:c>
      <x:c r="B21" s="3" t="str">
        <x:v>4店-彬郁-US</x:v>
      </x:c>
      <x:c r="C21" s="3" t="str">
        <x:v>陈晨</x:v>
      </x:c>
      <x:c r="D21" s="3" t="str">
        <x:v>2311062</x:v>
      </x:c>
      <x:c r="E21" s="3" t="str">
        <x:f>IF(Z21="移出","已移出",IF(NOT(ISNUMBER(H21)),"数据待核",IF(H21=0,"断货",IF(NOT(ISNUMBER(G21)),"数据待核",IF(G21=0,"零日销待复核",IF(F21&lt;60,"补货提醒",IF(F21&lt;=90,"正常库存",IF(F21&lt;180,"促销",IF(F21&lt;=365,"红线促销","考虑清仓")))))))))</x:f>
        <x:v>考虑清仓</x:v>
      </x:c>
      <x:c r="F21" s="11" t="n">
        <x:f>IF(AND(ISNUMBER(H21),ISNUMBER(G21),G21&gt;0),H21/G21,"")</x:f>
        <x:v>460.97560975609764</x:v>
      </x:c>
      <x:c r="G21" s="12" t="n">
        <x:f>IF(AND(COUNT(P21:R21)=3,MIN(P21:R21)&gt;=0,P21&lt;=Q21,Q21&lt;=R21),P21/7*0.5+Q21/14*0.3+R21/30*0.2,"")</x:f>
        <x:v>0.0976190476190476</x:v>
      </x:c>
      <x:c r="H21" s="10" t="n">
        <x:f>IF(ISNUMBER(U21),U21,"")</x:f>
        <x:v>45</x:v>
      </x:c>
      <x:c r="I21" s="10" t="n">
        <x:v>48</x:v>
      </x:c>
      <x:c r="J21" s="11" t="n">
        <x:f>IF(AND(Z21="共同",ISNUMBER(F21),ISNUMBER(M21)),F21-M21,"")</x:f>
        <x:v>-302.660753880266</x:v>
      </x:c>
      <x:c r="K21" s="13" t="n">
        <x:f>IF(AND(ISNUMBER(J21),M21&lt;&gt;0),J21/M21,"")</x:f>
        <x:v>-0.39634146341463405</x:v>
      </x:c>
      <x:c r="L21" s="10" t="str">
        <x:v>考虑清仓</x:v>
      </x:c>
      <x:c r="M21" s="11" t="n">
        <x:v>763.6363636363636</x:v>
      </x:c>
      <x:c r="N21" s="10" t="n">
        <x:f>IF(AND(Z21="共同",COUNT(H21:I21)=2),H21-I21,"")</x:f>
        <x:v>-3</x:v>
      </x:c>
      <x:c r="O21" s="10" t="n">
        <x:v>0</x:v>
      </x:c>
      <x:c r="P21" s="10" t="n">
        <x:v>0</x:v>
      </x:c>
      <x:c r="Q21" s="10" t="n">
        <x:v>3</x:v>
      </x:c>
      <x:c r="R21" s="10" t="n">
        <x:v>5</x:v>
      </x:c>
      <x:c r="S21" s="10" t="n">
        <x:v>46</x:v>
      </x:c>
      <x:c r="T21" s="10" t="n">
        <x:v>0</x:v>
      </x:c>
      <x:c r="U21" s="10" t="n">
        <x:f>IF(AND(ISNUMBER(X21),X21&gt;=0,Y21&lt;&gt;1),X21,"")</x:f>
        <x:v>45</x:v>
      </x:c>
      <x:c r="V21" s="10" t="n">
        <x:v>0</x:v>
      </x:c>
      <x:c r="W21" s="10" t="n">
        <x:v>0</x:v>
      </x:c>
      <x:c r="X21" s="10" t="n">
        <x:v>45</x:v>
      </x:c>
      <x:c r="Y21" s="3" t="n">
        <x:v>0</x:v>
      </x:c>
      <x:c r="Z21" s="3" t="str">
        <x:v>共同</x:v>
      </x:c>
      <x:c r="AA21" s="3" t="str">
        <x:v>在售</x:v>
      </x:c>
      <x:c r="AB21" s="12" t="n">
        <x:f>IF(AND(Z21="共同",ISNUMBER(G21),ISNUMBER(AD21)),G21-AD21,"")</x:f>
        <x:v>0.034761904761904744</x:v>
      </x:c>
      <x:c r="AC21" s="3" t="str"/>
      <x:c r="AD21" s="12" t="n">
        <x:v>0.06285714285714286</x:v>
      </x:c>
      <x:c r="AE21" s="3" t="str">
        <x:v>[13306,"2311062-RD-V-O-9"]</x:v>
      </x:c>
      <x:c r="AF21" t="n">
        <x:f>IF(ISNUMBER(H21),1,0)</x:f>
        <x:v>1</x:v>
      </x:c>
      <x:c r="AG21" t="n">
        <x:f>IF(ISNUMBER(I21),1,0)</x:f>
        <x:v>1</x:v>
      </x:c>
      <x:c r="AH21" t="str">
        <x:v>["2311062","2311062-RD-V-O","RD-V","酒红锦纶"]</x:v>
      </x:c>
      <x:c r="AI21" t="n">
        <x:f>IF(ISNUMBER(G21),1,0)</x:f>
        <x:v>1</x:v>
      </x:c>
      <x:c r="AJ21" t="n">
        <x:f>IF(ISNUMBER(AD21),1,0)</x:f>
        <x:v>1</x:v>
      </x:c>
    </x:row>
    <x:row r="22" ht="30" customHeight="1">
      <x:c r="A22" s="3" t="str">
        <x:v>32582-BKW-38.5</x:v>
      </x:c>
      <x:c r="B22" s="3" t="str">
        <x:v>3店-SANDIEX-US</x:v>
      </x:c>
      <x:c r="C22" s="3" t="str">
        <x:v>徐新怡</x:v>
      </x:c>
      <x:c r="D22" s="3" t="str">
        <x:v>32582</x:v>
      </x:c>
      <x:c r="E22" s="3" t="str">
        <x:f>IF(Z22="移出","已移出",IF(NOT(ISNUMBER(H22)),"数据待核",IF(H22=0,"断货",IF(NOT(ISNUMBER(G22)),"数据待核",IF(G22=0,"零日销待复核",IF(F22&lt;60,"补货提醒",IF(F22&lt;=90,"正常库存",IF(F22&lt;180,"促销",IF(F22&lt;=365,"红线促销","考虑清仓")))))))))</x:f>
        <x:v>考虑清仓</x:v>
      </x:c>
      <x:c r="F22" s="11" t="n">
        <x:f>IF(AND(ISNUMBER(H22),ISNUMBER(G22),G22&gt;0),H22/G22,"")</x:f>
        <x:v>399.99999999999994</x:v>
      </x:c>
      <x:c r="G22" s="12" t="n">
        <x:f>IF(AND(COUNT(P22:R22)=3,MIN(P22:R22)&gt;=0,P22&lt;=Q22,Q22&lt;=R22),P22/7*0.5+Q22/14*0.3+R22/30*0.2,"")</x:f>
        <x:v>0.020000000000000004</x:v>
      </x:c>
      <x:c r="H22" s="10" t="n">
        <x:f>IF(ISNUMBER(U22),U22,"")</x:f>
        <x:v>8</x:v>
      </x:c>
      <x:c r="I22" s="10" t="n">
        <x:v>8</x:v>
      </x:c>
      <x:c r="J22" s="11" t="n">
        <x:f>IF(AND(Z22="共同",ISNUMBER(F22),ISNUMBER(M22)),F22-M22,"")</x:f>
        <x:v>373.79095163806545</x:v>
      </x:c>
      <x:c r="K22" s="13" t="n">
        <x:f>IF(AND(ISNUMBER(J22),M22&lt;&gt;0),J22/M22,"")</x:f>
        <x:v>14.261904761904757</x:v>
      </x:c>
      <x:c r="L22" s="10" t="str">
        <x:v>补货提醒</x:v>
      </x:c>
      <x:c r="M22" s="11" t="n">
        <x:v>26.20904836193448</x:v>
      </x:c>
      <x:c r="N22" s="10" t="n">
        <x:f>IF(AND(Z22="共同",COUNT(H22:I22)=2),H22-I22,"")</x:f>
        <x:v>0</x:v>
      </x:c>
      <x:c r="O22" s="10" t="n">
        <x:v>84</x:v>
      </x:c>
      <x:c r="P22" s="10" t="n">
        <x:v>0</x:v>
      </x:c>
      <x:c r="Q22" s="10" t="n">
        <x:v>0</x:v>
      </x:c>
      <x:c r="R22" s="10" t="n">
        <x:v>3</x:v>
      </x:c>
      <x:c r="S22" s="10" t="n">
        <x:v>9</x:v>
      </x:c>
      <x:c r="T22" s="10" t="n">
        <x:v>0</x:v>
      </x:c>
      <x:c r="U22" s="10" t="n">
        <x:f>IF(AND(ISNUMBER(X22),X22&gt;=0,Y22&lt;&gt;1),X22,"")</x:f>
        <x:v>8</x:v>
      </x:c>
      <x:c r="V22" s="10" t="n">
        <x:v>0</x:v>
      </x:c>
      <x:c r="W22" s="10" t="n">
        <x:v>20</x:v>
      </x:c>
      <x:c r="X22" s="10" t="n">
        <x:v>8</x:v>
      </x:c>
      <x:c r="Y22" s="3" t="n">
        <x:v>0</x:v>
      </x:c>
      <x:c r="Z22" s="3" t="str">
        <x:v>共同</x:v>
      </x:c>
      <x:c r="AA22" s="3" t="str">
        <x:v>在售</x:v>
      </x:c>
      <x:c r="AB22" s="12" t="n">
        <x:f>IF(AND(Z22="共同",ISNUMBER(G22),ISNUMBER(AD22)),G22-AD22,"")</x:f>
        <x:v>-0.2852380952380952</x:v>
      </x:c>
      <x:c r="AC22" s="3" t="str"/>
      <x:c r="AD22" s="12" t="n">
        <x:v>0.3052380952380952</x:v>
      </x:c>
      <x:c r="AE22" s="3" t="str">
        <x:v>[6574,"32582-BKW-38.5"]</x:v>
      </x:c>
      <x:c r="AF22" t="n">
        <x:f>IF(ISNUMBER(H22),1,0)</x:f>
        <x:v>1</x:v>
      </x:c>
      <x:c r="AG22" t="n">
        <x:f>IF(ISNUMBER(I22),1,0)</x:f>
        <x:v>1</x:v>
      </x:c>
      <x:c r="AH22" t="str">
        <x:v>["32582","32582-BKW","BKW","黑色白色内里"]</x:v>
      </x:c>
      <x:c r="AI22" t="n">
        <x:f>IF(ISNUMBER(G22),1,0)</x:f>
        <x:v>1</x:v>
      </x:c>
      <x:c r="AJ22" t="n">
        <x:f>IF(ISNUMBER(AD22),1,0)</x:f>
        <x:v>1</x:v>
      </x:c>
    </x:row>
    <x:row r="23" ht="30" customHeight="1">
      <x:c r="A23" s="3" t="str">
        <x:v>32582-BKW-39</x:v>
      </x:c>
      <x:c r="B23" s="3" t="str">
        <x:v>3店-SANDIEX-US</x:v>
      </x:c>
      <x:c r="C23" s="3" t="str">
        <x:v>徐新怡</x:v>
      </x:c>
      <x:c r="D23" s="3" t="str">
        <x:v>32582</x:v>
      </x:c>
      <x:c r="E23" s="3" t="str">
        <x:f>IF(Z23="移出","已移出",IF(NOT(ISNUMBER(H23)),"数据待核",IF(H23=0,"断货",IF(NOT(ISNUMBER(G23)),"数据待核",IF(G23=0,"零日销待复核",IF(F23&lt;60,"补货提醒",IF(F23&lt;=90,"正常库存",IF(F23&lt;180,"促销",IF(F23&lt;=365,"红线促销","考虑清仓")))))))))</x:f>
        <x:v>考虑清仓</x:v>
      </x:c>
      <x:c r="F23" s="11" t="n">
        <x:f>IF(AND(ISNUMBER(H23),ISNUMBER(G23),G23&gt;0),H23/G23,"")</x:f>
        <x:v>856.9506726457399</x:v>
      </x:c>
      <x:c r="G23" s="12" t="n">
        <x:f>IF(AND(COUNT(P23:R23)=3,MIN(P23:R23)&gt;=0,P23&lt;=Q23,Q23&lt;=R23),P23/7*0.5+Q23/14*0.3+R23/30*0.2,"")</x:f>
        <x:v>0.10619047619047618</x:v>
      </x:c>
      <x:c r="H23" s="10" t="n">
        <x:f>IF(ISNUMBER(U23),U23,"")</x:f>
        <x:v>91</x:v>
      </x:c>
      <x:c r="I23" s="10" t="n">
        <x:v>91</x:v>
      </x:c>
      <x:c r="J23" s="11" t="n">
        <x:f>IF(AND(Z23="共同",ISNUMBER(F23),ISNUMBER(M23)),F23-M23,"")</x:f>
        <x:v>-57.40339433990607</x:v>
      </x:c>
      <x:c r="K23" s="13" t="n">
        <x:f>IF(AND(ISNUMBER(J23),M23&lt;&gt;0),J23/M23,"")</x:f>
        <x:v>-0.062780269058296</x:v>
      </x:c>
      <x:c r="L23" s="10" t="str">
        <x:v>考虑清仓</x:v>
      </x:c>
      <x:c r="M23" s="11" t="n">
        <x:v>914.354066985646</x:v>
      </x:c>
      <x:c r="N23" s="10" t="n">
        <x:f>IF(AND(Z23="共同",COUNT(H23:I23)=2),H23-I23,"")</x:f>
        <x:v>0</x:v>
      </x:c>
      <x:c r="O23" s="10" t="n">
        <x:v>82</x:v>
      </x:c>
      <x:c r="P23" s="10" t="n">
        <x:v>1</x:v>
      </x:c>
      <x:c r="Q23" s="10" t="n">
        <x:v>1</x:v>
      </x:c>
      <x:c r="R23" s="10" t="n">
        <x:v>2</x:v>
      </x:c>
      <x:c r="S23" s="10" t="n">
        <x:v>91</x:v>
      </x:c>
      <x:c r="T23" s="10" t="n">
        <x:v>0</x:v>
      </x:c>
      <x:c r="U23" s="10" t="n">
        <x:f>IF(AND(ISNUMBER(X23),X23&gt;=0,Y23&lt;&gt;1),X23,"")</x:f>
        <x:v>91</x:v>
      </x:c>
      <x:c r="V23" s="10" t="n">
        <x:v>0</x:v>
      </x:c>
      <x:c r="W23" s="10" t="n">
        <x:v>0</x:v>
      </x:c>
      <x:c r="X23" s="10" t="n">
        <x:v>91</x:v>
      </x:c>
      <x:c r="Y23" s="3" t="n">
        <x:v>0</x:v>
      </x:c>
      <x:c r="Z23" s="3" t="str">
        <x:v>共同</x:v>
      </x:c>
      <x:c r="AA23" s="3" t="str">
        <x:v>在售</x:v>
      </x:c>
      <x:c r="AB23" s="12" t="n">
        <x:f>IF(AND(Z23="共同",ISNUMBER(G23),ISNUMBER(AD23)),G23-AD23,"")</x:f>
        <x:v>0.006666666666666668</x:v>
      </x:c>
      <x:c r="AC23" s="3" t="str"/>
      <x:c r="AD23" s="12" t="n">
        <x:v>0.09952380952380951</x:v>
      </x:c>
      <x:c r="AE23" s="3" t="str">
        <x:v>[6574,"32582-BKW-39"]</x:v>
      </x:c>
      <x:c r="AF23" t="n">
        <x:f>IF(ISNUMBER(H23),1,0)</x:f>
        <x:v>1</x:v>
      </x:c>
      <x:c r="AG23" t="n">
        <x:f>IF(ISNUMBER(I23),1,0)</x:f>
        <x:v>1</x:v>
      </x:c>
      <x:c r="AH23" t="str">
        <x:v>["32582","32582-BKW","BKW","黑色白色内里"]</x:v>
      </x:c>
      <x:c r="AI23" t="n">
        <x:f>IF(ISNUMBER(G23),1,0)</x:f>
        <x:v>1</x:v>
      </x:c>
      <x:c r="AJ23" t="n">
        <x:f>IF(ISNUMBER(AD23),1,0)</x:f>
        <x:v>1</x:v>
      </x:c>
    </x:row>
    <x:row r="24" ht="30" customHeight="1">
      <x:c r="A24" s="3" t="str">
        <x:v>32582-BKW-41</x:v>
      </x:c>
      <x:c r="B24" s="3" t="str">
        <x:v>3店-SANDIEX-US</x:v>
      </x:c>
      <x:c r="C24" s="3" t="str">
        <x:v>徐新怡</x:v>
      </x:c>
      <x:c r="D24" s="3" t="str">
        <x:v>32582</x:v>
      </x:c>
      <x:c r="E24" s="3" t="str">
        <x:f>IF(Z24="移出","已移出",IF(NOT(ISNUMBER(H24)),"数据待核",IF(H24=0,"断货",IF(NOT(ISNUMBER(G24)),"数据待核",IF(G24=0,"零日销待复核",IF(F24&lt;60,"补货提醒",IF(F24&lt;=90,"正常库存",IF(F24&lt;180,"促销",IF(F24&lt;=365,"红线促销","考虑清仓")))))))))</x:f>
        <x:v>考虑清仓</x:v>
      </x:c>
      <x:c r="F24" s="11" t="n">
        <x:f>IF(AND(ISNUMBER(H24),ISNUMBER(G24),G24&gt;0),H24/G24,"")</x:f>
        <x:v>1253.4883720930231</x:v>
      </x:c>
      <x:c r="G24" s="12" t="n">
        <x:f>IF(AND(COUNT(P24:R24)=3,MIN(P24:R24)&gt;=0,P24&lt;=Q24,Q24&lt;=R24),P24/7*0.5+Q24/14*0.3+R24/30*0.2,"")</x:f>
        <x:v>0.06142857142857143</x:v>
      </x:c>
      <x:c r="H24" s="10" t="n">
        <x:f>IF(ISNUMBER(U24),U24,"")</x:f>
        <x:v>77</x:v>
      </x:c>
      <x:c r="I24" s="10" t="n">
        <x:v>77</x:v>
      </x:c>
      <x:c r="J24" s="11" t="n">
        <x:f>IF(AND(Z24="共同",ISNUMBER(F24),ISNUMBER(M24)),F24-M24,"")</x:f>
        <x:v>1027.017783857729</x:v>
      </x:c>
      <x:c r="K24" s="13" t="n">
        <x:f>IF(AND(ISNUMBER(J24),M24&lt;&gt;0),J24/M24,"")</x:f>
        <x:v>4.534883720930232</x:v>
      </x:c>
      <x:c r="L24" s="10" t="str">
        <x:v>红线促销</x:v>
      </x:c>
      <x:c r="M24" s="11" t="n">
        <x:v>226.47058823529414</x:v>
      </x:c>
      <x:c r="N24" s="10" t="n">
        <x:f>IF(AND(Z24="共同",COUNT(H24:I24)=2),H24-I24,"")</x:f>
        <x:v>0</x:v>
      </x:c>
      <x:c r="O24" s="10" t="n">
        <x:v>100</x:v>
      </x:c>
      <x:c r="P24" s="10" t="n">
        <x:v>0</x:v>
      </x:c>
      <x:c r="Q24" s="10" t="n">
        <x:v>1</x:v>
      </x:c>
      <x:c r="R24" s="10" t="n">
        <x:v>6</x:v>
      </x:c>
      <x:c r="S24" s="10" t="n">
        <x:v>78</x:v>
      </x:c>
      <x:c r="T24" s="10" t="n">
        <x:v>0</x:v>
      </x:c>
      <x:c r="U24" s="10" t="n">
        <x:f>IF(AND(ISNUMBER(X24),X24&gt;=0,Y24&lt;&gt;1),X24,"")</x:f>
        <x:v>77</x:v>
      </x:c>
      <x:c r="V24" s="10" t="n">
        <x:v>0</x:v>
      </x:c>
      <x:c r="W24" s="10" t="n">
        <x:v>0</x:v>
      </x:c>
      <x:c r="X24" s="10" t="n">
        <x:v>77</x:v>
      </x:c>
      <x:c r="Y24" s="3" t="n">
        <x:v>0</x:v>
      </x:c>
      <x:c r="Z24" s="3" t="str">
        <x:v>共同</x:v>
      </x:c>
      <x:c r="AA24" s="3" t="str">
        <x:v>在售</x:v>
      </x:c>
      <x:c r="AB24" s="12" t="n">
        <x:f>IF(AND(Z24="共同",ISNUMBER(G24),ISNUMBER(AD24)),G24-AD24,"")</x:f>
        <x:v>-0.2785714285714285</x:v>
      </x:c>
      <x:c r="AC24" s="3" t="str"/>
      <x:c r="AD24" s="12" t="n">
        <x:v>0.33999999999999997</x:v>
      </x:c>
      <x:c r="AE24" s="3" t="str">
        <x:v>[6574,"32582-BKW-41"]</x:v>
      </x:c>
      <x:c r="AF24" t="n">
        <x:f>IF(ISNUMBER(H24),1,0)</x:f>
        <x:v>1</x:v>
      </x:c>
      <x:c r="AG24" t="n">
        <x:f>IF(ISNUMBER(I24),1,0)</x:f>
        <x:v>1</x:v>
      </x:c>
      <x:c r="AH24" t="str">
        <x:v>["32582","32582-BKW","BKW","黑色白色内里"]</x:v>
      </x:c>
      <x:c r="AI24" t="n">
        <x:f>IF(ISNUMBER(G24),1,0)</x:f>
        <x:v>1</x:v>
      </x:c>
      <x:c r="AJ24" t="n">
        <x:f>IF(ISNUMBER(AD24),1,0)</x:f>
        <x:v>1</x:v>
      </x:c>
    </x:row>
    <x:row r="25" ht="30" customHeight="1">
      <x:c r="A25" s="3" t="str">
        <x:v>32582-PK-40</x:v>
      </x:c>
      <x:c r="B25" s="3" t="str">
        <x:v>3店-SANDIEX-US</x:v>
      </x:c>
      <x:c r="C25" s="3" t="str">
        <x:v>徐新怡</x:v>
      </x:c>
      <x:c r="D25" s="3" t="str">
        <x:v>32582</x:v>
      </x:c>
      <x:c r="E25" s="3" t="str">
        <x:f>IF(Z25="移出","已移出",IF(NOT(ISNUMBER(H25)),"数据待核",IF(H25=0,"断货",IF(NOT(ISNUMBER(G25)),"数据待核",IF(G25=0,"零日销待复核",IF(F25&lt;60,"补货提醒",IF(F25&lt;=90,"正常库存",IF(F25&lt;180,"促销",IF(F25&lt;=365,"红线促销","考虑清仓")))))))))</x:f>
        <x:v>考虑清仓</x:v>
      </x:c>
      <x:c r="F25" s="11" t="n">
        <x:f>IF(AND(ISNUMBER(H25),ISNUMBER(G25),G25&gt;0),H25/G25,"")</x:f>
        <x:v>3150</x:v>
      </x:c>
      <x:c r="G25" s="12" t="n">
        <x:f>IF(AND(COUNT(P25:R25)=3,MIN(P25:R25)&gt;=0,P25&lt;=Q25,Q25&lt;=R25),P25/7*0.5+Q25/14*0.3+R25/30*0.2,"")</x:f>
        <x:v>0.006666666666666667</x:v>
      </x:c>
      <x:c r="H25" s="10" t="n">
        <x:f>IF(ISNUMBER(U25),U25,"")</x:f>
        <x:v>21</x:v>
      </x:c>
      <x:c r="I25" s="10" t="n">
        <x:v>21</x:v>
      </x:c>
      <x:c r="J25" s="11" t="n">
        <x:f>IF(AND(Z25="共同",ISNUMBER(F25),ISNUMBER(M25)),F25-M25,"")</x:f>
        <x:v>2938.995215311005</x:v>
      </x:c>
      <x:c r="K25" s="13" t="n">
        <x:f>IF(AND(ISNUMBER(J25),M25&lt;&gt;0),J25/M25,"")</x:f>
        <x:v>13.928571428571427</x:v>
      </x:c>
      <x:c r="L25" s="10" t="str">
        <x:v>红线促销</x:v>
      </x:c>
      <x:c r="M25" s="11" t="n">
        <x:v>211.00478468899524</x:v>
      </x:c>
      <x:c r="N25" s="10" t="n">
        <x:f>IF(AND(Z25="共同",COUNT(H25:I25)=2),H25-I25,"")</x:f>
        <x:v>0</x:v>
      </x:c>
      <x:c r="O25" s="10" t="n">
        <x:v>0</x:v>
      </x:c>
      <x:c r="P25" s="10" t="n">
        <x:v>0</x:v>
      </x:c>
      <x:c r="Q25" s="10" t="n">
        <x:v>0</x:v>
      </x:c>
      <x:c r="R25" s="10" t="n">
        <x:v>1</x:v>
      </x:c>
      <x:c r="S25" s="10" t="n">
        <x:v>21</x:v>
      </x:c>
      <x:c r="T25" s="10" t="n">
        <x:v>0</x:v>
      </x:c>
      <x:c r="U25" s="10" t="n">
        <x:f>IF(AND(ISNUMBER(X25),X25&gt;=0,Y25&lt;&gt;1),X25,"")</x:f>
        <x:v>21</x:v>
      </x:c>
      <x:c r="V25" s="10" t="n">
        <x:v>0</x:v>
      </x:c>
      <x:c r="W25" s="10" t="n">
        <x:v>0</x:v>
      </x:c>
      <x:c r="X25" s="10" t="n">
        <x:v>21</x:v>
      </x:c>
      <x:c r="Y25" s="3" t="n">
        <x:v>0</x:v>
      </x:c>
      <x:c r="Z25" s="3" t="str">
        <x:v>共同</x:v>
      </x:c>
      <x:c r="AA25" s="3" t="str">
        <x:v>在售</x:v>
      </x:c>
      <x:c r="AB25" s="12" t="n">
        <x:f>IF(AND(Z25="共同",ISNUMBER(G25),ISNUMBER(AD25)),G25-AD25,"")</x:f>
        <x:v>-0.09285714285714285</x:v>
      </x:c>
      <x:c r="AC25" s="3" t="str"/>
      <x:c r="AD25" s="12" t="n">
        <x:v>0.09952380952380951</x:v>
      </x:c>
      <x:c r="AE25" s="3" t="str">
        <x:v>[6574,"32582-PK-40"]</x:v>
      </x:c>
      <x:c r="AF25" t="n">
        <x:f>IF(ISNUMBER(H25),1,0)</x:f>
        <x:v>1</x:v>
      </x:c>
      <x:c r="AG25" t="n">
        <x:f>IF(ISNUMBER(I25),1,0)</x:f>
        <x:v>1</x:v>
      </x:c>
      <x:c r="AH25" t="str">
        <x:v>["32582","32582-PK","PK","粉色"]</x:v>
      </x:c>
      <x:c r="AI25" t="n">
        <x:f>IF(ISNUMBER(G25),1,0)</x:f>
        <x:v>1</x:v>
      </x:c>
      <x:c r="AJ25" t="n">
        <x:f>IF(ISNUMBER(AD25),1,0)</x:f>
        <x:v>1</x:v>
      </x:c>
    </x:row>
    <x:row r="26" ht="30" customHeight="1">
      <x:c r="A26" s="3" t="str">
        <x:v>32582-PK-40.5</x:v>
      </x:c>
      <x:c r="B26" s="3" t="str">
        <x:v>3店-SANDIEX-US</x:v>
      </x:c>
      <x:c r="C26" s="3" t="str">
        <x:v>徐新怡</x:v>
      </x:c>
      <x:c r="D26" s="3" t="str">
        <x:v>32582</x:v>
      </x:c>
      <x:c r="E26" s="3" t="str">
        <x:f>IF(Z26="移出","已移出",IF(NOT(ISNUMBER(H26)),"数据待核",IF(H26=0,"断货",IF(NOT(ISNUMBER(G26)),"数据待核",IF(G26=0,"零日销待复核",IF(F26&lt;60,"补货提醒",IF(F26&lt;=90,"正常库存",IF(F26&lt;180,"促销",IF(F26&lt;=365,"红线促销","考虑清仓")))))))))</x:f>
        <x:v>考虑清仓</x:v>
      </x:c>
      <x:c r="F26" s="11" t="n">
        <x:f>IF(AND(ISNUMBER(H26),ISNUMBER(G26),G26&gt;0),H26/G26,"")</x:f>
        <x:v>1799.9999999999998</x:v>
      </x:c>
      <x:c r="G26" s="12" t="n">
        <x:f>IF(AND(COUNT(P26:R26)=3,MIN(P26:R26)&gt;=0,P26&lt;=Q26,Q26&lt;=R26),P26/7*0.5+Q26/14*0.3+R26/30*0.2,"")</x:f>
        <x:v>0.006666666666666667</x:v>
      </x:c>
      <x:c r="H26" s="10" t="n">
        <x:f>IF(ISNUMBER(U26),U26,"")</x:f>
        <x:v>12</x:v>
      </x:c>
      <x:c r="I26" s="10" t="n">
        <x:v>12</x:v>
      </x:c>
      <x:c r="J26" s="11" t="n">
        <x:f>IF(AND(Z26="共同",ISNUMBER(F26),ISNUMBER(M26)),F26-M26,"")</x:f>
        <x:v>1372.8813559322032</x:v>
      </x:c>
      <x:c r="K26" s="13" t="n">
        <x:f>IF(AND(ISNUMBER(J26),M26&lt;&gt;0),J26/M26,"")</x:f>
        <x:v>3.214285714285714</x:v>
      </x:c>
      <x:c r="L26" s="10" t="str">
        <x:v>考虑清仓</x:v>
      </x:c>
      <x:c r="M26" s="11" t="n">
        <x:v>427.1186440677966</x:v>
      </x:c>
      <x:c r="N26" s="10" t="n">
        <x:f>IF(AND(Z26="共同",COUNT(H26:I26)=2),H26-I26,"")</x:f>
        <x:v>0</x:v>
      </x:c>
      <x:c r="O26" s="10" t="n">
        <x:v>0</x:v>
      </x:c>
      <x:c r="P26" s="10" t="n">
        <x:v>0</x:v>
      </x:c>
      <x:c r="Q26" s="10" t="n">
        <x:v>0</x:v>
      </x:c>
      <x:c r="R26" s="10" t="n">
        <x:v>1</x:v>
      </x:c>
      <x:c r="S26" s="10" t="n">
        <x:v>12</x:v>
      </x:c>
      <x:c r="T26" s="10" t="n">
        <x:v>0</x:v>
      </x:c>
      <x:c r="U26" s="10" t="n">
        <x:f>IF(AND(ISNUMBER(X26),X26&gt;=0,Y26&lt;&gt;1),X26,"")</x:f>
        <x:v>12</x:v>
      </x:c>
      <x:c r="V26" s="10" t="n">
        <x:v>0</x:v>
      </x:c>
      <x:c r="W26" s="10" t="n">
        <x:v>0</x:v>
      </x:c>
      <x:c r="X26" s="10" t="n">
        <x:v>12</x:v>
      </x:c>
      <x:c r="Y26" s="3" t="n">
        <x:v>0</x:v>
      </x:c>
      <x:c r="Z26" s="3" t="str">
        <x:v>共同</x:v>
      </x:c>
      <x:c r="AA26" s="3" t="str">
        <x:v>在售</x:v>
      </x:c>
      <x:c r="AB26" s="12" t="n">
        <x:f>IF(AND(Z26="共同",ISNUMBER(G26),ISNUMBER(AD26)),G26-AD26,"")</x:f>
        <x:v>-0.02142857142857143</x:v>
      </x:c>
      <x:c r="AC26" s="3" t="str"/>
      <x:c r="AD26" s="12" t="n">
        <x:v>0.028095238095238097</x:v>
      </x:c>
      <x:c r="AE26" s="3" t="str">
        <x:v>[6574,"32582-PK-40.5"]</x:v>
      </x:c>
      <x:c r="AF26" t="n">
        <x:f>IF(ISNUMBER(H26),1,0)</x:f>
        <x:v>1</x:v>
      </x:c>
      <x:c r="AG26" t="n">
        <x:f>IF(ISNUMBER(I26),1,0)</x:f>
        <x:v>1</x:v>
      </x:c>
      <x:c r="AH26" t="str">
        <x:v>["32582","32582-PK","PK","粉色"]</x:v>
      </x:c>
      <x:c r="AI26" t="n">
        <x:f>IF(ISNUMBER(G26),1,0)</x:f>
        <x:v>1</x:v>
      </x:c>
      <x:c r="AJ26" t="n">
        <x:f>IF(ISNUMBER(AD26),1,0)</x:f>
        <x:v>1</x:v>
      </x:c>
    </x:row>
    <x:row r="27" ht="30" customHeight="1">
      <x:c r="A27" s="3" t="str">
        <x:v>32582-RD-37.5</x:v>
      </x:c>
      <x:c r="B27" s="3" t="str">
        <x:v>3店-SANDIEX-US</x:v>
      </x:c>
      <x:c r="C27" s="3" t="str">
        <x:v>徐新怡</x:v>
      </x:c>
      <x:c r="D27" s="3" t="str">
        <x:v>32582</x:v>
      </x:c>
      <x:c r="E27" s="3" t="str">
        <x:f>IF(Z27="移出","已移出",IF(NOT(ISNUMBER(H27)),"数据待核",IF(H27=0,"断货",IF(NOT(ISNUMBER(G27)),"数据待核",IF(G27=0,"零日销待复核",IF(F27&lt;60,"补货提醒",IF(F27&lt;=90,"正常库存",IF(F27&lt;180,"促销",IF(F27&lt;=365,"红线促销","考虑清仓")))))))))</x:f>
        <x:v>考虑清仓</x:v>
      </x:c>
      <x:c r="F27" s="11" t="n">
        <x:f>IF(AND(ISNUMBER(H27),ISNUMBER(G27),G27&gt;0),H27/G27,"")</x:f>
        <x:v>434.4827586206897</x:v>
      </x:c>
      <x:c r="G27" s="12" t="n">
        <x:f>IF(AND(COUNT(P27:R27)=3,MIN(P27:R27)&gt;=0,P27&lt;=Q27,Q27&lt;=R27),P27/7*0.5+Q27/14*0.3+R27/30*0.2,"")</x:f>
        <x:v>0.041428571428571426</x:v>
      </x:c>
      <x:c r="H27" s="10" t="n">
        <x:f>IF(ISNUMBER(U27),U27,"")</x:f>
        <x:v>18</x:v>
      </x:c>
      <x:c r="I27" s="10" t="n">
        <x:v>19</x:v>
      </x:c>
      <x:c r="J27" s="11" t="n">
        <x:f>IF(AND(Z27="共同",ISNUMBER(F27),ISNUMBER(M27)),F27-M27,"")</x:f>
        <x:v>292.99339691856204</x:v>
      </x:c>
      <x:c r="K27" s="13" t="n">
        <x:f>IF(AND(ISNUMBER(J27),M27&lt;&gt;0),J27/M27,"")</x:f>
        <x:v>2.0707803992740472</x:v>
      </x:c>
      <x:c r="L27" s="10" t="str">
        <x:v>促销</x:v>
      </x:c>
      <x:c r="M27" s="11" t="n">
        <x:v>141.48936170212767</x:v>
      </x:c>
      <x:c r="N27" s="10" t="n">
        <x:f>IF(AND(Z27="共同",COUNT(H27:I27)=2),H27-I27,"")</x:f>
        <x:v>-1</x:v>
      </x:c>
      <x:c r="O27" s="10" t="n">
        <x:v>0</x:v>
      </x:c>
      <x:c r="P27" s="10" t="n">
        <x:v>0</x:v>
      </x:c>
      <x:c r="Q27" s="10" t="n">
        <x:v>1</x:v>
      </x:c>
      <x:c r="R27" s="10" t="n">
        <x:v>3</x:v>
      </x:c>
      <x:c r="S27" s="10" t="n">
        <x:v>18</x:v>
      </x:c>
      <x:c r="T27" s="10" t="n">
        <x:v>0</x:v>
      </x:c>
      <x:c r="U27" s="10" t="n">
        <x:f>IF(AND(ISNUMBER(X27),X27&gt;=0,Y27&lt;&gt;1),X27,"")</x:f>
        <x:v>18</x:v>
      </x:c>
      <x:c r="V27" s="10" t="n">
        <x:v>0</x:v>
      </x:c>
      <x:c r="W27" s="10" t="n">
        <x:v>0</x:v>
      </x:c>
      <x:c r="X27" s="10" t="n">
        <x:v>18</x:v>
      </x:c>
      <x:c r="Y27" s="3" t="n">
        <x:v>0</x:v>
      </x:c>
      <x:c r="Z27" s="3" t="str">
        <x:v>共同</x:v>
      </x:c>
      <x:c r="AA27" s="3" t="str">
        <x:v>在售</x:v>
      </x:c>
      <x:c r="AB27" s="12" t="n">
        <x:f>IF(AND(Z27="共同",ISNUMBER(G27),ISNUMBER(AD27)),G27-AD27,"")</x:f>
        <x:v>-0.09285714285714286</x:v>
      </x:c>
      <x:c r="AC27" s="3" t="str"/>
      <x:c r="AD27" s="12" t="n">
        <x:v>0.13428571428571429</x:v>
      </x:c>
      <x:c r="AE27" s="3" t="str">
        <x:v>[6574,"32582-RD-37.5"]</x:v>
      </x:c>
      <x:c r="AF27" t="n">
        <x:f>IF(ISNUMBER(H27),1,0)</x:f>
        <x:v>1</x:v>
      </x:c>
      <x:c r="AG27" t="n">
        <x:f>IF(ISNUMBER(I27),1,0)</x:f>
        <x:v>1</x:v>
      </x:c>
      <x:c r="AH27" t="str">
        <x:v>["32582","32582-RD","RD","红色"]</x:v>
      </x:c>
      <x:c r="AI27" t="n">
        <x:f>IF(ISNUMBER(G27),1,0)</x:f>
        <x:v>1</x:v>
      </x:c>
      <x:c r="AJ27" t="n">
        <x:f>IF(ISNUMBER(AD27),1,0)</x:f>
        <x:v>1</x:v>
      </x:c>
    </x:row>
    <x:row r="28" ht="30" customHeight="1">
      <x:c r="A28" s="3" t="str">
        <x:v>32582-TN-40.5</x:v>
      </x:c>
      <x:c r="B28" s="3" t="str">
        <x:v>3店-SANDIEX-US</x:v>
      </x:c>
      <x:c r="C28" s="3" t="str">
        <x:v>徐新怡</x:v>
      </x:c>
      <x:c r="D28" s="3" t="str">
        <x:v>32582</x:v>
      </x:c>
      <x:c r="E28" s="3" t="str">
        <x:f>IF(Z28="移出","已移出",IF(NOT(ISNUMBER(H28)),"数据待核",IF(H28=0,"断货",IF(NOT(ISNUMBER(G28)),"数据待核",IF(G28=0,"零日销待复核",IF(F28&lt;60,"补货提醒",IF(F28&lt;=90,"正常库存",IF(F28&lt;180,"促销",IF(F28&lt;=365,"红线促销","考虑清仓")))))))))</x:f>
        <x:v>考虑清仓</x:v>
      </x:c>
      <x:c r="F28" s="11" t="n">
        <x:f>IF(AND(ISNUMBER(H28),ISNUMBER(G28),G28&gt;0),H28/G28,"")</x:f>
        <x:v>690</x:v>
      </x:c>
      <x:c r="G28" s="12" t="n">
        <x:f>IF(AND(COUNT(P28:R28)=3,MIN(P28:R28)&gt;=0,P28&lt;=Q28,Q28&lt;=R28),P28/7*0.5+Q28/14*0.3+R28/30*0.2,"")</x:f>
        <x:v>0.03333333333333333</x:v>
      </x:c>
      <x:c r="H28" s="10" t="n">
        <x:f>IF(ISNUMBER(U28),U28,"")</x:f>
        <x:v>23</x:v>
      </x:c>
      <x:c r="I28" s="10" t="n">
        <x:v>24</x:v>
      </x:c>
      <x:c r="J28" s="11" t="n">
        <x:f>IF(AND(Z28="共同",ISNUMBER(F28),ISNUMBER(M28)),F28-M28,"")</x:f>
        <x:v>641.7703349282297</x:v>
      </x:c>
      <x:c r="K28" s="13" t="n">
        <x:f>IF(AND(ISNUMBER(J28),M28&lt;&gt;0),J28/M28,"")</x:f>
        <x:v>13.306547619047619</x:v>
      </x:c>
      <x:c r="L28" s="10" t="str">
        <x:v>补货提醒</x:v>
      </x:c>
      <x:c r="M28" s="11" t="n">
        <x:v>48.229665071770334</x:v>
      </x:c>
      <x:c r="N28" s="10" t="n">
        <x:f>IF(AND(Z28="共同",COUNT(H28:I28)=2),H28-I28,"")</x:f>
        <x:v>-1</x:v>
      </x:c>
      <x:c r="O28" s="10" t="n">
        <x:v>18</x:v>
      </x:c>
      <x:c r="P28" s="10" t="n">
        <x:v>0</x:v>
      </x:c>
      <x:c r="Q28" s="10" t="n">
        <x:v>0</x:v>
      </x:c>
      <x:c r="R28" s="10" t="n">
        <x:v>5</x:v>
      </x:c>
      <x:c r="S28" s="10" t="n">
        <x:v>24</x:v>
      </x:c>
      <x:c r="T28" s="10" t="n">
        <x:v>0</x:v>
      </x:c>
      <x:c r="U28" s="10" t="n">
        <x:f>IF(AND(ISNUMBER(X28),X28&gt;=0,Y28&lt;&gt;1),X28,"")</x:f>
        <x:v>23</x:v>
      </x:c>
      <x:c r="V28" s="10" t="n">
        <x:v>0</x:v>
      </x:c>
      <x:c r="W28" s="10" t="n">
        <x:v>0</x:v>
      </x:c>
      <x:c r="X28" s="10" t="n">
        <x:v>23</x:v>
      </x:c>
      <x:c r="Y28" s="3" t="n">
        <x:v>0</x:v>
      </x:c>
      <x:c r="Z28" s="3" t="str">
        <x:v>共同</x:v>
      </x:c>
      <x:c r="AA28" s="3" t="str">
        <x:v>在售</x:v>
      </x:c>
      <x:c r="AB28" s="12" t="n">
        <x:f>IF(AND(Z28="共同",ISNUMBER(G28),ISNUMBER(AD28)),G28-AD28,"")</x:f>
        <x:v>-0.4642857142857143</x:v>
      </x:c>
      <x:c r="AC28" s="3" t="str"/>
      <x:c r="AD28" s="12" t="n">
        <x:v>0.4976190476190476</x:v>
      </x:c>
      <x:c r="AE28" s="3" t="str">
        <x:v>[6574,"32582-TN-40.5"]</x:v>
      </x:c>
      <x:c r="AF28" t="n">
        <x:f>IF(ISNUMBER(H28),1,0)</x:f>
        <x:v>1</x:v>
      </x:c>
      <x:c r="AG28" t="n">
        <x:f>IF(ISNUMBER(I28),1,0)</x:f>
        <x:v>1</x:v>
      </x:c>
      <x:c r="AH28" t="str">
        <x:v>["32582","32582-TN","TN","驼色"]</x:v>
      </x:c>
      <x:c r="AI28" t="n">
        <x:f>IF(ISNUMBER(G28),1,0)</x:f>
        <x:v>1</x:v>
      </x:c>
      <x:c r="AJ28" t="n">
        <x:f>IF(ISNUMBER(AD28),1,0)</x:f>
        <x:v>1</x:v>
      </x:c>
    </x:row>
    <x:row r="29" ht="30" customHeight="1">
      <x:c r="A29" s="3" t="str">
        <x:v>32582-WT0P-39</x:v>
      </x:c>
      <x:c r="B29" s="3" t="str">
        <x:v>3店-SANDIEX-US</x:v>
      </x:c>
      <x:c r="C29" s="3" t="str">
        <x:v>徐新怡</x:v>
      </x:c>
      <x:c r="D29" s="3" t="str">
        <x:v>32582</x:v>
      </x:c>
      <x:c r="E29" s="3" t="str">
        <x:f>IF(Z29="移出","已移出",IF(NOT(ISNUMBER(H29)),"数据待核",IF(H29=0,"断货",IF(NOT(ISNUMBER(G29)),"数据待核",IF(G29=0,"零日销待复核",IF(F29&lt;60,"补货提醒",IF(F29&lt;=90,"正常库存",IF(F29&lt;180,"促销",IF(F29&lt;=365,"红线促销","考虑清仓")))))))))</x:f>
        <x:v>考虑清仓</x:v>
      </x:c>
      <x:c r="F29" s="11" t="n">
        <x:f>IF(AND(ISNUMBER(H29),ISNUMBER(G29),G29&gt;0),H29/G29,"")</x:f>
        <x:v>5250</x:v>
      </x:c>
      <x:c r="G29" s="12" t="n">
        <x:f>IF(AND(COUNT(P29:R29)=3,MIN(P29:R29)&gt;=0,P29&lt;=Q29,Q29&lt;=R29),P29/7*0.5+Q29/14*0.3+R29/30*0.2,"")</x:f>
        <x:v>0.006666666666666667</x:v>
      </x:c>
      <x:c r="H29" s="10" t="n">
        <x:f>IF(ISNUMBER(U29),U29,"")</x:f>
        <x:v>35</x:v>
      </x:c>
      <x:c r="I29" s="10" t="n">
        <x:v>35</x:v>
      </x:c>
      <x:c r="J29" s="11" t="n">
        <x:f>IF(AND(Z29="共同",ISNUMBER(F29),ISNUMBER(M29)),F29-M29,"")</x:f>
        <x:v>4898.3253588516745</x:v>
      </x:c>
      <x:c r="K29" s="13" t="n">
        <x:f>IF(AND(ISNUMBER(J29),M29&lt;&gt;0),J29/M29,"")</x:f>
        <x:v>13.928571428571427</x:v>
      </x:c>
      <x:c r="L29" s="10" t="str">
        <x:v>红线促销</x:v>
      </x:c>
      <x:c r="M29" s="11" t="n">
        <x:v>351.6746411483254</x:v>
      </x:c>
      <x:c r="N29" s="10" t="n">
        <x:f>IF(AND(Z29="共同",COUNT(H29:I29)=2),H29-I29,"")</x:f>
        <x:v>0</x:v>
      </x:c>
      <x:c r="O29" s="10" t="n">
        <x:v>17</x:v>
      </x:c>
      <x:c r="P29" s="10" t="n">
        <x:v>0</x:v>
      </x:c>
      <x:c r="Q29" s="10" t="n">
        <x:v>0</x:v>
      </x:c>
      <x:c r="R29" s="10" t="n">
        <x:v>1</x:v>
      </x:c>
      <x:c r="S29" s="10" t="n">
        <x:v>35</x:v>
      </x:c>
      <x:c r="T29" s="10" t="n">
        <x:v>0</x:v>
      </x:c>
      <x:c r="U29" s="10" t="n">
        <x:f>IF(AND(ISNUMBER(X29),X29&gt;=0,Y29&lt;&gt;1),X29,"")</x:f>
        <x:v>35</x:v>
      </x:c>
      <x:c r="V29" s="10" t="n">
        <x:v>0</x:v>
      </x:c>
      <x:c r="W29" s="10" t="n">
        <x:v>0</x:v>
      </x:c>
      <x:c r="X29" s="10" t="n">
        <x:v>35</x:v>
      </x:c>
      <x:c r="Y29" s="3" t="n">
        <x:v>0</x:v>
      </x:c>
      <x:c r="Z29" s="3" t="str">
        <x:v>共同</x:v>
      </x:c>
      <x:c r="AA29" s="3" t="str">
        <x:v>在售</x:v>
      </x:c>
      <x:c r="AB29" s="12" t="n">
        <x:f>IF(AND(Z29="共同",ISNUMBER(G29),ISNUMBER(AD29)),G29-AD29,"")</x:f>
        <x:v>-0.09285714285714285</x:v>
      </x:c>
      <x:c r="AC29" s="3" t="str"/>
      <x:c r="AD29" s="12" t="n">
        <x:v>0.09952380952380951</x:v>
      </x:c>
      <x:c r="AE29" s="3" t="str">
        <x:v>[6574,"32582-WT0P-39"]</x:v>
      </x:c>
      <x:c r="AF29" t="n">
        <x:f>IF(ISNUMBER(H29),1,0)</x:f>
        <x:v>1</x:v>
      </x:c>
      <x:c r="AG29" t="n">
        <x:f>IF(ISNUMBER(I29),1,0)</x:f>
        <x:v>1</x:v>
      </x:c>
      <x:c r="AH29" t="str">
        <x:v>["32582","32582-WT0P","WT0P","白色"]</x:v>
      </x:c>
      <x:c r="AI29" t="n">
        <x:f>IF(ISNUMBER(G29),1,0)</x:f>
        <x:v>1</x:v>
      </x:c>
      <x:c r="AJ29" t="n">
        <x:f>IF(ISNUMBER(AD29),1,0)</x:f>
        <x:v>1</x:v>
      </x:c>
    </x:row>
    <x:row r="30" ht="30" customHeight="1">
      <x:c r="A30" s="3" t="str">
        <x:v>32582-WT0P-40</x:v>
      </x:c>
      <x:c r="B30" s="3" t="str">
        <x:v>3店-SANDIEX-US</x:v>
      </x:c>
      <x:c r="C30" s="3" t="str">
        <x:v>徐新怡</x:v>
      </x:c>
      <x:c r="D30" s="3" t="str">
        <x:v>32582</x:v>
      </x:c>
      <x:c r="E30" s="3" t="str">
        <x:f>IF(Z30="移出","已移出",IF(NOT(ISNUMBER(H30)),"数据待核",IF(H30=0,"断货",IF(NOT(ISNUMBER(G30)),"数据待核",IF(G30=0,"零日销待复核",IF(F30&lt;60,"补货提醒",IF(F30&lt;=90,"正常库存",IF(F30&lt;180,"促销",IF(F30&lt;=365,"红线促销","考虑清仓")))))))))</x:f>
        <x:v>考虑清仓</x:v>
      </x:c>
      <x:c r="F30" s="11" t="n">
        <x:f>IF(AND(ISNUMBER(H30),ISNUMBER(G30),G30&gt;0),H30/G30,"")</x:f>
        <x:v>4650</x:v>
      </x:c>
      <x:c r="G30" s="12" t="n">
        <x:f>IF(AND(COUNT(P30:R30)=3,MIN(P30:R30)&gt;=0,P30&lt;=Q30,Q30&lt;=R30),P30/7*0.5+Q30/14*0.3+R30/30*0.2,"")</x:f>
        <x:v>0.006666666666666667</x:v>
      </x:c>
      <x:c r="H30" s="10" t="n">
        <x:f>IF(ISNUMBER(U30),U30,"")</x:f>
        <x:v>31</x:v>
      </x:c>
      <x:c r="I30" s="10" t="n">
        <x:v>31</x:v>
      </x:c>
      <x:c r="J30" s="11" t="n">
        <x:f>IF(AND(Z30="共同",ISNUMBER(F30),ISNUMBER(M30)),F30-M30,"")</x:f>
        <x:v>4338.516746411483</x:v>
      </x:c>
      <x:c r="K30" s="13" t="n">
        <x:f>IF(AND(ISNUMBER(J30),M30&lt;&gt;0),J30/M30,"")</x:f>
        <x:v>13.928571428571425</x:v>
      </x:c>
      <x:c r="L30" s="10" t="str">
        <x:v>红线促销</x:v>
      </x:c>
      <x:c r="M30" s="11" t="n">
        <x:v>311.4832535885168</x:v>
      </x:c>
      <x:c r="N30" s="10" t="n">
        <x:f>IF(AND(Z30="共同",COUNT(H30:I30)=2),H30-I30,"")</x:f>
        <x:v>0</x:v>
      </x:c>
      <x:c r="O30" s="10" t="n">
        <x:v>15</x:v>
      </x:c>
      <x:c r="P30" s="10" t="n">
        <x:v>0</x:v>
      </x:c>
      <x:c r="Q30" s="10" t="n">
        <x:v>0</x:v>
      </x:c>
      <x:c r="R30" s="10" t="n">
        <x:v>1</x:v>
      </x:c>
      <x:c r="S30" s="10" t="n">
        <x:v>31</x:v>
      </x:c>
      <x:c r="T30" s="10" t="n">
        <x:v>0</x:v>
      </x:c>
      <x:c r="U30" s="10" t="n">
        <x:f>IF(AND(ISNUMBER(X30),X30&gt;=0,Y30&lt;&gt;1),X30,"")</x:f>
        <x:v>31</x:v>
      </x:c>
      <x:c r="V30" s="10" t="n">
        <x:v>0</x:v>
      </x:c>
      <x:c r="W30" s="10" t="n">
        <x:v>0</x:v>
      </x:c>
      <x:c r="X30" s="10" t="n">
        <x:v>31</x:v>
      </x:c>
      <x:c r="Y30" s="3" t="n">
        <x:v>0</x:v>
      </x:c>
      <x:c r="Z30" s="3" t="str">
        <x:v>共同</x:v>
      </x:c>
      <x:c r="AA30" s="3" t="str">
        <x:v>在售</x:v>
      </x:c>
      <x:c r="AB30" s="12" t="n">
        <x:f>IF(AND(Z30="共同",ISNUMBER(G30),ISNUMBER(AD30)),G30-AD30,"")</x:f>
        <x:v>-0.09285714285714285</x:v>
      </x:c>
      <x:c r="AC30" s="3" t="str"/>
      <x:c r="AD30" s="12" t="n">
        <x:v>0.09952380952380951</x:v>
      </x:c>
      <x:c r="AE30" s="3" t="str">
        <x:v>[6574,"32582-WT0P-40"]</x:v>
      </x:c>
      <x:c r="AF30" t="n">
        <x:f>IF(ISNUMBER(H30),1,0)</x:f>
        <x:v>1</x:v>
      </x:c>
      <x:c r="AG30" t="n">
        <x:f>IF(ISNUMBER(I30),1,0)</x:f>
        <x:v>1</x:v>
      </x:c>
      <x:c r="AH30" t="str">
        <x:v>["32582","32582-WT0P","WT0P","白色"]</x:v>
      </x:c>
      <x:c r="AI30" t="n">
        <x:f>IF(ISNUMBER(G30),1,0)</x:f>
        <x:v>1</x:v>
      </x:c>
      <x:c r="AJ30" t="n">
        <x:f>IF(ISNUMBER(AD30),1,0)</x:f>
        <x:v>1</x:v>
      </x:c>
    </x:row>
    <x:row r="31" ht="30" customHeight="1">
      <x:c r="A31" s="3" t="str">
        <x:v>32582-WT0P-40.5</x:v>
      </x:c>
      <x:c r="B31" s="3" t="str">
        <x:v>3店-SANDIEX-US</x:v>
      </x:c>
      <x:c r="C31" s="3" t="str">
        <x:v>徐新怡</x:v>
      </x:c>
      <x:c r="D31" s="3" t="str">
        <x:v>32582</x:v>
      </x:c>
      <x:c r="E31" s="3" t="str">
        <x:f>IF(Z31="移出","已移出",IF(NOT(ISNUMBER(H31)),"数据待核",IF(H31=0,"断货",IF(NOT(ISNUMBER(G31)),"数据待核",IF(G31=0,"零日销待复核",IF(F31&lt;60,"补货提醒",IF(F31&lt;=90,"正常库存",IF(F31&lt;180,"促销",IF(F31&lt;=365,"红线促销","考虑清仓")))))))))</x:f>
        <x:v>考虑清仓</x:v>
      </x:c>
      <x:c r="F31" s="11" t="n">
        <x:f>IF(AND(ISNUMBER(H31),ISNUMBER(G31),G31&gt;0),H31/G31,"")</x:f>
        <x:v>1799.9999999999998</x:v>
      </x:c>
      <x:c r="G31" s="12" t="n">
        <x:f>IF(AND(COUNT(P31:R31)=3,MIN(P31:R31)&gt;=0,P31&lt;=Q31,Q31&lt;=R31),P31/7*0.5+Q31/14*0.3+R31/30*0.2,"")</x:f>
        <x:v>0.006666666666666667</x:v>
      </x:c>
      <x:c r="H31" s="10" t="n">
        <x:f>IF(ISNUMBER(U31),U31,"")</x:f>
        <x:v>12</x:v>
      </x:c>
      <x:c r="I31" s="10" t="n">
        <x:v>12</x:v>
      </x:c>
      <x:c r="J31" s="11" t="n">
        <x:f>IF(AND(Z31="共同",ISNUMBER(F31),ISNUMBER(M31)),F31-M31,"")</x:f>
        <x:v>1679.425837320574</x:v>
      </x:c>
      <x:c r="K31" s="13" t="n">
        <x:f>IF(AND(ISNUMBER(J31),M31&lt;&gt;0),J31/M31,"")</x:f>
        <x:v>13.928571428571425</x:v>
      </x:c>
      <x:c r="L31" s="10" t="str">
        <x:v>促销</x:v>
      </x:c>
      <x:c r="M31" s="11" t="n">
        <x:v>120.57416267942585</x:v>
      </x:c>
      <x:c r="N31" s="10" t="n">
        <x:f>IF(AND(Z31="共同",COUNT(H31:I31)=2),H31-I31,"")</x:f>
        <x:v>0</x:v>
      </x:c>
      <x:c r="O31" s="10" t="n">
        <x:v>40</x:v>
      </x:c>
      <x:c r="P31" s="10" t="n">
        <x:v>0</x:v>
      </x:c>
      <x:c r="Q31" s="10" t="n">
        <x:v>0</x:v>
      </x:c>
      <x:c r="R31" s="10" t="n">
        <x:v>1</x:v>
      </x:c>
      <x:c r="S31" s="10" t="n">
        <x:v>12</x:v>
      </x:c>
      <x:c r="T31" s="10" t="n">
        <x:v>0</x:v>
      </x:c>
      <x:c r="U31" s="10" t="n">
        <x:f>IF(AND(ISNUMBER(X31),X31&gt;=0,Y31&lt;&gt;1),X31,"")</x:f>
        <x:v>12</x:v>
      </x:c>
      <x:c r="V31" s="10" t="n">
        <x:v>0</x:v>
      </x:c>
      <x:c r="W31" s="10" t="n">
        <x:v>0</x:v>
      </x:c>
      <x:c r="X31" s="10" t="n">
        <x:v>12</x:v>
      </x:c>
      <x:c r="Y31" s="3" t="n">
        <x:v>0</x:v>
      </x:c>
      <x:c r="Z31" s="3" t="str">
        <x:v>共同</x:v>
      </x:c>
      <x:c r="AA31" s="3" t="str">
        <x:v>在售</x:v>
      </x:c>
      <x:c r="AB31" s="12" t="n">
        <x:f>IF(AND(Z31="共同",ISNUMBER(G31),ISNUMBER(AD31)),G31-AD31,"")</x:f>
        <x:v>-0.09285714285714285</x:v>
      </x:c>
      <x:c r="AC31" s="3" t="str"/>
      <x:c r="AD31" s="12" t="n">
        <x:v>0.09952380952380951</x:v>
      </x:c>
      <x:c r="AE31" s="3" t="str">
        <x:v>[6574,"32582-WT0P-40.5"]</x:v>
      </x:c>
      <x:c r="AF31" t="n">
        <x:f>IF(ISNUMBER(H31),1,0)</x:f>
        <x:v>1</x:v>
      </x:c>
      <x:c r="AG31" t="n">
        <x:f>IF(ISNUMBER(I31),1,0)</x:f>
        <x:v>1</x:v>
      </x:c>
      <x:c r="AH31" t="str">
        <x:v>["32582","32582-WT0P","WT0P","白色"]</x:v>
      </x:c>
      <x:c r="AI31" t="n">
        <x:f>IF(ISNUMBER(G31),1,0)</x:f>
        <x:v>1</x:v>
      </x:c>
      <x:c r="AJ31" t="n">
        <x:f>IF(ISNUMBER(AD31),1,0)</x:f>
        <x:v>1</x:v>
      </x:c>
    </x:row>
    <x:row r="32" ht="30" customHeight="1">
      <x:c r="A32" s="3" t="str">
        <x:v>32582-WT0P-41</x:v>
      </x:c>
      <x:c r="B32" s="3" t="str">
        <x:v>3店-SANDIEX-US</x:v>
      </x:c>
      <x:c r="C32" s="3" t="str">
        <x:v>徐新怡</x:v>
      </x:c>
      <x:c r="D32" s="3" t="str">
        <x:v>32582</x:v>
      </x:c>
      <x:c r="E32" s="3" t="str">
        <x:f>IF(Z32="移出","已移出",IF(NOT(ISNUMBER(H32)),"数据待核",IF(H32=0,"断货",IF(NOT(ISNUMBER(G32)),"数据待核",IF(G32=0,"零日销待复核",IF(F32&lt;60,"补货提醒",IF(F32&lt;=90,"正常库存",IF(F32&lt;180,"促销",IF(F32&lt;=365,"红线促销","考虑清仓")))))))))</x:f>
        <x:v>考虑清仓</x:v>
      </x:c>
      <x:c r="F32" s="11" t="n">
        <x:f>IF(AND(ISNUMBER(H32),ISNUMBER(G32),G32&gt;0),H32/G32,"")</x:f>
        <x:v>899.9999999999999</x:v>
      </x:c>
      <x:c r="G32" s="12" t="n">
        <x:f>IF(AND(COUNT(P32:R32)=3,MIN(P32:R32)&gt;=0,P32&lt;=Q32,Q32&lt;=R32),P32/7*0.5+Q32/14*0.3+R32/30*0.2,"")</x:f>
        <x:v>0.013333333333333334</x:v>
      </x:c>
      <x:c r="H32" s="10" t="n">
        <x:f>IF(ISNUMBER(U32),U32,"")</x:f>
        <x:v>12</x:v>
      </x:c>
      <x:c r="I32" s="10" t="n">
        <x:v>11</x:v>
      </x:c>
      <x:c r="J32" s="11" t="n">
        <x:f>IF(AND(Z32="共同",ISNUMBER(F32),ISNUMBER(M32)),F32-M32,"")</x:f>
        <x:v>818.0851063829787</x:v>
      </x:c>
      <x:c r="K32" s="13" t="n">
        <x:f>IF(AND(ISNUMBER(J32),M32&lt;&gt;0),J32/M32,"")</x:f>
        <x:v>9.987012987012987</x:v>
      </x:c>
      <x:c r="L32" s="10" t="str">
        <x:v>正常库存</x:v>
      </x:c>
      <x:c r="M32" s="11" t="n">
        <x:v>81.91489361702128</x:v>
      </x:c>
      <x:c r="N32" s="10" t="n">
        <x:f>IF(AND(Z32="共同",COUNT(H32:I32)=2),H32-I32,"")</x:f>
        <x:v>1</x:v>
      </x:c>
      <x:c r="O32" s="10" t="n">
        <x:v>15</x:v>
      </x:c>
      <x:c r="P32" s="10" t="n">
        <x:v>0</x:v>
      </x:c>
      <x:c r="Q32" s="10" t="n">
        <x:v>0</x:v>
      </x:c>
      <x:c r="R32" s="10" t="n">
        <x:v>2</x:v>
      </x:c>
      <x:c r="S32" s="10" t="n">
        <x:v>12</x:v>
      </x:c>
      <x:c r="T32" s="10" t="n">
        <x:v>0</x:v>
      </x:c>
      <x:c r="U32" s="10" t="n">
        <x:f>IF(AND(ISNUMBER(X32),X32&gt;=0,Y32&lt;&gt;1),X32,"")</x:f>
        <x:v>12</x:v>
      </x:c>
      <x:c r="V32" s="10" t="n">
        <x:v>0</x:v>
      </x:c>
      <x:c r="W32" s="10" t="n">
        <x:v>0</x:v>
      </x:c>
      <x:c r="X32" s="10" t="n">
        <x:v>12</x:v>
      </x:c>
      <x:c r="Y32" s="3" t="n">
        <x:v>0</x:v>
      </x:c>
      <x:c r="Z32" s="3" t="str">
        <x:v>共同</x:v>
      </x:c>
      <x:c r="AA32" s="3" t="str">
        <x:v>在售</x:v>
      </x:c>
      <x:c r="AB32" s="12" t="n">
        <x:f>IF(AND(Z32="共同",ISNUMBER(G32),ISNUMBER(AD32)),G32-AD32,"")</x:f>
        <x:v>-0.12095238095238095</x:v>
      </x:c>
      <x:c r="AC32" s="3" t="str"/>
      <x:c r="AD32" s="12" t="n">
        <x:v>0.13428571428571429</x:v>
      </x:c>
      <x:c r="AE32" s="3" t="str">
        <x:v>[6574,"32582-WT0P-41"]</x:v>
      </x:c>
      <x:c r="AF32" t="n">
        <x:f>IF(ISNUMBER(H32),1,0)</x:f>
        <x:v>1</x:v>
      </x:c>
      <x:c r="AG32" t="n">
        <x:f>IF(ISNUMBER(I32),1,0)</x:f>
        <x:v>1</x:v>
      </x:c>
      <x:c r="AH32" t="str">
        <x:v>["32582","32582-WT0P","WT0P","白色"]</x:v>
      </x:c>
      <x:c r="AI32" t="n">
        <x:f>IF(ISNUMBER(G32),1,0)</x:f>
        <x:v>1</x:v>
      </x:c>
      <x:c r="AJ32" t="n">
        <x:f>IF(ISNUMBER(AD32),1,0)</x:f>
        <x:v>1</x:v>
      </x:c>
    </x:row>
    <x:row r="33" ht="30" customHeight="1">
      <x:c r="A33" s="3" t="str">
        <x:v>60516-BK-S-K-6</x:v>
      </x:c>
      <x:c r="B33" s="3" t="str">
        <x:v>3店-SANDIEX-US</x:v>
      </x:c>
      <x:c r="C33" s="3" t="str">
        <x:v>徐新怡</x:v>
      </x:c>
      <x:c r="D33" s="3" t="str">
        <x:v>60516</x:v>
      </x:c>
      <x:c r="E33" s="3" t="str">
        <x:f>IF(Z33="移出","已移出",IF(NOT(ISNUMBER(H33)),"数据待核",IF(H33=0,"断货",IF(NOT(ISNUMBER(G33)),"数据待核",IF(G33=0,"零日销待复核",IF(F33&lt;60,"补货提醒",IF(F33&lt;=90,"正常库存",IF(F33&lt;180,"促销",IF(F33&lt;=365,"红线促销","考虑清仓")))))))))</x:f>
        <x:v>考虑清仓</x:v>
      </x:c>
      <x:c r="F33" s="11" t="n">
        <x:f>IF(AND(ISNUMBER(H33),ISNUMBER(G33),G33&gt;0),H33/G33,"")</x:f>
        <x:v>731.8181818181818</x:v>
      </x:c>
      <x:c r="G33" s="12" t="n">
        <x:f>IF(AND(COUNT(P33:R33)=3,MIN(P33:R33)&gt;=0,P33&lt;=Q33,Q33&lt;=R33),P33/7*0.5+Q33/14*0.3+R33/30*0.2,"")</x:f>
        <x:v>0.06285714285714286</x:v>
      </x:c>
      <x:c r="H33" s="10" t="n">
        <x:f>IF(ISNUMBER(U33),U33,"")</x:f>
        <x:v>46</x:v>
      </x:c>
      <x:c r="I33" s="10" t="n">
        <x:v>48</x:v>
      </x:c>
      <x:c r="J33" s="11" t="n">
        <x:f>IF(AND(Z33="共同",ISNUMBER(F33),ISNUMBER(M33)),F33-M33,"")</x:f>
        <x:v>-266.2016201620163</x:v>
      </x:c>
      <x:c r="K33" s="13" t="n">
        <x:f>IF(AND(ISNUMBER(J33),M33&lt;&gt;0),J33/M33,"")</x:f>
        <x:v>-0.26672979797979807</x:v>
      </x:c>
      <x:c r="L33" s="10" t="str">
        <x:v>考虑清仓</x:v>
      </x:c>
      <x:c r="M33" s="11" t="n">
        <x:v>998.019801980198</x:v>
      </x:c>
      <x:c r="N33" s="10" t="n">
        <x:f>IF(AND(Z33="共同",COUNT(H33:I33)=2),H33-I33,"")</x:f>
        <x:v>-2</x:v>
      </x:c>
      <x:c r="O33" s="10" t="n">
        <x:v>40</x:v>
      </x:c>
      <x:c r="P33" s="10" t="n">
        <x:v>0</x:v>
      </x:c>
      <x:c r="Q33" s="10" t="n">
        <x:v>2</x:v>
      </x:c>
      <x:c r="R33" s="10" t="n">
        <x:v>3</x:v>
      </x:c>
      <x:c r="S33" s="10" t="n">
        <x:v>46</x:v>
      </x:c>
      <x:c r="T33" s="10" t="n">
        <x:v>0</x:v>
      </x:c>
      <x:c r="U33" s="10" t="n">
        <x:f>IF(AND(ISNUMBER(X33),X33&gt;=0,Y33&lt;&gt;1),X33,"")</x:f>
        <x:v>46</x:v>
      </x:c>
      <x:c r="V33" s="10" t="n">
        <x:v>0</x:v>
      </x:c>
      <x:c r="W33" s="10" t="n">
        <x:v>0</x:v>
      </x:c>
      <x:c r="X33" s="10" t="n">
        <x:v>46</x:v>
      </x:c>
      <x:c r="Y33" s="3" t="n">
        <x:v>0</x:v>
      </x:c>
      <x:c r="Z33" s="3" t="str">
        <x:v>共同</x:v>
      </x:c>
      <x:c r="AA33" s="3" t="str">
        <x:v>在售</x:v>
      </x:c>
      <x:c r="AB33" s="12" t="n">
        <x:f>IF(AND(Z33="共同",ISNUMBER(G33),ISNUMBER(AD33)),G33-AD33,"")</x:f>
        <x:v>0.014761904761904768</x:v>
      </x:c>
      <x:c r="AC33" s="3" t="str"/>
      <x:c r="AD33" s="12" t="n">
        <x:v>0.048095238095238094</x:v>
      </x:c>
      <x:c r="AE33" s="3" t="str">
        <x:v>[6574,"60516-BK-S-K-6"]</x:v>
      </x:c>
      <x:c r="AF33" t="n">
        <x:f>IF(ISNUMBER(H33),1,0)</x:f>
        <x:v>1</x:v>
      </x:c>
      <x:c r="AG33" t="n">
        <x:f>IF(ISNUMBER(I33),1,0)</x:f>
        <x:v>1</x:v>
      </x:c>
      <x:c r="AH33" t="str">
        <x:v>["60516","60516-BK-S-K","BK","黑色"]</x:v>
      </x:c>
      <x:c r="AI33" t="n">
        <x:f>IF(ISNUMBER(G33),1,0)</x:f>
        <x:v>1</x:v>
      </x:c>
      <x:c r="AJ33" t="n">
        <x:f>IF(ISNUMBER(AD33),1,0)</x:f>
        <x:v>1</x:v>
      </x:c>
    </x:row>
    <x:row r="34" ht="30" customHeight="1">
      <x:c r="A34" s="3" t="str">
        <x:v>9967-BK-40B</x:v>
      </x:c>
      <x:c r="B34" s="3" t="str">
        <x:v>1店-MUSSHOE-US</x:v>
      </x:c>
      <x:c r="C34" s="3" t="str">
        <x:v>徐新怡</x:v>
      </x:c>
      <x:c r="D34" s="3" t="str">
        <x:v>9967</x:v>
      </x:c>
      <x:c r="E34" s="3" t="str">
        <x:f>IF(Z34="移出","已移出",IF(NOT(ISNUMBER(H34)),"数据待核",IF(H34=0,"断货",IF(NOT(ISNUMBER(G34)),"数据待核",IF(G34=0,"零日销待复核",IF(F34&lt;60,"补货提醒",IF(F34&lt;=90,"正常库存",IF(F34&lt;180,"促销",IF(F34&lt;=365,"红线促销","考虑清仓")))))))))</x:f>
        <x:v>考虑清仓</x:v>
      </x:c>
      <x:c r="F34" s="11" t="n">
        <x:f>IF(AND(ISNUMBER(H34),ISNUMBER(G34),G34&gt;0),H34/G34,"")</x:f>
        <x:v>381.81818181818187</x:v>
      </x:c>
      <x:c r="G34" s="12" t="n">
        <x:f>IF(AND(COUNT(P34:R34)=3,MIN(P34:R34)&gt;=0,P34&lt;=Q34,Q34&lt;=R34),P34/7*0.5+Q34/14*0.3+R34/30*0.2,"")</x:f>
        <x:v>0.09952380952380951</x:v>
      </x:c>
      <x:c r="H34" s="10" t="n">
        <x:f>IF(ISNUMBER(U34),U34,"")</x:f>
        <x:v>38</x:v>
      </x:c>
      <x:c r="I34" s="10"/>
      <x:c r="J34" s="11" t="str">
        <x:f>IF(AND(Z34="共同",ISNUMBER(F34),ISNUMBER(M34)),F34-M34,"")</x:f>
      </x:c>
      <x:c r="K34" s="13" t="str">
        <x:f>IF(AND(ISNUMBER(J34),M34&lt;&gt;0),J34/M34,"")</x:f>
      </x:c>
      <x:c r="L34" s="10"/>
      <x:c r="M34" s="11"/>
      <x:c r="N34" s="10" t="str">
        <x:f>IF(AND(Z34="共同",COUNT(H34:I34)=2),H34-I34,"")</x:f>
      </x:c>
      <x:c r="O34" s="10" t="n">
        <x:v>1</x:v>
      </x:c>
      <x:c r="P34" s="10" t="n">
        <x:v>1</x:v>
      </x:c>
      <x:c r="Q34" s="10" t="n">
        <x:v>1</x:v>
      </x:c>
      <x:c r="R34" s="10" t="n">
        <x:v>1</x:v>
      </x:c>
      <x:c r="S34" s="10" t="n">
        <x:v>72</x:v>
      </x:c>
      <x:c r="T34" s="10" t="n">
        <x:v>1</x:v>
      </x:c>
      <x:c r="U34" s="10" t="n">
        <x:f>IF(AND(ISNUMBER(X34),X34&gt;=0,Y34&lt;&gt;1),X34,"")</x:f>
        <x:v>38</x:v>
      </x:c>
      <x:c r="V34" s="10" t="n">
        <x:v>0</x:v>
      </x:c>
      <x:c r="W34" s="10" t="n">
        <x:v>366</x:v>
      </x:c>
      <x:c r="X34" s="10" t="n">
        <x:v>38</x:v>
      </x:c>
      <x:c r="Y34" s="3" t="n">
        <x:v>0</x:v>
      </x:c>
      <x:c r="Z34" s="3" t="str">
        <x:v>新增</x:v>
      </x:c>
      <x:c r="AA34" s="3" t="str">
        <x:v>在售</x:v>
      </x:c>
      <x:c r="AB34" s="12" t="str">
        <x:f>IF(AND(Z34="共同",ISNUMBER(G34),ISNUMBER(AD34)),G34-AD34,"")</x:f>
      </x:c>
      <x:c r="AC34" s="3" t="str">
        <x:v>近90天SKU销量未匹配，未按0处理</x:v>
      </x:c>
      <x:c r="AD34" s="12"/>
      <x:c r="AE34" s="3" t="str">
        <x:v>[13120,"9967-BK-40B"]</x:v>
      </x:c>
      <x:c r="AF34" t="n">
        <x:f>IF(ISNUMBER(H34),1,0)</x:f>
        <x:v>1</x:v>
      </x:c>
      <x:c r="AG34" t="n">
        <x:f>IF(ISNUMBER(I34),1,0)</x:f>
        <x:v>0</x:v>
      </x:c>
      <x:c r="AH34" t="str">
        <x:v>["9967","9967-BK-40B","BK-40B","黑色"]</x:v>
      </x:c>
      <x:c r="AI34" t="n">
        <x:f>IF(ISNUMBER(G34),1,0)</x:f>
        <x:v>1</x:v>
      </x:c>
      <x:c r="AJ34" t="n">
        <x:f>IF(ISNUMBER(AD34),1,0)</x:f>
        <x:v>0</x:v>
      </x:c>
    </x:row>
    <x:row r="35" ht="30" customHeight="1">
      <x:c r="A35" s="3" t="str">
        <x:v>B06-BP-37.5</x:v>
      </x:c>
      <x:c r="B35" s="3" t="str">
        <x:v>1店-MUSSHOE-US</x:v>
      </x:c>
      <x:c r="C35" s="3" t="str">
        <x:v>艾年</x:v>
      </x:c>
      <x:c r="D35" s="3" t="str">
        <x:v>B06</x:v>
      </x:c>
      <x:c r="E35" s="3" t="str">
        <x:f>IF(Z35="移出","已移出",IF(NOT(ISNUMBER(H35)),"数据待核",IF(H35=0,"断货",IF(NOT(ISNUMBER(G35)),"数据待核",IF(G35=0,"零日销待复核",IF(F35&lt;60,"补货提醒",IF(F35&lt;=90,"正常库存",IF(F35&lt;180,"促销",IF(F35&lt;=365,"红线促销","考虑清仓")))))))))</x:f>
        <x:v>考虑清仓</x:v>
      </x:c>
      <x:c r="F35" s="11" t="n">
        <x:f>IF(AND(ISNUMBER(H35),ISNUMBER(G35),G35&gt;0),H35/G35,"")</x:f>
        <x:v>499.9999999999999</x:v>
      </x:c>
      <x:c r="G35" s="12" t="n">
        <x:f>IF(AND(COUNT(P35:R35)=3,MIN(P35:R35)&gt;=0,P35&lt;=Q35,Q35&lt;=R35),P35/7*0.5+Q35/14*0.3+R35/30*0.2,"")</x:f>
        <x:v>0.020000000000000004</x:v>
      </x:c>
      <x:c r="H35" s="10" t="n">
        <x:f>IF(ISNUMBER(U35),U35,"")</x:f>
        <x:v>10</x:v>
      </x:c>
      <x:c r="I35" s="10" t="n">
        <x:v>10</x:v>
      </x:c>
      <x:c r="J35" s="11" t="n">
        <x:f>IF(AND(Z35="共同",ISNUMBER(F35),ISNUMBER(M35)),F35-M35,"")</x:f>
        <x:v>432.2580645161289</x:v>
      </x:c>
      <x:c r="K35" s="13" t="n">
        <x:f>IF(AND(ISNUMBER(J35),M35&lt;&gt;0),J35/M35,"")</x:f>
        <x:v>6.380952380952379</x:v>
      </x:c>
      <x:c r="L35" s="10" t="str">
        <x:v>正常库存</x:v>
      </x:c>
      <x:c r="M35" s="11" t="n">
        <x:v>67.74193548387098</x:v>
      </x:c>
      <x:c r="N35" s="10" t="n">
        <x:f>IF(AND(Z35="共同",COUNT(H35:I35)=2),H35-I35,"")</x:f>
        <x:v>0</x:v>
      </x:c>
      <x:c r="O35" s="10" t="n">
        <x:v>0</x:v>
      </x:c>
      <x:c r="P35" s="10" t="n">
        <x:v>0</x:v>
      </x:c>
      <x:c r="Q35" s="10" t="n">
        <x:v>0</x:v>
      </x:c>
      <x:c r="R35" s="10" t="n">
        <x:v>3</x:v>
      </x:c>
      <x:c r="S35" s="10" t="n">
        <x:v>10</x:v>
      </x:c>
      <x:c r="T35" s="10" t="n">
        <x:v>0</x:v>
      </x:c>
      <x:c r="U35" s="10" t="n">
        <x:f>IF(AND(ISNUMBER(X35),X35&gt;=0,Y35&lt;&gt;1),X35,"")</x:f>
        <x:v>10</x:v>
      </x:c>
      <x:c r="V35" s="10" t="n">
        <x:v>0</x:v>
      </x:c>
      <x:c r="W35" s="10" t="n">
        <x:v>0</x:v>
      </x:c>
      <x:c r="X35" s="10" t="n">
        <x:v>10</x:v>
      </x:c>
      <x:c r="Y35" s="3" t="n">
        <x:v>0</x:v>
      </x:c>
      <x:c r="Z35" s="3" t="str">
        <x:v>共同</x:v>
      </x:c>
      <x:c r="AA35" s="3" t="str">
        <x:v>在售</x:v>
      </x:c>
      <x:c r="AB35" s="12" t="n">
        <x:f>IF(AND(Z35="共同",ISNUMBER(G35),ISNUMBER(AD35)),G35-AD35,"")</x:f>
        <x:v>-0.12761904761904758</x:v>
      </x:c>
      <x:c r="AC35" s="3" t="str"/>
      <x:c r="AD35" s="12" t="n">
        <x:v>0.1476190476190476</x:v>
      </x:c>
      <x:c r="AE35" s="3" t="str">
        <x:v>[13120,"B06-BP-37.5"]</x:v>
      </x:c>
      <x:c r="AF35" t="n">
        <x:f>IF(ISNUMBER(H35),1,0)</x:f>
        <x:v>1</x:v>
      </x:c>
      <x:c r="AG35" t="n">
        <x:f>IF(ISNUMBER(I35),1,0)</x:f>
        <x:v>1</x:v>
      </x:c>
      <x:c r="AH35" t="str">
        <x:v>["B06","B06-BP","BP","黑色镜面PU"]</x:v>
      </x:c>
      <x:c r="AI35" t="n">
        <x:f>IF(ISNUMBER(G35),1,0)</x:f>
        <x:v>1</x:v>
      </x:c>
      <x:c r="AJ35" t="n">
        <x:f>IF(ISNUMBER(AD35),1,0)</x:f>
        <x:v>1</x:v>
      </x:c>
    </x:row>
    <x:row r="36" ht="30" customHeight="1">
      <x:c r="A36" s="3" t="str">
        <x:v>B06-BP-39</x:v>
      </x:c>
      <x:c r="B36" s="3" t="str">
        <x:v>1店-MUSSHOE-US</x:v>
      </x:c>
      <x:c r="C36" s="3" t="str">
        <x:v>艾年</x:v>
      </x:c>
      <x:c r="D36" s="3" t="str">
        <x:v>B06</x:v>
      </x:c>
      <x:c r="E36" s="3" t="str">
        <x:f>IF(Z36="移出","已移出",IF(NOT(ISNUMBER(H36)),"数据待核",IF(H36=0,"断货",IF(NOT(ISNUMBER(G36)),"数据待核",IF(G36=0,"零日销待复核",IF(F36&lt;60,"补货提醒",IF(F36&lt;=90,"正常库存",IF(F36&lt;180,"促销",IF(F36&lt;=365,"红线促销","考虑清仓")))))))))</x:f>
        <x:v>考虑清仓</x:v>
      </x:c>
      <x:c r="F36" s="11" t="n">
        <x:f>IF(AND(ISNUMBER(H36),ISNUMBER(G36),G36&gt;0),H36/G36,"")</x:f>
        <x:v>525</x:v>
      </x:c>
      <x:c r="G36" s="12" t="n">
        <x:f>IF(AND(COUNT(P36:R36)=3,MIN(P36:R36)&gt;=0,P36&lt;=Q36,Q36&lt;=R36),P36/7*0.5+Q36/14*0.3+R36/30*0.2,"")</x:f>
        <x:v>0.013333333333333334</x:v>
      </x:c>
      <x:c r="H36" s="10" t="n">
        <x:f>IF(ISNUMBER(U36),U36,"")</x:f>
        <x:v>7</x:v>
      </x:c>
      <x:c r="I36" s="10" t="n">
        <x:v>6</x:v>
      </x:c>
      <x:c r="J36" s="11" t="n">
        <x:f>IF(AND(Z36="共同",ISNUMBER(F36),ISNUMBER(M36)),F36-M36,"")</x:f>
        <x:v>438.6986301369863</x:v>
      </x:c>
      <x:c r="K36" s="13" t="n">
        <x:f>IF(AND(ISNUMBER(J36),M36&lt;&gt;0),J36/M36,"")</x:f>
        <x:v>5.083333333333333</x:v>
      </x:c>
      <x:c r="L36" s="10" t="str">
        <x:v>正常库存</x:v>
      </x:c>
      <x:c r="M36" s="11" t="n">
        <x:v>86.3013698630137</x:v>
      </x:c>
      <x:c r="N36" s="10" t="n">
        <x:f>IF(AND(Z36="共同",COUNT(H36:I36)=2),H36-I36,"")</x:f>
        <x:v>1</x:v>
      </x:c>
      <x:c r="O36" s="10" t="n">
        <x:v>0</x:v>
      </x:c>
      <x:c r="P36" s="10" t="n">
        <x:v>0</x:v>
      </x:c>
      <x:c r="Q36" s="10" t="n">
        <x:v>0</x:v>
      </x:c>
      <x:c r="R36" s="10" t="n">
        <x:v>2</x:v>
      </x:c>
      <x:c r="S36" s="10" t="n">
        <x:v>7</x:v>
      </x:c>
      <x:c r="T36" s="10" t="n">
        <x:v>0</x:v>
      </x:c>
      <x:c r="U36" s="10" t="n">
        <x:f>IF(AND(ISNUMBER(X36),X36&gt;=0,Y36&lt;&gt;1),X36,"")</x:f>
        <x:v>7</x:v>
      </x:c>
      <x:c r="V36" s="10" t="n">
        <x:v>0</x:v>
      </x:c>
      <x:c r="W36" s="10" t="n">
        <x:v>0</x:v>
      </x:c>
      <x:c r="X36" s="10" t="n">
        <x:v>7</x:v>
      </x:c>
      <x:c r="Y36" s="3" t="n">
        <x:v>0</x:v>
      </x:c>
      <x:c r="Z36" s="3" t="str">
        <x:v>共同</x:v>
      </x:c>
      <x:c r="AA36" s="3" t="str">
        <x:v>在售</x:v>
      </x:c>
      <x:c r="AB36" s="12" t="n">
        <x:f>IF(AND(Z36="共同",ISNUMBER(G36),ISNUMBER(AD36)),G36-AD36,"")</x:f>
        <x:v>-0.05619047619047618</x:v>
      </x:c>
      <x:c r="AC36" s="3" t="str"/>
      <x:c r="AD36" s="12" t="n">
        <x:v>0.06952380952380952</x:v>
      </x:c>
      <x:c r="AE36" s="3" t="str">
        <x:v>[13120,"B06-BP-39"]</x:v>
      </x:c>
      <x:c r="AF36" t="n">
        <x:f>IF(ISNUMBER(H36),1,0)</x:f>
        <x:v>1</x:v>
      </x:c>
      <x:c r="AG36" t="n">
        <x:f>IF(ISNUMBER(I36),1,0)</x:f>
        <x:v>1</x:v>
      </x:c>
      <x:c r="AH36" t="str">
        <x:v>["B06","B06-BP","BP","黑色镜面"]</x:v>
      </x:c>
      <x:c r="AI36" t="n">
        <x:f>IF(ISNUMBER(G36),1,0)</x:f>
        <x:v>1</x:v>
      </x:c>
      <x:c r="AJ36" t="n">
        <x:f>IF(ISNUMBER(AD36),1,0)</x:f>
        <x:v>1</x:v>
      </x:c>
    </x:row>
    <x:row r="37" ht="30" customHeight="1">
      <x:c r="A37" s="3" t="str">
        <x:v>B06-BP-41</x:v>
      </x:c>
      <x:c r="B37" s="3" t="str">
        <x:v>1店-MUSSHOE-US</x:v>
      </x:c>
      <x:c r="C37" s="3" t="str">
        <x:v>艾年</x:v>
      </x:c>
      <x:c r="D37" s="3" t="str">
        <x:v>B06</x:v>
      </x:c>
      <x:c r="E37" s="3" t="str">
        <x:f>IF(Z37="移出","已移出",IF(NOT(ISNUMBER(H37)),"数据待核",IF(H37=0,"断货",IF(NOT(ISNUMBER(G37)),"数据待核",IF(G37=0,"零日销待复核",IF(F37&lt;60,"补货提醒",IF(F37&lt;=90,"正常库存",IF(F37&lt;180,"促销",IF(F37&lt;=365,"红线促销","考虑清仓")))))))))</x:f>
        <x:v>考虑清仓</x:v>
      </x:c>
      <x:c r="F37" s="11" t="n">
        <x:f>IF(AND(ISNUMBER(H37),ISNUMBER(G37),G37&gt;0),H37/G37,"")</x:f>
        <x:v>1236.9863013698632</x:v>
      </x:c>
      <x:c r="G37" s="12" t="n">
        <x:f>IF(AND(COUNT(P37:R37)=3,MIN(P37:R37)&gt;=0,P37&lt;=Q37,Q37&lt;=R37),P37/7*0.5+Q37/14*0.3+R37/30*0.2,"")</x:f>
        <x:v>0.03476190476190476</x:v>
      </x:c>
      <x:c r="H37" s="10" t="n">
        <x:f>IF(ISNUMBER(U37),U37,"")</x:f>
        <x:v>43</x:v>
      </x:c>
      <x:c r="I37" s="10" t="n">
        <x:v>43</x:v>
      </x:c>
      <x:c r="J37" s="11" t="n">
        <x:f>IF(AND(Z37="共同",ISNUMBER(F37),ISNUMBER(M37)),F37-M37,"")</x:f>
        <x:v>605.5177699013318</x:v>
      </x:c>
      <x:c r="K37" s="13" t="n">
        <x:f>IF(AND(ISNUMBER(J37),M37&lt;&gt;0),J37/M37,"")</x:f>
        <x:v>0.9589041095890416</x:v>
      </x:c>
      <x:c r="L37" s="10" t="str">
        <x:v>考虑清仓</x:v>
      </x:c>
      <x:c r="M37" s="11" t="n">
        <x:v>631.4685314685314</x:v>
      </x:c>
      <x:c r="N37" s="10" t="n">
        <x:f>IF(AND(Z37="共同",COUNT(H37:I37)=2),H37-I37,"")</x:f>
        <x:v>0</x:v>
      </x:c>
      <x:c r="O37" s="10"/>
      <x:c r="P37" s="10" t="n">
        <x:v>0</x:v>
      </x:c>
      <x:c r="Q37" s="10" t="n">
        <x:v>1</x:v>
      </x:c>
      <x:c r="R37" s="10" t="n">
        <x:v>2</x:v>
      </x:c>
      <x:c r="S37" s="10" t="n">
        <x:v>43</x:v>
      </x:c>
      <x:c r="T37" s="10" t="n">
        <x:v>0</x:v>
      </x:c>
      <x:c r="U37" s="10" t="n">
        <x:f>IF(AND(ISNUMBER(X37),X37&gt;=0,Y37&lt;&gt;1),X37,"")</x:f>
        <x:v>43</x:v>
      </x:c>
      <x:c r="V37" s="10" t="n">
        <x:v>0</x:v>
      </x:c>
      <x:c r="W37" s="10" t="n">
        <x:v>0</x:v>
      </x:c>
      <x:c r="X37" s="10" t="n">
        <x:v>43</x:v>
      </x:c>
      <x:c r="Y37" s="3" t="n">
        <x:v>0</x:v>
      </x:c>
      <x:c r="Z37" s="3" t="str">
        <x:v>共同</x:v>
      </x:c>
      <x:c r="AA37" s="3" t="str">
        <x:v>在售</x:v>
      </x:c>
      <x:c r="AB37" s="12" t="n">
        <x:f>IF(AND(Z37="共同",ISNUMBER(G37),ISNUMBER(AD37)),G37-AD37,"")</x:f>
        <x:v>-0.03333333333333334</x:v>
      </x:c>
      <x:c r="AC37" s="3" t="str"/>
      <x:c r="AD37" s="12" t="n">
        <x:v>0.0680952380952381</x:v>
      </x:c>
      <x:c r="AE37" s="3" t="str">
        <x:v>[13120,"B06-BP-41"]</x:v>
      </x:c>
      <x:c r="AF37" t="n">
        <x:f>IF(ISNUMBER(H37),1,0)</x:f>
        <x:v>1</x:v>
      </x:c>
      <x:c r="AG37" t="n">
        <x:f>IF(ISNUMBER(I37),1,0)</x:f>
        <x:v>1</x:v>
      </x:c>
      <x:c r="AH37" t="str">
        <x:v>["B06","B06-BP","BP","黑色镜面"]</x:v>
      </x:c>
      <x:c r="AI37" t="n">
        <x:f>IF(ISNUMBER(G37),1,0)</x:f>
        <x:v>1</x:v>
      </x:c>
      <x:c r="AJ37" t="n">
        <x:f>IF(ISNUMBER(AD37),1,0)</x:f>
        <x:v>1</x:v>
      </x:c>
    </x:row>
    <x:row r="38" ht="30" customHeight="1">
      <x:c r="A38" s="3" t="str">
        <x:v>B06-CFP-37.5</x:v>
      </x:c>
      <x:c r="B38" s="3" t="str">
        <x:v>1店-MUSSHOE-US</x:v>
      </x:c>
      <x:c r="C38" s="3" t="str">
        <x:v>艾年</x:v>
      </x:c>
      <x:c r="D38" s="3" t="str">
        <x:v>B06</x:v>
      </x:c>
      <x:c r="E38" s="3" t="str">
        <x:f>IF(Z38="移出","已移出",IF(NOT(ISNUMBER(H38)),"数据待核",IF(H38=0,"断货",IF(NOT(ISNUMBER(G38)),"数据待核",IF(G38=0,"零日销待复核",IF(F38&lt;60,"补货提醒",IF(F38&lt;=90,"正常库存",IF(F38&lt;180,"促销",IF(F38&lt;=365,"红线促销","考虑清仓")))))))))</x:f>
        <x:v>考虑清仓</x:v>
      </x:c>
      <x:c r="F38" s="11" t="n">
        <x:f>IF(AND(ISNUMBER(H38),ISNUMBER(G38),G38&gt;0),H38/G38,"")</x:f>
        <x:v>409.3220338983051</x:v>
      </x:c>
      <x:c r="G38" s="12" t="n">
        <x:f>IF(AND(COUNT(P38:R38)=3,MIN(P38:R38)&gt;=0,P38&lt;=Q38,Q38&lt;=R38),P38/7*0.5+Q38/14*0.3+R38/30*0.2,"")</x:f>
        <x:v>0.056190476190476187</x:v>
      </x:c>
      <x:c r="H38" s="10" t="n">
        <x:f>IF(ISNUMBER(U38),U38,"")</x:f>
        <x:v>23</x:v>
      </x:c>
      <x:c r="I38" s="10" t="n">
        <x:v>18</x:v>
      </x:c>
      <x:c r="J38" s="11" t="n">
        <x:f>IF(AND(Z38="共同",ISNUMBER(F38),ISNUMBER(M38)),F38-M38,"")</x:f>
        <x:v>-2290.677966101695</x:v>
      </x:c>
      <x:c r="K38" s="13" t="n">
        <x:f>IF(AND(ISNUMBER(J38),M38&lt;&gt;0),J38/M38,"")</x:f>
        <x:v>-0.8483992467043314</x:v>
      </x:c>
      <x:c r="L38" s="10" t="str">
        <x:v>考虑清仓</x:v>
      </x:c>
      <x:c r="M38" s="11" t="n">
        <x:v>2700</x:v>
      </x:c>
      <x:c r="N38" s="10" t="n">
        <x:f>IF(AND(Z38="共同",COUNT(H38:I38)=2),H38-I38,"")</x:f>
        <x:v>5</x:v>
      </x:c>
      <x:c r="O38" s="10" t="n">
        <x:v>0</x:v>
      </x:c>
      <x:c r="P38" s="10" t="n">
        <x:v>0</x:v>
      </x:c>
      <x:c r="Q38" s="10" t="n">
        <x:v>2</x:v>
      </x:c>
      <x:c r="R38" s="10" t="n">
        <x:v>2</x:v>
      </x:c>
      <x:c r="S38" s="10" t="n">
        <x:v>24</x:v>
      </x:c>
      <x:c r="T38" s="10" t="n">
        <x:v>0</x:v>
      </x:c>
      <x:c r="U38" s="10" t="n">
        <x:f>IF(AND(ISNUMBER(X38),X38&gt;=0,Y38&lt;&gt;1),X38,"")</x:f>
        <x:v>23</x:v>
      </x:c>
      <x:c r="V38" s="10" t="n">
        <x:v>5</x:v>
      </x:c>
      <x:c r="W38" s="10" t="n">
        <x:v>5</x:v>
      </x:c>
      <x:c r="X38" s="10" t="n">
        <x:v>23</x:v>
      </x:c>
      <x:c r="Y38" s="3" t="n">
        <x:v>0</x:v>
      </x:c>
      <x:c r="Z38" s="3" t="str">
        <x:v>共同</x:v>
      </x:c>
      <x:c r="AA38" s="3" t="str">
        <x:v>在售</x:v>
      </x:c>
      <x:c r="AB38" s="12" t="n">
        <x:f>IF(AND(Z38="共同",ISNUMBER(G38),ISNUMBER(AD38)),G38-AD38,"")</x:f>
        <x:v>0.04952380952380952</x:v>
      </x:c>
      <x:c r="AC38" s="3" t="str"/>
      <x:c r="AD38" s="12" t="n">
        <x:v>0.006666666666666666</x:v>
      </x:c>
      <x:c r="AE38" s="3" t="str">
        <x:v>[13120,"B06-CFP-37.5"]</x:v>
      </x:c>
      <x:c r="AF38" t="n">
        <x:f>IF(ISNUMBER(H38),1,0)</x:f>
        <x:v>1</x:v>
      </x:c>
      <x:c r="AG38" t="n">
        <x:f>IF(ISNUMBER(I38),1,0)</x:f>
        <x:v>1</x:v>
      </x:c>
      <x:c r="AH38" t="str">
        <x:v>["B06","B06-CFP","CFP","咖色PU"]</x:v>
      </x:c>
      <x:c r="AI38" t="n">
        <x:f>IF(ISNUMBER(G38),1,0)</x:f>
        <x:v>1</x:v>
      </x:c>
      <x:c r="AJ38" t="n">
        <x:f>IF(ISNUMBER(AD38),1,0)</x:f>
        <x:v>1</x:v>
      </x:c>
    </x:row>
    <x:row r="39" ht="30" customHeight="1">
      <x:c r="A39" s="3" t="str">
        <x:v>B06-IV-P-0-40.5</x:v>
      </x:c>
      <x:c r="B39" s="3" t="str">
        <x:v>1店-MUSSHOE-US</x:v>
      </x:c>
      <x:c r="C39" s="3" t="str">
        <x:v>艾年</x:v>
      </x:c>
      <x:c r="D39" s="3" t="str">
        <x:v>B06</x:v>
      </x:c>
      <x:c r="E39" s="3" t="str">
        <x:f>IF(Z39="移出","已移出",IF(NOT(ISNUMBER(H39)),"数据待核",IF(H39=0,"断货",IF(NOT(ISNUMBER(G39)),"数据待核",IF(G39=0,"零日销待复核",IF(F39&lt;60,"补货提醒",IF(F39&lt;=90,"正常库存",IF(F39&lt;180,"促销",IF(F39&lt;=365,"红线促销","考虑清仓")))))))))</x:f>
        <x:v>考虑清仓</x:v>
      </x:c>
      <x:c r="F39" s="11" t="n">
        <x:f>IF(AND(ISNUMBER(H39),ISNUMBER(G39),G39&gt;0),H39/G39,"")</x:f>
        <x:v>449.99999999999994</x:v>
      </x:c>
      <x:c r="G39" s="12" t="n">
        <x:f>IF(AND(COUNT(P39:R39)=3,MIN(P39:R39)&gt;=0,P39&lt;=Q39,Q39&lt;=R39),P39/7*0.5+Q39/14*0.3+R39/30*0.2,"")</x:f>
        <x:v>0.006666666666666667</x:v>
      </x:c>
      <x:c r="H39" s="10" t="n">
        <x:f>IF(ISNUMBER(U39),U39,"")</x:f>
        <x:v>3</x:v>
      </x:c>
      <x:c r="I39" s="10" t="n">
        <x:v>2</x:v>
      </x:c>
      <x:c r="J39" s="11" t="n">
        <x:f>IF(AND(Z39="共同",ISNUMBER(F39),ISNUMBER(M39)),F39-M39,"")</x:f>
        <x:v>429.90430622009563</x:v>
      </x:c>
      <x:c r="K39" s="13" t="n">
        <x:f>IF(AND(ISNUMBER(J39),M39&lt;&gt;0),J39/M39,"")</x:f>
        <x:v>21.392857142857135</x:v>
      </x:c>
      <x:c r="L39" s="10" t="str">
        <x:v>补货提醒</x:v>
      </x:c>
      <x:c r="M39" s="11" t="n">
        <x:v>20.09569377990431</x:v>
      </x:c>
      <x:c r="N39" s="10" t="n">
        <x:f>IF(AND(Z39="共同",COUNT(H39:I39)=2),H39-I39,"")</x:f>
        <x:v>1</x:v>
      </x:c>
      <x:c r="O39" s="10" t="n">
        <x:v>0</x:v>
      </x:c>
      <x:c r="P39" s="10" t="n">
        <x:v>0</x:v>
      </x:c>
      <x:c r="Q39" s="10" t="n">
        <x:v>0</x:v>
      </x:c>
      <x:c r="R39" s="10" t="n">
        <x:v>1</x:v>
      </x:c>
      <x:c r="S39" s="10" t="n">
        <x:v>3</x:v>
      </x:c>
      <x:c r="T39" s="10" t="n">
        <x:v>0</x:v>
      </x:c>
      <x:c r="U39" s="10" t="n">
        <x:f>IF(AND(ISNUMBER(X39),X39&gt;=0,Y39&lt;&gt;1),X39,"")</x:f>
        <x:v>3</x:v>
      </x:c>
      <x:c r="V39" s="10" t="n">
        <x:v>0</x:v>
      </x:c>
      <x:c r="W39" s="10" t="n">
        <x:v>0</x:v>
      </x:c>
      <x:c r="X39" s="10" t="n">
        <x:v>3</x:v>
      </x:c>
      <x:c r="Y39" s="3" t="n">
        <x:v>0</x:v>
      </x:c>
      <x:c r="Z39" s="3" t="str">
        <x:v>共同</x:v>
      </x:c>
      <x:c r="AA39" s="3" t="str">
        <x:v>在售</x:v>
      </x:c>
      <x:c r="AB39" s="12" t="n">
        <x:f>IF(AND(Z39="共同",ISNUMBER(G39),ISNUMBER(AD39)),G39-AD39,"")</x:f>
        <x:v>-0.09285714285714285</x:v>
      </x:c>
      <x:c r="AC39" s="3" t="str"/>
      <x:c r="AD39" s="12" t="n">
        <x:v>0.09952380952380951</x:v>
      </x:c>
      <x:c r="AE39" s="3" t="str">
        <x:v>[13120,"B06-IV-P-0-40.5"]</x:v>
      </x:c>
      <x:c r="AF39" t="n">
        <x:f>IF(ISNUMBER(H39),1,0)</x:f>
        <x:v>1</x:v>
      </x:c>
      <x:c r="AG39" t="n">
        <x:f>IF(ISNUMBER(I39),1,0)</x:f>
        <x:v>1</x:v>
      </x:c>
      <x:c r="AH39" t="str">
        <x:v>["B06","B06-IV-P-0","IV-P","米白色PU"]</x:v>
      </x:c>
      <x:c r="AI39" t="n">
        <x:f>IF(ISNUMBER(G39),1,0)</x:f>
        <x:v>1</x:v>
      </x:c>
      <x:c r="AJ39" t="n">
        <x:f>IF(ISNUMBER(AD39),1,0)</x:f>
        <x:v>1</x:v>
      </x:c>
    </x:row>
    <x:row r="40" ht="30" customHeight="1">
      <x:c r="A40" s="3" t="str">
        <x:v>B06-ND-Z-0-38</x:v>
      </x:c>
      <x:c r="B40" s="3" t="str">
        <x:v>1店-MUSSHOE-US</x:v>
      </x:c>
      <x:c r="C40" s="3" t="str">
        <x:v>艾年</x:v>
      </x:c>
      <x:c r="D40" s="3" t="str">
        <x:v>B06</x:v>
      </x:c>
      <x:c r="E40" s="3" t="str">
        <x:f>IF(Z40="移出","已移出",IF(NOT(ISNUMBER(H40)),"数据待核",IF(H40=0,"断货",IF(NOT(ISNUMBER(G40)),"数据待核",IF(G40=0,"零日销待复核",IF(F40&lt;60,"补货提醒",IF(F40&lt;=90,"正常库存",IF(F40&lt;180,"促销",IF(F40&lt;=365,"红线促销","考虑清仓")))))))))</x:f>
        <x:v>考虑清仓</x:v>
      </x:c>
      <x:c r="F40" s="11" t="n">
        <x:f>IF(AND(ISNUMBER(H40),ISNUMBER(G40),G40&gt;0),H40/G40,"")</x:f>
        <x:v>449.99999999999994</x:v>
      </x:c>
      <x:c r="G40" s="12" t="n">
        <x:f>IF(AND(COUNT(P40:R40)=3,MIN(P40:R40)&gt;=0,P40&lt;=Q40,Q40&lt;=R40),P40/7*0.5+Q40/14*0.3+R40/30*0.2,"")</x:f>
        <x:v>0.006666666666666667</x:v>
      </x:c>
      <x:c r="H40" s="10" t="n">
        <x:f>IF(ISNUMBER(U40),U40,"")</x:f>
        <x:v>3</x:v>
      </x:c>
      <x:c r="I40" s="10" t="n">
        <x:v>2</x:v>
      </x:c>
      <x:c r="J40" s="11" t="n">
        <x:f>IF(AND(Z40="共同",ISNUMBER(F40),ISNUMBER(M40)),F40-M40,"")</x:f>
        <x:v>392.46575342465746</x:v>
      </x:c>
      <x:c r="K40" s="13" t="n">
        <x:f>IF(AND(ISNUMBER(J40),M40&lt;&gt;0),J40/M40,"")</x:f>
        <x:v>6.821428571428569</x:v>
      </x:c>
      <x:c r="L40" s="10" t="str">
        <x:v>补货提醒</x:v>
      </x:c>
      <x:c r="M40" s="11" t="n">
        <x:v>57.53424657534247</x:v>
      </x:c>
      <x:c r="N40" s="10" t="n">
        <x:f>IF(AND(Z40="共同",COUNT(H40:I40)=2),H40-I40,"")</x:f>
        <x:v>1</x:v>
      </x:c>
      <x:c r="O40" s="10" t="n">
        <x:v>0</x:v>
      </x:c>
      <x:c r="P40" s="10" t="n">
        <x:v>0</x:v>
      </x:c>
      <x:c r="Q40" s="10" t="n">
        <x:v>0</x:v>
      </x:c>
      <x:c r="R40" s="10" t="n">
        <x:v>1</x:v>
      </x:c>
      <x:c r="S40" s="10" t="n">
        <x:v>4</x:v>
      </x:c>
      <x:c r="T40" s="10" t="n">
        <x:v>0</x:v>
      </x:c>
      <x:c r="U40" s="10" t="n">
        <x:f>IF(AND(ISNUMBER(X40),X40&gt;=0,Y40&lt;&gt;1),X40,"")</x:f>
        <x:v>3</x:v>
      </x:c>
      <x:c r="V40" s="10" t="n">
        <x:v>0</x:v>
      </x:c>
      <x:c r="W40" s="10" t="n">
        <x:v>0</x:v>
      </x:c>
      <x:c r="X40" s="10" t="n">
        <x:v>3</x:v>
      </x:c>
      <x:c r="Y40" s="3" t="n">
        <x:v>0</x:v>
      </x:c>
      <x:c r="Z40" s="3" t="str">
        <x:v>共同</x:v>
      </x:c>
      <x:c r="AA40" s="3" t="str">
        <x:v>在售</x:v>
      </x:c>
      <x:c r="AB40" s="12" t="n">
        <x:f>IF(AND(Z40="共同",ISNUMBER(G40),ISNUMBER(AD40)),G40-AD40,"")</x:f>
        <x:v>-0.02809523809523809</x:v>
      </x:c>
      <x:c r="AC40" s="3" t="str"/>
      <x:c r="AD40" s="12" t="n">
        <x:v>0.03476190476190476</x:v>
      </x:c>
      <x:c r="AE40" s="3" t="str">
        <x:v>[13120,"B06-ND-Z-0-38"]</x:v>
      </x:c>
      <x:c r="AF40" t="n">
        <x:f>IF(ISNUMBER(H40),1,0)</x:f>
        <x:v>1</x:v>
      </x:c>
      <x:c r="AG40" t="n">
        <x:f>IF(ISNUMBER(I40),1,0)</x:f>
        <x:v>1</x:v>
      </x:c>
      <x:c r="AH40" t="str">
        <x:v>["B06","B06-ND-Z-0","ND-Z","裸色镜面PU"]</x:v>
      </x:c>
      <x:c r="AI40" t="n">
        <x:f>IF(ISNUMBER(G40),1,0)</x:f>
        <x:v>1</x:v>
      </x:c>
      <x:c r="AJ40" t="n">
        <x:f>IF(ISNUMBER(AD40),1,0)</x:f>
        <x:v>1</x:v>
      </x:c>
    </x:row>
    <x:row r="41" ht="30" customHeight="1">
      <x:c r="A41" s="3" t="str">
        <x:v>B06-NY-37.5</x:v>
      </x:c>
      <x:c r="B41" s="3" t="str">
        <x:v>1店-MUSSHOE-US</x:v>
      </x:c>
      <x:c r="C41" s="3" t="str">
        <x:v>艾年</x:v>
      </x:c>
      <x:c r="D41" s="3" t="str">
        <x:v>B06</x:v>
      </x:c>
      <x:c r="E41" s="3" t="str">
        <x:f>IF(Z41="移出","已移出",IF(NOT(ISNUMBER(H41)),"数据待核",IF(H41=0,"断货",IF(NOT(ISNUMBER(G41)),"数据待核",IF(G41=0,"零日销待复核",IF(F41&lt;60,"补货提醒",IF(F41&lt;=90,"正常库存",IF(F41&lt;180,"促销",IF(F41&lt;=365,"红线促销","考虑清仓")))))))))</x:f>
        <x:v>考虑清仓</x:v>
      </x:c>
      <x:c r="F41" s="11" t="n">
        <x:f>IF(AND(ISNUMBER(H41),ISNUMBER(G41),G41&gt;0),H41/G41,"")</x:f>
        <x:v>796.551724137931</x:v>
      </x:c>
      <x:c r="G41" s="12" t="n">
        <x:f>IF(AND(COUNT(P41:R41)=3,MIN(P41:R41)&gt;=0,P41&lt;=Q41,Q41&lt;=R41),P41/7*0.5+Q41/14*0.3+R41/30*0.2,"")</x:f>
        <x:v>0.041428571428571426</x:v>
      </x:c>
      <x:c r="H41" s="10" t="n">
        <x:f>IF(ISNUMBER(U41),U41,"")</x:f>
        <x:v>33</x:v>
      </x:c>
      <x:c r="I41" s="10" t="n">
        <x:v>34</x:v>
      </x:c>
      <x:c r="J41" s="11" t="n">
        <x:f>IF(AND(Z41="共同",ISNUMBER(F41),ISNUMBER(M41)),F41-M41,"")</x:f>
        <x:v>530.1338136901697</x:v>
      </x:c>
      <x:c r="K41" s="13" t="n">
        <x:f>IF(AND(ISNUMBER(J41),M41&lt;&gt;0),J41/M41,"")</x:f>
        <x:v>1.9898580121703846</x:v>
      </x:c>
      <x:c r="L41" s="10" t="str">
        <x:v>红线促销</x:v>
      </x:c>
      <x:c r="M41" s="11" t="n">
        <x:v>266.41791044776124</x:v>
      </x:c>
      <x:c r="N41" s="10" t="n">
        <x:f>IF(AND(Z41="共同",COUNT(H41:I41)=2),H41-I41,"")</x:f>
        <x:v>-1</x:v>
      </x:c>
      <x:c r="O41" s="10" t="n">
        <x:v>30</x:v>
      </x:c>
      <x:c r="P41" s="10" t="n">
        <x:v>0</x:v>
      </x:c>
      <x:c r="Q41" s="10" t="n">
        <x:v>1</x:v>
      </x:c>
      <x:c r="R41" s="10" t="n">
        <x:v>3</x:v>
      </x:c>
      <x:c r="S41" s="10" t="n">
        <x:v>34</x:v>
      </x:c>
      <x:c r="T41" s="10" t="n">
        <x:v>0</x:v>
      </x:c>
      <x:c r="U41" s="10" t="n">
        <x:f>IF(AND(ISNUMBER(X41),X41&gt;=0,Y41&lt;&gt;1),X41,"")</x:f>
        <x:v>33</x:v>
      </x:c>
      <x:c r="V41" s="10" t="n">
        <x:v>0</x:v>
      </x:c>
      <x:c r="W41" s="10" t="n">
        <x:v>9</x:v>
      </x:c>
      <x:c r="X41" s="10" t="n">
        <x:v>33</x:v>
      </x:c>
      <x:c r="Y41" s="3" t="n">
        <x:v>0</x:v>
      </x:c>
      <x:c r="Z41" s="3" t="str">
        <x:v>共同</x:v>
      </x:c>
      <x:c r="AA41" s="3" t="str">
        <x:v>在售</x:v>
      </x:c>
      <x:c r="AB41" s="12" t="n">
        <x:f>IF(AND(Z41="共同",ISNUMBER(G41),ISNUMBER(AD41)),G41-AD41,"")</x:f>
        <x:v>-0.08619047619047618</x:v>
      </x:c>
      <x:c r="AC41" s="3" t="str"/>
      <x:c r="AD41" s="12" t="n">
        <x:v>0.1276190476190476</x:v>
      </x:c>
      <x:c r="AE41" s="3" t="str">
        <x:v>[13120,"B06-NY-37.5"]</x:v>
      </x:c>
      <x:c r="AF41" t="n">
        <x:f>IF(ISNUMBER(H41),1,0)</x:f>
        <x:v>1</x:v>
      </x:c>
      <x:c r="AG41" t="n">
        <x:f>IF(ISNUMBER(I41),1,0)</x:f>
        <x:v>1</x:v>
      </x:c>
      <x:c r="AH41" t="str">
        <x:v>["B06","B06-NY","NY","藏青色羊京绒"]</x:v>
      </x:c>
      <x:c r="AI41" t="n">
        <x:f>IF(ISNUMBER(G41),1,0)</x:f>
        <x:v>1</x:v>
      </x:c>
      <x:c r="AJ41" t="n">
        <x:f>IF(ISNUMBER(AD41),1,0)</x:f>
        <x:v>1</x:v>
      </x:c>
    </x:row>
    <x:row r="42" ht="30" customHeight="1">
      <x:c r="A42" s="3" t="str">
        <x:v>B06-NY-41.5</x:v>
      </x:c>
      <x:c r="B42" s="3" t="str">
        <x:v>1店-MUSSHOE-US</x:v>
      </x:c>
      <x:c r="C42" s="3" t="str">
        <x:v>艾年</x:v>
      </x:c>
      <x:c r="D42" s="3" t="str">
        <x:v>B06</x:v>
      </x:c>
      <x:c r="E42" s="3" t="str">
        <x:f>IF(Z42="移出","已移出",IF(NOT(ISNUMBER(H42)),"数据待核",IF(H42=0,"断货",IF(NOT(ISNUMBER(G42)),"数据待核",IF(G42=0,"零日销待复核",IF(F42&lt;60,"补货提醒",IF(F42&lt;=90,"正常库存",IF(F42&lt;180,"促销",IF(F42&lt;=365,"红线促销","考虑清仓")))))))))</x:f>
        <x:v>考虑清仓</x:v>
      </x:c>
      <x:c r="F42" s="11" t="n">
        <x:f>IF(AND(ISNUMBER(H42),ISNUMBER(G42),G42&gt;0),H42/G42,"")</x:f>
        <x:v>974.9999999999999</x:v>
      </x:c>
      <x:c r="G42" s="12" t="n">
        <x:f>IF(AND(COUNT(P42:R42)=3,MIN(P42:R42)&gt;=0,P42&lt;=Q42,Q42&lt;=R42),P42/7*0.5+Q42/14*0.3+R42/30*0.2,"")</x:f>
        <x:v>0.013333333333333334</x:v>
      </x:c>
      <x:c r="H42" s="10" t="n">
        <x:f>IF(ISNUMBER(U42),U42,"")</x:f>
        <x:v>13</x:v>
      </x:c>
      <x:c r="I42" s="10" t="n">
        <x:v>4</x:v>
      </x:c>
      <x:c r="J42" s="11" t="n">
        <x:f>IF(AND(Z42="共同",ISNUMBER(F42),ISNUMBER(M42)),F42-M42,"")</x:f>
        <x:v>955.5555555555554</x:v>
      </x:c>
      <x:c r="K42" s="13" t="n">
        <x:f>IF(AND(ISNUMBER(J42),M42&lt;&gt;0),J42/M42,"")</x:f>
        <x:v>49.14285714285713</x:v>
      </x:c>
      <x:c r="L42" s="10" t="str">
        <x:v>补货提醒</x:v>
      </x:c>
      <x:c r="M42" s="11" t="n">
        <x:v>19.444444444444446</x:v>
      </x:c>
      <x:c r="N42" s="10" t="n">
        <x:f>IF(AND(Z42="共同",COUNT(H42:I42)=2),H42-I42,"")</x:f>
        <x:v>9</x:v>
      </x:c>
      <x:c r="O42" s="10" t="n">
        <x:v>0</x:v>
      </x:c>
      <x:c r="P42" s="10" t="n">
        <x:v>0</x:v>
      </x:c>
      <x:c r="Q42" s="10" t="n">
        <x:v>0</x:v>
      </x:c>
      <x:c r="R42" s="10" t="n">
        <x:v>2</x:v>
      </x:c>
      <x:c r="S42" s="10" t="n">
        <x:v>13</x:v>
      </x:c>
      <x:c r="T42" s="10" t="n">
        <x:v>0</x:v>
      </x:c>
      <x:c r="U42" s="10" t="n">
        <x:f>IF(AND(ISNUMBER(X42),X42&gt;=0,Y42&lt;&gt;1),X42,"")</x:f>
        <x:v>13</x:v>
      </x:c>
      <x:c r="V42" s="10" t="n">
        <x:v>0</x:v>
      </x:c>
      <x:c r="W42" s="10" t="n">
        <x:v>0</x:v>
      </x:c>
      <x:c r="X42" s="10" t="n">
        <x:v>13</x:v>
      </x:c>
      <x:c r="Y42" s="3" t="n">
        <x:v>0</x:v>
      </x:c>
      <x:c r="Z42" s="3" t="str">
        <x:v>共同</x:v>
      </x:c>
      <x:c r="AA42" s="3" t="str">
        <x:v>在售</x:v>
      </x:c>
      <x:c r="AB42" s="12" t="n">
        <x:f>IF(AND(Z42="共同",ISNUMBER(G42),ISNUMBER(AD42)),G42-AD42,"")</x:f>
        <x:v>-0.19238095238095235</x:v>
      </x:c>
      <x:c r="AC42" s="3" t="str"/>
      <x:c r="AD42" s="12" t="n">
        <x:v>0.20571428571428568</x:v>
      </x:c>
      <x:c r="AE42" s="3" t="str">
        <x:v>[13120,"B06-NY-41.5"]</x:v>
      </x:c>
      <x:c r="AF42" t="n">
        <x:f>IF(ISNUMBER(H42),1,0)</x:f>
        <x:v>1</x:v>
      </x:c>
      <x:c r="AG42" t="n">
        <x:f>IF(ISNUMBER(I42),1,0)</x:f>
        <x:v>1</x:v>
      </x:c>
      <x:c r="AH42" t="str">
        <x:v>["B06","B06-NY","NY","藏青色羊京绒"]</x:v>
      </x:c>
      <x:c r="AI42" t="n">
        <x:f>IF(ISNUMBER(G42),1,0)</x:f>
        <x:v>1</x:v>
      </x:c>
      <x:c r="AJ42" t="n">
        <x:f>IF(ISNUMBER(AD42),1,0)</x:f>
        <x:v>1</x:v>
      </x:c>
    </x:row>
    <x:row r="43" ht="30" customHeight="1">
      <x:c r="A43" s="3" t="str">
        <x:v>B06-RD-37.5</x:v>
      </x:c>
      <x:c r="B43" s="3" t="str">
        <x:v>1店-MUSSHOE-US</x:v>
      </x:c>
      <x:c r="C43" s="3" t="str">
        <x:v>艾年</x:v>
      </x:c>
      <x:c r="D43" s="3" t="str">
        <x:v>B06</x:v>
      </x:c>
      <x:c r="E43" s="3" t="str">
        <x:f>IF(Z43="移出","已移出",IF(NOT(ISNUMBER(H43)),"数据待核",IF(H43=0,"断货",IF(NOT(ISNUMBER(G43)),"数据待核",IF(G43=0,"零日销待复核",IF(F43&lt;60,"补货提醒",IF(F43&lt;=90,"正常库存",IF(F43&lt;180,"促销",IF(F43&lt;=365,"红线促销","考虑清仓")))))))))</x:f>
        <x:v>考虑清仓</x:v>
      </x:c>
      <x:c r="F43" s="11" t="n">
        <x:f>IF(AND(ISNUMBER(H43),ISNUMBER(G43),G43&gt;0),H43/G43,"")</x:f>
        <x:v>489.04109589041104</x:v>
      </x:c>
      <x:c r="G43" s="12" t="n">
        <x:f>IF(AND(COUNT(P43:R43)=3,MIN(P43:R43)&gt;=0,P43&lt;=Q43,Q43&lt;=R43),P43/7*0.5+Q43/14*0.3+R43/30*0.2,"")</x:f>
        <x:v>0.03476190476190476</x:v>
      </x:c>
      <x:c r="H43" s="10" t="n">
        <x:f>IF(ISNUMBER(U43),U43,"")</x:f>
        <x:v>17</x:v>
      </x:c>
      <x:c r="I43" s="10" t="n">
        <x:v>18</x:v>
      </x:c>
      <x:c r="J43" s="11" t="n">
        <x:f>IF(AND(Z43="共同",ISNUMBER(F43),ISNUMBER(M43)),F43-M43,"")</x:f>
        <x:v>-2210.9589041095887</x:v>
      </x:c>
      <x:c r="K43" s="13" t="n">
        <x:f>IF(AND(ISNUMBER(J43),M43&lt;&gt;0),J43/M43,"")</x:f>
        <x:v>-0.8188736681887365</x:v>
      </x:c>
      <x:c r="L43" s="10" t="str">
        <x:v>考虑清仓</x:v>
      </x:c>
      <x:c r="M43" s="11" t="n">
        <x:v>2700</x:v>
      </x:c>
      <x:c r="N43" s="10" t="n">
        <x:f>IF(AND(Z43="共同",COUNT(H43:I43)=2),H43-I43,"")</x:f>
        <x:v>-1</x:v>
      </x:c>
      <x:c r="O43" s="10" t="n">
        <x:v>33</x:v>
      </x:c>
      <x:c r="P43" s="10" t="n">
        <x:v>0</x:v>
      </x:c>
      <x:c r="Q43" s="10" t="n">
        <x:v>1</x:v>
      </x:c>
      <x:c r="R43" s="10" t="n">
        <x:v>2</x:v>
      </x:c>
      <x:c r="S43" s="10" t="n">
        <x:v>17</x:v>
      </x:c>
      <x:c r="T43" s="10" t="n">
        <x:v>0</x:v>
      </x:c>
      <x:c r="U43" s="10" t="n">
        <x:f>IF(AND(ISNUMBER(X43),X43&gt;=0,Y43&lt;&gt;1),X43,"")</x:f>
        <x:v>17</x:v>
      </x:c>
      <x:c r="V43" s="10" t="n">
        <x:v>0</x:v>
      </x:c>
      <x:c r="W43" s="10" t="n">
        <x:v>0</x:v>
      </x:c>
      <x:c r="X43" s="10" t="n">
        <x:v>17</x:v>
      </x:c>
      <x:c r="Y43" s="3" t="n">
        <x:v>0</x:v>
      </x:c>
      <x:c r="Z43" s="3" t="str">
        <x:v>共同</x:v>
      </x:c>
      <x:c r="AA43" s="3" t="str">
        <x:v>在售</x:v>
      </x:c>
      <x:c r="AB43" s="12" t="n">
        <x:f>IF(AND(Z43="共同",ISNUMBER(G43),ISNUMBER(AD43)),G43-AD43,"")</x:f>
        <x:v>0.02809523809523809</x:v>
      </x:c>
      <x:c r="AC43" s="3" t="str"/>
      <x:c r="AD43" s="12" t="n">
        <x:v>0.006666666666666666</x:v>
      </x:c>
      <x:c r="AE43" s="3" t="str">
        <x:v>[13120,"B06-RD-37.5"]</x:v>
      </x:c>
      <x:c r="AF43" t="n">
        <x:f>IF(ISNUMBER(H43),1,0)</x:f>
        <x:v>1</x:v>
      </x:c>
      <x:c r="AG43" t="n">
        <x:f>IF(ISNUMBER(I43),1,0)</x:f>
        <x:v>1</x:v>
      </x:c>
      <x:c r="AH43" t="str">
        <x:v>["B06","B06-RD","RD","红色羊京绒"]</x:v>
      </x:c>
      <x:c r="AI43" t="n">
        <x:f>IF(ISNUMBER(G43),1,0)</x:f>
        <x:v>1</x:v>
      </x:c>
      <x:c r="AJ43" t="n">
        <x:f>IF(ISNUMBER(AD43),1,0)</x:f>
        <x:v>1</x:v>
      </x:c>
    </x:row>
    <x:row r="44" ht="30" customHeight="1">
      <x:c r="A44" s="3" t="str">
        <x:v>B06-RG-40-N</x:v>
      </x:c>
      <x:c r="B44" s="3" t="str">
        <x:v>1店-MUSSHOE-US</x:v>
      </x:c>
      <x:c r="C44" s="3" t="str">
        <x:v>艾年</x:v>
      </x:c>
      <x:c r="D44" s="3" t="str">
        <x:v>B06</x:v>
      </x:c>
      <x:c r="E44" s="3" t="str">
        <x:f>IF(Z44="移出","已移出",IF(NOT(ISNUMBER(H44)),"数据待核",IF(H44=0,"断货",IF(NOT(ISNUMBER(G44)),"数据待核",IF(G44=0,"零日销待复核",IF(F44&lt;60,"补货提醒",IF(F44&lt;=90,"正常库存",IF(F44&lt;180,"促销",IF(F44&lt;=365,"红线促销","考虑清仓")))))))))</x:f>
        <x:v>考虑清仓</x:v>
      </x:c>
      <x:c r="F44" s="11" t="n">
        <x:f>IF(AND(ISNUMBER(H44),ISNUMBER(G44),G44&gt;0),H44/G44,"")</x:f>
        <x:v>599.9999999999999</x:v>
      </x:c>
      <x:c r="G44" s="12" t="n">
        <x:f>IF(AND(COUNT(P44:R44)=3,MIN(P44:R44)&gt;=0,P44&lt;=Q44,Q44&lt;=R44),P44/7*0.5+Q44/14*0.3+R44/30*0.2,"")</x:f>
        <x:v>0.020000000000000004</x:v>
      </x:c>
      <x:c r="H44" s="10" t="n">
        <x:f>IF(ISNUMBER(U44),U44,"")</x:f>
        <x:v>12</x:v>
      </x:c>
      <x:c r="I44" s="10" t="n">
        <x:v>12</x:v>
      </x:c>
      <x:c r="J44" s="11" t="n">
        <x:f>IF(AND(Z44="共同",ISNUMBER(F44),ISNUMBER(M44)),F44-M44,"")</x:f>
        <x:v>529.0140845070421</x:v>
      </x:c>
      <x:c r="K44" s="13" t="n">
        <x:f>IF(AND(ISNUMBER(J44),M44&lt;&gt;0),J44/M44,"")</x:f>
        <x:v>7.452380952380948</x:v>
      </x:c>
      <x:c r="L44" s="10" t="str">
        <x:v>正常库存</x:v>
      </x:c>
      <x:c r="M44" s="11" t="n">
        <x:v>70.98591549295776</x:v>
      </x:c>
      <x:c r="N44" s="10" t="n">
        <x:f>IF(AND(Z44="共同",COUNT(H44:I44)=2),H44-I44,"")</x:f>
        <x:v>0</x:v>
      </x:c>
      <x:c r="O44" s="10" t="n">
        <x:v>0</x:v>
      </x:c>
      <x:c r="P44" s="10" t="n">
        <x:v>0</x:v>
      </x:c>
      <x:c r="Q44" s="10" t="n">
        <x:v>0</x:v>
      </x:c>
      <x:c r="R44" s="10" t="n">
        <x:v>3</x:v>
      </x:c>
      <x:c r="S44" s="10" t="n">
        <x:v>14</x:v>
      </x:c>
      <x:c r="T44" s="10" t="n">
        <x:v>0</x:v>
      </x:c>
      <x:c r="U44" s="10" t="n">
        <x:f>IF(AND(ISNUMBER(X44),X44&gt;=0,Y44&lt;&gt;1),X44,"")</x:f>
        <x:v>12</x:v>
      </x:c>
      <x:c r="V44" s="10" t="n">
        <x:v>0</x:v>
      </x:c>
      <x:c r="W44" s="10" t="n">
        <x:v>0</x:v>
      </x:c>
      <x:c r="X44" s="10" t="n">
        <x:v>12</x:v>
      </x:c>
      <x:c r="Y44" s="3" t="n">
        <x:v>0</x:v>
      </x:c>
      <x:c r="Z44" s="3" t="str">
        <x:v>共同</x:v>
      </x:c>
      <x:c r="AA44" s="3" t="str">
        <x:v>在售</x:v>
      </x:c>
      <x:c r="AB44" s="12" t="n">
        <x:f>IF(AND(Z44="共同",ISNUMBER(G44),ISNUMBER(AD44)),G44-AD44,"")</x:f>
        <x:v>-0.14904761904761904</x:v>
      </x:c>
      <x:c r="AC44" s="3" t="str"/>
      <x:c r="AD44" s="12" t="n">
        <x:v>0.16904761904761903</x:v>
      </x:c>
      <x:c r="AE44" s="3" t="str">
        <x:v>[13120,"B06-RG-40-N"]</x:v>
      </x:c>
      <x:c r="AF44" t="n">
        <x:f>IF(ISNUMBER(H44),1,0)</x:f>
        <x:v>1</x:v>
      </x:c>
      <x:c r="AG44" t="n">
        <x:f>IF(ISNUMBER(I44),1,0)</x:f>
        <x:v>1</x:v>
      </x:c>
      <x:c r="AH44" t="str">
        <x:v>["B06","B06-RG","RG","玫瑰金PU"]</x:v>
      </x:c>
      <x:c r="AI44" t="n">
        <x:f>IF(ISNUMBER(G44),1,0)</x:f>
        <x:v>1</x:v>
      </x:c>
      <x:c r="AJ44" t="n">
        <x:f>IF(ISNUMBER(AD44),1,0)</x:f>
        <x:v>1</x:v>
      </x:c>
    </x:row>
    <x:row r="45" ht="30" customHeight="1">
      <x:c r="A45" s="3" t="str">
        <x:v>B06-TN-39.5</x:v>
      </x:c>
      <x:c r="B45" s="3" t="str">
        <x:v>1店-MUSSHOE-US</x:v>
      </x:c>
      <x:c r="C45" s="3" t="str">
        <x:v>艾年</x:v>
      </x:c>
      <x:c r="D45" s="3" t="str">
        <x:v>B06</x:v>
      </x:c>
      <x:c r="E45" s="3" t="str">
        <x:f>IF(Z45="移出","已移出",IF(NOT(ISNUMBER(H45)),"数据待核",IF(H45=0,"断货",IF(NOT(ISNUMBER(G45)),"数据待核",IF(G45=0,"零日销待复核",IF(F45&lt;60,"补货提醒",IF(F45&lt;=90,"正常库存",IF(F45&lt;180,"促销",IF(F45&lt;=365,"红线促销","考虑清仓")))))))))</x:f>
        <x:v>考虑清仓</x:v>
      </x:c>
      <x:c r="F45" s="11" t="n">
        <x:f>IF(AND(ISNUMBER(H45),ISNUMBER(G45),G45&gt;0),H45/G45,"")</x:f>
        <x:v>1650</x:v>
      </x:c>
      <x:c r="G45" s="12" t="n">
        <x:f>IF(AND(COUNT(P45:R45)=3,MIN(P45:R45)&gt;=0,P45&lt;=Q45,Q45&lt;=R45),P45/7*0.5+Q45/14*0.3+R45/30*0.2,"")</x:f>
        <x:v>0.006666666666666667</x:v>
      </x:c>
      <x:c r="H45" s="10" t="n">
        <x:f>IF(ISNUMBER(U45),U45,"")</x:f>
        <x:v>11</x:v>
      </x:c>
      <x:c r="I45" s="10" t="n">
        <x:v>2</x:v>
      </x:c>
      <x:c r="J45" s="11" t="n">
        <x:f>IF(AND(Z45="共同",ISNUMBER(F45),ISNUMBER(M45)),F45-M45,"")</x:f>
        <x:v>1575</x:v>
      </x:c>
      <x:c r="K45" s="13" t="n">
        <x:f>IF(AND(ISNUMBER(J45),M45&lt;&gt;0),J45/M45,"")</x:f>
        <x:v>21</x:v>
      </x:c>
      <x:c r="L45" s="10" t="str">
        <x:v>正常库存</x:v>
      </x:c>
      <x:c r="M45" s="11" t="n">
        <x:v>75</x:v>
      </x:c>
      <x:c r="N45" s="10" t="n">
        <x:f>IF(AND(Z45="共同",COUNT(H45:I45)=2),H45-I45,"")</x:f>
        <x:v>9</x:v>
      </x:c>
      <x:c r="O45" s="10" t="n">
        <x:v>0</x:v>
      </x:c>
      <x:c r="P45" s="10" t="n">
        <x:v>0</x:v>
      </x:c>
      <x:c r="Q45" s="10" t="n">
        <x:v>0</x:v>
      </x:c>
      <x:c r="R45" s="10" t="n">
        <x:v>1</x:v>
      </x:c>
      <x:c r="S45" s="10" t="n">
        <x:v>11</x:v>
      </x:c>
      <x:c r="T45" s="10" t="n">
        <x:v>0</x:v>
      </x:c>
      <x:c r="U45" s="10" t="n">
        <x:f>IF(AND(ISNUMBER(X45),X45&gt;=0,Y45&lt;&gt;1),X45,"")</x:f>
        <x:v>11</x:v>
      </x:c>
      <x:c r="V45" s="10" t="n">
        <x:v>0</x:v>
      </x:c>
      <x:c r="W45" s="10" t="n">
        <x:v>0</x:v>
      </x:c>
      <x:c r="X45" s="10" t="n">
        <x:v>11</x:v>
      </x:c>
      <x:c r="Y45" s="3" t="n">
        <x:v>0</x:v>
      </x:c>
      <x:c r="Z45" s="3" t="str">
        <x:v>共同</x:v>
      </x:c>
      <x:c r="AA45" s="3" t="str">
        <x:v>在售</x:v>
      </x:c>
      <x:c r="AB45" s="12" t="n">
        <x:f>IF(AND(Z45="共同",ISNUMBER(G45),ISNUMBER(AD45)),G45-AD45,"")</x:f>
        <x:v>-0.019999999999999997</x:v>
      </x:c>
      <x:c r="AC45" s="3" t="str"/>
      <x:c r="AD45" s="12" t="n">
        <x:v>0.026666666666666665</x:v>
      </x:c>
      <x:c r="AE45" s="3" t="str">
        <x:v>[13120,"B06-TN-39.5"]</x:v>
      </x:c>
      <x:c r="AF45" t="n">
        <x:f>IF(ISNUMBER(H45),1,0)</x:f>
        <x:v>1</x:v>
      </x:c>
      <x:c r="AG45" t="n">
        <x:f>IF(ISNUMBER(I45),1,0)</x:f>
        <x:v>1</x:v>
      </x:c>
      <x:c r="AH45" t="str">
        <x:v>["B06","B06-TN","TN","驼色羊京绒"]</x:v>
      </x:c>
      <x:c r="AI45" t="n">
        <x:f>IF(ISNUMBER(G45),1,0)</x:f>
        <x:v>1</x:v>
      </x:c>
      <x:c r="AJ45" t="n">
        <x:f>IF(ISNUMBER(AD45),1,0)</x:f>
        <x:v>1</x:v>
      </x:c>
    </x:row>
    <x:row r="46" ht="30" customHeight="1">
      <x:c r="A46" s="3" t="str">
        <x:v>B06-TN-40.5</x:v>
      </x:c>
      <x:c r="B46" s="3" t="str">
        <x:v>1店-MUSSHOE-US</x:v>
      </x:c>
      <x:c r="C46" s="3" t="str">
        <x:v>艾年</x:v>
      </x:c>
      <x:c r="D46" s="3" t="str">
        <x:v>B06</x:v>
      </x:c>
      <x:c r="E46" s="3" t="str">
        <x:f>IF(Z46="移出","已移出",IF(NOT(ISNUMBER(H46)),"数据待核",IF(H46=0,"断货",IF(NOT(ISNUMBER(G46)),"数据待核",IF(G46=0,"零日销待复核",IF(F46&lt;60,"补货提醒",IF(F46&lt;=90,"正常库存",IF(F46&lt;180,"促销",IF(F46&lt;=365,"红线促销","考虑清仓")))))))))</x:f>
        <x:v>考虑清仓</x:v>
      </x:c>
      <x:c r="F46" s="11" t="n">
        <x:f>IF(AND(ISNUMBER(H46),ISNUMBER(G46),G46&gt;0),H46/G46,"")</x:f>
        <x:v>600</x:v>
      </x:c>
      <x:c r="G46" s="12" t="n">
        <x:f>IF(AND(COUNT(P46:R46)=3,MIN(P46:R46)&gt;=0,P46&lt;=Q46,Q46&lt;=R46),P46/7*0.5+Q46/14*0.3+R46/30*0.2,"")</x:f>
        <x:v>0.006666666666666667</x:v>
      </x:c>
      <x:c r="H46" s="10" t="n">
        <x:f>IF(ISNUMBER(U46),U46,"")</x:f>
        <x:v>4</x:v>
      </x:c>
      <x:c r="I46" s="10" t="n">
        <x:v>4</x:v>
      </x:c>
      <x:c r="J46" s="11" t="n">
        <x:f>IF(AND(Z46="共同",ISNUMBER(F46),ISNUMBER(M46)),F46-M46,"")</x:f>
        <x:v>503.44827586206895</x:v>
      </x:c>
      <x:c r="K46" s="13" t="n">
        <x:f>IF(AND(ISNUMBER(J46),M46&lt;&gt;0),J46/M46,"")</x:f>
        <x:v>5.2142857142857135</x:v>
      </x:c>
      <x:c r="L46" s="10" t="str">
        <x:v>促销</x:v>
      </x:c>
      <x:c r="M46" s="11" t="n">
        <x:v>96.55172413793105</x:v>
      </x:c>
      <x:c r="N46" s="10" t="n">
        <x:f>IF(AND(Z46="共同",COUNT(H46:I46)=2),H46-I46,"")</x:f>
        <x:v>0</x:v>
      </x:c>
      <x:c r="O46" s="10" t="n">
        <x:v>0</x:v>
      </x:c>
      <x:c r="P46" s="10" t="n">
        <x:v>0</x:v>
      </x:c>
      <x:c r="Q46" s="10" t="n">
        <x:v>0</x:v>
      </x:c>
      <x:c r="R46" s="10" t="n">
        <x:v>1</x:v>
      </x:c>
      <x:c r="S46" s="10" t="n">
        <x:v>4</x:v>
      </x:c>
      <x:c r="T46" s="10" t="n">
        <x:v>0</x:v>
      </x:c>
      <x:c r="U46" s="10" t="n">
        <x:f>IF(AND(ISNUMBER(X46),X46&gt;=0,Y46&lt;&gt;1),X46,"")</x:f>
        <x:v>4</x:v>
      </x:c>
      <x:c r="V46" s="10" t="n">
        <x:v>0</x:v>
      </x:c>
      <x:c r="W46" s="10" t="n">
        <x:v>17</x:v>
      </x:c>
      <x:c r="X46" s="10" t="n">
        <x:v>4</x:v>
      </x:c>
      <x:c r="Y46" s="3" t="n">
        <x:v>0</x:v>
      </x:c>
      <x:c r="Z46" s="3" t="str">
        <x:v>共同</x:v>
      </x:c>
      <x:c r="AA46" s="3" t="str">
        <x:v>在售</x:v>
      </x:c>
      <x:c r="AB46" s="12" t="n">
        <x:f>IF(AND(Z46="共同",ISNUMBER(G46),ISNUMBER(AD46)),G46-AD46,"")</x:f>
        <x:v>-0.03476190476190476</x:v>
      </x:c>
      <x:c r="AC46" s="3" t="str"/>
      <x:c r="AD46" s="12" t="n">
        <x:v>0.041428571428571426</x:v>
      </x:c>
      <x:c r="AE46" s="3" t="str">
        <x:v>[13120,"B06-TN-40.5"]</x:v>
      </x:c>
      <x:c r="AF46" t="n">
        <x:f>IF(ISNUMBER(H46),1,0)</x:f>
        <x:v>1</x:v>
      </x:c>
      <x:c r="AG46" t="n">
        <x:f>IF(ISNUMBER(I46),1,0)</x:f>
        <x:v>1</x:v>
      </x:c>
      <x:c r="AH46" t="str">
        <x:v>["B06","B06-TN","TN","驼色羊京绒"]</x:v>
      </x:c>
      <x:c r="AI46" t="n">
        <x:f>IF(ISNUMBER(G46),1,0)</x:f>
        <x:v>1</x:v>
      </x:c>
      <x:c r="AJ46" t="n">
        <x:f>IF(ISNUMBER(AD46),1,0)</x:f>
        <x:v>1</x:v>
      </x:c>
    </x:row>
    <x:row r="47" ht="30" customHeight="1">
      <x:c r="A47" s="3" t="str">
        <x:v>B06-WT-38</x:v>
      </x:c>
      <x:c r="B47" s="3" t="str">
        <x:v>1店-MUSSHOE-US</x:v>
      </x:c>
      <x:c r="C47" s="3" t="str">
        <x:v>艾年</x:v>
      </x:c>
      <x:c r="D47" s="3" t="str">
        <x:v>B06</x:v>
      </x:c>
      <x:c r="E47" s="3" t="str">
        <x:f>IF(Z47="移出","已移出",IF(NOT(ISNUMBER(H47)),"数据待核",IF(H47=0,"断货",IF(NOT(ISNUMBER(G47)),"数据待核",IF(G47=0,"零日销待复核",IF(F47&lt;60,"补货提醒",IF(F47&lt;=90,"正常库存",IF(F47&lt;180,"促销",IF(F47&lt;=365,"红线促销","考虑清仓")))))))))</x:f>
        <x:v>考虑清仓</x:v>
      </x:c>
      <x:c r="F47" s="11" t="n">
        <x:f>IF(AND(ISNUMBER(H47),ISNUMBER(G47),G47&gt;0),H47/G47,"")</x:f>
        <x:v>484.04255319148933</x:v>
      </x:c>
      <x:c r="G47" s="12" t="n">
        <x:f>IF(AND(COUNT(P47:R47)=3,MIN(P47:R47)&gt;=0,P47&lt;=Q47,Q47&lt;=R47),P47/7*0.5+Q47/14*0.3+R47/30*0.2,"")</x:f>
        <x:v>0.13428571428571429</x:v>
      </x:c>
      <x:c r="H47" s="10" t="n">
        <x:f>IF(ISNUMBER(U47),U47,"")</x:f>
        <x:v>65</x:v>
      </x:c>
      <x:c r="I47" s="10" t="n">
        <x:v>54</x:v>
      </x:c>
      <x:c r="J47" s="11" t="n">
        <x:f>IF(AND(Z47="共同",ISNUMBER(F47),ISNUMBER(M47)),F47-M47,"")</x:f>
        <x:v>-1069.3821043427574</x:v>
      </x:c>
      <x:c r="K47" s="13" t="n">
        <x:f>IF(AND(ISNUMBER(J47),M47&lt;&gt;0),J47/M47,"")</x:f>
        <x:v>-0.6884029419490413</x:v>
      </x:c>
      <x:c r="L47" s="10" t="str">
        <x:v>考虑清仓</x:v>
      </x:c>
      <x:c r="M47" s="11" t="n">
        <x:v>1553.4246575342468</x:v>
      </x:c>
      <x:c r="N47" s="10" t="n">
        <x:f>IF(AND(Z47="共同",COUNT(H47:I47)=2),H47-I47,"")</x:f>
        <x:v>11</x:v>
      </x:c>
      <x:c r="O47" s="10" t="n">
        <x:v>49</x:v>
      </x:c>
      <x:c r="P47" s="10" t="n">
        <x:v>1</x:v>
      </x:c>
      <x:c r="Q47" s="10" t="n">
        <x:v>2</x:v>
      </x:c>
      <x:c r="R47" s="10" t="n">
        <x:v>3</x:v>
      </x:c>
      <x:c r="S47" s="10" t="n">
        <x:v>65</x:v>
      </x:c>
      <x:c r="T47" s="10" t="n">
        <x:v>0</x:v>
      </x:c>
      <x:c r="U47" s="10" t="n">
        <x:f>IF(AND(ISNUMBER(X47),X47&gt;=0,Y47&lt;&gt;1),X47,"")</x:f>
        <x:v>65</x:v>
      </x:c>
      <x:c r="V47" s="10" t="n">
        <x:v>0</x:v>
      </x:c>
      <x:c r="W47" s="10" t="n">
        <x:v>0</x:v>
      </x:c>
      <x:c r="X47" s="10" t="n">
        <x:v>65</x:v>
      </x:c>
      <x:c r="Y47" s="3" t="n">
        <x:v>0</x:v>
      </x:c>
      <x:c r="Z47" s="3" t="str">
        <x:v>共同</x:v>
      </x:c>
      <x:c r="AA47" s="3" t="str">
        <x:v>在售</x:v>
      </x:c>
      <x:c r="AB47" s="12" t="n">
        <x:f>IF(AND(Z47="共同",ISNUMBER(G47),ISNUMBER(AD47)),G47-AD47,"")</x:f>
        <x:v>0.09952380952380953</x:v>
      </x:c>
      <x:c r="AC47" s="3" t="str"/>
      <x:c r="AD47" s="12" t="n">
        <x:v>0.03476190476190476</x:v>
      </x:c>
      <x:c r="AE47" s="3" t="str">
        <x:v>[13120,"B06-WT-38"]</x:v>
      </x:c>
      <x:c r="AF47" t="n">
        <x:f>IF(ISNUMBER(H47),1,0)</x:f>
        <x:v>1</x:v>
      </x:c>
      <x:c r="AG47" t="n">
        <x:f>IF(ISNUMBER(I47),1,0)</x:f>
        <x:v>1</x:v>
      </x:c>
      <x:c r="AH47" t="str">
        <x:v>["B06","B06-WT","WT","白色PU"]</x:v>
      </x:c>
      <x:c r="AI47" t="n">
        <x:f>IF(ISNUMBER(G47),1,0)</x:f>
        <x:v>1</x:v>
      </x:c>
      <x:c r="AJ47" t="n">
        <x:f>IF(ISNUMBER(AD47),1,0)</x:f>
        <x:v>1</x:v>
      </x:c>
    </x:row>
    <x:row r="48" ht="30" customHeight="1">
      <x:c r="A48" s="3" t="str">
        <x:v>B06-WT-40</x:v>
      </x:c>
      <x:c r="B48" s="3" t="str">
        <x:v>1店-MUSSHOE-US</x:v>
      </x:c>
      <x:c r="C48" s="3" t="str">
        <x:v>艾年</x:v>
      </x:c>
      <x:c r="D48" s="3" t="str">
        <x:v>B06</x:v>
      </x:c>
      <x:c r="E48" s="3" t="str">
        <x:f>IF(Z48="移出","已移出",IF(NOT(ISNUMBER(H48)),"数据待核",IF(H48=0,"断货",IF(NOT(ISNUMBER(G48)),"数据待核",IF(G48=0,"零日销待复核",IF(F48&lt;60,"补货提醒",IF(F48&lt;=90,"正常库存",IF(F48&lt;180,"促销",IF(F48&lt;=365,"红线促销","考虑清仓")))))))))</x:f>
        <x:v>考虑清仓</x:v>
      </x:c>
      <x:c r="F48" s="11" t="n">
        <x:f>IF(AND(ISNUMBER(H48),ISNUMBER(G48),G48&gt;0),H48/G48,"")</x:f>
        <x:v>1499.9999999999998</x:v>
      </x:c>
      <x:c r="G48" s="12" t="n">
        <x:f>IF(AND(COUNT(P48:R48)=3,MIN(P48:R48)&gt;=0,P48&lt;=Q48,Q48&lt;=R48),P48/7*0.5+Q48/14*0.3+R48/30*0.2,"")</x:f>
        <x:v>0.020000000000000004</x:v>
      </x:c>
      <x:c r="H48" s="10" t="n">
        <x:f>IF(ISNUMBER(U48),U48,"")</x:f>
        <x:v>30</x:v>
      </x:c>
      <x:c r="I48" s="10" t="n">
        <x:v>30</x:v>
      </x:c>
      <x:c r="J48" s="11" t="n">
        <x:f>IF(AND(Z48="共同",ISNUMBER(F48),ISNUMBER(M48)),F48-M48,"")</x:f>
        <x:v>1164.8936170212764</x:v>
      </x:c>
      <x:c r="K48" s="13" t="n">
        <x:f>IF(AND(ISNUMBER(J48),M48&lt;&gt;0),J48/M48,"")</x:f>
        <x:v>3.4761904761904754</x:v>
      </x:c>
      <x:c r="L48" s="10" t="str">
        <x:v>红线促销</x:v>
      </x:c>
      <x:c r="M48" s="11" t="n">
        <x:v>335.10638297872345</x:v>
      </x:c>
      <x:c r="N48" s="10" t="n">
        <x:f>IF(AND(Z48="共同",COUNT(H48:I48)=2),H48-I48,"")</x:f>
        <x:v>0</x:v>
      </x:c>
      <x:c r="O48" s="10" t="n">
        <x:v>37</x:v>
      </x:c>
      <x:c r="P48" s="10" t="n">
        <x:v>0</x:v>
      </x:c>
      <x:c r="Q48" s="10" t="n">
        <x:v>0</x:v>
      </x:c>
      <x:c r="R48" s="10" t="n">
        <x:v>3</x:v>
      </x:c>
      <x:c r="S48" s="10" t="n">
        <x:v>33</x:v>
      </x:c>
      <x:c r="T48" s="10" t="n">
        <x:v>0</x:v>
      </x:c>
      <x:c r="U48" s="10" t="n">
        <x:f>IF(AND(ISNUMBER(X48),X48&gt;=0,Y48&lt;&gt;1),X48,"")</x:f>
        <x:v>30</x:v>
      </x:c>
      <x:c r="V48" s="10" t="n">
        <x:v>0</x:v>
      </x:c>
      <x:c r="W48" s="10" t="n">
        <x:v>0</x:v>
      </x:c>
      <x:c r="X48" s="10" t="n">
        <x:v>30</x:v>
      </x:c>
      <x:c r="Y48" s="3" t="n">
        <x:v>0</x:v>
      </x:c>
      <x:c r="Z48" s="3" t="str">
        <x:v>共同</x:v>
      </x:c>
      <x:c r="AA48" s="3" t="str">
        <x:v>在售</x:v>
      </x:c>
      <x:c r="AB48" s="12" t="n">
        <x:f>IF(AND(Z48="共同",ISNUMBER(G48),ISNUMBER(AD48)),G48-AD48,"")</x:f>
        <x:v>-0.06952380952380952</x:v>
      </x:c>
      <x:c r="AC48" s="3" t="str"/>
      <x:c r="AD48" s="12" t="n">
        <x:v>0.08952380952380952</x:v>
      </x:c>
      <x:c r="AE48" s="3" t="str">
        <x:v>[13120,"B06-WT-40"]</x:v>
      </x:c>
      <x:c r="AF48" t="n">
        <x:f>IF(ISNUMBER(H48),1,0)</x:f>
        <x:v>1</x:v>
      </x:c>
      <x:c r="AG48" t="n">
        <x:f>IF(ISNUMBER(I48),1,0)</x:f>
        <x:v>1</x:v>
      </x:c>
      <x:c r="AH48" t="str">
        <x:v>["B06","B06-WT","WT","白色PU"]</x:v>
      </x:c>
      <x:c r="AI48" t="n">
        <x:f>IF(ISNUMBER(G48),1,0)</x:f>
        <x:v>1</x:v>
      </x:c>
      <x:c r="AJ48" t="n">
        <x:f>IF(ISNUMBER(AD48),1,0)</x:f>
        <x:v>1</x:v>
      </x:c>
    </x:row>
    <x:row r="49" ht="30" customHeight="1">
      <x:c r="A49" s="3" t="str">
        <x:v>B07-BGP-37.5</x:v>
      </x:c>
      <x:c r="B49" s="3" t="str">
        <x:v>4店-彬郁-US</x:v>
      </x:c>
      <x:c r="C49" s="3" t="str">
        <x:v>艾年</x:v>
      </x:c>
      <x:c r="D49" s="3" t="str">
        <x:v>B07</x:v>
      </x:c>
      <x:c r="E49" s="3" t="str">
        <x:f>IF(Z49="移出","已移出",IF(NOT(ISNUMBER(H49)),"数据待核",IF(H49=0,"断货",IF(NOT(ISNUMBER(G49)),"数据待核",IF(G49=0,"零日销待复核",IF(F49&lt;60,"补货提醒",IF(F49&lt;=90,"正常库存",IF(F49&lt;180,"促销",IF(F49&lt;=365,"红线促销","考虑清仓")))))))))</x:f>
        <x:v>考虑清仓</x:v>
      </x:c>
      <x:c r="F49" s="11" t="n">
        <x:f>IF(AND(ISNUMBER(H49),ISNUMBER(G49),G49&gt;0),H49/G49,"")</x:f>
        <x:v>399.99999999999994</x:v>
      </x:c>
      <x:c r="G49" s="12" t="n">
        <x:f>IF(AND(COUNT(P49:R49)=3,MIN(P49:R49)&gt;=0,P49&lt;=Q49,Q49&lt;=R49),P49/7*0.5+Q49/14*0.3+R49/30*0.2,"")</x:f>
        <x:v>0.020000000000000004</x:v>
      </x:c>
      <x:c r="H49" s="10" t="n">
        <x:f>IF(ISNUMBER(U49),U49,"")</x:f>
        <x:v>8</x:v>
      </x:c>
      <x:c r="I49" s="10" t="n">
        <x:v>5</x:v>
      </x:c>
      <x:c r="J49" s="11" t="n">
        <x:f>IF(AND(Z49="共同",ISNUMBER(F49),ISNUMBER(M49)),F49-M49,"")</x:f>
        <x:v>364.527027027027</x:v>
      </x:c>
      <x:c r="K49" s="13" t="n">
        <x:f>IF(AND(ISNUMBER(J49),M49&lt;&gt;0),J49/M49,"")</x:f>
        <x:v>10.276190476190473</x:v>
      </x:c>
      <x:c r="L49" s="10" t="str">
        <x:v>补货提醒</x:v>
      </x:c>
      <x:c r="M49" s="11" t="n">
        <x:v>35.472972972972975</x:v>
      </x:c>
      <x:c r="N49" s="10" t="n">
        <x:f>IF(AND(Z49="共同",COUNT(H49:I49)=2),H49-I49,"")</x:f>
        <x:v>3</x:v>
      </x:c>
      <x:c r="O49" s="10" t="n">
        <x:v>0</x:v>
      </x:c>
      <x:c r="P49" s="10" t="n">
        <x:v>0</x:v>
      </x:c>
      <x:c r="Q49" s="10" t="n">
        <x:v>0</x:v>
      </x:c>
      <x:c r="R49" s="10" t="n">
        <x:v>3</x:v>
      </x:c>
      <x:c r="S49" s="10" t="n">
        <x:v>16</x:v>
      </x:c>
      <x:c r="T49" s="10" t="n">
        <x:v>0</x:v>
      </x:c>
      <x:c r="U49" s="10" t="n">
        <x:f>IF(AND(ISNUMBER(X49),X49&gt;=0,Y49&lt;&gt;1),X49,"")</x:f>
        <x:v>8</x:v>
      </x:c>
      <x:c r="V49" s="10" t="n">
        <x:v>0</x:v>
      </x:c>
      <x:c r="W49" s="10" t="n">
        <x:v>0</x:v>
      </x:c>
      <x:c r="X49" s="10" t="n">
        <x:v>8</x:v>
      </x:c>
      <x:c r="Y49" s="3" t="n">
        <x:v>0</x:v>
      </x:c>
      <x:c r="Z49" s="3" t="str">
        <x:v>共同</x:v>
      </x:c>
      <x:c r="AA49" s="3" t="str">
        <x:v>在售</x:v>
      </x:c>
      <x:c r="AB49" s="12" t="n">
        <x:f>IF(AND(Z49="共同",ISNUMBER(G49),ISNUMBER(AD49)),G49-AD49,"")</x:f>
        <x:v>-0.12095238095238094</x:v>
      </x:c>
      <x:c r="AC49" s="3" t="str"/>
      <x:c r="AD49" s="12" t="n">
        <x:v>0.14095238095238094</x:v>
      </x:c>
      <x:c r="AE49" s="3" t="str">
        <x:v>[13306,"B07-BGP-37.5"]</x:v>
      </x:c>
      <x:c r="AF49" t="n">
        <x:f>IF(ISNUMBER(H49),1,0)</x:f>
        <x:v>1</x:v>
      </x:c>
      <x:c r="AG49" t="n">
        <x:f>IF(ISNUMBER(I49),1,0)</x:f>
        <x:v>1</x:v>
      </x:c>
      <x:c r="AH49" t="str">
        <x:v>["B07","B07-BGP","BGP","米色PU"]</x:v>
      </x:c>
      <x:c r="AI49" t="n">
        <x:f>IF(ISNUMBER(G49),1,0)</x:f>
        <x:v>1</x:v>
      </x:c>
      <x:c r="AJ49" t="n">
        <x:f>IF(ISNUMBER(AD49),1,0)</x:f>
        <x:v>1</x:v>
      </x:c>
    </x:row>
    <x:row r="50" ht="30" customHeight="1">
      <x:c r="A50" s="3" t="str">
        <x:v>B07-BGP-40-New</x:v>
      </x:c>
      <x:c r="B50" s="3" t="str">
        <x:v>4店-彬郁-US</x:v>
      </x:c>
      <x:c r="C50" s="3" t="str">
        <x:v>艾年</x:v>
      </x:c>
      <x:c r="D50" s="3" t="str">
        <x:v>B07</x:v>
      </x:c>
      <x:c r="E50" s="3" t="str">
        <x:f>IF(Z50="移出","已移出",IF(NOT(ISNUMBER(H50)),"数据待核",IF(H50=0,"断货",IF(NOT(ISNUMBER(G50)),"数据待核",IF(G50=0,"零日销待复核",IF(F50&lt;60,"补货提醒",IF(F50&lt;=90,"正常库存",IF(F50&lt;180,"促销",IF(F50&lt;=365,"红线促销","考虑清仓")))))))))</x:f>
        <x:v>考虑清仓</x:v>
      </x:c>
      <x:c r="F50" s="11" t="n">
        <x:f>IF(AND(ISNUMBER(H50),ISNUMBER(G50),G50&gt;0),H50/G50,"")</x:f>
        <x:v>657.3913043478261</x:v>
      </x:c>
      <x:c r="G50" s="12" t="n">
        <x:f>IF(AND(COUNT(P50:R50)=3,MIN(P50:R50)&gt;=0,P50&lt;=Q50,Q50&lt;=R50),P50/7*0.5+Q50/14*0.3+R50/30*0.2,"")</x:f>
        <x:v>0.05476190476190476</x:v>
      </x:c>
      <x:c r="H50" s="10" t="n">
        <x:f>IF(ISNUMBER(U50),U50,"")</x:f>
        <x:v>36</x:v>
      </x:c>
      <x:c r="I50" s="10" t="n">
        <x:v>17</x:v>
      </x:c>
      <x:c r="J50" s="11" t="n">
        <x:f>IF(AND(Z50="共同",ISNUMBER(F50),ISNUMBER(M50)),F50-M50,"")</x:f>
        <x:v>605.3504880212955</x:v>
      </x:c>
      <x:c r="K50" s="13" t="n">
        <x:f>IF(AND(ISNUMBER(J50),M50&lt;&gt;0),J50/M50,"")</x:f>
        <x:v>11.63222506393862</x:v>
      </x:c>
      <x:c r="L50" s="10" t="str">
        <x:v>补货提醒</x:v>
      </x:c>
      <x:c r="M50" s="11" t="n">
        <x:v>52.04081632653061</x:v>
      </x:c>
      <x:c r="N50" s="10" t="n">
        <x:f>IF(AND(Z50="共同",COUNT(H50:I50)=2),H50-I50,"")</x:f>
        <x:v>19</x:v>
      </x:c>
      <x:c r="O50" s="10" t="n">
        <x:v>0</x:v>
      </x:c>
      <x:c r="P50" s="10" t="n">
        <x:v>0</x:v>
      </x:c>
      <x:c r="Q50" s="10" t="n">
        <x:v>1</x:v>
      </x:c>
      <x:c r="R50" s="10" t="n">
        <x:v>5</x:v>
      </x:c>
      <x:c r="S50" s="10" t="n">
        <x:v>50</x:v>
      </x:c>
      <x:c r="T50" s="10" t="n">
        <x:v>0</x:v>
      </x:c>
      <x:c r="U50" s="10" t="n">
        <x:f>IF(AND(ISNUMBER(X50),X50&gt;=0,Y50&lt;&gt;1),X50,"")</x:f>
        <x:v>36</x:v>
      </x:c>
      <x:c r="V50" s="10" t="n">
        <x:v>10</x:v>
      </x:c>
      <x:c r="W50" s="10" t="n">
        <x:v>0</x:v>
      </x:c>
      <x:c r="X50" s="10" t="n">
        <x:v>36</x:v>
      </x:c>
      <x:c r="Y50" s="3" t="n">
        <x:v>0</x:v>
      </x:c>
      <x:c r="Z50" s="3" t="str">
        <x:v>共同</x:v>
      </x:c>
      <x:c r="AA50" s="3" t="str">
        <x:v>在售</x:v>
      </x:c>
      <x:c r="AB50" s="12" t="n">
        <x:f>IF(AND(Z50="共同",ISNUMBER(G50),ISNUMBER(AD50)),G50-AD50,"")</x:f>
        <x:v>-0.27190476190476187</x:v>
      </x:c>
      <x:c r="AC50" s="3" t="str"/>
      <x:c r="AD50" s="12" t="n">
        <x:v>0.32666666666666666</x:v>
      </x:c>
      <x:c r="AE50" s="3" t="str">
        <x:v>[13306,"B07-BGP-40-New"]</x:v>
      </x:c>
      <x:c r="AF50" t="n">
        <x:f>IF(ISNUMBER(H50),1,0)</x:f>
        <x:v>1</x:v>
      </x:c>
      <x:c r="AG50" t="n">
        <x:f>IF(ISNUMBER(I50),1,0)</x:f>
        <x:v>1</x:v>
      </x:c>
      <x:c r="AH50" t="str">
        <x:v>["B07","B07-BGP","BGP","米色PU"]</x:v>
      </x:c>
      <x:c r="AI50" t="n">
        <x:f>IF(ISNUMBER(G50),1,0)</x:f>
        <x:v>1</x:v>
      </x:c>
      <x:c r="AJ50" t="n">
        <x:f>IF(ISNUMBER(AD50),1,0)</x:f>
        <x:v>1</x:v>
      </x:c>
    </x:row>
    <x:row r="51" ht="30" customHeight="1">
      <x:c r="A51" s="3" t="str">
        <x:v>B07-BK-V-0-40.5</x:v>
      </x:c>
      <x:c r="B51" s="3" t="str">
        <x:v>4店-彬郁-US</x:v>
      </x:c>
      <x:c r="C51" s="3" t="str">
        <x:v>艾年</x:v>
      </x:c>
      <x:c r="D51" s="3" t="str">
        <x:v>B07</x:v>
      </x:c>
      <x:c r="E51" s="3" t="str">
        <x:f>IF(Z51="移出","已移出",IF(NOT(ISNUMBER(H51)),"数据待核",IF(H51=0,"断货",IF(NOT(ISNUMBER(G51)),"数据待核",IF(G51=0,"零日销待复核",IF(F51&lt;60,"补货提醒",IF(F51&lt;=90,"正常库存",IF(F51&lt;180,"促销",IF(F51&lt;=365,"红线促销","考虑清仓")))))))))</x:f>
        <x:v>考虑清仓</x:v>
      </x:c>
      <x:c r="F51" s="11" t="n">
        <x:f>IF(AND(ISNUMBER(H51),ISNUMBER(G51),G51&gt;0),H51/G51,"")</x:f>
        <x:v>750</x:v>
      </x:c>
      <x:c r="G51" s="12" t="n">
        <x:f>IF(AND(COUNT(P51:R51)=3,MIN(P51:R51)&gt;=0,P51&lt;=Q51,Q51&lt;=R51),P51/7*0.5+Q51/14*0.3+R51/30*0.2,"")</x:f>
        <x:v>0.013333333333333334</x:v>
      </x:c>
      <x:c r="H51" s="10" t="n">
        <x:f>IF(ISNUMBER(U51),U51,"")</x:f>
        <x:v>10</x:v>
      </x:c>
      <x:c r="I51" s="10" t="n">
        <x:v>4</x:v>
      </x:c>
      <x:c r="J51" s="11" t="n">
        <x:f>IF(AND(Z51="共同",ISNUMBER(F51),ISNUMBER(M51)),F51-M51,"")</x:f>
        <x:v>721.6216216216217</x:v>
      </x:c>
      <x:c r="K51" s="13" t="n">
        <x:f>IF(AND(ISNUMBER(J51),M51&lt;&gt;0),J51/M51,"")</x:f>
        <x:v>25.428571428571427</x:v>
      </x:c>
      <x:c r="L51" s="10" t="str">
        <x:v>补货提醒</x:v>
      </x:c>
      <x:c r="M51" s="11" t="n">
        <x:v>28.378378378378383</x:v>
      </x:c>
      <x:c r="N51" s="10" t="n">
        <x:f>IF(AND(Z51="共同",COUNT(H51:I51)=2),H51-I51,"")</x:f>
        <x:v>6</x:v>
      </x:c>
      <x:c r="O51" s="10" t="n">
        <x:v>0</x:v>
      </x:c>
      <x:c r="P51" s="10" t="n">
        <x:v>0</x:v>
      </x:c>
      <x:c r="Q51" s="10" t="n">
        <x:v>0</x:v>
      </x:c>
      <x:c r="R51" s="10" t="n">
        <x:v>2</x:v>
      </x:c>
      <x:c r="S51" s="10" t="n">
        <x:v>14</x:v>
      </x:c>
      <x:c r="T51" s="10" t="n">
        <x:v>0</x:v>
      </x:c>
      <x:c r="U51" s="10" t="n">
        <x:f>IF(AND(ISNUMBER(X51),X51&gt;=0,Y51&lt;&gt;1),X51,"")</x:f>
        <x:v>10</x:v>
      </x:c>
      <x:c r="V51" s="10" t="n">
        <x:v>0</x:v>
      </x:c>
      <x:c r="W51" s="10" t="n">
        <x:v>0</x:v>
      </x:c>
      <x:c r="X51" s="10" t="n">
        <x:v>10</x:v>
      </x:c>
      <x:c r="Y51" s="3" t="n">
        <x:v>0</x:v>
      </x:c>
      <x:c r="Z51" s="3" t="str">
        <x:v>共同</x:v>
      </x:c>
      <x:c r="AA51" s="3" t="str">
        <x:v>在售</x:v>
      </x:c>
      <x:c r="AB51" s="12" t="n">
        <x:f>IF(AND(Z51="共同",ISNUMBER(G51),ISNUMBER(AD51)),G51-AD51,"")</x:f>
        <x:v>-0.1276190476190476</x:v>
      </x:c>
      <x:c r="AC51" s="3" t="str"/>
      <x:c r="AD51" s="12" t="n">
        <x:v>0.14095238095238094</x:v>
      </x:c>
      <x:c r="AE51" s="3" t="str">
        <x:v>[13306,"B07-BK-V-0-40.5"]</x:v>
      </x:c>
      <x:c r="AF51" t="n">
        <x:f>IF(ISNUMBER(H51),1,0)</x:f>
        <x:v>1</x:v>
      </x:c>
      <x:c r="AG51" t="n">
        <x:f>IF(ISNUMBER(I51),1,0)</x:f>
        <x:v>1</x:v>
      </x:c>
      <x:c r="AH51" t="str">
        <x:v>["B07","B07-BK-V-0","BK-V","黑色天鹅绒"]</x:v>
      </x:c>
      <x:c r="AI51" t="n">
        <x:f>IF(ISNUMBER(G51),1,0)</x:f>
        <x:v>1</x:v>
      </x:c>
      <x:c r="AJ51" t="n">
        <x:f>IF(ISNUMBER(AD51),1,0)</x:f>
        <x:v>1</x:v>
      </x:c>
    </x:row>
    <x:row r="52" ht="30" customHeight="1">
      <x:c r="A52" s="3" t="str">
        <x:v>B07-BK-Z-0-38.5</x:v>
      </x:c>
      <x:c r="B52" s="3" t="str">
        <x:v>4店-彬郁-US</x:v>
      </x:c>
      <x:c r="C52" s="3" t="str">
        <x:v>艾年</x:v>
      </x:c>
      <x:c r="D52" s="3" t="str">
        <x:v>B07</x:v>
      </x:c>
      <x:c r="E52" s="3" t="str">
        <x:f>IF(Z52="移出","已移出",IF(NOT(ISNUMBER(H52)),"数据待核",IF(H52=0,"断货",IF(NOT(ISNUMBER(G52)),"数据待核",IF(G52=0,"零日销待复核",IF(F52&lt;60,"补货提醒",IF(F52&lt;=90,"正常库存",IF(F52&lt;180,"促销",IF(F52&lt;=365,"红线促销","考虑清仓")))))))))</x:f>
        <x:v>考虑清仓</x:v>
      </x:c>
      <x:c r="F52" s="11" t="n">
        <x:f>IF(AND(ISNUMBER(H52),ISNUMBER(G52),G52&gt;0),H52/G52,"")</x:f>
        <x:v>391.52542372881356</x:v>
      </x:c>
      <x:c r="G52" s="12" t="n">
        <x:f>IF(AND(COUNT(P52:R52)=3,MIN(P52:R52)&gt;=0,P52&lt;=Q52,Q52&lt;=R52),P52/7*0.5+Q52/14*0.3+R52/30*0.2,"")</x:f>
        <x:v>0.028095238095238093</x:v>
      </x:c>
      <x:c r="H52" s="10" t="n">
        <x:f>IF(ISNUMBER(U52),U52,"")</x:f>
        <x:v>11</x:v>
      </x:c>
      <x:c r="I52" s="10" t="n">
        <x:v>12</x:v>
      </x:c>
      <x:c r="J52" s="11" t="n">
        <x:f>IF(AND(Z52="共同",ISNUMBER(F52),ISNUMBER(M52)),F52-M52,"")</x:f>
        <x:v>-1408.4745762711866</x:v>
      </x:c>
      <x:c r="K52" s="13" t="n">
        <x:f>IF(AND(ISNUMBER(J52),M52&lt;&gt;0),J52/M52,"")</x:f>
        <x:v>-0.7824858757062146</x:v>
      </x:c>
      <x:c r="L52" s="10" t="str">
        <x:v>考虑清仓</x:v>
      </x:c>
      <x:c r="M52" s="11" t="n">
        <x:v>1800.0000000000002</x:v>
      </x:c>
      <x:c r="N52" s="10" t="n">
        <x:f>IF(AND(Z52="共同",COUNT(H52:I52)=2),H52-I52,"")</x:f>
        <x:v>-1</x:v>
      </x:c>
      <x:c r="O52" s="10" t="n">
        <x:v>0</x:v>
      </x:c>
      <x:c r="P52" s="10" t="n">
        <x:v>0</x:v>
      </x:c>
      <x:c r="Q52" s="10" t="n">
        <x:v>1</x:v>
      </x:c>
      <x:c r="R52" s="10" t="n">
        <x:v>1</x:v>
      </x:c>
      <x:c r="S52" s="10" t="n">
        <x:v>11</x:v>
      </x:c>
      <x:c r="T52" s="10" t="n">
        <x:v>0</x:v>
      </x:c>
      <x:c r="U52" s="10" t="n">
        <x:f>IF(AND(ISNUMBER(X52),X52&gt;=0,Y52&lt;&gt;1),X52,"")</x:f>
        <x:v>11</x:v>
      </x:c>
      <x:c r="V52" s="10" t="n">
        <x:v>0</x:v>
      </x:c>
      <x:c r="W52" s="10" t="n">
        <x:v>0</x:v>
      </x:c>
      <x:c r="X52" s="10" t="n">
        <x:v>11</x:v>
      </x:c>
      <x:c r="Y52" s="3" t="n">
        <x:v>0</x:v>
      </x:c>
      <x:c r="Z52" s="3" t="str">
        <x:v>共同</x:v>
      </x:c>
      <x:c r="AA52" s="3" t="str">
        <x:v>在售</x:v>
      </x:c>
      <x:c r="AB52" s="12" t="n">
        <x:f>IF(AND(Z52="共同",ISNUMBER(G52),ISNUMBER(AD52)),G52-AD52,"")</x:f>
        <x:v>0.02142857142857143</x:v>
      </x:c>
      <x:c r="AC52" s="3" t="str"/>
      <x:c r="AD52" s="12" t="n">
        <x:v>0.006666666666666666</x:v>
      </x:c>
      <x:c r="AE52" s="3" t="str">
        <x:v>[13306,"B07-BK-Z-0-38.5"]</x:v>
      </x:c>
      <x:c r="AF52" t="n">
        <x:f>IF(ISNUMBER(H52),1,0)</x:f>
        <x:v>1</x:v>
      </x:c>
      <x:c r="AG52" t="n">
        <x:f>IF(ISNUMBER(I52),1,0)</x:f>
        <x:v>1</x:v>
      </x:c>
      <x:c r="AH52" t="str">
        <x:v>["B07","B07-BK-Z-0","BK-Z","黑色镜面PU"]</x:v>
      </x:c>
      <x:c r="AI52" t="n">
        <x:f>IF(ISNUMBER(G52),1,0)</x:f>
        <x:v>1</x:v>
      </x:c>
      <x:c r="AJ52" t="n">
        <x:f>IF(ISNUMBER(AD52),1,0)</x:f>
        <x:v>1</x:v>
      </x:c>
    </x:row>
    <x:row r="53" ht="30" customHeight="1">
      <x:c r="A53" s="3" t="str">
        <x:v>B07-BKP-38-by</x:v>
      </x:c>
      <x:c r="B53" s="3" t="str">
        <x:v>4店-彬郁-US</x:v>
      </x:c>
      <x:c r="C53" s="3" t="str">
        <x:v>艾年</x:v>
      </x:c>
      <x:c r="D53" s="3" t="str">
        <x:v>B07</x:v>
      </x:c>
      <x:c r="E53" s="3" t="str">
        <x:f>IF(Z53="移出","已移出",IF(NOT(ISNUMBER(H53)),"数据待核",IF(H53=0,"断货",IF(NOT(ISNUMBER(G53)),"数据待核",IF(G53=0,"零日销待复核",IF(F53&lt;60,"补货提醒",IF(F53&lt;=90,"正常库存",IF(F53&lt;180,"促销",IF(F53&lt;=365,"红线促销","考虑清仓")))))))))</x:f>
        <x:v>考虑清仓</x:v>
      </x:c>
      <x:c r="F53" s="11" t="n">
        <x:f>IF(AND(ISNUMBER(H53),ISNUMBER(G53),G53&gt;0),H53/G53,"")</x:f>
        <x:v>517.9372197309417</x:v>
      </x:c>
      <x:c r="G53" s="12" t="n">
        <x:f>IF(AND(COUNT(P53:R53)=3,MIN(P53:R53)&gt;=0,P53&lt;=Q53,Q53&lt;=R53),P53/7*0.5+Q53/14*0.3+R53/30*0.2,"")</x:f>
        <x:v>0.10619047619047618</x:v>
      </x:c>
      <x:c r="H53" s="10" t="n">
        <x:f>IF(ISNUMBER(U53),U53,"")</x:f>
        <x:v>55</x:v>
      </x:c>
      <x:c r="I53" s="10" t="n">
        <x:v>56</x:v>
      </x:c>
      <x:c r="J53" s="11" t="n">
        <x:f>IF(AND(Z53="共同",ISNUMBER(F53),ISNUMBER(M53)),F53-M53,"")</x:f>
        <x:v>-7882.062780269058</x:v>
      </x:c>
      <x:c r="K53" s="13" t="n">
        <x:f>IF(AND(ISNUMBER(J53),M53&lt;&gt;0),J53/M53,"")</x:f>
        <x:v>-0.9383408071748879</x:v>
      </x:c>
      <x:c r="L53" s="10" t="str">
        <x:v>考虑清仓</x:v>
      </x:c>
      <x:c r="M53" s="11" t="n">
        <x:v>8400</x:v>
      </x:c>
      <x:c r="N53" s="10" t="n">
        <x:f>IF(AND(Z53="共同",COUNT(H53:I53)=2),H53-I53,"")</x:f>
        <x:v>-1</x:v>
      </x:c>
      <x:c r="O53" s="10"/>
      <x:c r="P53" s="10" t="n">
        <x:v>1</x:v>
      </x:c>
      <x:c r="Q53" s="10" t="n">
        <x:v>1</x:v>
      </x:c>
      <x:c r="R53" s="10" t="n">
        <x:v>2</x:v>
      </x:c>
      <x:c r="S53" s="10" t="n">
        <x:v>56</x:v>
      </x:c>
      <x:c r="T53" s="10" t="n">
        <x:v>0</x:v>
      </x:c>
      <x:c r="U53" s="10" t="n">
        <x:f>IF(AND(ISNUMBER(X53),X53&gt;=0,Y53&lt;&gt;1),X53,"")</x:f>
        <x:v>55</x:v>
      </x:c>
      <x:c r="V53" s="10" t="n">
        <x:v>5</x:v>
      </x:c>
      <x:c r="W53" s="10" t="n">
        <x:v>0</x:v>
      </x:c>
      <x:c r="X53" s="10" t="n">
        <x:v>55</x:v>
      </x:c>
      <x:c r="Y53" s="3" t="n">
        <x:v>0</x:v>
      </x:c>
      <x:c r="Z53" s="3" t="str">
        <x:v>共同</x:v>
      </x:c>
      <x:c r="AA53" s="3" t="str">
        <x:v>在售</x:v>
      </x:c>
      <x:c r="AB53" s="12" t="n">
        <x:f>IF(AND(Z53="共同",ISNUMBER(G53),ISNUMBER(AD53)),G53-AD53,"")</x:f>
        <x:v>0.09952380952380951</x:v>
      </x:c>
      <x:c r="AC53" s="3" t="str"/>
      <x:c r="AD53" s="12" t="n">
        <x:v>0.006666666666666666</x:v>
      </x:c>
      <x:c r="AE53" s="3" t="str">
        <x:v>[13306,"B07-BKP-38-by"]</x:v>
      </x:c>
      <x:c r="AF53" t="n">
        <x:f>IF(ISNUMBER(H53),1,0)</x:f>
        <x:v>1</x:v>
      </x:c>
      <x:c r="AG53" t="n">
        <x:f>IF(ISNUMBER(I53),1,0)</x:f>
        <x:v>1</x:v>
      </x:c>
      <x:c r="AH53" t="str">
        <x:v>["B07","B07-BKP","BKP","黑色PU"]</x:v>
      </x:c>
      <x:c r="AI53" t="n">
        <x:f>IF(ISNUMBER(G53),1,0)</x:f>
        <x:v>1</x:v>
      </x:c>
      <x:c r="AJ53" t="n">
        <x:f>IF(ISNUMBER(AD53),1,0)</x:f>
        <x:v>1</x:v>
      </x:c>
    </x:row>
    <x:row r="54" ht="30" customHeight="1">
      <x:c r="A54" s="3" t="str">
        <x:v>B07-CF-41.5</x:v>
      </x:c>
      <x:c r="B54" s="3" t="str">
        <x:v>4店-彬郁-US</x:v>
      </x:c>
      <x:c r="C54" s="3" t="str">
        <x:v>艾年</x:v>
      </x:c>
      <x:c r="D54" s="3" t="str">
        <x:v>B07</x:v>
      </x:c>
      <x:c r="E54" s="3" t="str">
        <x:f>IF(Z54="移出","已移出",IF(NOT(ISNUMBER(H54)),"数据待核",IF(H54=0,"断货",IF(NOT(ISNUMBER(G54)),"数据待核",IF(G54=0,"零日销待复核",IF(F54&lt;60,"补货提醒",IF(F54&lt;=90,"正常库存",IF(F54&lt;180,"促销",IF(F54&lt;=365,"红线促销","考虑清仓")))))))))</x:f>
        <x:v>考虑清仓</x:v>
      </x:c>
      <x:c r="F54" s="11" t="n">
        <x:f>IF(AND(ISNUMBER(H54),ISNUMBER(G54),G54&gt;0),H54/G54,"")</x:f>
        <x:v>5700</x:v>
      </x:c>
      <x:c r="G54" s="12" t="n">
        <x:f>IF(AND(COUNT(P54:R54)=3,MIN(P54:R54)&gt;=0,P54&lt;=Q54,Q54&lt;=R54),P54/7*0.5+Q54/14*0.3+R54/30*0.2,"")</x:f>
        <x:v>0.006666666666666667</x:v>
      </x:c>
      <x:c r="H54" s="10" t="n">
        <x:f>IF(ISNUMBER(U54),U54,"")</x:f>
        <x:v>38</x:v>
      </x:c>
      <x:c r="I54" s="10" t="n">
        <x:v>0</x:v>
      </x:c>
      <x:c r="J54" s="11" t="n">
        <x:f>IF(AND(Z54="共同",ISNUMBER(F54),ISNUMBER(M54)),F54-M54,"")</x:f>
        <x:v>5700</x:v>
      </x:c>
      <x:c r="K54" s="13" t="str">
        <x:f>IF(AND(ISNUMBER(J54),M54&lt;&gt;0),J54/M54,"")</x:f>
      </x:c>
      <x:c r="L54" s="10" t="str">
        <x:v>断货</x:v>
      </x:c>
      <x:c r="M54" s="11" t="n">
        <x:v>0</x:v>
      </x:c>
      <x:c r="N54" s="10" t="n">
        <x:f>IF(AND(Z54="共同",COUNT(H54:I54)=2),H54-I54,"")</x:f>
        <x:v>38</x:v>
      </x:c>
      <x:c r="O54" s="10" t="n">
        <x:v>0</x:v>
      </x:c>
      <x:c r="P54" s="10" t="n">
        <x:v>0</x:v>
      </x:c>
      <x:c r="Q54" s="10" t="n">
        <x:v>0</x:v>
      </x:c>
      <x:c r="R54" s="10" t="n">
        <x:v>1</x:v>
      </x:c>
      <x:c r="S54" s="10" t="n">
        <x:v>38</x:v>
      </x:c>
      <x:c r="T54" s="10" t="n">
        <x:v>0</x:v>
      </x:c>
      <x:c r="U54" s="10" t="n">
        <x:f>IF(AND(ISNUMBER(X54),X54&gt;=0,Y54&lt;&gt;1),X54,"")</x:f>
        <x:v>38</x:v>
      </x:c>
      <x:c r="V54" s="10" t="n">
        <x:v>0</x:v>
      </x:c>
      <x:c r="W54" s="10" t="n">
        <x:v>0</x:v>
      </x:c>
      <x:c r="X54" s="10" t="n">
        <x:v>38</x:v>
      </x:c>
      <x:c r="Y54" s="3" t="n">
        <x:v>0</x:v>
      </x:c>
      <x:c r="Z54" s="3" t="str">
        <x:v>共同</x:v>
      </x:c>
      <x:c r="AA54" s="3" t="str">
        <x:v>在售</x:v>
      </x:c>
      <x:c r="AB54" s="12" t="n">
        <x:f>IF(AND(Z54="共同",ISNUMBER(G54),ISNUMBER(AD54)),G54-AD54,"")</x:f>
        <x:v>-0.09952380952380953</x:v>
      </x:c>
      <x:c r="AC54" s="3" t="str"/>
      <x:c r="AD54" s="12" t="n">
        <x:v>0.1061904761904762</x:v>
      </x:c>
      <x:c r="AE54" s="3" t="str">
        <x:v>[13306,"B07-CF-41.5"]</x:v>
      </x:c>
      <x:c r="AF54" t="n">
        <x:f>IF(ISNUMBER(H54),1,0)</x:f>
        <x:v>1</x:v>
      </x:c>
      <x:c r="AG54" t="n">
        <x:f>IF(ISNUMBER(I54),1,0)</x:f>
        <x:v>1</x:v>
      </x:c>
      <x:c r="AH54" t="str">
        <x:v>["B07","B07-CF","CF","咖色PU"]</x:v>
      </x:c>
      <x:c r="AI54" t="n">
        <x:f>IF(ISNUMBER(G54),1,0)</x:f>
        <x:v>1</x:v>
      </x:c>
      <x:c r="AJ54" t="n">
        <x:f>IF(ISNUMBER(AD54),1,0)</x:f>
        <x:v>1</x:v>
      </x:c>
    </x:row>
    <x:row r="55" ht="30" customHeight="1">
      <x:c r="A55" s="3" t="str">
        <x:v>B07-IV-P-39</x:v>
      </x:c>
      <x:c r="B55" s="3" t="str">
        <x:v>4店-彬郁-US</x:v>
      </x:c>
      <x:c r="C55" s="3" t="str">
        <x:v>艾年</x:v>
      </x:c>
      <x:c r="D55" s="3" t="str">
        <x:v>B07</x:v>
      </x:c>
      <x:c r="E55" s="3" t="str">
        <x:f>IF(Z55="移出","已移出",IF(NOT(ISNUMBER(H55)),"数据待核",IF(H55=0,"断货",IF(NOT(ISNUMBER(G55)),"数据待核",IF(G55=0,"零日销待复核",IF(F55&lt;60,"补货提醒",IF(F55&lt;=90,"正常库存",IF(F55&lt;180,"促销",IF(F55&lt;=365,"红线促销","考虑清仓")))))))))</x:f>
        <x:v>考虑清仓</x:v>
      </x:c>
      <x:c r="F55" s="11" t="n">
        <x:f>IF(AND(ISNUMBER(H55),ISNUMBER(G55),G55&gt;0),H55/G55,"")</x:f>
        <x:v>1275</x:v>
      </x:c>
      <x:c r="G55" s="12" t="n">
        <x:f>IF(AND(COUNT(P55:R55)=3,MIN(P55:R55)&gt;=0,P55&lt;=Q55,Q55&lt;=R55),P55/7*0.5+Q55/14*0.3+R55/30*0.2,"")</x:f>
        <x:v>0.013333333333333334</x:v>
      </x:c>
      <x:c r="H55" s="10" t="n">
        <x:f>IF(ISNUMBER(U55),U55,"")</x:f>
        <x:v>17</x:v>
      </x:c>
      <x:c r="I55" s="10" t="n">
        <x:v>15</x:v>
      </x:c>
      <x:c r="J55" s="11" t="n">
        <x:f>IF(AND(Z55="共同",ISNUMBER(F55),ISNUMBER(M55)),F55-M55,"")</x:f>
        <x:v>1036.3636363636365</x:v>
      </x:c>
      <x:c r="K55" s="13" t="n">
        <x:f>IF(AND(ISNUMBER(J55),M55&lt;&gt;0),J55/M55,"")</x:f>
        <x:v>4.342857142857143</x:v>
      </x:c>
      <x:c r="L55" s="10" t="str">
        <x:v>红线促销</x:v>
      </x:c>
      <x:c r="M55" s="11" t="n">
        <x:v>238.63636363636363</x:v>
      </x:c>
      <x:c r="N55" s="10" t="n">
        <x:f>IF(AND(Z55="共同",COUNT(H55:I55)=2),H55-I55,"")</x:f>
        <x:v>2</x:v>
      </x:c>
      <x:c r="O55" s="10" t="n">
        <x:v>11</x:v>
      </x:c>
      <x:c r="P55" s="10" t="n">
        <x:v>0</x:v>
      </x:c>
      <x:c r="Q55" s="10" t="n">
        <x:v>0</x:v>
      </x:c>
      <x:c r="R55" s="10" t="n">
        <x:v>2</x:v>
      </x:c>
      <x:c r="S55" s="10" t="n">
        <x:v>17</x:v>
      </x:c>
      <x:c r="T55" s="10" t="n">
        <x:v>0</x:v>
      </x:c>
      <x:c r="U55" s="10" t="n">
        <x:f>IF(AND(ISNUMBER(X55),X55&gt;=0,Y55&lt;&gt;1),X55,"")</x:f>
        <x:v>17</x:v>
      </x:c>
      <x:c r="V55" s="10" t="n">
        <x:v>0</x:v>
      </x:c>
      <x:c r="W55" s="10" t="n">
        <x:v>20</x:v>
      </x:c>
      <x:c r="X55" s="10" t="n">
        <x:v>17</x:v>
      </x:c>
      <x:c r="Y55" s="3" t="n">
        <x:v>0</x:v>
      </x:c>
      <x:c r="Z55" s="3" t="str">
        <x:v>共同</x:v>
      </x:c>
      <x:c r="AA55" s="3" t="str">
        <x:v>在售</x:v>
      </x:c>
      <x:c r="AB55" s="12" t="n">
        <x:f>IF(AND(Z55="共同",ISNUMBER(G55),ISNUMBER(AD55)),G55-AD55,"")</x:f>
        <x:v>-0.049523809523809526</x:v>
      </x:c>
      <x:c r="AC55" s="3" t="str"/>
      <x:c r="AD55" s="12" t="n">
        <x:v>0.06285714285714286</x:v>
      </x:c>
      <x:c r="AE55" s="3" t="str">
        <x:v>[13306,"B07-IV-P-39"]</x:v>
      </x:c>
      <x:c r="AF55" t="n">
        <x:f>IF(ISNUMBER(H55),1,0)</x:f>
        <x:v>1</x:v>
      </x:c>
      <x:c r="AG55" t="n">
        <x:f>IF(ISNUMBER(I55),1,0)</x:f>
        <x:v>1</x:v>
      </x:c>
      <x:c r="AH55" t="str">
        <x:v>["B07","B07-IV-P","IV-P","米白色PU"]</x:v>
      </x:c>
      <x:c r="AI55" t="n">
        <x:f>IF(ISNUMBER(G55),1,0)</x:f>
        <x:v>1</x:v>
      </x:c>
      <x:c r="AJ55" t="n">
        <x:f>IF(ISNUMBER(AD55),1,0)</x:f>
        <x:v>1</x:v>
      </x:c>
    </x:row>
    <x:row r="56" ht="30" customHeight="1">
      <x:c r="A56" s="3" t="str">
        <x:v>B07-IV-P-39.5</x:v>
      </x:c>
      <x:c r="B56" s="3" t="str">
        <x:v>4店-彬郁-US</x:v>
      </x:c>
      <x:c r="C56" s="3" t="str">
        <x:v>艾年</x:v>
      </x:c>
      <x:c r="D56" s="3" t="str">
        <x:v>B07</x:v>
      </x:c>
      <x:c r="E56" s="3" t="str">
        <x:f>IF(Z56="移出","已移出",IF(NOT(ISNUMBER(H56)),"数据待核",IF(H56=0,"断货",IF(NOT(ISNUMBER(G56)),"数据待核",IF(G56=0,"零日销待复核",IF(F56&lt;60,"补货提醒",IF(F56&lt;=90,"正常库存",IF(F56&lt;180,"促销",IF(F56&lt;=365,"红线促销","考虑清仓")))))))))</x:f>
        <x:v>考虑清仓</x:v>
      </x:c>
      <x:c r="F56" s="11" t="n">
        <x:f>IF(AND(ISNUMBER(H56),ISNUMBER(G56),G56&gt;0),H56/G56,"")</x:f>
        <x:v>1725</x:v>
      </x:c>
      <x:c r="G56" s="12" t="n">
        <x:f>IF(AND(COUNT(P56:R56)=3,MIN(P56:R56)&gt;=0,P56&lt;=Q56,Q56&lt;=R56),P56/7*0.5+Q56/14*0.3+R56/30*0.2,"")</x:f>
        <x:v>0.013333333333333334</x:v>
      </x:c>
      <x:c r="H56" s="10" t="n">
        <x:f>IF(ISNUMBER(U56),U56,"")</x:f>
        <x:v>23</x:v>
      </x:c>
      <x:c r="I56" s="10" t="n">
        <x:v>23</x:v>
      </x:c>
      <x:c r="J56" s="11" t="n">
        <x:f>IF(AND(Z56="共同",ISNUMBER(F56),ISNUMBER(M56)),F56-M56,"")</x:f>
        <x:v>1544.776119402985</x:v>
      </x:c>
      <x:c r="K56" s="13" t="n">
        <x:f>IF(AND(ISNUMBER(J56),M56&lt;&gt;0),J56/M56,"")</x:f>
        <x:v>8.57142857142857</x:v>
      </x:c>
      <x:c r="L56" s="10" t="str">
        <x:v>红线促销</x:v>
      </x:c>
      <x:c r="M56" s="11" t="n">
        <x:v>180.22388059701495</x:v>
      </x:c>
      <x:c r="N56" s="10" t="n">
        <x:f>IF(AND(Z56="共同",COUNT(H56:I56)=2),H56-I56,"")</x:f>
        <x:v>0</x:v>
      </x:c>
      <x:c r="O56" s="10" t="n">
        <x:v>0</x:v>
      </x:c>
      <x:c r="P56" s="10" t="n">
        <x:v>0</x:v>
      </x:c>
      <x:c r="Q56" s="10" t="n">
        <x:v>0</x:v>
      </x:c>
      <x:c r="R56" s="10" t="n">
        <x:v>2</x:v>
      </x:c>
      <x:c r="S56" s="10" t="n">
        <x:v>23</x:v>
      </x:c>
      <x:c r="T56" s="10" t="n">
        <x:v>0</x:v>
      </x:c>
      <x:c r="U56" s="10" t="n">
        <x:f>IF(AND(ISNUMBER(X56),X56&gt;=0,Y56&lt;&gt;1),X56,"")</x:f>
        <x:v>23</x:v>
      </x:c>
      <x:c r="V56" s="10" t="n">
        <x:v>0</x:v>
      </x:c>
      <x:c r="W56" s="10" t="n">
        <x:v>0</x:v>
      </x:c>
      <x:c r="X56" s="10" t="n">
        <x:v>23</x:v>
      </x:c>
      <x:c r="Y56" s="3" t="n">
        <x:v>0</x:v>
      </x:c>
      <x:c r="Z56" s="3" t="str">
        <x:v>共同</x:v>
      </x:c>
      <x:c r="AA56" s="3" t="str">
        <x:v>在售</x:v>
      </x:c>
      <x:c r="AB56" s="12" t="n">
        <x:f>IF(AND(Z56="共同",ISNUMBER(G56),ISNUMBER(AD56)),G56-AD56,"")</x:f>
        <x:v>-0.11428571428571427</x:v>
      </x:c>
      <x:c r="AC56" s="3" t="str"/>
      <x:c r="AD56" s="12" t="n">
        <x:v>0.1276190476190476</x:v>
      </x:c>
      <x:c r="AE56" s="3" t="str">
        <x:v>[13306,"B07-IV-P-39.5"]</x:v>
      </x:c>
      <x:c r="AF56" t="n">
        <x:f>IF(ISNUMBER(H56),1,0)</x:f>
        <x:v>1</x:v>
      </x:c>
      <x:c r="AG56" t="n">
        <x:f>IF(ISNUMBER(I56),1,0)</x:f>
        <x:v>1</x:v>
      </x:c>
      <x:c r="AH56" t="str">
        <x:v>["B07","B07-IV-P","IV-P","米白色PU"]</x:v>
      </x:c>
      <x:c r="AI56" t="n">
        <x:f>IF(ISNUMBER(G56),1,0)</x:f>
        <x:v>1</x:v>
      </x:c>
      <x:c r="AJ56" t="n">
        <x:f>IF(ISNUMBER(AD56),1,0)</x:f>
        <x:v>1</x:v>
      </x:c>
    </x:row>
    <x:row r="57" ht="30" customHeight="1">
      <x:c r="A57" s="3" t="str">
        <x:v>B07-MT-37-by</x:v>
      </x:c>
      <x:c r="B57" s="3" t="str">
        <x:v>4店-彬郁-US</x:v>
      </x:c>
      <x:c r="C57" s="3" t="str">
        <x:v>艾年</x:v>
      </x:c>
      <x:c r="D57" s="3" t="str">
        <x:v>B07</x:v>
      </x:c>
      <x:c r="E57" s="3" t="str">
        <x:f>IF(Z57="移出","已移出",IF(NOT(ISNUMBER(H57)),"数据待核",IF(H57=0,"断货",IF(NOT(ISNUMBER(G57)),"数据待核",IF(G57=0,"零日销待复核",IF(F57&lt;60,"补货提醒",IF(F57&lt;=90,"正常库存",IF(F57&lt;180,"促销",IF(F57&lt;=365,"红线促销","考虑清仓")))))))))</x:f>
        <x:v>考虑清仓</x:v>
      </x:c>
      <x:c r="F57" s="11" t="n">
        <x:f>IF(AND(ISNUMBER(H57),ISNUMBER(G57),G57&gt;0),H57/G57,"")</x:f>
        <x:v>3824.9999999999995</x:v>
      </x:c>
      <x:c r="G57" s="12" t="n">
        <x:f>IF(AND(COUNT(P57:R57)=3,MIN(P57:R57)&gt;=0,P57&lt;=Q57,Q57&lt;=R57),P57/7*0.5+Q57/14*0.3+R57/30*0.2,"")</x:f>
        <x:v>0.013333333333333334</x:v>
      </x:c>
      <x:c r="H57" s="10" t="n">
        <x:f>IF(ISNUMBER(U57),U57,"")</x:f>
        <x:v>51</x:v>
      </x:c>
      <x:c r="I57" s="10" t="n">
        <x:v>41</x:v>
      </x:c>
      <x:c r="J57" s="11" t="n">
        <x:f>IF(AND(Z57="共同",ISNUMBER(F57),ISNUMBER(M57)),F57-M57,"")</x:f>
        <x:v>3095.3389830508468</x:v>
      </x:c>
      <x:c r="K57" s="13" t="n">
        <x:f>IF(AND(ISNUMBER(J57),M57&lt;&gt;0),J57/M57,"")</x:f>
        <x:v>4.242160278745644</x:v>
      </x:c>
      <x:c r="L57" s="10" t="str">
        <x:v>考虑清仓</x:v>
      </x:c>
      <x:c r="M57" s="11" t="n">
        <x:v>729.6610169491526</x:v>
      </x:c>
      <x:c r="N57" s="10" t="n">
        <x:f>IF(AND(Z57="共同",COUNT(H57:I57)=2),H57-I57,"")</x:f>
        <x:v>10</x:v>
      </x:c>
      <x:c r="O57" s="10" t="n">
        <x:v>0</x:v>
      </x:c>
      <x:c r="P57" s="10" t="n">
        <x:v>0</x:v>
      </x:c>
      <x:c r="Q57" s="10" t="n">
        <x:v>0</x:v>
      </x:c>
      <x:c r="R57" s="10" t="n">
        <x:v>2</x:v>
      </x:c>
      <x:c r="S57" s="10" t="n">
        <x:v>51</x:v>
      </x:c>
      <x:c r="T57" s="10" t="n">
        <x:v>0</x:v>
      </x:c>
      <x:c r="U57" s="10" t="n">
        <x:f>IF(AND(ISNUMBER(X57),X57&gt;=0,Y57&lt;&gt;1),X57,"")</x:f>
        <x:v>51</x:v>
      </x:c>
      <x:c r="V57" s="10" t="n">
        <x:v>45</x:v>
      </x:c>
      <x:c r="W57" s="10" t="n">
        <x:v>0</x:v>
      </x:c>
      <x:c r="X57" s="10" t="n">
        <x:v>51</x:v>
      </x:c>
      <x:c r="Y57" s="3" t="n">
        <x:v>0</x:v>
      </x:c>
      <x:c r="Z57" s="3" t="str">
        <x:v>共同</x:v>
      </x:c>
      <x:c r="AA57" s="3" t="str">
        <x:v>在售</x:v>
      </x:c>
      <x:c r="AB57" s="12" t="n">
        <x:f>IF(AND(Z57="共同",ISNUMBER(G57),ISNUMBER(AD57)),G57-AD57,"")</x:f>
        <x:v>-0.04285714285714286</x:v>
      </x:c>
      <x:c r="AC57" s="3" t="str"/>
      <x:c r="AD57" s="12" t="n">
        <x:v>0.05619047619047619</x:v>
      </x:c>
      <x:c r="AE57" s="3" t="str">
        <x:v>[13306,"B07-MT-37-by"]</x:v>
      </x:c>
      <x:c r="AF57" t="n">
        <x:f>IF(ISNUMBER(H57),1,0)</x:f>
        <x:v>1</x:v>
      </x:c>
      <x:c r="AG57" t="n">
        <x:f>IF(ISNUMBER(I57),1,0)</x:f>
        <x:v>1</x:v>
      </x:c>
      <x:c r="AH57" t="str">
        <x:v>["B07","B07-MT","MT","黄色羊京绒"]</x:v>
      </x:c>
      <x:c r="AI57" t="n">
        <x:f>IF(ISNUMBER(G57),1,0)</x:f>
        <x:v>1</x:v>
      </x:c>
      <x:c r="AJ57" t="n">
        <x:f>IF(ISNUMBER(AD57),1,0)</x:f>
        <x:v>1</x:v>
      </x:c>
    </x:row>
    <x:row r="58" ht="30" customHeight="1">
      <x:c r="A58" s="3" t="str">
        <x:v>B07-MT-38-New</x:v>
      </x:c>
      <x:c r="B58" s="3" t="str">
        <x:v>4店-彬郁-US</x:v>
      </x:c>
      <x:c r="C58" s="3" t="str">
        <x:v>艾年</x:v>
      </x:c>
      <x:c r="D58" s="3" t="str">
        <x:v>B07</x:v>
      </x:c>
      <x:c r="E58" s="3" t="str">
        <x:f>IF(Z58="移出","已移出",IF(NOT(ISNUMBER(H58)),"数据待核",IF(H58=0,"断货",IF(NOT(ISNUMBER(G58)),"数据待核",IF(G58=0,"零日销待复核",IF(F58&lt;60,"补货提醒",IF(F58&lt;=90,"正常库存",IF(F58&lt;180,"促销",IF(F58&lt;=365,"红线促销","考虑清仓")))))))))</x:f>
        <x:v>考虑清仓</x:v>
      </x:c>
      <x:c r="F58" s="11" t="n">
        <x:f>IF(AND(ISNUMBER(H58),ISNUMBER(G58),G58&gt;0),H58/G58,"")</x:f>
        <x:v>752.1276595744681</x:v>
      </x:c>
      <x:c r="G58" s="12" t="n">
        <x:f>IF(AND(COUNT(P58:R58)=3,MIN(P58:R58)&gt;=0,P58&lt;=Q58,Q58&lt;=R58),P58/7*0.5+Q58/14*0.3+R58/30*0.2,"")</x:f>
        <x:v>0.13428571428571429</x:v>
      </x:c>
      <x:c r="H58" s="10" t="n">
        <x:f>IF(ISNUMBER(U58),U58,"")</x:f>
        <x:v>101</x:v>
      </x:c>
      <x:c r="I58" s="10" t="n">
        <x:v>7</x:v>
      </x:c>
      <x:c r="J58" s="11" t="n">
        <x:f>IF(AND(Z58="共同",ISNUMBER(F58),ISNUMBER(M58)),F58-M58,"")</x:f>
        <x:v>502.9751172015867</x:v>
      </x:c>
      <x:c r="K58" s="13" t="n">
        <x:f>IF(AND(ISNUMBER(J58),M58&lt;&gt;0),J58/M58,"")</x:f>
        <x:v>2.018743667679838</x:v>
      </x:c>
      <x:c r="L58" s="10" t="str">
        <x:v>红线促销</x:v>
      </x:c>
      <x:c r="M58" s="11" t="n">
        <x:v>249.15254237288136</x:v>
      </x:c>
      <x:c r="N58" s="10" t="n">
        <x:f>IF(AND(Z58="共同",COUNT(H58:I58)=2),H58-I58,"")</x:f>
        <x:v>94</x:v>
      </x:c>
      <x:c r="O58" s="10" t="n">
        <x:v>0</x:v>
      </x:c>
      <x:c r="P58" s="10" t="n">
        <x:v>1</x:v>
      </x:c>
      <x:c r="Q58" s="10" t="n">
        <x:v>2</x:v>
      </x:c>
      <x:c r="R58" s="10" t="n">
        <x:v>3</x:v>
      </x:c>
      <x:c r="S58" s="10" t="n">
        <x:v>106</x:v>
      </x:c>
      <x:c r="T58" s="10" t="n">
        <x:v>0</x:v>
      </x:c>
      <x:c r="U58" s="10" t="n">
        <x:f>IF(AND(ISNUMBER(X58),X58&gt;=0,Y58&lt;&gt;1),X58,"")</x:f>
        <x:v>101</x:v>
      </x:c>
      <x:c r="V58" s="10" t="n">
        <x:v>0</x:v>
      </x:c>
      <x:c r="W58" s="10" t="n">
        <x:v>0</x:v>
      </x:c>
      <x:c r="X58" s="10" t="n">
        <x:v>101</x:v>
      </x:c>
      <x:c r="Y58" s="3" t="n">
        <x:v>0</x:v>
      </x:c>
      <x:c r="Z58" s="3" t="str">
        <x:v>共同</x:v>
      </x:c>
      <x:c r="AA58" s="3" t="str">
        <x:v>在售</x:v>
      </x:c>
      <x:c r="AB58" s="12" t="n">
        <x:f>IF(AND(Z58="共同",ISNUMBER(G58),ISNUMBER(AD58)),G58-AD58,"")</x:f>
        <x:v>0.1061904761904762</x:v>
      </x:c>
      <x:c r="AC58" s="3" t="str"/>
      <x:c r="AD58" s="12" t="n">
        <x:v>0.028095238095238097</x:v>
      </x:c>
      <x:c r="AE58" s="3" t="str">
        <x:v>[13306,"B07-MT-38-New"]</x:v>
      </x:c>
      <x:c r="AF58" t="n">
        <x:f>IF(ISNUMBER(H58),1,0)</x:f>
        <x:v>1</x:v>
      </x:c>
      <x:c r="AG58" t="n">
        <x:f>IF(ISNUMBER(I58),1,0)</x:f>
        <x:v>1</x:v>
      </x:c>
      <x:c r="AH58" t="str">
        <x:v>["B07","B07-MT","MT","黄色羊京绒"]</x:v>
      </x:c>
      <x:c r="AI58" t="n">
        <x:f>IF(ISNUMBER(G58),1,0)</x:f>
        <x:v>1</x:v>
      </x:c>
      <x:c r="AJ58" t="n">
        <x:f>IF(ISNUMBER(AD58),1,0)</x:f>
        <x:v>1</x:v>
      </x:c>
    </x:row>
    <x:row r="59" ht="30" customHeight="1">
      <x:c r="A59" s="3" t="str">
        <x:v>B07-ND-I-0-38</x:v>
      </x:c>
      <x:c r="B59" s="3" t="str">
        <x:v>4店-彬郁-US</x:v>
      </x:c>
      <x:c r="C59" s="3" t="str">
        <x:v>艾年</x:v>
      </x:c>
      <x:c r="D59" s="3" t="str">
        <x:v>B07</x:v>
      </x:c>
      <x:c r="E59" s="3" t="str">
        <x:f>IF(Z59="移出","已移出",IF(NOT(ISNUMBER(H59)),"数据待核",IF(H59=0,"断货",IF(NOT(ISNUMBER(G59)),"数据待核",IF(G59=0,"零日销待复核",IF(F59&lt;60,"补货提醒",IF(F59&lt;=90,"正常库存",IF(F59&lt;180,"促销",IF(F59&lt;=365,"红线促销","考虑清仓")))))))))</x:f>
        <x:v>考虑清仓</x:v>
      </x:c>
      <x:c r="F59" s="11" t="n">
        <x:f>IF(AND(ISNUMBER(H59),ISNUMBER(G59),G59&gt;0),H59/G59,"")</x:f>
        <x:v>2250</x:v>
      </x:c>
      <x:c r="G59" s="12" t="n">
        <x:f>IF(AND(COUNT(P59:R59)=3,MIN(P59:R59)&gt;=0,P59&lt;=Q59,Q59&lt;=R59),P59/7*0.5+Q59/14*0.3+R59/30*0.2,"")</x:f>
        <x:v>0.006666666666666667</x:v>
      </x:c>
      <x:c r="H59" s="10" t="n">
        <x:f>IF(ISNUMBER(U59),U59,"")</x:f>
        <x:v>15</x:v>
      </x:c>
      <x:c r="I59" s="10" t="n">
        <x:v>15</x:v>
      </x:c>
      <x:c r="J59" s="11" t="n">
        <x:f>IF(AND(Z59="共同",ISNUMBER(F59),ISNUMBER(M59)),F59-M59,"")</x:f>
        <x:v>1716.1016949152543</x:v>
      </x:c>
      <x:c r="K59" s="13" t="n">
        <x:f>IF(AND(ISNUMBER(J59),M59&lt;&gt;0),J59/M59,"")</x:f>
        <x:v>3.2142857142857144</x:v>
      </x:c>
      <x:c r="L59" s="10" t="str">
        <x:v>考虑清仓</x:v>
      </x:c>
      <x:c r="M59" s="11" t="n">
        <x:v>533.8983050847457</x:v>
      </x:c>
      <x:c r="N59" s="10" t="n">
        <x:f>IF(AND(Z59="共同",COUNT(H59:I59)=2),H59-I59,"")</x:f>
        <x:v>0</x:v>
      </x:c>
      <x:c r="O59" s="10" t="n">
        <x:v>20</x:v>
      </x:c>
      <x:c r="P59" s="10" t="n">
        <x:v>0</x:v>
      </x:c>
      <x:c r="Q59" s="10" t="n">
        <x:v>0</x:v>
      </x:c>
      <x:c r="R59" s="10" t="n">
        <x:v>1</x:v>
      </x:c>
      <x:c r="S59" s="10" t="n">
        <x:v>15</x:v>
      </x:c>
      <x:c r="T59" s="10" t="n">
        <x:v>0</x:v>
      </x:c>
      <x:c r="U59" s="10" t="n">
        <x:f>IF(AND(ISNUMBER(X59),X59&gt;=0,Y59&lt;&gt;1),X59,"")</x:f>
        <x:v>15</x:v>
      </x:c>
      <x:c r="V59" s="10" t="n">
        <x:v>0</x:v>
      </x:c>
      <x:c r="W59" s="10" t="n">
        <x:v>0</x:v>
      </x:c>
      <x:c r="X59" s="10" t="n">
        <x:v>15</x:v>
      </x:c>
      <x:c r="Y59" s="3" t="n">
        <x:v>0</x:v>
      </x:c>
      <x:c r="Z59" s="3" t="str">
        <x:v>共同</x:v>
      </x:c>
      <x:c r="AA59" s="3" t="str">
        <x:v>在售</x:v>
      </x:c>
      <x:c r="AB59" s="12" t="n">
        <x:f>IF(AND(Z59="共同",ISNUMBER(G59),ISNUMBER(AD59)),G59-AD59,"")</x:f>
        <x:v>-0.02142857142857143</x:v>
      </x:c>
      <x:c r="AC59" s="3" t="str"/>
      <x:c r="AD59" s="12" t="n">
        <x:v>0.028095238095238097</x:v>
      </x:c>
      <x:c r="AE59" s="3" t="str">
        <x:v>[13306,"B07-ND-I-0-38"]</x:v>
      </x:c>
      <x:c r="AF59" t="n">
        <x:f>IF(ISNUMBER(H59),1,0)</x:f>
        <x:v>1</x:v>
      </x:c>
      <x:c r="AG59" t="n">
        <x:f>IF(ISNUMBER(I59),1,0)</x:f>
        <x:v>1</x:v>
      </x:c>
      <x:c r="AH59" t="str">
        <x:v>["B07","B07-ND-I-0","ND-I","裸色色织提花"]</x:v>
      </x:c>
      <x:c r="AI59" t="n">
        <x:f>IF(ISNUMBER(G59),1,0)</x:f>
        <x:v>1</x:v>
      </x:c>
      <x:c r="AJ59" t="n">
        <x:f>IF(ISNUMBER(AD59),1,0)</x:f>
        <x:v>1</x:v>
      </x:c>
    </x:row>
    <x:row r="60" ht="30" customHeight="1">
      <x:c r="A60" s="3" t="str">
        <x:v>B07-ND-I-0-41</x:v>
      </x:c>
      <x:c r="B60" s="3" t="str">
        <x:v>4店-彬郁-US</x:v>
      </x:c>
      <x:c r="C60" s="3" t="str">
        <x:v>艾年</x:v>
      </x:c>
      <x:c r="D60" s="3" t="str">
        <x:v>B07</x:v>
      </x:c>
      <x:c r="E60" s="3" t="str">
        <x:f>IF(Z60="移出","已移出",IF(NOT(ISNUMBER(H60)),"数据待核",IF(H60=0,"断货",IF(NOT(ISNUMBER(G60)),"数据待核",IF(G60=0,"零日销待复核",IF(F60&lt;60,"补货提醒",IF(F60&lt;=90,"正常库存",IF(F60&lt;180,"促销",IF(F60&lt;=365,"红线促销","考虑清仓")))))))))</x:f>
        <x:v>考虑清仓</x:v>
      </x:c>
      <x:c r="F60" s="11" t="n">
        <x:f>IF(AND(ISNUMBER(H60),ISNUMBER(G60),G60&gt;0),H60/G60,"")</x:f>
        <x:v>460.2739726027398</x:v>
      </x:c>
      <x:c r="G60" s="12" t="n">
        <x:f>IF(AND(COUNT(P60:R60)=3,MIN(P60:R60)&gt;=0,P60&lt;=Q60,Q60&lt;=R60),P60/7*0.5+Q60/14*0.3+R60/30*0.2,"")</x:f>
        <x:v>0.03476190476190476</x:v>
      </x:c>
      <x:c r="H60" s="10" t="n">
        <x:f>IF(ISNUMBER(U60),U60,"")</x:f>
        <x:v>16</x:v>
      </x:c>
      <x:c r="I60" s="10" t="n">
        <x:v>12</x:v>
      </x:c>
      <x:c r="J60" s="11" t="n">
        <x:f>IF(AND(Z60="共同",ISNUMBER(F60),ISNUMBER(M60)),F60-M60,"")</x:f>
        <x:v>339.6998099233139</x:v>
      </x:c>
      <x:c r="K60" s="13" t="n">
        <x:f>IF(AND(ISNUMBER(J60),M60&lt;&gt;0),J60/M60,"")</x:f>
        <x:v>2.817351598173516</x:v>
      </x:c>
      <x:c r="L60" s="10" t="str">
        <x:v>促销</x:v>
      </x:c>
      <x:c r="M60" s="11" t="n">
        <x:v>120.57416267942585</x:v>
      </x:c>
      <x:c r="N60" s="10" t="n">
        <x:f>IF(AND(Z60="共同",COUNT(H60:I60)=2),H60-I60,"")</x:f>
        <x:v>4</x:v>
      </x:c>
      <x:c r="O60" s="10" t="n">
        <x:v>0</x:v>
      </x:c>
      <x:c r="P60" s="10" t="n">
        <x:v>0</x:v>
      </x:c>
      <x:c r="Q60" s="10" t="n">
        <x:v>1</x:v>
      </x:c>
      <x:c r="R60" s="10" t="n">
        <x:v>2</x:v>
      </x:c>
      <x:c r="S60" s="10" t="n">
        <x:v>25</x:v>
      </x:c>
      <x:c r="T60" s="10" t="n">
        <x:v>0</x:v>
      </x:c>
      <x:c r="U60" s="10" t="n">
        <x:f>IF(AND(ISNUMBER(X60),X60&gt;=0,Y60&lt;&gt;1),X60,"")</x:f>
        <x:v>16</x:v>
      </x:c>
      <x:c r="V60" s="10" t="n">
        <x:v>0</x:v>
      </x:c>
      <x:c r="W60" s="10" t="n">
        <x:v>0</x:v>
      </x:c>
      <x:c r="X60" s="10" t="n">
        <x:v>16</x:v>
      </x:c>
      <x:c r="Y60" s="3" t="n">
        <x:v>0</x:v>
      </x:c>
      <x:c r="Z60" s="3" t="str">
        <x:v>共同</x:v>
      </x:c>
      <x:c r="AA60" s="3" t="str">
        <x:v>在售</x:v>
      </x:c>
      <x:c r="AB60" s="12" t="n">
        <x:f>IF(AND(Z60="共同",ISNUMBER(G60),ISNUMBER(AD60)),G60-AD60,"")</x:f>
        <x:v>-0.06476190476190476</x:v>
      </x:c>
      <x:c r="AC60" s="3" t="str"/>
      <x:c r="AD60" s="12" t="n">
        <x:v>0.09952380952380951</x:v>
      </x:c>
      <x:c r="AE60" s="3" t="str">
        <x:v>[13306,"B07-ND-I-0-41"]</x:v>
      </x:c>
      <x:c r="AF60" t="n">
        <x:f>IF(ISNUMBER(H60),1,0)</x:f>
        <x:v>1</x:v>
      </x:c>
      <x:c r="AG60" t="n">
        <x:f>IF(ISNUMBER(I60),1,0)</x:f>
        <x:v>1</x:v>
      </x:c>
      <x:c r="AH60" t="str">
        <x:v>["B07","B07-ND-I-0","ND-I","裸色色织提花"]</x:v>
      </x:c>
      <x:c r="AI60" t="n">
        <x:f>IF(ISNUMBER(G60),1,0)</x:f>
        <x:v>1</x:v>
      </x:c>
      <x:c r="AJ60" t="n">
        <x:f>IF(ISNUMBER(AD60),1,0)</x:f>
        <x:v>1</x:v>
      </x:c>
    </x:row>
    <x:row r="61" ht="30" customHeight="1">
      <x:c r="A61" s="3" t="str">
        <x:v>B07-ND-Z-0-38.5</x:v>
      </x:c>
      <x:c r="B61" s="3" t="str">
        <x:v>4店-彬郁-US</x:v>
      </x:c>
      <x:c r="C61" s="3" t="str">
        <x:v>艾年</x:v>
      </x:c>
      <x:c r="D61" s="3" t="str">
        <x:v>B07</x:v>
      </x:c>
      <x:c r="E61" s="3" t="str">
        <x:f>IF(Z61="移出","已移出",IF(NOT(ISNUMBER(H61)),"数据待核",IF(H61=0,"断货",IF(NOT(ISNUMBER(G61)),"数据待核",IF(G61=0,"零日销待复核",IF(F61&lt;60,"补货提醒",IF(F61&lt;=90,"正常库存",IF(F61&lt;180,"促销",IF(F61&lt;=365,"红线促销","考虑清仓")))))))))</x:f>
        <x:v>考虑清仓</x:v>
      </x:c>
      <x:c r="F61" s="11" t="n">
        <x:f>IF(AND(ISNUMBER(H61),ISNUMBER(G61),G61&gt;0),H61/G61,"")</x:f>
        <x:v>1050</x:v>
      </x:c>
      <x:c r="G61" s="12" t="n">
        <x:f>IF(AND(COUNT(P61:R61)=3,MIN(P61:R61)&gt;=0,P61&lt;=Q61,Q61&lt;=R61),P61/7*0.5+Q61/14*0.3+R61/30*0.2,"")</x:f>
        <x:v>0.006666666666666667</x:v>
      </x:c>
      <x:c r="H61" s="10" t="n">
        <x:f>IF(ISNUMBER(U61),U61,"")</x:f>
        <x:v>7</x:v>
      </x:c>
      <x:c r="I61" s="10" t="n">
        <x:v>6</x:v>
      </x:c>
      <x:c r="J61" s="11" t="n">
        <x:f>IF(AND(Z61="共同",ISNUMBER(F61),ISNUMBER(M61)),F61-M61,"")</x:f>
        <x:v>993.4977578475336</x:v>
      </x:c>
      <x:c r="K61" s="13" t="n">
        <x:f>IF(AND(ISNUMBER(J61),M61&lt;&gt;0),J61/M61,"")</x:f>
        <x:v>17.583333333333336</x:v>
      </x:c>
      <x:c r="L61" s="10" t="str">
        <x:v>补货提醒</x:v>
      </x:c>
      <x:c r="M61" s="11" t="n">
        <x:v>56.502242152466366</x:v>
      </x:c>
      <x:c r="N61" s="10" t="n">
        <x:f>IF(AND(Z61="共同",COUNT(H61:I61)=2),H61-I61,"")</x:f>
        <x:v>1</x:v>
      </x:c>
      <x:c r="O61" s="10" t="n">
        <x:v>0</x:v>
      </x:c>
      <x:c r="P61" s="10" t="n">
        <x:v>0</x:v>
      </x:c>
      <x:c r="Q61" s="10" t="n">
        <x:v>0</x:v>
      </x:c>
      <x:c r="R61" s="10" t="n">
        <x:v>1</x:v>
      </x:c>
      <x:c r="S61" s="10" t="n">
        <x:v>7</x:v>
      </x:c>
      <x:c r="T61" s="10" t="n">
        <x:v>0</x:v>
      </x:c>
      <x:c r="U61" s="10" t="n">
        <x:f>IF(AND(ISNUMBER(X61),X61&gt;=0,Y61&lt;&gt;1),X61,"")</x:f>
        <x:v>7</x:v>
      </x:c>
      <x:c r="V61" s="10" t="n">
        <x:v>0</x:v>
      </x:c>
      <x:c r="W61" s="10" t="n">
        <x:v>0</x:v>
      </x:c>
      <x:c r="X61" s="10" t="n">
        <x:v>7</x:v>
      </x:c>
      <x:c r="Y61" s="3" t="n">
        <x:v>0</x:v>
      </x:c>
      <x:c r="Z61" s="3" t="str">
        <x:v>共同</x:v>
      </x:c>
      <x:c r="AA61" s="3" t="str">
        <x:v>在售</x:v>
      </x:c>
      <x:c r="AB61" s="12" t="n">
        <x:f>IF(AND(Z61="共同",ISNUMBER(G61),ISNUMBER(AD61)),G61-AD61,"")</x:f>
        <x:v>-0.09952380952380953</x:v>
      </x:c>
      <x:c r="AC61" s="3" t="str"/>
      <x:c r="AD61" s="12" t="n">
        <x:v>0.1061904761904762</x:v>
      </x:c>
      <x:c r="AE61" s="3" t="str">
        <x:v>[13306,"B07-ND-Z-0-38.5"]</x:v>
      </x:c>
      <x:c r="AF61" t="n">
        <x:f>IF(ISNUMBER(H61),1,0)</x:f>
        <x:v>1</x:v>
      </x:c>
      <x:c r="AG61" t="n">
        <x:f>IF(ISNUMBER(I61),1,0)</x:f>
        <x:v>1</x:v>
      </x:c>
      <x:c r="AH61" t="str">
        <x:v>["B07","B07-ND-Z-0","ND-Z","裸色镜面PU"]</x:v>
      </x:c>
      <x:c r="AI61" t="n">
        <x:f>IF(ISNUMBER(G61),1,0)</x:f>
        <x:v>1</x:v>
      </x:c>
      <x:c r="AJ61" t="n">
        <x:f>IF(ISNUMBER(AD61),1,0)</x:f>
        <x:v>1</x:v>
      </x:c>
    </x:row>
    <x:row r="62" ht="30" customHeight="1">
      <x:c r="A62" s="3" t="str">
        <x:v>B07-ND-Z-0-41</x:v>
      </x:c>
      <x:c r="B62" s="3" t="str">
        <x:v>4店-彬郁-US</x:v>
      </x:c>
      <x:c r="C62" s="3" t="str">
        <x:v>艾年</x:v>
      </x:c>
      <x:c r="D62" s="3" t="str">
        <x:v>B07</x:v>
      </x:c>
      <x:c r="E62" s="3" t="str">
        <x:f>IF(Z62="移出","已移出",IF(NOT(ISNUMBER(H62)),"数据待核",IF(H62=0,"断货",IF(NOT(ISNUMBER(G62)),"数据待核",IF(G62=0,"零日销待复核",IF(F62&lt;60,"补货提醒",IF(F62&lt;=90,"正常库存",IF(F62&lt;180,"促销",IF(F62&lt;=365,"红线促销","考虑清仓")))))))))</x:f>
        <x:v>考虑清仓</x:v>
      </x:c>
      <x:c r="F62" s="11" t="n">
        <x:f>IF(AND(ISNUMBER(H62),ISNUMBER(G62),G62&gt;0),H62/G62,"")</x:f>
        <x:v>3749.9999999999995</x:v>
      </x:c>
      <x:c r="G62" s="12" t="n">
        <x:f>IF(AND(COUNT(P62:R62)=3,MIN(P62:R62)&gt;=0,P62&lt;=Q62,Q62&lt;=R62),P62/7*0.5+Q62/14*0.3+R62/30*0.2,"")</x:f>
        <x:v>0.006666666666666667</x:v>
      </x:c>
      <x:c r="H62" s="10" t="n">
        <x:f>IF(ISNUMBER(U62),U62,"")</x:f>
        <x:v>25</x:v>
      </x:c>
      <x:c r="I62" s="10" t="n">
        <x:v>5</x:v>
      </x:c>
      <x:c r="J62" s="11" t="n">
        <x:f>IF(AND(Z62="共同",ISNUMBER(F62),ISNUMBER(M62)),F62-M62,"")</x:f>
        <x:v>2999.9999999999995</x:v>
      </x:c>
      <x:c r="K62" s="13" t="n">
        <x:f>IF(AND(ISNUMBER(J62),M62&lt;&gt;0),J62/M62,"")</x:f>
        <x:v>3.9999999999999996</x:v>
      </x:c>
      <x:c r="L62" s="10" t="str">
        <x:v>考虑清仓</x:v>
      </x:c>
      <x:c r="M62" s="11" t="n">
        <x:v>750</x:v>
      </x:c>
      <x:c r="N62" s="10" t="n">
        <x:f>IF(AND(Z62="共同",COUNT(H62:I62)=2),H62-I62,"")</x:f>
        <x:v>20</x:v>
      </x:c>
      <x:c r="O62" s="10" t="n">
        <x:v>0</x:v>
      </x:c>
      <x:c r="P62" s="10" t="n">
        <x:v>0</x:v>
      </x:c>
      <x:c r="Q62" s="10" t="n">
        <x:v>0</x:v>
      </x:c>
      <x:c r="R62" s="10" t="n">
        <x:v>1</x:v>
      </x:c>
      <x:c r="S62" s="10" t="n">
        <x:v>25</x:v>
      </x:c>
      <x:c r="T62" s="10" t="n">
        <x:v>0</x:v>
      </x:c>
      <x:c r="U62" s="10" t="n">
        <x:f>IF(AND(ISNUMBER(X62),X62&gt;=0,Y62&lt;&gt;1),X62,"")</x:f>
        <x:v>25</x:v>
      </x:c>
      <x:c r="V62" s="10" t="n">
        <x:v>0</x:v>
      </x:c>
      <x:c r="W62" s="10" t="n">
        <x:v>0</x:v>
      </x:c>
      <x:c r="X62" s="10" t="n">
        <x:v>25</x:v>
      </x:c>
      <x:c r="Y62" s="3" t="n">
        <x:v>0</x:v>
      </x:c>
      <x:c r="Z62" s="3" t="str">
        <x:v>共同</x:v>
      </x:c>
      <x:c r="AA62" s="3" t="str">
        <x:v>在售</x:v>
      </x:c>
      <x:c r="AB62" s="12" t="n">
        <x:f>IF(AND(Z62="共同",ISNUMBER(G62),ISNUMBER(AD62)),G62-AD62,"")</x:f>
        <x:v>8.673617379884035e-19</x:v>
      </x:c>
      <x:c r="AC62" s="3" t="str"/>
      <x:c r="AD62" s="12" t="n">
        <x:v>0.006666666666666666</x:v>
      </x:c>
      <x:c r="AE62" s="3" t="str">
        <x:v>[13306,"B07-ND-Z-0-41"]</x:v>
      </x:c>
      <x:c r="AF62" t="n">
        <x:f>IF(ISNUMBER(H62),1,0)</x:f>
        <x:v>1</x:v>
      </x:c>
      <x:c r="AG62" t="n">
        <x:f>IF(ISNUMBER(I62),1,0)</x:f>
        <x:v>1</x:v>
      </x:c>
      <x:c r="AH62" t="str">
        <x:v>["B07","B07-ND-Z-0","ND-Z","裸色镜面PU"]</x:v>
      </x:c>
      <x:c r="AI62" t="n">
        <x:f>IF(ISNUMBER(G62),1,0)</x:f>
        <x:v>1</x:v>
      </x:c>
      <x:c r="AJ62" t="n">
        <x:f>IF(ISNUMBER(AD62),1,0)</x:f>
        <x:v>1</x:v>
      </x:c>
    </x:row>
    <x:row r="63" ht="30" customHeight="1">
      <x:c r="A63" s="3" t="str">
        <x:v>B07-ND-Z-0-41.5</x:v>
      </x:c>
      <x:c r="B63" s="3" t="str">
        <x:v>4店-彬郁-US</x:v>
      </x:c>
      <x:c r="C63" s="3" t="str">
        <x:v>艾年</x:v>
      </x:c>
      <x:c r="D63" s="3" t="str">
        <x:v>B07</x:v>
      </x:c>
      <x:c r="E63" s="3" t="str">
        <x:f>IF(Z63="移出","已移出",IF(NOT(ISNUMBER(H63)),"数据待核",IF(H63=0,"断货",IF(NOT(ISNUMBER(G63)),"数据待核",IF(G63=0,"零日销待复核",IF(F63&lt;60,"补货提醒",IF(F63&lt;=90,"正常库存",IF(F63&lt;180,"促销",IF(F63&lt;=365,"红线促销","考虑清仓")))))))))</x:f>
        <x:v>考虑清仓</x:v>
      </x:c>
      <x:c r="F63" s="11" t="n">
        <x:f>IF(AND(ISNUMBER(H63),ISNUMBER(G63),G63&gt;0),H63/G63,"")</x:f>
        <x:v>899.9999999999999</x:v>
      </x:c>
      <x:c r="G63" s="12" t="n">
        <x:f>IF(AND(COUNT(P63:R63)=3,MIN(P63:R63)&gt;=0,P63&lt;=Q63,Q63&lt;=R63),P63/7*0.5+Q63/14*0.3+R63/30*0.2,"")</x:f>
        <x:v>0.006666666666666667</x:v>
      </x:c>
      <x:c r="H63" s="10" t="n">
        <x:f>IF(ISNUMBER(U63),U63,"")</x:f>
        <x:v>6</x:v>
      </x:c>
      <x:c r="I63" s="10" t="n">
        <x:v>6</x:v>
      </x:c>
      <x:c r="J63" s="11" t="n">
        <x:f>IF(AND(Z63="共同",ISNUMBER(F63),ISNUMBER(M63)),F63-M63,"")</x:f>
        <x:v>-2.2737367544323206e-13</x:v>
      </x:c>
      <x:c r="K63" s="13" t="n">
        <x:f>IF(AND(ISNUMBER(J63),M63&lt;&gt;0),J63/M63,"")</x:f>
        <x:v>-2.526374171591467e-16</x:v>
      </x:c>
      <x:c r="L63" s="10" t="str">
        <x:v>考虑清仓</x:v>
      </x:c>
      <x:c r="M63" s="11" t="n">
        <x:v>900.0000000000001</x:v>
      </x:c>
      <x:c r="N63" s="10" t="n">
        <x:f>IF(AND(Z63="共同",COUNT(H63:I63)=2),H63-I63,"")</x:f>
        <x:v>0</x:v>
      </x:c>
      <x:c r="O63" s="10" t="n">
        <x:v>0</x:v>
      </x:c>
      <x:c r="P63" s="10" t="n">
        <x:v>0</x:v>
      </x:c>
      <x:c r="Q63" s="10" t="n">
        <x:v>0</x:v>
      </x:c>
      <x:c r="R63" s="10" t="n">
        <x:v>1</x:v>
      </x:c>
      <x:c r="S63" s="10" t="n">
        <x:v>6</x:v>
      </x:c>
      <x:c r="T63" s="10" t="n">
        <x:v>0</x:v>
      </x:c>
      <x:c r="U63" s="10" t="n">
        <x:f>IF(AND(ISNUMBER(X63),X63&gt;=0,Y63&lt;&gt;1),X63,"")</x:f>
        <x:v>6</x:v>
      </x:c>
      <x:c r="V63" s="10" t="n">
        <x:v>0</x:v>
      </x:c>
      <x:c r="W63" s="10" t="n">
        <x:v>0</x:v>
      </x:c>
      <x:c r="X63" s="10" t="n">
        <x:v>6</x:v>
      </x:c>
      <x:c r="Y63" s="3" t="n">
        <x:v>0</x:v>
      </x:c>
      <x:c r="Z63" s="3" t="str">
        <x:v>共同</x:v>
      </x:c>
      <x:c r="AA63" s="3" t="str">
        <x:v>在售</x:v>
      </x:c>
      <x:c r="AB63" s="12" t="n">
        <x:f>IF(AND(Z63="共同",ISNUMBER(G63),ISNUMBER(AD63)),G63-AD63,"")</x:f>
        <x:v>8.673617379884035e-19</x:v>
      </x:c>
      <x:c r="AC63" s="3" t="str"/>
      <x:c r="AD63" s="12" t="n">
        <x:v>0.006666666666666666</x:v>
      </x:c>
      <x:c r="AE63" s="3" t="str">
        <x:v>[13306,"B07-ND-Z-0-41.5"]</x:v>
      </x:c>
      <x:c r="AF63" t="n">
        <x:f>IF(ISNUMBER(H63),1,0)</x:f>
        <x:v>1</x:v>
      </x:c>
      <x:c r="AG63" t="n">
        <x:f>IF(ISNUMBER(I63),1,0)</x:f>
        <x:v>1</x:v>
      </x:c>
      <x:c r="AH63" t="str">
        <x:v>["B07","B07-ND-Z-0","ND-Z","裸色镜面PU"]</x:v>
      </x:c>
      <x:c r="AI63" t="n">
        <x:f>IF(ISNUMBER(G63),1,0)</x:f>
        <x:v>1</x:v>
      </x:c>
      <x:c r="AJ63" t="n">
        <x:f>IF(ISNUMBER(AD63),1,0)</x:f>
        <x:v>1</x:v>
      </x:c>
    </x:row>
    <x:row r="64" ht="30" customHeight="1">
      <x:c r="A64" s="3" t="str">
        <x:v>B07-ND-Z-0-42</x:v>
      </x:c>
      <x:c r="B64" s="3" t="str">
        <x:v>4店-彬郁-US</x:v>
      </x:c>
      <x:c r="C64" s="3" t="str">
        <x:v>艾年</x:v>
      </x:c>
      <x:c r="D64" s="3" t="str">
        <x:v>B07</x:v>
      </x:c>
      <x:c r="E64" s="3" t="str">
        <x:f>IF(Z64="移出","已移出",IF(NOT(ISNUMBER(H64)),"数据待核",IF(H64=0,"断货",IF(NOT(ISNUMBER(G64)),"数据待核",IF(G64=0,"零日销待复核",IF(F64&lt;60,"补货提醒",IF(F64&lt;=90,"正常库存",IF(F64&lt;180,"促销",IF(F64&lt;=365,"红线促销","考虑清仓")))))))))</x:f>
        <x:v>考虑清仓</x:v>
      </x:c>
      <x:c r="F64" s="11" t="n">
        <x:f>IF(AND(ISNUMBER(H64),ISNUMBER(G64),G64&gt;0),H64/G64,"")</x:f>
        <x:v>1032.2033898305085</x:v>
      </x:c>
      <x:c r="G64" s="12" t="n">
        <x:f>IF(AND(COUNT(P64:R64)=3,MIN(P64:R64)&gt;=0,P64&lt;=Q64,Q64&lt;=R64),P64/7*0.5+Q64/14*0.3+R64/30*0.2,"")</x:f>
        <x:v>0.028095238095238093</x:v>
      </x:c>
      <x:c r="H64" s="10" t="n">
        <x:f>IF(ISNUMBER(U64),U64,"")</x:f>
        <x:v>29</x:v>
      </x:c>
      <x:c r="I64" s="10" t="n">
        <x:v>10</x:v>
      </x:c>
      <x:c r="J64" s="11" t="str">
        <x:f>IF(AND(Z64="共同",ISNUMBER(F64),ISNUMBER(M64)),F64-M64,"")</x:f>
      </x:c>
      <x:c r="K64" s="13" t="str">
        <x:f>IF(AND(ISNUMBER(J64),M64&lt;&gt;0),J64/M64,"")</x:f>
      </x:c>
      <x:c r="L64" s="10" t="str">
        <x:v>零日销待复核</x:v>
      </x:c>
      <x:c r="M64" s="11"/>
      <x:c r="N64" s="10" t="n">
        <x:f>IF(AND(Z64="共同",COUNT(H64:I64)=2),H64-I64,"")</x:f>
        <x:v>19</x:v>
      </x:c>
      <x:c r="O64" s="10" t="n">
        <x:v>10</x:v>
      </x:c>
      <x:c r="P64" s="10" t="n">
        <x:v>0</x:v>
      </x:c>
      <x:c r="Q64" s="10" t="n">
        <x:v>1</x:v>
      </x:c>
      <x:c r="R64" s="10" t="n">
        <x:v>1</x:v>
      </x:c>
      <x:c r="S64" s="10" t="n">
        <x:v>29</x:v>
      </x:c>
      <x:c r="T64" s="10" t="n">
        <x:v>0</x:v>
      </x:c>
      <x:c r="U64" s="10" t="n">
        <x:f>IF(AND(ISNUMBER(X64),X64&gt;=0,Y64&lt;&gt;1),X64,"")</x:f>
        <x:v>29</x:v>
      </x:c>
      <x:c r="V64" s="10" t="n">
        <x:v>0</x:v>
      </x:c>
      <x:c r="W64" s="10" t="n">
        <x:v>0</x:v>
      </x:c>
      <x:c r="X64" s="10" t="n">
        <x:v>29</x:v>
      </x:c>
      <x:c r="Y64" s="3" t="n">
        <x:v>0</x:v>
      </x:c>
      <x:c r="Z64" s="3" t="str">
        <x:v>共同</x:v>
      </x:c>
      <x:c r="AA64" s="3" t="str">
        <x:v>在售</x:v>
      </x:c>
      <x:c r="AB64" s="12" t="n">
        <x:f>IF(AND(Z64="共同",ISNUMBER(G64),ISNUMBER(AD64)),G64-AD64,"")</x:f>
        <x:v>0.028095238095238093</x:v>
      </x:c>
      <x:c r="AC64" s="3" t="str"/>
      <x:c r="AD64" s="12" t="n">
        <x:v>0</x:v>
      </x:c>
      <x:c r="AE64" s="3" t="str">
        <x:v>[13306,"B07-ND-Z-0-42"]</x:v>
      </x:c>
      <x:c r="AF64" t="n">
        <x:f>IF(ISNUMBER(H64),1,0)</x:f>
        <x:v>1</x:v>
      </x:c>
      <x:c r="AG64" t="n">
        <x:f>IF(ISNUMBER(I64),1,0)</x:f>
        <x:v>1</x:v>
      </x:c>
      <x:c r="AH64" t="str">
        <x:v>["B07","B07-ND-Z-0","ND-Z","裸色镜面PU"]</x:v>
      </x:c>
      <x:c r="AI64" t="n">
        <x:f>IF(ISNUMBER(G64),1,0)</x:f>
        <x:v>1</x:v>
      </x:c>
      <x:c r="AJ64" t="n">
        <x:f>IF(ISNUMBER(AD64),1,0)</x:f>
        <x:v>1</x:v>
      </x:c>
    </x:row>
    <x:row r="65" ht="30" customHeight="1">
      <x:c r="A65" s="3" t="str">
        <x:v>B07-NY-37.5-by</x:v>
      </x:c>
      <x:c r="B65" s="3" t="str">
        <x:v>4店-彬郁-US</x:v>
      </x:c>
      <x:c r="C65" s="3" t="str">
        <x:v>艾年</x:v>
      </x:c>
      <x:c r="D65" s="3" t="str">
        <x:v>B07</x:v>
      </x:c>
      <x:c r="E65" s="3" t="str">
        <x:f>IF(Z65="移出","已移出",IF(NOT(ISNUMBER(H65)),"数据待核",IF(H65=0,"断货",IF(NOT(ISNUMBER(G65)),"数据待核",IF(G65=0,"零日销待复核",IF(F65&lt;60,"补货提醒",IF(F65&lt;=90,"正常库存",IF(F65&lt;180,"促销",IF(F65&lt;=365,"红线促销","考虑清仓")))))))))</x:f>
        <x:v>考虑清仓</x:v>
      </x:c>
      <x:c r="F65" s="11" t="n">
        <x:f>IF(AND(ISNUMBER(H65),ISNUMBER(G65),G65&gt;0),H65/G65,"")</x:f>
        <x:v>2700</x:v>
      </x:c>
      <x:c r="G65" s="12" t="n">
        <x:f>IF(AND(COUNT(P65:R65)=3,MIN(P65:R65)&gt;=0,P65&lt;=Q65,Q65&lt;=R65),P65/7*0.5+Q65/14*0.3+R65/30*0.2,"")</x:f>
        <x:v>0.006666666666666667</x:v>
      </x:c>
      <x:c r="H65" s="10" t="n">
        <x:f>IF(ISNUMBER(U65),U65,"")</x:f>
        <x:v>18</x:v>
      </x:c>
      <x:c r="I65" s="10" t="n">
        <x:v>18</x:v>
      </x:c>
      <x:c r="J65" s="11" t="n">
        <x:f>IF(AND(Z65="共同",ISNUMBER(F65),ISNUMBER(M65)),F65-M65,"")</x:f>
        <x:v>2519.1387559808613</x:v>
      </x:c>
      <x:c r="K65" s="13" t="n">
        <x:f>IF(AND(ISNUMBER(J65),M65&lt;&gt;0),J65/M65,"")</x:f>
        <x:v>13.928571428571427</x:v>
      </x:c>
      <x:c r="L65" s="10" t="str">
        <x:v>红线促销</x:v>
      </x:c>
      <x:c r="M65" s="11" t="n">
        <x:v>180.86124401913878</x:v>
      </x:c>
      <x:c r="N65" s="10" t="n">
        <x:f>IF(AND(Z65="共同",COUNT(H65:I65)=2),H65-I65,"")</x:f>
        <x:v>0</x:v>
      </x:c>
      <x:c r="O65" s="10" t="n">
        <x:v>0</x:v>
      </x:c>
      <x:c r="P65" s="10" t="n">
        <x:v>0</x:v>
      </x:c>
      <x:c r="Q65" s="10" t="n">
        <x:v>0</x:v>
      </x:c>
      <x:c r="R65" s="10" t="n">
        <x:v>1</x:v>
      </x:c>
      <x:c r="S65" s="10" t="n">
        <x:v>18</x:v>
      </x:c>
      <x:c r="T65" s="10" t="n">
        <x:v>0</x:v>
      </x:c>
      <x:c r="U65" s="10" t="n">
        <x:f>IF(AND(ISNUMBER(X65),X65&gt;=0,Y65&lt;&gt;1),X65,"")</x:f>
        <x:v>18</x:v>
      </x:c>
      <x:c r="V65" s="10" t="n">
        <x:v>0</x:v>
      </x:c>
      <x:c r="W65" s="10" t="n">
        <x:v>0</x:v>
      </x:c>
      <x:c r="X65" s="10" t="n">
        <x:v>18</x:v>
      </x:c>
      <x:c r="Y65" s="3" t="n">
        <x:v>0</x:v>
      </x:c>
      <x:c r="Z65" s="3" t="str">
        <x:v>共同</x:v>
      </x:c>
      <x:c r="AA65" s="3" t="str">
        <x:v>在售</x:v>
      </x:c>
      <x:c r="AB65" s="12" t="n">
        <x:f>IF(AND(Z65="共同",ISNUMBER(G65),ISNUMBER(AD65)),G65-AD65,"")</x:f>
        <x:v>-0.09285714285714285</x:v>
      </x:c>
      <x:c r="AC65" s="3" t="str"/>
      <x:c r="AD65" s="12" t="n">
        <x:v>0.09952380952380951</x:v>
      </x:c>
      <x:c r="AE65" s="3" t="str">
        <x:v>[13306,"B07-NY-37.5-by"]</x:v>
      </x:c>
      <x:c r="AF65" t="n">
        <x:f>IF(ISNUMBER(H65),1,0)</x:f>
        <x:v>1</x:v>
      </x:c>
      <x:c r="AG65" t="n">
        <x:f>IF(ISNUMBER(I65),1,0)</x:f>
        <x:v>1</x:v>
      </x:c>
      <x:c r="AH65" t="str">
        <x:v>["B07","B07-NY","NY","藏青色羊京绒"]</x:v>
      </x:c>
      <x:c r="AI65" t="n">
        <x:f>IF(ISNUMBER(G65),1,0)</x:f>
        <x:v>1</x:v>
      </x:c>
      <x:c r="AJ65" t="n">
        <x:f>IF(ISNUMBER(AD65),1,0)</x:f>
        <x:v>1</x:v>
      </x:c>
    </x:row>
    <x:row r="66" ht="30" customHeight="1">
      <x:c r="A66" s="3" t="str">
        <x:v>B07-NY-38.5-by</x:v>
      </x:c>
      <x:c r="B66" s="3" t="str">
        <x:v>4店-彬郁-US</x:v>
      </x:c>
      <x:c r="C66" s="3" t="str">
        <x:v>艾年</x:v>
      </x:c>
      <x:c r="D66" s="3" t="str">
        <x:v>B07</x:v>
      </x:c>
      <x:c r="E66" s="3" t="str">
        <x:f>IF(Z66="移出","已移出",IF(NOT(ISNUMBER(H66)),"数据待核",IF(H66=0,"断货",IF(NOT(ISNUMBER(G66)),"数据待核",IF(G66=0,"零日销待复核",IF(F66&lt;60,"补货提醒",IF(F66&lt;=90,"正常库存",IF(F66&lt;180,"促销",IF(F66&lt;=365,"红线促销","考虑清仓")))))))))</x:f>
        <x:v>考虑清仓</x:v>
      </x:c>
      <x:c r="F66" s="11" t="n">
        <x:f>IF(AND(ISNUMBER(H66),ISNUMBER(G66),G66&gt;0),H66/G66,"")</x:f>
        <x:v>599.9999999999999</x:v>
      </x:c>
      <x:c r="G66" s="12" t="n">
        <x:f>IF(AND(COUNT(P66:R66)=3,MIN(P66:R66)&gt;=0,P66&lt;=Q66,Q66&lt;=R66),P66/7*0.5+Q66/14*0.3+R66/30*0.2,"")</x:f>
        <x:v>0.020000000000000004</x:v>
      </x:c>
      <x:c r="H66" s="10" t="n">
        <x:f>IF(ISNUMBER(U66),U66,"")</x:f>
        <x:v>12</x:v>
      </x:c>
      <x:c r="I66" s="10" t="n">
        <x:v>12</x:v>
      </x:c>
      <x:c r="J66" s="11" t="n">
        <x:f>IF(AND(Z66="共同",ISNUMBER(F66),ISNUMBER(M66)),F66-M66,"")</x:f>
        <x:v>526.099706744868</x:v>
      </x:c>
      <x:c r="K66" s="13" t="n">
        <x:f>IF(AND(ISNUMBER(J66),M66&lt;&gt;0),J66/M66,"")</x:f>
        <x:v>7.119047619047616</x:v>
      </x:c>
      <x:c r="L66" s="10" t="str">
        <x:v>正常库存</x:v>
      </x:c>
      <x:c r="M66" s="11" t="n">
        <x:v>73.90029325513198</x:v>
      </x:c>
      <x:c r="N66" s="10" t="n">
        <x:f>IF(AND(Z66="共同",COUNT(H66:I66)=2),H66-I66,"")</x:f>
        <x:v>0</x:v>
      </x:c>
      <x:c r="O66" s="10" t="n">
        <x:v>0</x:v>
      </x:c>
      <x:c r="P66" s="10" t="n">
        <x:v>0</x:v>
      </x:c>
      <x:c r="Q66" s="10" t="n">
        <x:v>0</x:v>
      </x:c>
      <x:c r="R66" s="10" t="n">
        <x:v>3</x:v>
      </x:c>
      <x:c r="S66" s="10" t="n">
        <x:v>15</x:v>
      </x:c>
      <x:c r="T66" s="10" t="n">
        <x:v>0</x:v>
      </x:c>
      <x:c r="U66" s="10" t="n">
        <x:f>IF(AND(ISNUMBER(X66),X66&gt;=0,Y66&lt;&gt;1),X66,"")</x:f>
        <x:v>12</x:v>
      </x:c>
      <x:c r="V66" s="10" t="n">
        <x:v>0</x:v>
      </x:c>
      <x:c r="W66" s="10" t="n">
        <x:v>12</x:v>
      </x:c>
      <x:c r="X66" s="10" t="n">
        <x:v>12</x:v>
      </x:c>
      <x:c r="Y66" s="3" t="n">
        <x:v>0</x:v>
      </x:c>
      <x:c r="Z66" s="3" t="str">
        <x:v>共同</x:v>
      </x:c>
      <x:c r="AA66" s="3" t="str">
        <x:v>在售</x:v>
      </x:c>
      <x:c r="AB66" s="12" t="n">
        <x:f>IF(AND(Z66="共同",ISNUMBER(G66),ISNUMBER(AD66)),G66-AD66,"")</x:f>
        <x:v>-0.14238095238095233</x:v>
      </x:c>
      <x:c r="AC66" s="3" t="str"/>
      <x:c r="AD66" s="12" t="n">
        <x:v>0.16238095238095235</x:v>
      </x:c>
      <x:c r="AE66" s="3" t="str">
        <x:v>[13306,"B07-NY-38.5-by"]</x:v>
      </x:c>
      <x:c r="AF66" t="n">
        <x:f>IF(ISNUMBER(H66),1,0)</x:f>
        <x:v>1</x:v>
      </x:c>
      <x:c r="AG66" t="n">
        <x:f>IF(ISNUMBER(I66),1,0)</x:f>
        <x:v>1</x:v>
      </x:c>
      <x:c r="AH66" t="str">
        <x:v>["B07","B07-NY","NY","藏青色羊京绒"]</x:v>
      </x:c>
      <x:c r="AI66" t="n">
        <x:f>IF(ISNUMBER(G66),1,0)</x:f>
        <x:v>1</x:v>
      </x:c>
      <x:c r="AJ66" t="n">
        <x:f>IF(ISNUMBER(AD66),1,0)</x:f>
        <x:v>1</x:v>
      </x:c>
    </x:row>
    <x:row r="67" ht="30" customHeight="1">
      <x:c r="A67" s="3" t="str">
        <x:v>B07-NY-41-by</x:v>
      </x:c>
      <x:c r="B67" s="3" t="str">
        <x:v>4店-彬郁-US</x:v>
      </x:c>
      <x:c r="C67" s="3" t="str">
        <x:v>艾年</x:v>
      </x:c>
      <x:c r="D67" s="3" t="str">
        <x:v>B07</x:v>
      </x:c>
      <x:c r="E67" s="3" t="str">
        <x:f>IF(Z67="移出","已移出",IF(NOT(ISNUMBER(H67)),"数据待核",IF(H67=0,"断货",IF(NOT(ISNUMBER(G67)),"数据待核",IF(G67=0,"零日销待复核",IF(F67&lt;60,"补货提醒",IF(F67&lt;=90,"正常库存",IF(F67&lt;180,"促销",IF(F67&lt;=365,"红线促销","考虑清仓")))))))))</x:f>
        <x:v>考虑清仓</x:v>
      </x:c>
      <x:c r="F67" s="11" t="n">
        <x:f>IF(AND(ISNUMBER(H67),ISNUMBER(G67),G67&gt;0),H67/G67,"")</x:f>
        <x:v>2850</x:v>
      </x:c>
      <x:c r="G67" s="12" t="n">
        <x:f>IF(AND(COUNT(P67:R67)=3,MIN(P67:R67)&gt;=0,P67&lt;=Q67,Q67&lt;=R67),P67/7*0.5+Q67/14*0.3+R67/30*0.2,"")</x:f>
        <x:v>0.006666666666666667</x:v>
      </x:c>
      <x:c r="H67" s="10" t="n">
        <x:f>IF(ISNUMBER(U67),U67,"")</x:f>
        <x:v>19</x:v>
      </x:c>
      <x:c r="I67" s="10" t="n">
        <x:v>19</x:v>
      </x:c>
      <x:c r="J67" s="11" t="n">
        <x:f>IF(AND(Z67="共同",ISNUMBER(F67),ISNUMBER(M67)),F67-M67,"")</x:f>
        <x:v>2671.0762331838564</x:v>
      </x:c>
      <x:c r="K67" s="13" t="n">
        <x:f>IF(AND(ISNUMBER(J67),M67&lt;&gt;0),J67/M67,"")</x:f>
        <x:v>14.928571428571429</x:v>
      </x:c>
      <x:c r="L67" s="10" t="str">
        <x:v>促销</x:v>
      </x:c>
      <x:c r="M67" s="11" t="n">
        <x:v>178.92376681614348</x:v>
      </x:c>
      <x:c r="N67" s="10" t="n">
        <x:f>IF(AND(Z67="共同",COUNT(H67:I67)=2),H67-I67,"")</x:f>
        <x:v>0</x:v>
      </x:c>
      <x:c r="O67" s="10" t="n">
        <x:v>0</x:v>
      </x:c>
      <x:c r="P67" s="10" t="n">
        <x:v>0</x:v>
      </x:c>
      <x:c r="Q67" s="10" t="n">
        <x:v>0</x:v>
      </x:c>
      <x:c r="R67" s="10" t="n">
        <x:v>1</x:v>
      </x:c>
      <x:c r="S67" s="10" t="n">
        <x:v>19</x:v>
      </x:c>
      <x:c r="T67" s="10" t="n">
        <x:v>0</x:v>
      </x:c>
      <x:c r="U67" s="10" t="n">
        <x:f>IF(AND(ISNUMBER(X67),X67&gt;=0,Y67&lt;&gt;1),X67,"")</x:f>
        <x:v>19</x:v>
      </x:c>
      <x:c r="V67" s="10" t="n">
        <x:v>0</x:v>
      </x:c>
      <x:c r="W67" s="10" t="n">
        <x:v>0</x:v>
      </x:c>
      <x:c r="X67" s="10" t="n">
        <x:v>19</x:v>
      </x:c>
      <x:c r="Y67" s="3" t="n">
        <x:v>0</x:v>
      </x:c>
      <x:c r="Z67" s="3" t="str">
        <x:v>共同</x:v>
      </x:c>
      <x:c r="AA67" s="3" t="str">
        <x:v>在售</x:v>
      </x:c>
      <x:c r="AB67" s="12" t="n">
        <x:f>IF(AND(Z67="共同",ISNUMBER(G67),ISNUMBER(AD67)),G67-AD67,"")</x:f>
        <x:v>-0.09952380952380953</x:v>
      </x:c>
      <x:c r="AC67" s="3" t="str"/>
      <x:c r="AD67" s="12" t="n">
        <x:v>0.1061904761904762</x:v>
      </x:c>
      <x:c r="AE67" s="3" t="str">
        <x:v>[13306,"B07-NY-41-by"]</x:v>
      </x:c>
      <x:c r="AF67" t="n">
        <x:f>IF(ISNUMBER(H67),1,0)</x:f>
        <x:v>1</x:v>
      </x:c>
      <x:c r="AG67" t="n">
        <x:f>IF(ISNUMBER(I67),1,0)</x:f>
        <x:v>1</x:v>
      </x:c>
      <x:c r="AH67" t="str">
        <x:v>["B07","B07-NY","NY","藏青色羊京绒"]</x:v>
      </x:c>
      <x:c r="AI67" t="n">
        <x:f>IF(ISNUMBER(G67),1,0)</x:f>
        <x:v>1</x:v>
      </x:c>
      <x:c r="AJ67" t="n">
        <x:f>IF(ISNUMBER(AD67),1,0)</x:f>
        <x:v>1</x:v>
      </x:c>
    </x:row>
    <x:row r="68" ht="30" customHeight="1">
      <x:c r="A68" s="3" t="str">
        <x:v>B07-PK-41.5</x:v>
      </x:c>
      <x:c r="B68" s="3" t="str">
        <x:v>4店-彬郁-US</x:v>
      </x:c>
      <x:c r="C68" s="3" t="str">
        <x:v>艾年</x:v>
      </x:c>
      <x:c r="D68" s="3" t="str">
        <x:v>B07</x:v>
      </x:c>
      <x:c r="E68" s="3" t="str">
        <x:f>IF(Z68="移出","已移出",IF(NOT(ISNUMBER(H68)),"数据待核",IF(H68=0,"断货",IF(NOT(ISNUMBER(G68)),"数据待核",IF(G68=0,"零日销待复核",IF(F68&lt;60,"补货提醒",IF(F68&lt;=90,"正常库存",IF(F68&lt;180,"促销",IF(F68&lt;=365,"红线促销","考虑清仓")))))))))</x:f>
        <x:v>考虑清仓</x:v>
      </x:c>
      <x:c r="F68" s="11" t="n">
        <x:f>IF(AND(ISNUMBER(H68),ISNUMBER(G68),G68&gt;0),H68/G68,"")</x:f>
        <x:v>1350</x:v>
      </x:c>
      <x:c r="G68" s="12" t="n">
        <x:f>IF(AND(COUNT(P68:R68)=3,MIN(P68:R68)&gt;=0,P68&lt;=Q68,Q68&lt;=R68),P68/7*0.5+Q68/14*0.3+R68/30*0.2,"")</x:f>
        <x:v>0.006666666666666667</x:v>
      </x:c>
      <x:c r="H68" s="10" t="n">
        <x:f>IF(ISNUMBER(U68),U68,"")</x:f>
        <x:v>9</x:v>
      </x:c>
      <x:c r="I68" s="10" t="n">
        <x:v>7</x:v>
      </x:c>
      <x:c r="J68" s="11" t="n">
        <x:f>IF(AND(Z68="共同",ISNUMBER(F68),ISNUMBER(M68)),F68-M68,"")</x:f>
        <x:v>1148.6301369863013</x:v>
      </x:c>
      <x:c r="K68" s="13" t="n">
        <x:f>IF(AND(ISNUMBER(J68),M68&lt;&gt;0),J68/M68,"")</x:f>
        <x:v>5.70408163265306</x:v>
      </x:c>
      <x:c r="L68" s="10" t="str">
        <x:v>红线促销</x:v>
      </x:c>
      <x:c r="M68" s="11" t="n">
        <x:v>201.36986301369865</x:v>
      </x:c>
      <x:c r="N68" s="10" t="n">
        <x:f>IF(AND(Z68="共同",COUNT(H68:I68)=2),H68-I68,"")</x:f>
        <x:v>2</x:v>
      </x:c>
      <x:c r="O68" s="10" t="n">
        <x:v>5</x:v>
      </x:c>
      <x:c r="P68" s="10" t="n">
        <x:v>0</x:v>
      </x:c>
      <x:c r="Q68" s="10" t="n">
        <x:v>0</x:v>
      </x:c>
      <x:c r="R68" s="10" t="n">
        <x:v>1</x:v>
      </x:c>
      <x:c r="S68" s="10" t="n">
        <x:v>13</x:v>
      </x:c>
      <x:c r="T68" s="10" t="n">
        <x:v>0</x:v>
      </x:c>
      <x:c r="U68" s="10" t="n">
        <x:f>IF(AND(ISNUMBER(X68),X68&gt;=0,Y68&lt;&gt;1),X68,"")</x:f>
        <x:v>9</x:v>
      </x:c>
      <x:c r="V68" s="10" t="n">
        <x:v>0</x:v>
      </x:c>
      <x:c r="W68" s="10" t="n">
        <x:v>0</x:v>
      </x:c>
      <x:c r="X68" s="10" t="n">
        <x:v>9</x:v>
      </x:c>
      <x:c r="Y68" s="3" t="n">
        <x:v>0</x:v>
      </x:c>
      <x:c r="Z68" s="3" t="str">
        <x:v>共同</x:v>
      </x:c>
      <x:c r="AA68" s="3" t="str">
        <x:v>在售</x:v>
      </x:c>
      <x:c r="AB68" s="12" t="n">
        <x:f>IF(AND(Z68="共同",ISNUMBER(G68),ISNUMBER(AD68)),G68-AD68,"")</x:f>
        <x:v>-0.02809523809523809</x:v>
      </x:c>
      <x:c r="AC68" s="3" t="str"/>
      <x:c r="AD68" s="12" t="n">
        <x:v>0.03476190476190476</x:v>
      </x:c>
      <x:c r="AE68" s="3" t="str">
        <x:v>[13306,"B07-PK-41.5"]</x:v>
      </x:c>
      <x:c r="AF68" t="n">
        <x:f>IF(ISNUMBER(H68),1,0)</x:f>
        <x:v>1</x:v>
      </x:c>
      <x:c r="AG68" t="n">
        <x:f>IF(ISNUMBER(I68),1,0)</x:f>
        <x:v>1</x:v>
      </x:c>
      <x:c r="AH68" t="str">
        <x:v>["B07","B07-PK","PK","粉色羊京绒"]</x:v>
      </x:c>
      <x:c r="AI68" t="n">
        <x:f>IF(ISNUMBER(G68),1,0)</x:f>
        <x:v>1</x:v>
      </x:c>
      <x:c r="AJ68" t="n">
        <x:f>IF(ISNUMBER(AD68),1,0)</x:f>
        <x:v>1</x:v>
      </x:c>
    </x:row>
    <x:row r="69" ht="30" customHeight="1">
      <x:c r="A69" s="3" t="str">
        <x:v>B07-RD-37-by</x:v>
      </x:c>
      <x:c r="B69" s="3" t="str">
        <x:v>4店-彬郁-US</x:v>
      </x:c>
      <x:c r="C69" s="3" t="str">
        <x:v>艾年</x:v>
      </x:c>
      <x:c r="D69" s="3" t="str">
        <x:v>B07</x:v>
      </x:c>
      <x:c r="E69" s="3" t="str">
        <x:f>IF(Z69="移出","已移出",IF(NOT(ISNUMBER(H69)),"数据待核",IF(H69=0,"断货",IF(NOT(ISNUMBER(G69)),"数据待核",IF(G69=0,"零日销待复核",IF(F69&lt;60,"补货提醒",IF(F69&lt;=90,"正常库存",IF(F69&lt;180,"促销",IF(F69&lt;=365,"红线促销","考虑清仓")))))))))</x:f>
        <x:v>考虑清仓</x:v>
      </x:c>
      <x:c r="F69" s="11" t="n">
        <x:f>IF(AND(ISNUMBER(H69),ISNUMBER(G69),G69&gt;0),H69/G69,"")</x:f>
        <x:v>6750</x:v>
      </x:c>
      <x:c r="G69" s="12" t="n">
        <x:f>IF(AND(COUNT(P69:R69)=3,MIN(P69:R69)&gt;=0,P69&lt;=Q69,Q69&lt;=R69),P69/7*0.5+Q69/14*0.3+R69/30*0.2,"")</x:f>
        <x:v>0.006666666666666667</x:v>
      </x:c>
      <x:c r="H69" s="10" t="n">
        <x:f>IF(ISNUMBER(U69),U69,"")</x:f>
        <x:v>45</x:v>
      </x:c>
      <x:c r="I69" s="10" t="n">
        <x:v>15</x:v>
      </x:c>
      <x:c r="J69" s="11" t="n">
        <x:f>IF(AND(Z69="共同",ISNUMBER(F69),ISNUMBER(M69)),F69-M69,"")</x:f>
        <x:v>6216.1016949152545</x:v>
      </x:c>
      <x:c r="K69" s="13" t="n">
        <x:f>IF(AND(ISNUMBER(J69),M69&lt;&gt;0),J69/M69,"")</x:f>
        <x:v>11.642857142857144</x:v>
      </x:c>
      <x:c r="L69" s="10" t="str">
        <x:v>考虑清仓</x:v>
      </x:c>
      <x:c r="M69" s="11" t="n">
        <x:v>533.8983050847457</x:v>
      </x:c>
      <x:c r="N69" s="10" t="n">
        <x:f>IF(AND(Z69="共同",COUNT(H69:I69)=2),H69-I69,"")</x:f>
        <x:v>30</x:v>
      </x:c>
      <x:c r="O69" s="10" t="n">
        <x:v>0</x:v>
      </x:c>
      <x:c r="P69" s="10" t="n">
        <x:v>0</x:v>
      </x:c>
      <x:c r="Q69" s="10" t="n">
        <x:v>0</x:v>
      </x:c>
      <x:c r="R69" s="10" t="n">
        <x:v>1</x:v>
      </x:c>
      <x:c r="S69" s="10" t="n">
        <x:v>51</x:v>
      </x:c>
      <x:c r="T69" s="10" t="n">
        <x:v>0</x:v>
      </x:c>
      <x:c r="U69" s="10" t="n">
        <x:f>IF(AND(ISNUMBER(X69),X69&gt;=0,Y69&lt;&gt;1),X69,"")</x:f>
        <x:v>45</x:v>
      </x:c>
      <x:c r="V69" s="10" t="n">
        <x:v>1</x:v>
      </x:c>
      <x:c r="W69" s="10" t="n">
        <x:v>0</x:v>
      </x:c>
      <x:c r="X69" s="10" t="n">
        <x:v>45</x:v>
      </x:c>
      <x:c r="Y69" s="3" t="n">
        <x:v>0</x:v>
      </x:c>
      <x:c r="Z69" s="3" t="str">
        <x:v>共同</x:v>
      </x:c>
      <x:c r="AA69" s="3" t="str">
        <x:v>在售</x:v>
      </x:c>
      <x:c r="AB69" s="12" t="n">
        <x:f>IF(AND(Z69="共同",ISNUMBER(G69),ISNUMBER(AD69)),G69-AD69,"")</x:f>
        <x:v>-0.02142857142857143</x:v>
      </x:c>
      <x:c r="AC69" s="3" t="str"/>
      <x:c r="AD69" s="12" t="n">
        <x:v>0.028095238095238097</x:v>
      </x:c>
      <x:c r="AE69" s="3" t="str">
        <x:v>[13306,"B07-RD-37-by"]</x:v>
      </x:c>
      <x:c r="AF69" t="n">
        <x:f>IF(ISNUMBER(H69),1,0)</x:f>
        <x:v>1</x:v>
      </x:c>
      <x:c r="AG69" t="n">
        <x:f>IF(ISNUMBER(I69),1,0)</x:f>
        <x:v>1</x:v>
      </x:c>
      <x:c r="AH69" t="str">
        <x:v>["B07","B07-RD","RD","红色羊京绒"]</x:v>
      </x:c>
      <x:c r="AI69" t="n">
        <x:f>IF(ISNUMBER(G69),1,0)</x:f>
        <x:v>1</x:v>
      </x:c>
      <x:c r="AJ69" t="n">
        <x:f>IF(ISNUMBER(AD69),1,0)</x:f>
        <x:v>1</x:v>
      </x:c>
    </x:row>
    <x:row r="70" ht="30" customHeight="1">
      <x:c r="A70" s="3" t="str">
        <x:v>B07-RD-38-by</x:v>
      </x:c>
      <x:c r="B70" s="3" t="str">
        <x:v>4店-彬郁-US</x:v>
      </x:c>
      <x:c r="C70" s="3" t="str">
        <x:v>艾年</x:v>
      </x:c>
      <x:c r="D70" s="3" t="str">
        <x:v>B07</x:v>
      </x:c>
      <x:c r="E70" s="3" t="str">
        <x:f>IF(Z70="移出","已移出",IF(NOT(ISNUMBER(H70)),"数据待核",IF(H70=0,"断货",IF(NOT(ISNUMBER(G70)),"数据待核",IF(G70=0,"零日销待复核",IF(F70&lt;60,"补货提醒",IF(F70&lt;=90,"正常库存",IF(F70&lt;180,"促销",IF(F70&lt;=365,"红线促销","考虑清仓")))))))))</x:f>
        <x:v>考虑清仓</x:v>
      </x:c>
      <x:c r="F70" s="11" t="n">
        <x:f>IF(AND(ISNUMBER(H70),ISNUMBER(G70),G70&gt;0),H70/G70,"")</x:f>
        <x:v>6900</x:v>
      </x:c>
      <x:c r="G70" s="12" t="n">
        <x:f>IF(AND(COUNT(P70:R70)=3,MIN(P70:R70)&gt;=0,P70&lt;=Q70,Q70&lt;=R70),P70/7*0.5+Q70/14*0.3+R70/30*0.2,"")</x:f>
        <x:v>0.013333333333333334</x:v>
      </x:c>
      <x:c r="H70" s="10" t="n">
        <x:f>IF(ISNUMBER(U70),U70,"")</x:f>
        <x:v>92</x:v>
      </x:c>
      <x:c r="I70" s="10" t="n">
        <x:v>23</x:v>
      </x:c>
      <x:c r="J70" s="11" t="n">
        <x:f>IF(AND(Z70="共同",ISNUMBER(F70),ISNUMBER(M70)),F70-M70,"")</x:f>
        <x:v>6683.408071748879</x:v>
      </x:c>
      <x:c r="K70" s="13" t="n">
        <x:f>IF(AND(ISNUMBER(J70),M70&lt;&gt;0),J70/M70,"")</x:f>
        <x:v>30.857142857142858</x:v>
      </x:c>
      <x:c r="L70" s="10" t="str">
        <x:v>红线促销</x:v>
      </x:c>
      <x:c r="M70" s="11" t="n">
        <x:v>216.59192825112106</x:v>
      </x:c>
      <x:c r="N70" s="10" t="n">
        <x:f>IF(AND(Z70="共同",COUNT(H70:I70)=2),H70-I70,"")</x:f>
        <x:v>69</x:v>
      </x:c>
      <x:c r="O70" s="10" t="n">
        <x:v>18</x:v>
      </x:c>
      <x:c r="P70" s="10" t="n">
        <x:v>0</x:v>
      </x:c>
      <x:c r="Q70" s="10" t="n">
        <x:v>0</x:v>
      </x:c>
      <x:c r="R70" s="10" t="n">
        <x:v>2</x:v>
      </x:c>
      <x:c r="S70" s="10" t="n">
        <x:v>92</x:v>
      </x:c>
      <x:c r="T70" s="10" t="n">
        <x:v>0</x:v>
      </x:c>
      <x:c r="U70" s="10" t="n">
        <x:f>IF(AND(ISNUMBER(X70),X70&gt;=0,Y70&lt;&gt;1),X70,"")</x:f>
        <x:v>92</x:v>
      </x:c>
      <x:c r="V70" s="10" t="n">
        <x:v>0</x:v>
      </x:c>
      <x:c r="W70" s="10" t="n">
        <x:v>0</x:v>
      </x:c>
      <x:c r="X70" s="10" t="n">
        <x:v>92</x:v>
      </x:c>
      <x:c r="Y70" s="3" t="n">
        <x:v>0</x:v>
      </x:c>
      <x:c r="Z70" s="3" t="str">
        <x:v>共同</x:v>
      </x:c>
      <x:c r="AA70" s="3" t="str">
        <x:v>在售</x:v>
      </x:c>
      <x:c r="AB70" s="12" t="n">
        <x:f>IF(AND(Z70="共同",ISNUMBER(G70),ISNUMBER(AD70)),G70-AD70,"")</x:f>
        <x:v>-0.09285714285714286</x:v>
      </x:c>
      <x:c r="AC70" s="3" t="str"/>
      <x:c r="AD70" s="12" t="n">
        <x:v>0.1061904761904762</x:v>
      </x:c>
      <x:c r="AE70" s="3" t="str">
        <x:v>[13306,"B07-RD-38-by"]</x:v>
      </x:c>
      <x:c r="AF70" t="n">
        <x:f>IF(ISNUMBER(H70),1,0)</x:f>
        <x:v>1</x:v>
      </x:c>
      <x:c r="AG70" t="n">
        <x:f>IF(ISNUMBER(I70),1,0)</x:f>
        <x:v>1</x:v>
      </x:c>
      <x:c r="AH70" t="str">
        <x:v>["B07","B07-RD","RD","红色羊京绒"]</x:v>
      </x:c>
      <x:c r="AI70" t="n">
        <x:f>IF(ISNUMBER(G70),1,0)</x:f>
        <x:v>1</x:v>
      </x:c>
      <x:c r="AJ70" t="n">
        <x:f>IF(ISNUMBER(AD70),1,0)</x:f>
        <x:v>1</x:v>
      </x:c>
    </x:row>
    <x:row r="71" ht="30" customHeight="1">
      <x:c r="A71" s="3" t="str">
        <x:v>B07-RD-Z-0-39.5</x:v>
      </x:c>
      <x:c r="B71" s="3" t="str">
        <x:v>4店-彬郁-US</x:v>
      </x:c>
      <x:c r="C71" s="3" t="str">
        <x:v>艾年</x:v>
      </x:c>
      <x:c r="D71" s="3" t="str">
        <x:v>B07</x:v>
      </x:c>
      <x:c r="E71" s="3" t="str">
        <x:f>IF(Z71="移出","已移出",IF(NOT(ISNUMBER(H71)),"数据待核",IF(H71=0,"断货",IF(NOT(ISNUMBER(G71)),"数据待核",IF(G71=0,"零日销待复核",IF(F71&lt;60,"补货提醒",IF(F71&lt;=90,"正常库存",IF(F71&lt;180,"促销",IF(F71&lt;=365,"红线促销","考虑清仓")))))))))</x:f>
        <x:v>考虑清仓</x:v>
      </x:c>
      <x:c r="F71" s="11" t="n">
        <x:f>IF(AND(ISNUMBER(H71),ISNUMBER(G71),G71&gt;0),H71/G71,"")</x:f>
        <x:v>783.0508474576271</x:v>
      </x:c>
      <x:c r="G71" s="12" t="n">
        <x:f>IF(AND(COUNT(P71:R71)=3,MIN(P71:R71)&gt;=0,P71&lt;=Q71,Q71&lt;=R71),P71/7*0.5+Q71/14*0.3+R71/30*0.2,"")</x:f>
        <x:v>0.028095238095238093</x:v>
      </x:c>
      <x:c r="H71" s="10" t="n">
        <x:f>IF(ISNUMBER(U71),U71,"")</x:f>
        <x:v>22</x:v>
      </x:c>
      <x:c r="I71" s="10" t="n">
        <x:v>0</x:v>
      </x:c>
      <x:c r="J71" s="11" t="n">
        <x:f>IF(AND(Z71="共同",ISNUMBER(F71),ISNUMBER(M71)),F71-M71,"")</x:f>
        <x:v>783.0508474576271</x:v>
      </x:c>
      <x:c r="K71" s="13" t="str">
        <x:f>IF(AND(ISNUMBER(J71),M71&lt;&gt;0),J71/M71,"")</x:f>
      </x:c>
      <x:c r="L71" s="10" t="str">
        <x:v>断货</x:v>
      </x:c>
      <x:c r="M71" s="11" t="n">
        <x:v>0</x:v>
      </x:c>
      <x:c r="N71" s="10" t="n">
        <x:f>IF(AND(Z71="共同",COUNT(H71:I71)=2),H71-I71,"")</x:f>
        <x:v>22</x:v>
      </x:c>
      <x:c r="O71" s="10" t="n">
        <x:v>0</x:v>
      </x:c>
      <x:c r="P71" s="10" t="n">
        <x:v>0</x:v>
      </x:c>
      <x:c r="Q71" s="10" t="n">
        <x:v>1</x:v>
      </x:c>
      <x:c r="R71" s="10" t="n">
        <x:v>1</x:v>
      </x:c>
      <x:c r="S71" s="10" t="n">
        <x:v>22</x:v>
      </x:c>
      <x:c r="T71" s="10" t="n">
        <x:v>0</x:v>
      </x:c>
      <x:c r="U71" s="10" t="n">
        <x:f>IF(AND(ISNUMBER(X71),X71&gt;=0,Y71&lt;&gt;1),X71,"")</x:f>
        <x:v>22</x:v>
      </x:c>
      <x:c r="V71" s="10" t="n">
        <x:v>0</x:v>
      </x:c>
      <x:c r="W71" s="10" t="n">
        <x:v>0</x:v>
      </x:c>
      <x:c r="X71" s="10" t="n">
        <x:v>22</x:v>
      </x:c>
      <x:c r="Y71" s="3" t="n">
        <x:v>0</x:v>
      </x:c>
      <x:c r="Z71" s="3" t="str">
        <x:v>共同</x:v>
      </x:c>
      <x:c r="AA71" s="3" t="str">
        <x:v>在售</x:v>
      </x:c>
      <x:c r="AB71" s="12" t="n">
        <x:f>IF(AND(Z71="共同",ISNUMBER(G71),ISNUMBER(AD71)),G71-AD71,"")</x:f>
        <x:v>0.01476190476190476</x:v>
      </x:c>
      <x:c r="AC71" s="3" t="str"/>
      <x:c r="AD71" s="12" t="n">
        <x:v>0.013333333333333332</x:v>
      </x:c>
      <x:c r="AE71" s="3" t="str">
        <x:v>[13306,"B07-RD-Z-0-39.5"]</x:v>
      </x:c>
      <x:c r="AF71" t="n">
        <x:f>IF(ISNUMBER(H71),1,0)</x:f>
        <x:v>1</x:v>
      </x:c>
      <x:c r="AG71" t="n">
        <x:f>IF(ISNUMBER(I71),1,0)</x:f>
        <x:v>1</x:v>
      </x:c>
      <x:c r="AH71" t="str">
        <x:v>["B07","B07-RD-Z-0","RD-Z","红色镜面PU"]</x:v>
      </x:c>
      <x:c r="AI71" t="n">
        <x:f>IF(ISNUMBER(G71),1,0)</x:f>
        <x:v>1</x:v>
      </x:c>
      <x:c r="AJ71" t="n">
        <x:f>IF(ISNUMBER(AD71),1,0)</x:f>
        <x:v>1</x:v>
      </x:c>
    </x:row>
    <x:row r="72" ht="30" customHeight="1">
      <x:c r="A72" s="3" t="str">
        <x:v>B07-RG-37-by</x:v>
      </x:c>
      <x:c r="B72" s="3" t="str">
        <x:v>4店-彬郁-US</x:v>
      </x:c>
      <x:c r="C72" s="3" t="str">
        <x:v>艾年</x:v>
      </x:c>
      <x:c r="D72" s="3" t="str">
        <x:v>B07</x:v>
      </x:c>
      <x:c r="E72" s="3" t="str">
        <x:f>IF(Z72="移出","已移出",IF(NOT(ISNUMBER(H72)),"数据待核",IF(H72=0,"断货",IF(NOT(ISNUMBER(G72)),"数据待核",IF(G72=0,"零日销待复核",IF(F72&lt;60,"补货提醒",IF(F72&lt;=90,"正常库存",IF(F72&lt;180,"促销",IF(F72&lt;=365,"红线促销","考虑清仓")))))))))</x:f>
        <x:v>考虑清仓</x:v>
      </x:c>
      <x:c r="F72" s="11" t="n">
        <x:f>IF(AND(ISNUMBER(H72),ISNUMBER(G72),G72&gt;0),H72/G72,"")</x:f>
        <x:v>640.677966101695</x:v>
      </x:c>
      <x:c r="G72" s="12" t="n">
        <x:f>IF(AND(COUNT(P72:R72)=3,MIN(P72:R72)&gt;=0,P72&lt;=Q72,Q72&lt;=R72),P72/7*0.5+Q72/14*0.3+R72/30*0.2,"")</x:f>
        <x:v>0.028095238095238093</x:v>
      </x:c>
      <x:c r="H72" s="10" t="n">
        <x:f>IF(ISNUMBER(U72),U72,"")</x:f>
        <x:v>18</x:v>
      </x:c>
      <x:c r="I72" s="10" t="n">
        <x:v>11</x:v>
      </x:c>
      <x:c r="J72" s="11" t="str">
        <x:f>IF(AND(Z72="共同",ISNUMBER(F72),ISNUMBER(M72)),F72-M72,"")</x:f>
      </x:c>
      <x:c r="K72" s="13" t="str">
        <x:f>IF(AND(ISNUMBER(J72),M72&lt;&gt;0),J72/M72,"")</x:f>
      </x:c>
      <x:c r="L72" s="10" t="str">
        <x:v>零日销待复核</x:v>
      </x:c>
      <x:c r="M72" s="11"/>
      <x:c r="N72" s="10" t="n">
        <x:f>IF(AND(Z72="共同",COUNT(H72:I72)=2),H72-I72,"")</x:f>
        <x:v>7</x:v>
      </x:c>
      <x:c r="O72" s="10" t="n">
        <x:v>2</x:v>
      </x:c>
      <x:c r="P72" s="10" t="n">
        <x:v>0</x:v>
      </x:c>
      <x:c r="Q72" s="10" t="n">
        <x:v>1</x:v>
      </x:c>
      <x:c r="R72" s="10" t="n">
        <x:v>1</x:v>
      </x:c>
      <x:c r="S72" s="10" t="n">
        <x:v>20</x:v>
      </x:c>
      <x:c r="T72" s="10" t="n">
        <x:v>0</x:v>
      </x:c>
      <x:c r="U72" s="10" t="n">
        <x:f>IF(AND(ISNUMBER(X72),X72&gt;=0,Y72&lt;&gt;1),X72,"")</x:f>
        <x:v>18</x:v>
      </x:c>
      <x:c r="V72" s="10" t="n">
        <x:v>0</x:v>
      </x:c>
      <x:c r="W72" s="10" t="n">
        <x:v>0</x:v>
      </x:c>
      <x:c r="X72" s="10" t="n">
        <x:v>18</x:v>
      </x:c>
      <x:c r="Y72" s="3" t="n">
        <x:v>0</x:v>
      </x:c>
      <x:c r="Z72" s="3" t="str">
        <x:v>共同</x:v>
      </x:c>
      <x:c r="AA72" s="3" t="str">
        <x:v>在售</x:v>
      </x:c>
      <x:c r="AB72" s="12" t="n">
        <x:f>IF(AND(Z72="共同",ISNUMBER(G72),ISNUMBER(AD72)),G72-AD72,"")</x:f>
        <x:v>0.028095238095238093</x:v>
      </x:c>
      <x:c r="AC72" s="3" t="str"/>
      <x:c r="AD72" s="12" t="n">
        <x:v>0</x:v>
      </x:c>
      <x:c r="AE72" s="3" t="str">
        <x:v>[13306,"B07-RG-37-by"]</x:v>
      </x:c>
      <x:c r="AF72" t="n">
        <x:f>IF(ISNUMBER(H72),1,0)</x:f>
        <x:v>1</x:v>
      </x:c>
      <x:c r="AG72" t="n">
        <x:f>IF(ISNUMBER(I72),1,0)</x:f>
        <x:v>1</x:v>
      </x:c>
      <x:c r="AH72" t="str">
        <x:v>["B07","B07-RG","RG","玫瑰金PU"]</x:v>
      </x:c>
      <x:c r="AI72" t="n">
        <x:f>IF(ISNUMBER(G72),1,0)</x:f>
        <x:v>1</x:v>
      </x:c>
      <x:c r="AJ72" t="n">
        <x:f>IF(ISNUMBER(AD72),1,0)</x:f>
        <x:v>1</x:v>
      </x:c>
    </x:row>
    <x:row r="73" ht="30" customHeight="1">
      <x:c r="A73" s="3" t="str">
        <x:v>B07-RG-37.5</x:v>
      </x:c>
      <x:c r="B73" s="3" t="str">
        <x:v>4店-彬郁-US</x:v>
      </x:c>
      <x:c r="C73" s="3" t="str">
        <x:v>艾年</x:v>
      </x:c>
      <x:c r="D73" s="3" t="str">
        <x:v>B07</x:v>
      </x:c>
      <x:c r="E73" s="3" t="str">
        <x:f>IF(Z73="移出","已移出",IF(NOT(ISNUMBER(H73)),"数据待核",IF(H73=0,"断货",IF(NOT(ISNUMBER(G73)),"数据待核",IF(G73=0,"零日销待复核",IF(F73&lt;60,"补货提醒",IF(F73&lt;=90,"正常库存",IF(F73&lt;180,"促销",IF(F73&lt;=365,"红线促销","考虑清仓")))))))))</x:f>
        <x:v>考虑清仓</x:v>
      </x:c>
      <x:c r="F73" s="11" t="n">
        <x:f>IF(AND(ISNUMBER(H73),ISNUMBER(G73),G73&gt;0),H73/G73,"")</x:f>
        <x:v>1050</x:v>
      </x:c>
      <x:c r="G73" s="12" t="n">
        <x:f>IF(AND(COUNT(P73:R73)=3,MIN(P73:R73)&gt;=0,P73&lt;=Q73,Q73&lt;=R73),P73/7*0.5+Q73/14*0.3+R73/30*0.2,"")</x:f>
        <x:v>0.006666666666666667</x:v>
      </x:c>
      <x:c r="H73" s="10" t="n">
        <x:f>IF(ISNUMBER(U73),U73,"")</x:f>
        <x:v>7</x:v>
      </x:c>
      <x:c r="I73" s="10" t="n">
        <x:v>7</x:v>
      </x:c>
      <x:c r="J73" s="11" t="n">
        <x:f>IF(AND(Z73="共同",ISNUMBER(F73),ISNUMBER(M73)),F73-M73,"")</x:f>
        <x:v>979.6650717703349</x:v>
      </x:c>
      <x:c r="K73" s="13" t="n">
        <x:f>IF(AND(ISNUMBER(J73),M73&lt;&gt;0),J73/M73,"")</x:f>
        <x:v>13.928571428571425</x:v>
      </x:c>
      <x:c r="L73" s="10" t="str">
        <x:v>正常库存</x:v>
      </x:c>
      <x:c r="M73" s="11" t="n">
        <x:v>70.33492822966508</x:v>
      </x:c>
      <x:c r="N73" s="10" t="n">
        <x:f>IF(AND(Z73="共同",COUNT(H73:I73)=2),H73-I73,"")</x:f>
        <x:v>0</x:v>
      </x:c>
      <x:c r="O73" s="10" t="n">
        <x:v>4</x:v>
      </x:c>
      <x:c r="P73" s="10" t="n">
        <x:v>0</x:v>
      </x:c>
      <x:c r="Q73" s="10" t="n">
        <x:v>0</x:v>
      </x:c>
      <x:c r="R73" s="10" t="n">
        <x:v>1</x:v>
      </x:c>
      <x:c r="S73" s="10" t="n">
        <x:v>8</x:v>
      </x:c>
      <x:c r="T73" s="10" t="n">
        <x:v>0</x:v>
      </x:c>
      <x:c r="U73" s="10" t="n">
        <x:f>IF(AND(ISNUMBER(X73),X73&gt;=0,Y73&lt;&gt;1),X73,"")</x:f>
        <x:v>7</x:v>
      </x:c>
      <x:c r="V73" s="10" t="n">
        <x:v>0</x:v>
      </x:c>
      <x:c r="W73" s="10" t="n">
        <x:v>1</x:v>
      </x:c>
      <x:c r="X73" s="10" t="n">
        <x:v>7</x:v>
      </x:c>
      <x:c r="Y73" s="3" t="n">
        <x:v>0</x:v>
      </x:c>
      <x:c r="Z73" s="3" t="str">
        <x:v>共同</x:v>
      </x:c>
      <x:c r="AA73" s="3" t="str">
        <x:v>在售</x:v>
      </x:c>
      <x:c r="AB73" s="12" t="n">
        <x:f>IF(AND(Z73="共同",ISNUMBER(G73),ISNUMBER(AD73)),G73-AD73,"")</x:f>
        <x:v>-0.09285714285714285</x:v>
      </x:c>
      <x:c r="AC73" s="3" t="str"/>
      <x:c r="AD73" s="12" t="n">
        <x:v>0.09952380952380951</x:v>
      </x:c>
      <x:c r="AE73" s="3" t="str">
        <x:v>[13306,"B07-RG-37.5"]</x:v>
      </x:c>
      <x:c r="AF73" t="n">
        <x:f>IF(ISNUMBER(H73),1,0)</x:f>
        <x:v>1</x:v>
      </x:c>
      <x:c r="AG73" t="n">
        <x:f>IF(ISNUMBER(I73),1,0)</x:f>
        <x:v>1</x:v>
      </x:c>
      <x:c r="AH73" t="str">
        <x:v>["B07","B07-RG","RG","玫瑰金PU"]</x:v>
      </x:c>
      <x:c r="AI73" t="n">
        <x:f>IF(ISNUMBER(G73),1,0)</x:f>
        <x:v>1</x:v>
      </x:c>
      <x:c r="AJ73" t="n">
        <x:f>IF(ISNUMBER(AD73),1,0)</x:f>
        <x:v>1</x:v>
      </x:c>
    </x:row>
    <x:row r="74" ht="30" customHeight="1">
      <x:c r="A74" s="3" t="str">
        <x:v>B07-RG-38-by</x:v>
      </x:c>
      <x:c r="B74" s="3" t="str">
        <x:v>4店-彬郁-US</x:v>
      </x:c>
      <x:c r="C74" s="3" t="str">
        <x:v>艾年</x:v>
      </x:c>
      <x:c r="D74" s="3" t="str">
        <x:v>B07</x:v>
      </x:c>
      <x:c r="E74" s="3" t="str">
        <x:f>IF(Z74="移出","已移出",IF(NOT(ISNUMBER(H74)),"数据待核",IF(H74=0,"断货",IF(NOT(ISNUMBER(G74)),"数据待核",IF(G74=0,"零日销待复核",IF(F74&lt;60,"补货提醒",IF(F74&lt;=90,"正常库存",IF(F74&lt;180,"促销",IF(F74&lt;=365,"红线促销","考虑清仓")))))))))</x:f>
        <x:v>考虑清仓</x:v>
      </x:c>
      <x:c r="F74" s="11" t="n">
        <x:f>IF(AND(ISNUMBER(H74),ISNUMBER(G74),G74&gt;0),H74/G74,"")</x:f>
        <x:v>825</x:v>
      </x:c>
      <x:c r="G74" s="12" t="n">
        <x:f>IF(AND(COUNT(P74:R74)=3,MIN(P74:R74)&gt;=0,P74&lt;=Q74,Q74&lt;=R74),P74/7*0.5+Q74/14*0.3+R74/30*0.2,"")</x:f>
        <x:v>0.013333333333333334</x:v>
      </x:c>
      <x:c r="H74" s="10" t="n">
        <x:f>IF(ISNUMBER(U74),U74,"")</x:f>
        <x:v>11</x:v>
      </x:c>
      <x:c r="I74" s="10" t="n">
        <x:v>11</x:v>
      </x:c>
      <x:c r="J74" s="11" t="n">
        <x:f>IF(AND(Z74="共同",ISNUMBER(F74),ISNUMBER(M74)),F74-M74,"")</x:f>
        <x:v>0</x:v>
      </x:c>
      <x:c r="K74" s="13" t="n">
        <x:f>IF(AND(ISNUMBER(J74),M74&lt;&gt;0),J74/M74,"")</x:f>
        <x:v>0</x:v>
      </x:c>
      <x:c r="L74" s="10" t="str">
        <x:v>考虑清仓</x:v>
      </x:c>
      <x:c r="M74" s="11" t="n">
        <x:v>825</x:v>
      </x:c>
      <x:c r="N74" s="10" t="n">
        <x:f>IF(AND(Z74="共同",COUNT(H74:I74)=2),H74-I74,"")</x:f>
        <x:v>0</x:v>
      </x:c>
      <x:c r="O74" s="10" t="n">
        <x:v>0</x:v>
      </x:c>
      <x:c r="P74" s="10" t="n">
        <x:v>0</x:v>
      </x:c>
      <x:c r="Q74" s="10" t="n">
        <x:v>0</x:v>
      </x:c>
      <x:c r="R74" s="10" t="n">
        <x:v>2</x:v>
      </x:c>
      <x:c r="S74" s="10" t="n">
        <x:v>11</x:v>
      </x:c>
      <x:c r="T74" s="10" t="n">
        <x:v>0</x:v>
      </x:c>
      <x:c r="U74" s="10" t="n">
        <x:f>IF(AND(ISNUMBER(X74),X74&gt;=0,Y74&lt;&gt;1),X74,"")</x:f>
        <x:v>11</x:v>
      </x:c>
      <x:c r="V74" s="10" t="n">
        <x:v>0</x:v>
      </x:c>
      <x:c r="W74" s="10" t="n">
        <x:v>0</x:v>
      </x:c>
      <x:c r="X74" s="10" t="n">
        <x:v>11</x:v>
      </x:c>
      <x:c r="Y74" s="3" t="n">
        <x:v>0</x:v>
      </x:c>
      <x:c r="Z74" s="3" t="str">
        <x:v>共同</x:v>
      </x:c>
      <x:c r="AA74" s="3" t="str">
        <x:v>在售</x:v>
      </x:c>
      <x:c r="AB74" s="12" t="n">
        <x:f>IF(AND(Z74="共同",ISNUMBER(G74),ISNUMBER(AD74)),G74-AD74,"")</x:f>
        <x:v>1.734723475976807e-18</x:v>
      </x:c>
      <x:c r="AC74" s="3" t="str"/>
      <x:c r="AD74" s="12" t="n">
        <x:v>0.013333333333333332</x:v>
      </x:c>
      <x:c r="AE74" s="3" t="str">
        <x:v>[13306,"B07-RG-38-by"]</x:v>
      </x:c>
      <x:c r="AF74" t="n">
        <x:f>IF(ISNUMBER(H74),1,0)</x:f>
        <x:v>1</x:v>
      </x:c>
      <x:c r="AG74" t="n">
        <x:f>IF(ISNUMBER(I74),1,0)</x:f>
        <x:v>1</x:v>
      </x:c>
      <x:c r="AH74" t="str">
        <x:v>["B07","B07-RG","RG","玫瑰金PU"]</x:v>
      </x:c>
      <x:c r="AI74" t="n">
        <x:f>IF(ISNUMBER(G74),1,0)</x:f>
        <x:v>1</x:v>
      </x:c>
      <x:c r="AJ74" t="n">
        <x:f>IF(ISNUMBER(AD74),1,0)</x:f>
        <x:v>1</x:v>
      </x:c>
    </x:row>
    <x:row r="75" ht="30" customHeight="1">
      <x:c r="A75" s="3" t="str">
        <x:v>B07-RG-41.5</x:v>
      </x:c>
      <x:c r="B75" s="3" t="str">
        <x:v>4店-彬郁-US</x:v>
      </x:c>
      <x:c r="C75" s="3" t="str">
        <x:v>艾年</x:v>
      </x:c>
      <x:c r="D75" s="3" t="str">
        <x:v>B07</x:v>
      </x:c>
      <x:c r="E75" s="3" t="str">
        <x:f>IF(Z75="移出","已移出",IF(NOT(ISNUMBER(H75)),"数据待核",IF(H75=0,"断货",IF(NOT(ISNUMBER(G75)),"数据待核",IF(G75=0,"零日销待复核",IF(F75&lt;60,"补货提醒",IF(F75&lt;=90,"正常库存",IF(F75&lt;180,"促销",IF(F75&lt;=365,"红线促销","考虑清仓")))))))))</x:f>
        <x:v>考虑清仓</x:v>
      </x:c>
      <x:c r="F75" s="11" t="n">
        <x:f>IF(AND(ISNUMBER(H75),ISNUMBER(G75),G75&gt;0),H75/G75,"")</x:f>
        <x:v>600</x:v>
      </x:c>
      <x:c r="G75" s="12" t="n">
        <x:f>IF(AND(COUNT(P75:R75)=3,MIN(P75:R75)&gt;=0,P75&lt;=Q75,Q75&lt;=R75),P75/7*0.5+Q75/14*0.3+R75/30*0.2,"")</x:f>
        <x:v>0.006666666666666667</x:v>
      </x:c>
      <x:c r="H75" s="10" t="n">
        <x:f>IF(ISNUMBER(U75),U75,"")</x:f>
        <x:v>4</x:v>
      </x:c>
      <x:c r="I75" s="10" t="n">
        <x:v>0</x:v>
      </x:c>
      <x:c r="J75" s="11" t="n">
        <x:f>IF(AND(Z75="共同",ISNUMBER(F75),ISNUMBER(M75)),F75-M75,"")</x:f>
        <x:v>600</x:v>
      </x:c>
      <x:c r="K75" s="13" t="str">
        <x:f>IF(AND(ISNUMBER(J75),M75&lt;&gt;0),J75/M75,"")</x:f>
      </x:c>
      <x:c r="L75" s="10" t="str">
        <x:v>断货</x:v>
      </x:c>
      <x:c r="M75" s="11" t="n">
        <x:v>0</x:v>
      </x:c>
      <x:c r="N75" s="10" t="n">
        <x:f>IF(AND(Z75="共同",COUNT(H75:I75)=2),H75-I75,"")</x:f>
        <x:v>4</x:v>
      </x:c>
      <x:c r="O75" s="10"/>
      <x:c r="P75" s="10" t="n">
        <x:v>0</x:v>
      </x:c>
      <x:c r="Q75" s="10" t="n">
        <x:v>0</x:v>
      </x:c>
      <x:c r="R75" s="10" t="n">
        <x:v>1</x:v>
      </x:c>
      <x:c r="S75" s="10" t="n">
        <x:v>4</x:v>
      </x:c>
      <x:c r="T75" s="10" t="n">
        <x:v>0</x:v>
      </x:c>
      <x:c r="U75" s="10" t="n">
        <x:f>IF(AND(ISNUMBER(X75),X75&gt;=0,Y75&lt;&gt;1),X75,"")</x:f>
        <x:v>4</x:v>
      </x:c>
      <x:c r="V75" s="10" t="n">
        <x:v>0</x:v>
      </x:c>
      <x:c r="W75" s="10" t="n">
        <x:v>0</x:v>
      </x:c>
      <x:c r="X75" s="10" t="n">
        <x:v>4</x:v>
      </x:c>
      <x:c r="Y75" s="3" t="n">
        <x:v>0</x:v>
      </x:c>
      <x:c r="Z75" s="3" t="str">
        <x:v>共同</x:v>
      </x:c>
      <x:c r="AA75" s="3" t="str">
        <x:v>在售</x:v>
      </x:c>
      <x:c r="AB75" s="12" t="n">
        <x:f>IF(AND(Z75="共同",ISNUMBER(G75),ISNUMBER(AD75)),G75-AD75,"")</x:f>
        <x:v>-0.02142857142857143</x:v>
      </x:c>
      <x:c r="AC75" s="3" t="str"/>
      <x:c r="AD75" s="12" t="n">
        <x:v>0.028095238095238097</x:v>
      </x:c>
      <x:c r="AE75" s="3" t="str">
        <x:v>[13306,"B07-RG-41.5"]</x:v>
      </x:c>
      <x:c r="AF75" t="n">
        <x:f>IF(ISNUMBER(H75),1,0)</x:f>
        <x:v>1</x:v>
      </x:c>
      <x:c r="AG75" t="n">
        <x:f>IF(ISNUMBER(I75),1,0)</x:f>
        <x:v>1</x:v>
      </x:c>
      <x:c r="AH75" t="str">
        <x:v>["B07","B07-RG","RG","玫瑰金PU"]</x:v>
      </x:c>
      <x:c r="AI75" t="n">
        <x:f>IF(ISNUMBER(G75),1,0)</x:f>
        <x:v>1</x:v>
      </x:c>
      <x:c r="AJ75" t="n">
        <x:f>IF(ISNUMBER(AD75),1,0)</x:f>
        <x:v>1</x:v>
      </x:c>
    </x:row>
    <x:row r="76" ht="30" customHeight="1">
      <x:c r="A76" s="3" t="str">
        <x:v>B07-SK-37-by</x:v>
      </x:c>
      <x:c r="B76" s="3" t="str">
        <x:v>4店-彬郁-US</x:v>
      </x:c>
      <x:c r="C76" s="3" t="str">
        <x:v>艾年</x:v>
      </x:c>
      <x:c r="D76" s="3" t="str">
        <x:v>B07</x:v>
      </x:c>
      <x:c r="E76" s="3" t="str">
        <x:f>IF(Z76="移出","已移出",IF(NOT(ISNUMBER(H76)),"数据待核",IF(H76=0,"断货",IF(NOT(ISNUMBER(G76)),"数据待核",IF(G76=0,"零日销待复核",IF(F76&lt;60,"补货提醒",IF(F76&lt;=90,"正常库存",IF(F76&lt;180,"促销",IF(F76&lt;=365,"红线促销","考虑清仓")))))))))</x:f>
        <x:v>考虑清仓</x:v>
      </x:c>
      <x:c r="F76" s="11" t="n">
        <x:f>IF(AND(ISNUMBER(H76),ISNUMBER(G76),G76&gt;0),H76/G76,"")</x:f>
        <x:v>750</x:v>
      </x:c>
      <x:c r="G76" s="12" t="n">
        <x:f>IF(AND(COUNT(P76:R76)=3,MIN(P76:R76)&gt;=0,P76&lt;=Q76,Q76&lt;=R76),P76/7*0.5+Q76/14*0.3+R76/30*0.2,"")</x:f>
        <x:v>0.006666666666666667</x:v>
      </x:c>
      <x:c r="H76" s="10" t="n">
        <x:f>IF(ISNUMBER(U76),U76,"")</x:f>
        <x:v>5</x:v>
      </x:c>
      <x:c r="I76" s="10" t="n">
        <x:v>4</x:v>
      </x:c>
      <x:c r="J76" s="11" t="n">
        <x:f>IF(AND(Z76="共同",ISNUMBER(F76),ISNUMBER(M76)),F76-M76,"")</x:f>
        <x:v>712.3318385650224</x:v>
      </x:c>
      <x:c r="K76" s="13" t="n">
        <x:f>IF(AND(ISNUMBER(J76),M76&lt;&gt;0),J76/M76,"")</x:f>
        <x:v>18.910714285714285</x:v>
      </x:c>
      <x:c r="L76" s="10" t="str">
        <x:v>补货提醒</x:v>
      </x:c>
      <x:c r="M76" s="11" t="n">
        <x:v>37.66816143497758</x:v>
      </x:c>
      <x:c r="N76" s="10" t="n">
        <x:f>IF(AND(Z76="共同",COUNT(H76:I76)=2),H76-I76,"")</x:f>
        <x:v>1</x:v>
      </x:c>
      <x:c r="O76" s="10" t="n">
        <x:v>0</x:v>
      </x:c>
      <x:c r="P76" s="10" t="n">
        <x:v>0</x:v>
      </x:c>
      <x:c r="Q76" s="10" t="n">
        <x:v>0</x:v>
      </x:c>
      <x:c r="R76" s="10" t="n">
        <x:v>1</x:v>
      </x:c>
      <x:c r="S76" s="10" t="n">
        <x:v>5</x:v>
      </x:c>
      <x:c r="T76" s="10" t="n">
        <x:v>0</x:v>
      </x:c>
      <x:c r="U76" s="10" t="n">
        <x:f>IF(AND(ISNUMBER(X76),X76&gt;=0,Y76&lt;&gt;1),X76,"")</x:f>
        <x:v>5</x:v>
      </x:c>
      <x:c r="V76" s="10" t="n">
        <x:v>0</x:v>
      </x:c>
      <x:c r="W76" s="10" t="n">
        <x:v>0</x:v>
      </x:c>
      <x:c r="X76" s="10" t="n">
        <x:v>5</x:v>
      </x:c>
      <x:c r="Y76" s="3" t="n">
        <x:v>0</x:v>
      </x:c>
      <x:c r="Z76" s="3" t="str">
        <x:v>共同</x:v>
      </x:c>
      <x:c r="AA76" s="3" t="str">
        <x:v>在售</x:v>
      </x:c>
      <x:c r="AB76" s="12" t="n">
        <x:f>IF(AND(Z76="共同",ISNUMBER(G76),ISNUMBER(AD76)),G76-AD76,"")</x:f>
        <x:v>-0.09952380952380953</x:v>
      </x:c>
      <x:c r="AC76" s="3" t="str"/>
      <x:c r="AD76" s="12" t="n">
        <x:v>0.1061904761904762</x:v>
      </x:c>
      <x:c r="AE76" s="3" t="str">
        <x:v>[13306,"B07-SK-37-by"]</x:v>
      </x:c>
      <x:c r="AF76" t="n">
        <x:f>IF(ISNUMBER(H76),1,0)</x:f>
        <x:v>1</x:v>
      </x:c>
      <x:c r="AG76" t="n">
        <x:f>IF(ISNUMBER(I76),1,0)</x:f>
        <x:v>1</x:v>
      </x:c>
      <x:c r="AH76" t="str">
        <x:v>["B07","B07-SK","SK","黑白蛇纹PU"]</x:v>
      </x:c>
      <x:c r="AI76" t="n">
        <x:f>IF(ISNUMBER(G76),1,0)</x:f>
        <x:v>1</x:v>
      </x:c>
      <x:c r="AJ76" t="n">
        <x:f>IF(ISNUMBER(AD76),1,0)</x:f>
        <x:v>1</x:v>
      </x:c>
    </x:row>
    <x:row r="77" ht="30" customHeight="1">
      <x:c r="A77" s="3" t="str">
        <x:v>B07-TN-37.5</x:v>
      </x:c>
      <x:c r="B77" s="3" t="str">
        <x:v>4店-彬郁-US</x:v>
      </x:c>
      <x:c r="C77" s="3" t="str">
        <x:v>艾年</x:v>
      </x:c>
      <x:c r="D77" s="3" t="str">
        <x:v>B07</x:v>
      </x:c>
      <x:c r="E77" s="3" t="str">
        <x:f>IF(Z77="移出","已移出",IF(NOT(ISNUMBER(H77)),"数据待核",IF(H77=0,"断货",IF(NOT(ISNUMBER(G77)),"数据待核",IF(G77=0,"零日销待复核",IF(F77&lt;60,"补货提醒",IF(F77&lt;=90,"正常库存",IF(F77&lt;180,"促销",IF(F77&lt;=365,"红线促销","考虑清仓")))))))))</x:f>
        <x:v>考虑清仓</x:v>
      </x:c>
      <x:c r="F77" s="11" t="n">
        <x:f>IF(AND(ISNUMBER(H77),ISNUMBER(G77),G77&gt;0),H77/G77,"")</x:f>
        <x:v>661.6438356164384</x:v>
      </x:c>
      <x:c r="G77" s="12" t="n">
        <x:f>IF(AND(COUNT(P77:R77)=3,MIN(P77:R77)&gt;=0,P77&lt;=Q77,Q77&lt;=R77),P77/7*0.5+Q77/14*0.3+R77/30*0.2,"")</x:f>
        <x:v>0.03476190476190476</x:v>
      </x:c>
      <x:c r="H77" s="10" t="n">
        <x:f>IF(ISNUMBER(U77),U77,"")</x:f>
        <x:v>23</x:v>
      </x:c>
      <x:c r="I77" s="10" t="n">
        <x:v>13</x:v>
      </x:c>
      <x:c r="J77" s="11" t="n">
        <x:f>IF(AND(Z77="共同",ISNUMBER(F77),ISNUMBER(M77)),F77-M77,"")</x:f>
        <x:v>198.9319712096588</x:v>
      </x:c>
      <x:c r="K77" s="13" t="n">
        <x:f>IF(AND(ISNUMBER(J77),M77&lt;&gt;0),J77/M77,"")</x:f>
        <x:v>0.4299262381454165</x:v>
      </x:c>
      <x:c r="L77" s="10" t="str">
        <x:v>考虑清仓</x:v>
      </x:c>
      <x:c r="M77" s="11" t="n">
        <x:v>462.7118644067796</x:v>
      </x:c>
      <x:c r="N77" s="10" t="n">
        <x:f>IF(AND(Z77="共同",COUNT(H77:I77)=2),H77-I77,"")</x:f>
        <x:v>10</x:v>
      </x:c>
      <x:c r="O77" s="10" t="n">
        <x:v>0</x:v>
      </x:c>
      <x:c r="P77" s="10" t="n">
        <x:v>0</x:v>
      </x:c>
      <x:c r="Q77" s="10" t="n">
        <x:v>1</x:v>
      </x:c>
      <x:c r="R77" s="10" t="n">
        <x:v>2</x:v>
      </x:c>
      <x:c r="S77" s="10" t="n">
        <x:v>27</x:v>
      </x:c>
      <x:c r="T77" s="10" t="n">
        <x:v>0</x:v>
      </x:c>
      <x:c r="U77" s="10" t="n">
        <x:f>IF(AND(ISNUMBER(X77),X77&gt;=0,Y77&lt;&gt;1),X77,"")</x:f>
        <x:v>23</x:v>
      </x:c>
      <x:c r="V77" s="10" t="n">
        <x:v>0</x:v>
      </x:c>
      <x:c r="W77" s="10" t="n">
        <x:v>19</x:v>
      </x:c>
      <x:c r="X77" s="10" t="n">
        <x:v>23</x:v>
      </x:c>
      <x:c r="Y77" s="3" t="n">
        <x:v>0</x:v>
      </x:c>
      <x:c r="Z77" s="3" t="str">
        <x:v>共同</x:v>
      </x:c>
      <x:c r="AA77" s="3" t="str">
        <x:v>在售</x:v>
      </x:c>
      <x:c r="AB77" s="12" t="n">
        <x:f>IF(AND(Z77="共同",ISNUMBER(G77),ISNUMBER(AD77)),G77-AD77,"")</x:f>
        <x:v>0.006666666666666661</x:v>
      </x:c>
      <x:c r="AC77" s="3" t="str"/>
      <x:c r="AD77" s="12" t="n">
        <x:v>0.028095238095238097</x:v>
      </x:c>
      <x:c r="AE77" s="3" t="str">
        <x:v>[13306,"B07-TN-37.5"]</x:v>
      </x:c>
      <x:c r="AF77" t="n">
        <x:f>IF(ISNUMBER(H77),1,0)</x:f>
        <x:v>1</x:v>
      </x:c>
      <x:c r="AG77" t="n">
        <x:f>IF(ISNUMBER(I77),1,0)</x:f>
        <x:v>1</x:v>
      </x:c>
      <x:c r="AH77" t="str">
        <x:v>["B07","B07-TN","TN","驼色羊京绒"]</x:v>
      </x:c>
      <x:c r="AI77" t="n">
        <x:f>IF(ISNUMBER(G77),1,0)</x:f>
        <x:v>1</x:v>
      </x:c>
      <x:c r="AJ77" t="n">
        <x:f>IF(ISNUMBER(AD77),1,0)</x:f>
        <x:v>1</x:v>
      </x:c>
    </x:row>
    <x:row r="78" ht="30" customHeight="1">
      <x:c r="A78" s="3" t="str">
        <x:v>B07-TN-41-by</x:v>
      </x:c>
      <x:c r="B78" s="3" t="str">
        <x:v>4店-彬郁-US</x:v>
      </x:c>
      <x:c r="C78" s="3" t="str">
        <x:v>艾年</x:v>
      </x:c>
      <x:c r="D78" s="3" t="str">
        <x:v>B07</x:v>
      </x:c>
      <x:c r="E78" s="3" t="str">
        <x:f>IF(Z78="移出","已移出",IF(NOT(ISNUMBER(H78)),"数据待核",IF(H78=0,"断货",IF(NOT(ISNUMBER(G78)),"数据待核",IF(G78=0,"零日销待复核",IF(F78&lt;60,"补货提醒",IF(F78&lt;=90,"正常库存",IF(F78&lt;180,"促销",IF(F78&lt;=365,"红线促销","考虑清仓")))))))))</x:f>
        <x:v>考虑清仓</x:v>
      </x:c>
      <x:c r="F78" s="11" t="n">
        <x:f>IF(AND(ISNUMBER(H78),ISNUMBER(G78),G78&gt;0),H78/G78,"")</x:f>
        <x:v>1350</x:v>
      </x:c>
      <x:c r="G78" s="12" t="n">
        <x:f>IF(AND(COUNT(P78:R78)=3,MIN(P78:R78)&gt;=0,P78&lt;=Q78,Q78&lt;=R78),P78/7*0.5+Q78/14*0.3+R78/30*0.2,"")</x:f>
        <x:v>0.006666666666666667</x:v>
      </x:c>
      <x:c r="H78" s="10" t="n">
        <x:f>IF(ISNUMBER(U78),U78,"")</x:f>
        <x:v>9</x:v>
      </x:c>
      <x:c r="I78" s="10" t="n">
        <x:v>5</x:v>
      </x:c>
      <x:c r="J78" s="11" t="n">
        <x:f>IF(AND(Z78="共同",ISNUMBER(F78),ISNUMBER(M78)),F78-M78,"")</x:f>
        <x:v>1299.7607655502393</x:v>
      </x:c>
      <x:c r="K78" s="13" t="n">
        <x:f>IF(AND(ISNUMBER(J78),M78&lt;&gt;0),J78/M78,"")</x:f>
        <x:v>25.87142857142857</x:v>
      </x:c>
      <x:c r="L78" s="10" t="str">
        <x:v>补货提醒</x:v>
      </x:c>
      <x:c r="M78" s="11" t="n">
        <x:v>50.23923444976077</x:v>
      </x:c>
      <x:c r="N78" s="10" t="n">
        <x:f>IF(AND(Z78="共同",COUNT(H78:I78)=2),H78-I78,"")</x:f>
        <x:v>4</x:v>
      </x:c>
      <x:c r="O78" s="10" t="n">
        <x:v>0</x:v>
      </x:c>
      <x:c r="P78" s="10" t="n">
        <x:v>0</x:v>
      </x:c>
      <x:c r="Q78" s="10" t="n">
        <x:v>0</x:v>
      </x:c>
      <x:c r="R78" s="10" t="n">
        <x:v>1</x:v>
      </x:c>
      <x:c r="S78" s="10" t="n">
        <x:v>14</x:v>
      </x:c>
      <x:c r="T78" s="10" t="n">
        <x:v>0</x:v>
      </x:c>
      <x:c r="U78" s="10" t="n">
        <x:f>IF(AND(ISNUMBER(X78),X78&gt;=0,Y78&lt;&gt;1),X78,"")</x:f>
        <x:v>9</x:v>
      </x:c>
      <x:c r="V78" s="10" t="n">
        <x:v>0</x:v>
      </x:c>
      <x:c r="W78" s="10" t="n">
        <x:v>0</x:v>
      </x:c>
      <x:c r="X78" s="10" t="n">
        <x:v>9</x:v>
      </x:c>
      <x:c r="Y78" s="3" t="n">
        <x:v>0</x:v>
      </x:c>
      <x:c r="Z78" s="3" t="str">
        <x:v>共同</x:v>
      </x:c>
      <x:c r="AA78" s="3" t="str">
        <x:v>在售</x:v>
      </x:c>
      <x:c r="AB78" s="12" t="n">
        <x:f>IF(AND(Z78="共同",ISNUMBER(G78),ISNUMBER(AD78)),G78-AD78,"")</x:f>
        <x:v>-0.09285714285714285</x:v>
      </x:c>
      <x:c r="AC78" s="3" t="str"/>
      <x:c r="AD78" s="12" t="n">
        <x:v>0.09952380952380951</x:v>
      </x:c>
      <x:c r="AE78" s="3" t="str">
        <x:v>[13306,"B07-TN-41-by"]</x:v>
      </x:c>
      <x:c r="AF78" t="n">
        <x:f>IF(ISNUMBER(H78),1,0)</x:f>
        <x:v>1</x:v>
      </x:c>
      <x:c r="AG78" t="n">
        <x:f>IF(ISNUMBER(I78),1,0)</x:f>
        <x:v>1</x:v>
      </x:c>
      <x:c r="AH78" t="str">
        <x:v>["B07","B07-TN","TN","驼色羊京绒"]</x:v>
      </x:c>
      <x:c r="AI78" t="n">
        <x:f>IF(ISNUMBER(G78),1,0)</x:f>
        <x:v>1</x:v>
      </x:c>
      <x:c r="AJ78" t="n">
        <x:f>IF(ISNUMBER(AD78),1,0)</x:f>
        <x:v>1</x:v>
      </x:c>
    </x:row>
    <x:row r="79" ht="30" customHeight="1">
      <x:c r="A79" s="3" t="str">
        <x:v>S02-BKP-41</x:v>
      </x:c>
      <x:c r="B79" s="3" t="str">
        <x:v>3店-SANDIEX-US</x:v>
      </x:c>
      <x:c r="C79" s="3" t="str">
        <x:v>陈晨</x:v>
      </x:c>
      <x:c r="D79" s="3" t="str">
        <x:v>S02</x:v>
      </x:c>
      <x:c r="E79" s="3" t="str">
        <x:f>IF(Z79="移出","已移出",IF(NOT(ISNUMBER(H79)),"数据待核",IF(H79=0,"断货",IF(NOT(ISNUMBER(G79)),"数据待核",IF(G79=0,"零日销待复核",IF(F79&lt;60,"补货提醒",IF(F79&lt;=90,"正常库存",IF(F79&lt;180,"促销",IF(F79&lt;=365,"红线促销","考虑清仓")))))))))</x:f>
        <x:v>考虑清仓</x:v>
      </x:c>
      <x:c r="F79" s="11" t="n">
        <x:f>IF(AND(ISNUMBER(H79),ISNUMBER(G79),G79&gt;0),H79/G79,"")</x:f>
        <x:v>6900</x:v>
      </x:c>
      <x:c r="G79" s="12" t="n">
        <x:f>IF(AND(COUNT(P79:R79)=3,MIN(P79:R79)&gt;=0,P79&lt;=Q79,Q79&lt;=R79),P79/7*0.5+Q79/14*0.3+R79/30*0.2,"")</x:f>
        <x:v>0.006666666666666667</x:v>
      </x:c>
      <x:c r="H79" s="10" t="n">
        <x:f>IF(ISNUMBER(U79),U79,"")</x:f>
        <x:v>46</x:v>
      </x:c>
      <x:c r="I79" s="10" t="n">
        <x:v>45</x:v>
      </x:c>
      <x:c r="J79" s="11" t="n">
        <x:f>IF(AND(Z79="共同",ISNUMBER(F79),ISNUMBER(M79)),F79-M79,"")</x:f>
        <x:v>5298.3050847457625</x:v>
      </x:c>
      <x:c r="K79" s="13" t="n">
        <x:f>IF(AND(ISNUMBER(J79),M79&lt;&gt;0),J79/M79,"")</x:f>
        <x:v>3.3079365079365077</x:v>
      </x:c>
      <x:c r="L79" s="10" t="str">
        <x:v>考虑清仓</x:v>
      </x:c>
      <x:c r="M79" s="11" t="n">
        <x:v>1601.6949152542372</x:v>
      </x:c>
      <x:c r="N79" s="10" t="n">
        <x:f>IF(AND(Z79="共同",COUNT(H79:I79)=2),H79-I79,"")</x:f>
        <x:v>1</x:v>
      </x:c>
      <x:c r="O79" s="10" t="n">
        <x:v>39</x:v>
      </x:c>
      <x:c r="P79" s="10" t="n">
        <x:v>0</x:v>
      </x:c>
      <x:c r="Q79" s="10" t="n">
        <x:v>0</x:v>
      </x:c>
      <x:c r="R79" s="10" t="n">
        <x:v>1</x:v>
      </x:c>
      <x:c r="S79" s="10" t="n">
        <x:v>46</x:v>
      </x:c>
      <x:c r="T79" s="10" t="n">
        <x:v>0</x:v>
      </x:c>
      <x:c r="U79" s="10" t="n">
        <x:f>IF(AND(ISNUMBER(X79),X79&gt;=0,Y79&lt;&gt;1),X79,"")</x:f>
        <x:v>46</x:v>
      </x:c>
      <x:c r="V79" s="10" t="n">
        <x:v>0</x:v>
      </x:c>
      <x:c r="W79" s="10" t="n">
        <x:v>0</x:v>
      </x:c>
      <x:c r="X79" s="10" t="n">
        <x:v>46</x:v>
      </x:c>
      <x:c r="Y79" s="3" t="n">
        <x:v>0</x:v>
      </x:c>
      <x:c r="Z79" s="3" t="str">
        <x:v>共同</x:v>
      </x:c>
      <x:c r="AA79" s="3" t="str">
        <x:v>在售</x:v>
      </x:c>
      <x:c r="AB79" s="12" t="n">
        <x:f>IF(AND(Z79="共同",ISNUMBER(G79),ISNUMBER(AD79)),G79-AD79,"")</x:f>
        <x:v>-0.02142857142857143</x:v>
      </x:c>
      <x:c r="AC79" s="3" t="str"/>
      <x:c r="AD79" s="12" t="n">
        <x:v>0.028095238095238097</x:v>
      </x:c>
      <x:c r="AE79" s="3" t="str">
        <x:v>[6574,"S02-BKP-41"]</x:v>
      </x:c>
      <x:c r="AF79" t="n">
        <x:f>IF(ISNUMBER(H79),1,0)</x:f>
        <x:v>1</x:v>
      </x:c>
      <x:c r="AG79" t="n">
        <x:f>IF(ISNUMBER(I79),1,0)</x:f>
        <x:v>1</x:v>
      </x:c>
      <x:c r="AH79" t="str">
        <x:v>["S02","S02-BKP","BKP","黑色PU"]</x:v>
      </x:c>
      <x:c r="AI79" t="n">
        <x:f>IF(ISNUMBER(G79),1,0)</x:f>
        <x:v>1</x:v>
      </x:c>
      <x:c r="AJ79" t="n">
        <x:f>IF(ISNUMBER(AD79),1,0)</x:f>
        <x:v>1</x:v>
      </x:c>
    </x:row>
    <x:row r="80" ht="30" customHeight="1">
      <x:c r="A80" s="3" t="str">
        <x:v>S02-TN-37</x:v>
      </x:c>
      <x:c r="B80" s="3" t="str">
        <x:v>3店-SANDIEX-US</x:v>
      </x:c>
      <x:c r="C80" s="3" t="str">
        <x:v>陈晨</x:v>
      </x:c>
      <x:c r="D80" s="3" t="str">
        <x:v>S02</x:v>
      </x:c>
      <x:c r="E80" s="3" t="str">
        <x:f>IF(Z80="移出","已移出",IF(NOT(ISNUMBER(H80)),"数据待核",IF(H80=0,"断货",IF(NOT(ISNUMBER(G80)),"数据待核",IF(G80=0,"零日销待复核",IF(F80&lt;60,"补货提醒",IF(F80&lt;=90,"正常库存",IF(F80&lt;180,"促销",IF(F80&lt;=365,"红线促销","考虑清仓")))))))))</x:f>
        <x:v>考虑清仓</x:v>
      </x:c>
      <x:c r="F80" s="11" t="n">
        <x:f>IF(AND(ISNUMBER(H80),ISNUMBER(G80),G80&gt;0),H80/G80,"")</x:f>
        <x:v>666.6666666666667</x:v>
      </x:c>
      <x:c r="G80" s="12" t="n">
        <x:f>IF(AND(COUNT(P80:R80)=3,MIN(P80:R80)&gt;=0,P80&lt;=Q80,Q80&lt;=R80),P80/7*0.5+Q80/14*0.3+R80/30*0.2,"")</x:f>
        <x:v>0.06</x:v>
      </x:c>
      <x:c r="H80" s="10" t="n">
        <x:f>IF(ISNUMBER(U80),U80,"")</x:f>
        <x:v>40</x:v>
      </x:c>
      <x:c r="I80" s="10" t="n">
        <x:v>41</x:v>
      </x:c>
      <x:c r="J80" s="11" t="n">
        <x:f>IF(AND(Z80="共同",ISNUMBER(F80),ISNUMBER(M80)),F80-M80,"")</x:f>
        <x:v>599.4535519125684</x:v>
      </x:c>
      <x:c r="K80" s="13" t="n">
        <x:f>IF(AND(ISNUMBER(J80),M80&lt;&gt;0),J80/M80,"")</x:f>
        <x:v>8.918699186991871</x:v>
      </x:c>
      <x:c r="L80" s="10" t="str">
        <x:v>正常库存</x:v>
      </x:c>
      <x:c r="M80" s="11" t="n">
        <x:v>67.21311475409836</x:v>
      </x:c>
      <x:c r="N80" s="10" t="n">
        <x:f>IF(AND(Z80="共同",COUNT(H80:I80)=2),H80-I80,"")</x:f>
        <x:v>-1</x:v>
      </x:c>
      <x:c r="O80" s="10" t="n">
        <x:v>0</x:v>
      </x:c>
      <x:c r="P80" s="10" t="n">
        <x:v>0</x:v>
      </x:c>
      <x:c r="Q80" s="10" t="n">
        <x:v>0</x:v>
      </x:c>
      <x:c r="R80" s="10" t="n">
        <x:v>9</x:v>
      </x:c>
      <x:c r="S80" s="10" t="n">
        <x:v>42</x:v>
      </x:c>
      <x:c r="T80" s="10" t="n">
        <x:v>0</x:v>
      </x:c>
      <x:c r="U80" s="10" t="n">
        <x:f>IF(AND(ISNUMBER(X80),X80&gt;=0,Y80&lt;&gt;1),X80,"")</x:f>
        <x:v>40</x:v>
      </x:c>
      <x:c r="V80" s="10" t="n">
        <x:v>0</x:v>
      </x:c>
      <x:c r="W80" s="10" t="n">
        <x:v>0</x:v>
      </x:c>
      <x:c r="X80" s="10" t="n">
        <x:v>40</x:v>
      </x:c>
      <x:c r="Y80" s="3" t="n">
        <x:v>0</x:v>
      </x:c>
      <x:c r="Z80" s="3" t="str">
        <x:v>共同</x:v>
      </x:c>
      <x:c r="AA80" s="3" t="str">
        <x:v>在售</x:v>
      </x:c>
      <x:c r="AB80" s="12" t="n">
        <x:f>IF(AND(Z80="共同",ISNUMBER(G80),ISNUMBER(AD80)),G80-AD80,"")</x:f>
        <x:v>-0.55</x:v>
      </x:c>
      <x:c r="AC80" s="3" t="str"/>
      <x:c r="AD80" s="12" t="n">
        <x:v>0.61</x:v>
      </x:c>
      <x:c r="AE80" s="3" t="str">
        <x:v>[6574,"S02-TN-37"]</x:v>
      </x:c>
      <x:c r="AF80" t="n">
        <x:f>IF(ISNUMBER(H80),1,0)</x:f>
        <x:v>1</x:v>
      </x:c>
      <x:c r="AG80" t="n">
        <x:f>IF(ISNUMBER(I80),1,0)</x:f>
        <x:v>1</x:v>
      </x:c>
      <x:c r="AH80" t="str">
        <x:v>["S02","S02-TN","TN","驼色"]</x:v>
      </x:c>
      <x:c r="AI80" t="n">
        <x:f>IF(ISNUMBER(G80),1,0)</x:f>
        <x:v>1</x:v>
      </x:c>
      <x:c r="AJ80" t="n">
        <x:f>IF(ISNUMBER(AD80),1,0)</x:f>
        <x:v>1</x:v>
      </x:c>
    </x:row>
    <x:row r="81" ht="30" customHeight="1">
      <x:c r="A81" s="3" t="str">
        <x:v>S02-TNP-40</x:v>
      </x:c>
      <x:c r="B81" s="3" t="str">
        <x:v>3店-SANDIEX-US</x:v>
      </x:c>
      <x:c r="C81" s="3" t="str">
        <x:v>陈晨</x:v>
      </x:c>
      <x:c r="D81" s="3" t="str">
        <x:v>S02</x:v>
      </x:c>
      <x:c r="E81" s="3" t="str">
        <x:f>IF(Z81="移出","已移出",IF(NOT(ISNUMBER(H81)),"数据待核",IF(H81=0,"断货",IF(NOT(ISNUMBER(G81)),"数据待核",IF(G81=0,"零日销待复核",IF(F81&lt;60,"补货提醒",IF(F81&lt;=90,"正常库存",IF(F81&lt;180,"促销",IF(F81&lt;=365,"红线促销","考虑清仓")))))))))</x:f>
        <x:v>考虑清仓</x:v>
      </x:c>
      <x:c r="F81" s="11" t="n">
        <x:f>IF(AND(ISNUMBER(H81),ISNUMBER(G81),G81&gt;0),H81/G81,"")</x:f>
        <x:v>10650</x:v>
      </x:c>
      <x:c r="G81" s="12" t="n">
        <x:f>IF(AND(COUNT(P81:R81)=3,MIN(P81:R81)&gt;=0,P81&lt;=Q81,Q81&lt;=R81),P81/7*0.5+Q81/14*0.3+R81/30*0.2,"")</x:f>
        <x:v>0.006666666666666667</x:v>
      </x:c>
      <x:c r="H81" s="10" t="n">
        <x:f>IF(ISNUMBER(U81),U81,"")</x:f>
        <x:v>71</x:v>
      </x:c>
      <x:c r="I81" s="10" t="n">
        <x:v>71</x:v>
      </x:c>
      <x:c r="J81" s="11" t="n">
        <x:f>IF(AND(Z81="共同",ISNUMBER(F81),ISNUMBER(M81)),F81-M81,"")</x:f>
        <x:v>9981.390134529149</x:v>
      </x:c>
      <x:c r="K81" s="13" t="n">
        <x:f>IF(AND(ISNUMBER(J81),M81&lt;&gt;0),J81/M81,"")</x:f>
        <x:v>14.92857142857143</x:v>
      </x:c>
      <x:c r="L81" s="10" t="str">
        <x:v>考虑清仓</x:v>
      </x:c>
      <x:c r="M81" s="11" t="n">
        <x:v>668.609865470852</x:v>
      </x:c>
      <x:c r="N81" s="10" t="n">
        <x:f>IF(AND(Z81="共同",COUNT(H81:I81)=2),H81-I81,"")</x:f>
        <x:v>0</x:v>
      </x:c>
      <x:c r="O81" s="10" t="n">
        <x:v>0</x:v>
      </x:c>
      <x:c r="P81" s="10" t="n">
        <x:v>0</x:v>
      </x:c>
      <x:c r="Q81" s="10" t="n">
        <x:v>0</x:v>
      </x:c>
      <x:c r="R81" s="10" t="n">
        <x:v>1</x:v>
      </x:c>
      <x:c r="S81" s="10" t="n">
        <x:v>71</x:v>
      </x:c>
      <x:c r="T81" s="10" t="n">
        <x:v>0</x:v>
      </x:c>
      <x:c r="U81" s="10" t="n">
        <x:f>IF(AND(ISNUMBER(X81),X81&gt;=0,Y81&lt;&gt;1),X81,"")</x:f>
        <x:v>71</x:v>
      </x:c>
      <x:c r="V81" s="10" t="n">
        <x:v>0</x:v>
      </x:c>
      <x:c r="W81" s="10" t="n">
        <x:v>0</x:v>
      </x:c>
      <x:c r="X81" s="10" t="n">
        <x:v>71</x:v>
      </x:c>
      <x:c r="Y81" s="3" t="n">
        <x:v>0</x:v>
      </x:c>
      <x:c r="Z81" s="3" t="str">
        <x:v>共同</x:v>
      </x:c>
      <x:c r="AA81" s="3" t="str">
        <x:v>在售</x:v>
      </x:c>
      <x:c r="AB81" s="12" t="n">
        <x:f>IF(AND(Z81="共同",ISNUMBER(G81),ISNUMBER(AD81)),G81-AD81,"")</x:f>
        <x:v>-0.09952380952380953</x:v>
      </x:c>
      <x:c r="AC81" s="3" t="str"/>
      <x:c r="AD81" s="12" t="n">
        <x:v>0.1061904761904762</x:v>
      </x:c>
      <x:c r="AE81" s="3" t="str">
        <x:v>[6574,"S02-TNP-40"]</x:v>
      </x:c>
      <x:c r="AF81" t="n">
        <x:f>IF(ISNUMBER(H81),1,0)</x:f>
        <x:v>1</x:v>
      </x:c>
      <x:c r="AG81" t="n">
        <x:f>IF(ISNUMBER(I81),1,0)</x:f>
        <x:v>1</x:v>
      </x:c>
      <x:c r="AH81" t="str">
        <x:v>["S02","S02-TNP","TNP","驼色PU"]</x:v>
      </x:c>
      <x:c r="AI81" t="n">
        <x:f>IF(ISNUMBER(G81),1,0)</x:f>
        <x:v>1</x:v>
      </x:c>
      <x:c r="AJ81" t="n">
        <x:f>IF(ISNUMBER(AD81),1,0)</x:f>
        <x:v>1</x:v>
      </x:c>
    </x:row>
    <x:row r="82" ht="30" customHeight="1">
      <x:c r="A82" s="3" t="str">
        <x:v>S02a-BKP-39</x:v>
      </x:c>
      <x:c r="B82" s="3" t="str">
        <x:v>3店-SANDIEX-US</x:v>
      </x:c>
      <x:c r="C82" s="3" t="str">
        <x:v>陈晨</x:v>
      </x:c>
      <x:c r="D82" s="3" t="str">
        <x:v>S02a</x:v>
      </x:c>
      <x:c r="E82" s="3" t="str">
        <x:f>IF(Z82="移出","已移出",IF(NOT(ISNUMBER(H82)),"数据待核",IF(H82=0,"断货",IF(NOT(ISNUMBER(G82)),"数据待核",IF(G82=0,"零日销待复核",IF(F82&lt;60,"补货提醒",IF(F82&lt;=90,"正常库存",IF(F82&lt;180,"促销",IF(F82&lt;=365,"红线促销","考虑清仓")))))))))</x:f>
        <x:v>考虑清仓</x:v>
      </x:c>
      <x:c r="F82" s="11" t="n">
        <x:f>IF(AND(ISNUMBER(H82),ISNUMBER(G82),G82&gt;0),H82/G82,"")</x:f>
        <x:v>712.1739130434783</x:v>
      </x:c>
      <x:c r="G82" s="12" t="n">
        <x:f>IF(AND(COUNT(P82:R82)=3,MIN(P82:R82)&gt;=0,P82&lt;=Q82,Q82&lt;=R82),P82/7*0.5+Q82/14*0.3+R82/30*0.2,"")</x:f>
        <x:v>0.05476190476190476</x:v>
      </x:c>
      <x:c r="H82" s="10" t="n">
        <x:f>IF(ISNUMBER(U82),U82,"")</x:f>
        <x:v>39</x:v>
      </x:c>
      <x:c r="I82" s="10" t="n">
        <x:v>39</x:v>
      </x:c>
      <x:c r="J82" s="11" t="n">
        <x:f>IF(AND(Z82="共同",ISNUMBER(F82),ISNUMBER(M82)),F82-M82,"")</x:f>
        <x:v>360.6717671207315</x:v>
      </x:c>
      <x:c r="K82" s="13" t="n">
        <x:f>IF(AND(ISNUMBER(J82),M82&lt;&gt;0),J82/M82,"")</x:f>
        <x:v>1.0260869565217392</x:v>
      </x:c>
      <x:c r="L82" s="10" t="str">
        <x:v>红线促销</x:v>
      </x:c>
      <x:c r="M82" s="11" t="n">
        <x:v>351.50214592274676</x:v>
      </x:c>
      <x:c r="N82" s="10" t="n">
        <x:f>IF(AND(Z82="共同",COUNT(H82:I82)=2),H82-I82,"")</x:f>
        <x:v>0</x:v>
      </x:c>
      <x:c r="O82" s="10" t="n">
        <x:v>102</x:v>
      </x:c>
      <x:c r="P82" s="10" t="n">
        <x:v>0</x:v>
      </x:c>
      <x:c r="Q82" s="10" t="n">
        <x:v>1</x:v>
      </x:c>
      <x:c r="R82" s="10" t="n">
        <x:v>5</x:v>
      </x:c>
      <x:c r="S82" s="10" t="n">
        <x:v>39</x:v>
      </x:c>
      <x:c r="T82" s="10" t="n">
        <x:v>0</x:v>
      </x:c>
      <x:c r="U82" s="10" t="n">
        <x:f>IF(AND(ISNUMBER(X82),X82&gt;=0,Y82&lt;&gt;1),X82,"")</x:f>
        <x:v>39</x:v>
      </x:c>
      <x:c r="V82" s="10" t="n">
        <x:v>0</x:v>
      </x:c>
      <x:c r="W82" s="10" t="n">
        <x:v>0</x:v>
      </x:c>
      <x:c r="X82" s="10" t="n">
        <x:v>39</x:v>
      </x:c>
      <x:c r="Y82" s="3" t="n">
        <x:v>0</x:v>
      </x:c>
      <x:c r="Z82" s="3" t="str">
        <x:v>共同</x:v>
      </x:c>
      <x:c r="AA82" s="3" t="str">
        <x:v>在售</x:v>
      </x:c>
      <x:c r="AB82" s="12" t="n">
        <x:f>IF(AND(Z82="共同",ISNUMBER(G82),ISNUMBER(AD82)),G82-AD82,"")</x:f>
        <x:v>-0.05619047619047619</x:v>
      </x:c>
      <x:c r="AC82" s="3" t="str"/>
      <x:c r="AD82" s="12" t="n">
        <x:v>0.11095238095238096</x:v>
      </x:c>
      <x:c r="AE82" s="3" t="str">
        <x:v>[6574,"S02a-BKP-39"]</x:v>
      </x:c>
      <x:c r="AF82" t="n">
        <x:f>IF(ISNUMBER(H82),1,0)</x:f>
        <x:v>1</x:v>
      </x:c>
      <x:c r="AG82" t="n">
        <x:f>IF(ISNUMBER(I82),1,0)</x:f>
        <x:v>1</x:v>
      </x:c>
      <x:c r="AH82" t="str">
        <x:v>["S02a","S02a-BKP","BKP","黑色PU"]</x:v>
      </x:c>
      <x:c r="AI82" t="n">
        <x:f>IF(ISNUMBER(G82),1,0)</x:f>
        <x:v>1</x:v>
      </x:c>
      <x:c r="AJ82" t="n">
        <x:f>IF(ISNUMBER(AD82),1,0)</x:f>
        <x:v>1</x:v>
      </x:c>
    </x:row>
    <x:row r="83" ht="30" customHeight="1">
      <x:c r="A83" s="3" t="str">
        <x:v>S02a-TN1-37</x:v>
      </x:c>
      <x:c r="B83" s="3" t="str">
        <x:v>3店-SANDIEX-US</x:v>
      </x:c>
      <x:c r="C83" s="3" t="str">
        <x:v>陈晨</x:v>
      </x:c>
      <x:c r="D83" s="3" t="str">
        <x:v>S02a</x:v>
      </x:c>
      <x:c r="E83" s="3" t="str">
        <x:f>IF(Z83="移出","已移出",IF(NOT(ISNUMBER(H83)),"数据待核",IF(H83=0,"断货",IF(NOT(ISNUMBER(G83)),"数据待核",IF(G83=0,"零日销待复核",IF(F83&lt;60,"补货提醒",IF(F83&lt;=90,"正常库存",IF(F83&lt;180,"促销",IF(F83&lt;=365,"红线促销","考虑清仓")))))))))</x:f>
        <x:v>考虑清仓</x:v>
      </x:c>
      <x:c r="F83" s="11" t="n">
        <x:f>IF(AND(ISNUMBER(H83),ISNUMBER(G83),G83&gt;0),H83/G83,"")</x:f>
        <x:v>2700</x:v>
      </x:c>
      <x:c r="G83" s="12" t="n">
        <x:f>IF(AND(COUNT(P83:R83)=3,MIN(P83:R83)&gt;=0,P83&lt;=Q83,Q83&lt;=R83),P83/7*0.5+Q83/14*0.3+R83/30*0.2,"")</x:f>
        <x:v>0.006666666666666667</x:v>
      </x:c>
      <x:c r="H83" s="10" t="n">
        <x:f>IF(ISNUMBER(U83),U83,"")</x:f>
        <x:v>18</x:v>
      </x:c>
      <x:c r="I83" s="10"/>
      <x:c r="J83" s="11" t="str">
        <x:f>IF(AND(Z83="共同",ISNUMBER(F83),ISNUMBER(M83)),F83-M83,"")</x:f>
      </x:c>
      <x:c r="K83" s="13" t="str">
        <x:f>IF(AND(ISNUMBER(J83),M83&lt;&gt;0),J83/M83,"")</x:f>
      </x:c>
      <x:c r="L83" s="10"/>
      <x:c r="M83" s="11"/>
      <x:c r="N83" s="10" t="str">
        <x:f>IF(AND(Z83="共同",COUNT(H83:I83)=2),H83-I83,"")</x:f>
      </x:c>
      <x:c r="O83" s="10" t="n">
        <x:v>0</x:v>
      </x:c>
      <x:c r="P83" s="10" t="n">
        <x:v>0</x:v>
      </x:c>
      <x:c r="Q83" s="10" t="n">
        <x:v>0</x:v>
      </x:c>
      <x:c r="R83" s="10" t="n">
        <x:v>1</x:v>
      </x:c>
      <x:c r="S83" s="10" t="n">
        <x:v>19</x:v>
      </x:c>
      <x:c r="T83" s="10" t="n">
        <x:v>0</x:v>
      </x:c>
      <x:c r="U83" s="10" t="n">
        <x:f>IF(AND(ISNUMBER(X83),X83&gt;=0,Y83&lt;&gt;1),X83,"")</x:f>
        <x:v>18</x:v>
      </x:c>
      <x:c r="V83" s="10" t="n">
        <x:v>0</x:v>
      </x:c>
      <x:c r="W83" s="10" t="n">
        <x:v>0</x:v>
      </x:c>
      <x:c r="X83" s="10" t="n">
        <x:v>18</x:v>
      </x:c>
      <x:c r="Y83" s="3" t="n">
        <x:v>0</x:v>
      </x:c>
      <x:c r="Z83" s="3" t="str">
        <x:v>新增</x:v>
      </x:c>
      <x:c r="AA83" s="3" t="str">
        <x:v>在售</x:v>
      </x:c>
      <x:c r="AB83" s="12" t="str">
        <x:f>IF(AND(Z83="共同",ISNUMBER(G83),ISNUMBER(AD83)),G83-AD83,"")</x:f>
      </x:c>
      <x:c r="AC83" s="3" t="str"/>
      <x:c r="AD83" s="12"/>
      <x:c r="AE83" s="3" t="str">
        <x:v>[6574,"S02a-TN1-37"]</x:v>
      </x:c>
      <x:c r="AF83" t="n">
        <x:f>IF(ISNUMBER(H83),1,0)</x:f>
        <x:v>1</x:v>
      </x:c>
      <x:c r="AG83" t="n">
        <x:f>IF(ISNUMBER(I83),1,0)</x:f>
        <x:v>0</x:v>
      </x:c>
      <x:c r="AH83" t="str">
        <x:v>["S02a","S02a-TN1","TN1","驼色"]</x:v>
      </x:c>
      <x:c r="AI83" t="n">
        <x:f>IF(ISNUMBER(G83),1,0)</x:f>
        <x:v>1</x:v>
      </x:c>
      <x:c r="AJ83" t="n">
        <x:f>IF(ISNUMBER(AD83),1,0)</x:f>
        <x:v>0</x:v>
      </x:c>
    </x:row>
    <x:row r="84" ht="30" customHeight="1">
      <x:c r="A84" s="3" t="str">
        <x:v>S02a-TN1-38</x:v>
      </x:c>
      <x:c r="B84" s="3" t="str">
        <x:v>3店-SANDIEX-US</x:v>
      </x:c>
      <x:c r="C84" s="3" t="str">
        <x:v>陈晨</x:v>
      </x:c>
      <x:c r="D84" s="3" t="str">
        <x:v>S02a</x:v>
      </x:c>
      <x:c r="E84" s="3" t="str">
        <x:f>IF(Z84="移出","已移出",IF(NOT(ISNUMBER(H84)),"数据待核",IF(H84=0,"断货",IF(NOT(ISNUMBER(G84)),"数据待核",IF(G84=0,"零日销待复核",IF(F84&lt;60,"补货提醒",IF(F84&lt;=90,"正常库存",IF(F84&lt;180,"促销",IF(F84&lt;=365,"红线促销","考虑清仓")))))))))</x:f>
        <x:v>考虑清仓</x:v>
      </x:c>
      <x:c r="F84" s="11" t="n">
        <x:f>IF(AND(ISNUMBER(H84),ISNUMBER(G84),G84&gt;0),H84/G84,"")</x:f>
        <x:v>509.09090909090907</x:v>
      </x:c>
      <x:c r="G84" s="12" t="n">
        <x:f>IF(AND(COUNT(P84:R84)=3,MIN(P84:R84)&gt;=0,P84&lt;=Q84,Q84&lt;=R84),P84/7*0.5+Q84/14*0.3+R84/30*0.2,"")</x:f>
        <x:v>0.06285714285714286</x:v>
      </x:c>
      <x:c r="H84" s="10" t="n">
        <x:f>IF(ISNUMBER(U84),U84,"")</x:f>
        <x:v>32</x:v>
      </x:c>
      <x:c r="I84" s="10"/>
      <x:c r="J84" s="11" t="str">
        <x:f>IF(AND(Z84="共同",ISNUMBER(F84),ISNUMBER(M84)),F84-M84,"")</x:f>
      </x:c>
      <x:c r="K84" s="13" t="str">
        <x:f>IF(AND(ISNUMBER(J84),M84&lt;&gt;0),J84/M84,"")</x:f>
      </x:c>
      <x:c r="L84" s="10"/>
      <x:c r="M84" s="11"/>
      <x:c r="N84" s="10" t="str">
        <x:f>IF(AND(Z84="共同",COUNT(H84:I84)=2),H84-I84,"")</x:f>
      </x:c>
      <x:c r="O84" s="10" t="n">
        <x:v>103</x:v>
      </x:c>
      <x:c r="P84" s="10" t="n">
        <x:v>0</x:v>
      </x:c>
      <x:c r="Q84" s="10" t="n">
        <x:v>2</x:v>
      </x:c>
      <x:c r="R84" s="10" t="n">
        <x:v>3</x:v>
      </x:c>
      <x:c r="S84" s="10" t="n">
        <x:v>33</x:v>
      </x:c>
      <x:c r="T84" s="10" t="n">
        <x:v>0</x:v>
      </x:c>
      <x:c r="U84" s="10" t="n">
        <x:f>IF(AND(ISNUMBER(X84),X84&gt;=0,Y84&lt;&gt;1),X84,"")</x:f>
        <x:v>32</x:v>
      </x:c>
      <x:c r="V84" s="10" t="n">
        <x:v>0</x:v>
      </x:c>
      <x:c r="W84" s="10" t="n">
        <x:v>0</x:v>
      </x:c>
      <x:c r="X84" s="10" t="n">
        <x:v>32</x:v>
      </x:c>
      <x:c r="Y84" s="3" t="n">
        <x:v>0</x:v>
      </x:c>
      <x:c r="Z84" s="3" t="str">
        <x:v>新增</x:v>
      </x:c>
      <x:c r="AA84" s="3" t="str">
        <x:v>在售</x:v>
      </x:c>
      <x:c r="AB84" s="12" t="str">
        <x:f>IF(AND(Z84="共同",ISNUMBER(G84),ISNUMBER(AD84)),G84-AD84,"")</x:f>
      </x:c>
      <x:c r="AC84" s="3" t="str"/>
      <x:c r="AD84" s="12"/>
      <x:c r="AE84" s="3" t="str">
        <x:v>[6574,"S02a-TN1-38"]</x:v>
      </x:c>
      <x:c r="AF84" t="n">
        <x:f>IF(ISNUMBER(H84),1,0)</x:f>
        <x:v>1</x:v>
      </x:c>
      <x:c r="AG84" t="n">
        <x:f>IF(ISNUMBER(I84),1,0)</x:f>
        <x:v>0</x:v>
      </x:c>
      <x:c r="AH84" t="str">
        <x:v>["S02a","S02a-TN1","TN1","驼色"]</x:v>
      </x:c>
      <x:c r="AI84" t="n">
        <x:f>IF(ISNUMBER(G84),1,0)</x:f>
        <x:v>1</x:v>
      </x:c>
      <x:c r="AJ84" t="n">
        <x:f>IF(ISNUMBER(AD84),1,0)</x:f>
        <x:v>0</x:v>
      </x:c>
    </x:row>
    <x:row r="85" ht="30" customHeight="1">
      <x:c r="A85" s="3" t="str">
        <x:v>S02b-BK-37</x:v>
      </x:c>
      <x:c r="B85" s="3" t="str">
        <x:v>3店-SANDIEX-US</x:v>
      </x:c>
      <x:c r="C85" s="3" t="str">
        <x:v>陈晨</x:v>
      </x:c>
      <x:c r="D85" s="3" t="str">
        <x:v>S02b</x:v>
      </x:c>
      <x:c r="E85" s="3" t="str">
        <x:f>IF(Z85="移出","已移出",IF(NOT(ISNUMBER(H85)),"数据待核",IF(H85=0,"断货",IF(NOT(ISNUMBER(G85)),"数据待核",IF(G85=0,"零日销待复核",IF(F85&lt;60,"补货提醒",IF(F85&lt;=90,"正常库存",IF(F85&lt;180,"促销",IF(F85&lt;=365,"红线促销","考虑清仓")))))))))</x:f>
        <x:v>考虑清仓</x:v>
      </x:c>
      <x:c r="F85" s="11" t="n">
        <x:f>IF(AND(ISNUMBER(H85),ISNUMBER(G85),G85&gt;0),H85/G85,"")</x:f>
        <x:v>2358.9041095890416</x:v>
      </x:c>
      <x:c r="G85" s="12" t="n">
        <x:f>IF(AND(COUNT(P85:R85)=3,MIN(P85:R85)&gt;=0,P85&lt;=Q85,Q85&lt;=R85),P85/7*0.5+Q85/14*0.3+R85/30*0.2,"")</x:f>
        <x:v>0.03476190476190476</x:v>
      </x:c>
      <x:c r="H85" s="10" t="n">
        <x:f>IF(ISNUMBER(U85),U85,"")</x:f>
        <x:v>82</x:v>
      </x:c>
      <x:c r="I85" s="10" t="n">
        <x:v>79</x:v>
      </x:c>
      <x:c r="J85" s="11" t="n">
        <x:f>IF(AND(Z85="共同",ISNUMBER(F85),ISNUMBER(M85)),F85-M85,"")</x:f>
        <x:v>1614.9579212482345</x:v>
      </x:c>
      <x:c r="K85" s="13" t="n">
        <x:f>IF(AND(ISNUMBER(J85),M85&lt;&gt;0),J85/M85,"")</x:f>
        <x:v>2.1707993757586275</x:v>
      </x:c>
      <x:c r="L85" s="10" t="str">
        <x:v>考虑清仓</x:v>
      </x:c>
      <x:c r="M85" s="11" t="n">
        <x:v>743.9461883408071</x:v>
      </x:c>
      <x:c r="N85" s="10" t="n">
        <x:f>IF(AND(Z85="共同",COUNT(H85:I85)=2),H85-I85,"")</x:f>
        <x:v>3</x:v>
      </x:c>
      <x:c r="O85" s="10" t="n">
        <x:v>76</x:v>
      </x:c>
      <x:c r="P85" s="10" t="n">
        <x:v>0</x:v>
      </x:c>
      <x:c r="Q85" s="10" t="n">
        <x:v>1</x:v>
      </x:c>
      <x:c r="R85" s="10" t="n">
        <x:v>2</x:v>
      </x:c>
      <x:c r="S85" s="10" t="n">
        <x:v>83</x:v>
      </x:c>
      <x:c r="T85" s="10" t="n">
        <x:v>0</x:v>
      </x:c>
      <x:c r="U85" s="10" t="n">
        <x:f>IF(AND(ISNUMBER(X85),X85&gt;=0,Y85&lt;&gt;1),X85,"")</x:f>
        <x:v>82</x:v>
      </x:c>
      <x:c r="V85" s="10" t="n">
        <x:v>0</x:v>
      </x:c>
      <x:c r="W85" s="10" t="n">
        <x:v>0</x:v>
      </x:c>
      <x:c r="X85" s="10" t="n">
        <x:v>82</x:v>
      </x:c>
      <x:c r="Y85" s="3" t="n">
        <x:v>0</x:v>
      </x:c>
      <x:c r="Z85" s="3" t="str">
        <x:v>共同</x:v>
      </x:c>
      <x:c r="AA85" s="3" t="str">
        <x:v>在售</x:v>
      </x:c>
      <x:c r="AB85" s="12" t="n">
        <x:f>IF(AND(Z85="共同",ISNUMBER(G85),ISNUMBER(AD85)),G85-AD85,"")</x:f>
        <x:v>-0.07142857142857144</x:v>
      </x:c>
      <x:c r="AC85" s="3" t="str"/>
      <x:c r="AD85" s="12" t="n">
        <x:v>0.1061904761904762</x:v>
      </x:c>
      <x:c r="AE85" s="3" t="str">
        <x:v>[6574,"S02b-BK-37"]</x:v>
      </x:c>
      <x:c r="AF85" t="n">
        <x:f>IF(ISNUMBER(H85),1,0)</x:f>
        <x:v>1</x:v>
      </x:c>
      <x:c r="AG85" t="n">
        <x:f>IF(ISNUMBER(I85),1,0)</x:f>
        <x:v>1</x:v>
      </x:c>
      <x:c r="AH85" t="str">
        <x:v>["S02b","S02b-BK","BK","黑色"]</x:v>
      </x:c>
      <x:c r="AI85" t="n">
        <x:f>IF(ISNUMBER(G85),1,0)</x:f>
        <x:v>1</x:v>
      </x:c>
      <x:c r="AJ85" t="n">
        <x:f>IF(ISNUMBER(AD85),1,0)</x:f>
        <x:v>1</x:v>
      </x:c>
    </x:row>
    <x:row r="86" ht="30" customHeight="1">
      <x:c r="A86" s="3" t="str">
        <x:v>1S01-BKP-39</x:v>
      </x:c>
      <x:c r="B86" s="3" t="str">
        <x:v>3店-SANDIEX-US</x:v>
      </x:c>
      <x:c r="C86" s="3" t="str">
        <x:v>徐新怡</x:v>
      </x:c>
      <x:c r="D86" s="3" t="str">
        <x:v>1S01</x:v>
      </x:c>
      <x:c r="E86" s="3" t="str">
        <x:f>IF(Z86="移出","已移出",IF(NOT(ISNUMBER(H86)),"数据待核",IF(H86=0,"断货",IF(NOT(ISNUMBER(G86)),"数据待核",IF(G86=0,"零日销待复核",IF(F86&lt;60,"补货提醒",IF(F86&lt;=90,"正常库存",IF(F86&lt;180,"促销",IF(F86&lt;=365,"红线促销","考虑清仓")))))))))</x:f>
        <x:v>红线促销</x:v>
      </x:c>
      <x:c r="F86" s="11" t="n">
        <x:f>IF(AND(ISNUMBER(H86),ISNUMBER(G86),G86&gt;0),H86/G86,"")</x:f>
        <x:v>345.2054794520548</x:v>
      </x:c>
      <x:c r="G86" s="12" t="n">
        <x:f>IF(AND(COUNT(P86:R86)=3,MIN(P86:R86)&gt;=0,P86&lt;=Q86,Q86&lt;=R86),P86/7*0.5+Q86/14*0.3+R86/30*0.2,"")</x:f>
        <x:v>0.03476190476190476</x:v>
      </x:c>
      <x:c r="H86" s="10" t="n">
        <x:f>IF(ISNUMBER(U86),U86,"")</x:f>
        <x:v>12</x:v>
      </x:c>
      <x:c r="I86" s="10" t="n">
        <x:v>0</x:v>
      </x:c>
      <x:c r="J86" s="11" t="n">
        <x:f>IF(AND(Z86="共同",ISNUMBER(F86),ISNUMBER(M86)),F86-M86,"")</x:f>
        <x:v>345.2054794520548</x:v>
      </x:c>
      <x:c r="K86" s="13" t="str">
        <x:f>IF(AND(ISNUMBER(J86),M86&lt;&gt;0),J86/M86,"")</x:f>
      </x:c>
      <x:c r="L86" s="10" t="str">
        <x:v>断货</x:v>
      </x:c>
      <x:c r="M86" s="11" t="n">
        <x:v>0</x:v>
      </x:c>
      <x:c r="N86" s="10" t="n">
        <x:f>IF(AND(Z86="共同",COUNT(H86:I86)=2),H86-I86,"")</x:f>
        <x:v>12</x:v>
      </x:c>
      <x:c r="O86" s="10" t="n">
        <x:v>98</x:v>
      </x:c>
      <x:c r="P86" s="10" t="n">
        <x:v>0</x:v>
      </x:c>
      <x:c r="Q86" s="10" t="n">
        <x:v>1</x:v>
      </x:c>
      <x:c r="R86" s="10" t="n">
        <x:v>2</x:v>
      </x:c>
      <x:c r="S86" s="10" t="n">
        <x:v>13</x:v>
      </x:c>
      <x:c r="T86" s="10" t="n">
        <x:v>0</x:v>
      </x:c>
      <x:c r="U86" s="10" t="n">
        <x:f>IF(AND(ISNUMBER(X86),X86&gt;=0,Y86&lt;&gt;1),X86,"")</x:f>
        <x:v>12</x:v>
      </x:c>
      <x:c r="V86" s="10" t="n">
        <x:v>0</x:v>
      </x:c>
      <x:c r="W86" s="10" t="n">
        <x:v>20</x:v>
      </x:c>
      <x:c r="X86" s="10" t="n">
        <x:v>12</x:v>
      </x:c>
      <x:c r="Y86" s="3" t="n">
        <x:v>0</x:v>
      </x:c>
      <x:c r="Z86" s="3" t="str">
        <x:v>共同</x:v>
      </x:c>
      <x:c r="AA86" s="3" t="str">
        <x:v>在售</x:v>
      </x:c>
      <x:c r="AB86" s="12" t="n">
        <x:f>IF(AND(Z86="共同",ISNUMBER(G86),ISNUMBER(AD86)),G86-AD86,"")</x:f>
        <x:v>-0.06476190476190476</x:v>
      </x:c>
      <x:c r="AC86" s="3" t="str"/>
      <x:c r="AD86" s="12" t="n">
        <x:v>0.09952380952380951</x:v>
      </x:c>
      <x:c r="AE86" s="3" t="str">
        <x:v>[6574,"1S01-BKP-39"]</x:v>
      </x:c>
      <x:c r="AF86" t="n">
        <x:f>IF(ISNUMBER(H86),1,0)</x:f>
        <x:v>1</x:v>
      </x:c>
      <x:c r="AG86" t="n">
        <x:f>IF(ISNUMBER(I86),1,0)</x:f>
        <x:v>1</x:v>
      </x:c>
      <x:c r="AH86" t="str">
        <x:v>["1S01","1S01-BKP","BKP","黑色"]</x:v>
      </x:c>
      <x:c r="AI86" t="n">
        <x:f>IF(ISNUMBER(G86),1,0)</x:f>
        <x:v>1</x:v>
      </x:c>
      <x:c r="AJ86" t="n">
        <x:f>IF(ISNUMBER(AD86),1,0)</x:f>
        <x:v>1</x:v>
      </x:c>
    </x:row>
    <x:row r="87" ht="30" customHeight="1">
      <x:c r="A87" s="3" t="str">
        <x:v>1S01-ND-7</x:v>
      </x:c>
      <x:c r="B87" s="3" t="str">
        <x:v>3店-SANDIEX-US</x:v>
      </x:c>
      <x:c r="C87" s="3" t="str">
        <x:v>徐新怡</x:v>
      </x:c>
      <x:c r="D87" s="3" t="str">
        <x:v>1S01</x:v>
      </x:c>
      <x:c r="E87" s="3" t="str">
        <x:f>IF(Z87="移出","已移出",IF(NOT(ISNUMBER(H87)),"数据待核",IF(H87=0,"断货",IF(NOT(ISNUMBER(G87)),"数据待核",IF(G87=0,"零日销待复核",IF(F87&lt;60,"补货提醒",IF(F87&lt;=90,"正常库存",IF(F87&lt;180,"促销",IF(F87&lt;=365,"红线促销","考虑清仓")))))))))</x:f>
        <x:v>红线促销</x:v>
      </x:c>
      <x:c r="F87" s="11" t="n">
        <x:f>IF(AND(ISNUMBER(H87),ISNUMBER(G87),G87&gt;0),H87/G87,"")</x:f>
        <x:v>326.35135135135135</x:v>
      </x:c>
      <x:c r="G87" s="12" t="n">
        <x:f>IF(AND(COUNT(P87:R87)=3,MIN(P87:R87)&gt;=0,P87&lt;=Q87,Q87&lt;=R87),P87/7*0.5+Q87/14*0.3+R87/30*0.2,"")</x:f>
        <x:v>0.14095238095238094</x:v>
      </x:c>
      <x:c r="H87" s="10" t="n">
        <x:f>IF(ISNUMBER(U87),U87,"")</x:f>
        <x:v>46</x:v>
      </x:c>
      <x:c r="I87" s="10" t="n">
        <x:v>49</x:v>
      </x:c>
      <x:c r="J87" s="11" t="n">
        <x:f>IF(AND(Z87="共同",ISNUMBER(F87),ISNUMBER(M87)),F87-M87,"")</x:f>
        <x:v>-378.4431691965939</x:v>
      </x:c>
      <x:c r="K87" s="13" t="n">
        <x:f>IF(AND(ISNUMBER(J87),M87&lt;&gt;0),J87/M87,"")</x:f>
        <x:v>-0.5369553226696084</x:v>
      </x:c>
      <x:c r="L87" s="10" t="str">
        <x:v>考虑清仓</x:v>
      </x:c>
      <x:c r="M87" s="11" t="n">
        <x:v>704.7945205479452</x:v>
      </x:c>
      <x:c r="N87" s="10" t="n">
        <x:f>IF(AND(Z87="共同",COUNT(H87:I87)=2),H87-I87,"")</x:f>
        <x:v>-3</x:v>
      </x:c>
      <x:c r="O87" s="10" t="n">
        <x:v>36</x:v>
      </x:c>
      <x:c r="P87" s="10" t="n">
        <x:v>1</x:v>
      </x:c>
      <x:c r="Q87" s="10" t="n">
        <x:v>2</x:v>
      </x:c>
      <x:c r="R87" s="10" t="n">
        <x:v>4</x:v>
      </x:c>
      <x:c r="S87" s="10" t="n">
        <x:v>46</x:v>
      </x:c>
      <x:c r="T87" s="10" t="n">
        <x:v>0</x:v>
      </x:c>
      <x:c r="U87" s="10" t="n">
        <x:f>IF(AND(ISNUMBER(X87),X87&gt;=0,Y87&lt;&gt;1),X87,"")</x:f>
        <x:v>46</x:v>
      </x:c>
      <x:c r="V87" s="10" t="n">
        <x:v>0</x:v>
      </x:c>
      <x:c r="W87" s="10" t="n">
        <x:v>0</x:v>
      </x:c>
      <x:c r="X87" s="10" t="n">
        <x:v>46</x:v>
      </x:c>
      <x:c r="Y87" s="3" t="n">
        <x:v>0</x:v>
      </x:c>
      <x:c r="Z87" s="3" t="str">
        <x:v>共同</x:v>
      </x:c>
      <x:c r="AA87" s="3" t="str">
        <x:v>在售</x:v>
      </x:c>
      <x:c r="AB87" s="12" t="n">
        <x:f>IF(AND(Z87="共同",ISNUMBER(G87),ISNUMBER(AD87)),G87-AD87,"")</x:f>
        <x:v>0.07142857142857142</x:v>
      </x:c>
      <x:c r="AC87" s="3" t="str"/>
      <x:c r="AD87" s="12" t="n">
        <x:v>0.06952380952380952</x:v>
      </x:c>
      <x:c r="AE87" s="3" t="str">
        <x:v>[6574,"1S01-ND-7"]</x:v>
      </x:c>
      <x:c r="AF87" t="n">
        <x:f>IF(ISNUMBER(H87),1,0)</x:f>
        <x:v>1</x:v>
      </x:c>
      <x:c r="AG87" t="n">
        <x:f>IF(ISNUMBER(I87),1,0)</x:f>
        <x:v>1</x:v>
      </x:c>
      <x:c r="AH87" t="str">
        <x:v>["1S01","1S01-ND","ND","裸色"]</x:v>
      </x:c>
      <x:c r="AI87" t="n">
        <x:f>IF(ISNUMBER(G87),1,0)</x:f>
        <x:v>1</x:v>
      </x:c>
      <x:c r="AJ87" t="n">
        <x:f>IF(ISNUMBER(AD87),1,0)</x:f>
        <x:v>1</x:v>
      </x:c>
    </x:row>
    <x:row r="88" ht="30" customHeight="1">
      <x:c r="A88" s="3" t="str">
        <x:v>230918-BW-S-Z-7</x:v>
      </x:c>
      <x:c r="B88" s="3" t="str">
        <x:v>1店-MUSSHOE-US</x:v>
      </x:c>
      <x:c r="C88" s="3" t="str">
        <x:v>艾年</x:v>
      </x:c>
      <x:c r="D88" s="3" t="str">
        <x:v>230918</x:v>
      </x:c>
      <x:c r="E88" s="3" t="str">
        <x:f>IF(Z88="移出","已移出",IF(NOT(ISNUMBER(H88)),"数据待核",IF(H88=0,"断货",IF(NOT(ISNUMBER(G88)),"数据待核",IF(G88=0,"零日销待复核",IF(F88&lt;60,"补货提醒",IF(F88&lt;=90,"正常库存",IF(F88&lt;180,"促销",IF(F88&lt;=365,"红线促销","考虑清仓")))))))))</x:f>
        <x:v>红线促销</x:v>
      </x:c>
      <x:c r="F88" s="11" t="n">
        <x:f>IF(AND(ISNUMBER(H88),ISNUMBER(G88),G88&gt;0),H88/G88,"")</x:f>
        <x:v>209.62566844919786</x:v>
      </x:c>
      <x:c r="G88" s="12" t="n">
        <x:f>IF(AND(COUNT(P88:R88)=3,MIN(P88:R88)&gt;=0,P88&lt;=Q88,Q88&lt;=R88),P88/7*0.5+Q88/14*0.3+R88/30*0.2,"")</x:f>
        <x:v>0.2671428571428571</x:v>
      </x:c>
      <x:c r="H88" s="10" t="n">
        <x:f>IF(ISNUMBER(U88),U88,"")</x:f>
        <x:v>56</x:v>
      </x:c>
      <x:c r="I88" s="10" t="n">
        <x:v>20</x:v>
      </x:c>
      <x:c r="J88" s="11" t="n">
        <x:f>IF(AND(Z88="共同",ISNUMBER(F88),ISNUMBER(M88)),F88-M88,"")</x:f>
        <x:v>160.78845914687227</x:v>
      </x:c>
      <x:c r="K88" s="13" t="n">
        <x:f>IF(AND(ISNUMBER(J88),M88&lt;&gt;0),J88/M88,"")</x:f>
        <x:v>3.2923351158645273</x:v>
      </x:c>
      <x:c r="L88" s="10" t="str">
        <x:v>补货提醒</x:v>
      </x:c>
      <x:c r="M88" s="11" t="n">
        <x:v>48.83720930232558</x:v>
      </x:c>
      <x:c r="N88" s="10" t="n">
        <x:f>IF(AND(Z88="共同",COUNT(H88:I88)=2),H88-I88,"")</x:f>
        <x:v>36</x:v>
      </x:c>
      <x:c r="O88" s="10" t="n">
        <x:v>121</x:v>
      </x:c>
      <x:c r="P88" s="10" t="n">
        <x:v>2</x:v>
      </x:c>
      <x:c r="Q88" s="10" t="n">
        <x:v>3</x:v>
      </x:c>
      <x:c r="R88" s="10" t="n">
        <x:v>9</x:v>
      </x:c>
      <x:c r="S88" s="10" t="n">
        <x:v>68</x:v>
      </x:c>
      <x:c r="T88" s="10" t="n">
        <x:v>0</x:v>
      </x:c>
      <x:c r="U88" s="10" t="n">
        <x:f>IF(AND(ISNUMBER(X88),X88&gt;=0,Y88&lt;&gt;1),X88,"")</x:f>
        <x:v>56</x:v>
      </x:c>
      <x:c r="V88" s="10" t="n">
        <x:v>0</x:v>
      </x:c>
      <x:c r="W88" s="10" t="n">
        <x:v>38</x:v>
      </x:c>
      <x:c r="X88" s="10" t="n">
        <x:v>56</x:v>
      </x:c>
      <x:c r="Y88" s="3" t="n">
        <x:v>0</x:v>
      </x:c>
      <x:c r="Z88" s="3" t="str">
        <x:v>共同</x:v>
      </x:c>
      <x:c r="AA88" s="3" t="str">
        <x:v>在售</x:v>
      </x:c>
      <x:c r="AB88" s="12" t="n">
        <x:f>IF(AND(Z88="共同",ISNUMBER(G88),ISNUMBER(AD88)),G88-AD88,"")</x:f>
        <x:v>-0.14238095238095239</x:v>
      </x:c>
      <x:c r="AC88" s="3" t="str"/>
      <x:c r="AD88" s="12" t="n">
        <x:v>0.4095238095238095</x:v>
      </x:c>
      <x:c r="AE88" s="3" t="str">
        <x:v>[13120,"230918-BW-S-Z-7"]</x:v>
      </x:c>
      <x:c r="AF88" t="n">
        <x:f>IF(ISNUMBER(H88),1,0)</x:f>
        <x:v>1</x:v>
      </x:c>
      <x:c r="AG88" t="n">
        <x:f>IF(ISNUMBER(I88),1,0)</x:f>
        <x:v>1</x:v>
      </x:c>
      <x:c r="AH88" t="str">
        <x:v>["230918","230918-BW-S-Z","BW","米白色PU"]</x:v>
      </x:c>
      <x:c r="AI88" t="n">
        <x:f>IF(ISNUMBER(G88),1,0)</x:f>
        <x:v>1</x:v>
      </x:c>
      <x:c r="AJ88" t="n">
        <x:f>IF(ISNUMBER(AD88),1,0)</x:f>
        <x:v>1</x:v>
      </x:c>
    </x:row>
    <x:row r="89" ht="30" customHeight="1">
      <x:c r="A89" s="3" t="str">
        <x:v>2311062-BK-P-O-10</x:v>
      </x:c>
      <x:c r="B89" s="3" t="str">
        <x:v>4店-彬郁-US</x:v>
      </x:c>
      <x:c r="C89" s="3" t="str">
        <x:v>陈晨</x:v>
      </x:c>
      <x:c r="D89" s="3" t="str">
        <x:v>2311062</x:v>
      </x:c>
      <x:c r="E89" s="3" t="str">
        <x:f>IF(Z89="移出","已移出",IF(NOT(ISNUMBER(H89)),"数据待核",IF(H89=0,"断货",IF(NOT(ISNUMBER(G89)),"数据待核",IF(G89=0,"零日销待复核",IF(F89&lt;60,"补货提醒",IF(F89&lt;=90,"正常库存",IF(F89&lt;180,"促销",IF(F89&lt;=365,"红线促销","考虑清仓")))))))))</x:f>
        <x:v>红线促销</x:v>
      </x:c>
      <x:c r="F89" s="11" t="n">
        <x:f>IF(AND(ISNUMBER(H89),ISNUMBER(G89),G89&gt;0),H89/G89,"")</x:f>
        <x:v>309.6408317580341</x:v>
      </x:c>
      <x:c r="G89" s="12" t="n">
        <x:f>IF(AND(COUNT(P89:R89)=3,MIN(P89:R89)&gt;=0,P89&lt;=Q89,Q89&lt;=R89),P89/7*0.5+Q89/14*0.3+R89/30*0.2,"")</x:f>
        <x:v>0.25190476190476185</x:v>
      </x:c>
      <x:c r="H89" s="10" t="n">
        <x:f>IF(ISNUMBER(U89),U89,"")</x:f>
        <x:v>78</x:v>
      </x:c>
      <x:c r="I89" s="10" t="n">
        <x:v>57</x:v>
      </x:c>
      <x:c r="J89" s="11" t="n">
        <x:f>IF(AND(Z89="共同",ISNUMBER(F89),ISNUMBER(M89)),F89-M89,"")</x:f>
        <x:v>198.49877047669702</x:v>
      </x:c>
      <x:c r="K89" s="13" t="n">
        <x:f>IF(AND(ISNUMBER(J89),M89&lt;&gt;0),J89/M89,"")</x:f>
        <x:v>1.785991443637449</x:v>
      </x:c>
      <x:c r="L89" s="10" t="str">
        <x:v>促销</x:v>
      </x:c>
      <x:c r="M89" s="11" t="n">
        <x:v>111.14206128133706</x:v>
      </x:c>
      <x:c r="N89" s="10" t="n">
        <x:f>IF(AND(Z89="共同",COUNT(H89:I89)=2),H89-I89,"")</x:f>
        <x:v>21</x:v>
      </x:c>
      <x:c r="O89" s="10" t="n">
        <x:v>32</x:v>
      </x:c>
      <x:c r="P89" s="10" t="n">
        <x:v>1</x:v>
      </x:c>
      <x:c r="Q89" s="10" t="n">
        <x:v>5</x:v>
      </x:c>
      <x:c r="R89" s="10" t="n">
        <x:v>11</x:v>
      </x:c>
      <x:c r="S89" s="10" t="n">
        <x:v>115</x:v>
      </x:c>
      <x:c r="T89" s="10" t="n">
        <x:v>0</x:v>
      </x:c>
      <x:c r="U89" s="10" t="n">
        <x:f>IF(AND(ISNUMBER(X89),X89&gt;=0,Y89&lt;&gt;1),X89,"")</x:f>
        <x:v>78</x:v>
      </x:c>
      <x:c r="V89" s="10" t="n">
        <x:v>0</x:v>
      </x:c>
      <x:c r="W89" s="10" t="n">
        <x:v>10</x:v>
      </x:c>
      <x:c r="X89" s="10" t="n">
        <x:v>78</x:v>
      </x:c>
      <x:c r="Y89" s="3" t="n">
        <x:v>0</x:v>
      </x:c>
      <x:c r="Z89" s="3" t="str">
        <x:v>共同</x:v>
      </x:c>
      <x:c r="AA89" s="3" t="str">
        <x:v>在售</x:v>
      </x:c>
      <x:c r="AB89" s="12" t="n">
        <x:f>IF(AND(Z89="共同",ISNUMBER(G89),ISNUMBER(AD89)),G89-AD89,"")</x:f>
        <x:v>-0.26095238095238094</x:v>
      </x:c>
      <x:c r="AC89" s="3" t="str"/>
      <x:c r="AD89" s="12" t="n">
        <x:v>0.5128571428571428</x:v>
      </x:c>
      <x:c r="AE89" s="3" t="str">
        <x:v>[13306,"2311062-BK-P-O-10"]</x:v>
      </x:c>
      <x:c r="AF89" t="n">
        <x:f>IF(ISNUMBER(H89),1,0)</x:f>
        <x:v>1</x:v>
      </x:c>
      <x:c r="AG89" t="n">
        <x:f>IF(ISNUMBER(I89),1,0)</x:f>
        <x:v>1</x:v>
      </x:c>
      <x:c r="AH89" t="str">
        <x:v>["2311062","2311062-BK-P-O","BK-P","黑色 PU"]</x:v>
      </x:c>
      <x:c r="AI89" t="n">
        <x:f>IF(ISNUMBER(G89),1,0)</x:f>
        <x:v>1</x:v>
      </x:c>
      <x:c r="AJ89" t="n">
        <x:f>IF(ISNUMBER(AD89),1,0)</x:f>
        <x:v>1</x:v>
      </x:c>
    </x:row>
    <x:row r="90" ht="30" customHeight="1">
      <x:c r="A90" s="3" t="str">
        <x:v>2311062-BK-P-O-11</x:v>
      </x:c>
      <x:c r="B90" s="3" t="str">
        <x:v>4店-彬郁-US</x:v>
      </x:c>
      <x:c r="C90" s="3" t="str">
        <x:v>陈晨</x:v>
      </x:c>
      <x:c r="D90" s="3" t="str">
        <x:v>2311062</x:v>
      </x:c>
      <x:c r="E90" s="3" t="str">
        <x:f>IF(Z90="移出","已移出",IF(NOT(ISNUMBER(H90)),"数据待核",IF(H90=0,"断货",IF(NOT(ISNUMBER(G90)),"数据待核",IF(G90=0,"零日销待复核",IF(F90&lt;60,"补货提醒",IF(F90&lt;=90,"正常库存",IF(F90&lt;180,"促销",IF(F90&lt;=365,"红线促销","考虑清仓")))))))))</x:f>
        <x:v>红线促销</x:v>
      </x:c>
      <x:c r="F90" s="11" t="n">
        <x:f>IF(AND(ISNUMBER(H90),ISNUMBER(G90),G90&gt;0),H90/G90,"")</x:f>
        <x:v>232.0754716981132</x:v>
      </x:c>
      <x:c r="G90" s="12" t="n">
        <x:f>IF(AND(COUNT(P90:R90)=3,MIN(P90:R90)&gt;=0,P90&lt;=Q90,Q90&lt;=R90),P90/7*0.5+Q90/14*0.3+R90/30*0.2,"")</x:f>
        <x:v>0.35333333333333333</x:v>
      </x:c>
      <x:c r="H90" s="10" t="n">
        <x:f>IF(ISNUMBER(U90),U90,"")</x:f>
        <x:v>82</x:v>
      </x:c>
      <x:c r="I90" s="10" t="n">
        <x:v>75</x:v>
      </x:c>
      <x:c r="J90" s="11" t="n">
        <x:f>IF(AND(Z90="共同",ISNUMBER(F90),ISNUMBER(M90)),F90-M90,"")</x:f>
        <x:v>58.234412095464194</x:v>
      </x:c>
      <x:c r="K90" s="13" t="n">
        <x:f>IF(AND(ISNUMBER(J90),M90&lt;&gt;0),J90/M90,"")</x:f>
        <x:v>0.3349865229110512</x:v>
      </x:c>
      <x:c r="L90" s="10" t="str">
        <x:v>促销</x:v>
      </x:c>
      <x:c r="M90" s="11" t="n">
        <x:v>173.841059602649</x:v>
      </x:c>
      <x:c r="N90" s="10" t="n">
        <x:f>IF(AND(Z90="共同",COUNT(H90:I90)=2),H90-I90,"")</x:f>
        <x:v>7</x:v>
      </x:c>
      <x:c r="O90" s="10" t="n">
        <x:v>45</x:v>
      </x:c>
      <x:c r="P90" s="10" t="n">
        <x:v>3</x:v>
      </x:c>
      <x:c r="Q90" s="10" t="n">
        <x:v>4</x:v>
      </x:c>
      <x:c r="R90" s="10" t="n">
        <x:v>8</x:v>
      </x:c>
      <x:c r="S90" s="10" t="n">
        <x:v>104</x:v>
      </x:c>
      <x:c r="T90" s="10" t="n">
        <x:v>1</x:v>
      </x:c>
      <x:c r="U90" s="10" t="n">
        <x:f>IF(AND(ISNUMBER(X90),X90&gt;=0,Y90&lt;&gt;1),X90,"")</x:f>
        <x:v>82</x:v>
      </x:c>
      <x:c r="V90" s="10" t="n">
        <x:v>1</x:v>
      </x:c>
      <x:c r="W90" s="10" t="n">
        <x:v>11</x:v>
      </x:c>
      <x:c r="X90" s="10" t="n">
        <x:v>82</x:v>
      </x:c>
      <x:c r="Y90" s="3" t="n">
        <x:v>0</x:v>
      </x:c>
      <x:c r="Z90" s="3" t="str">
        <x:v>共同</x:v>
      </x:c>
      <x:c r="AA90" s="3" t="str">
        <x:v>在售</x:v>
      </x:c>
      <x:c r="AB90" s="12" t="n">
        <x:f>IF(AND(Z90="共同",ISNUMBER(G90),ISNUMBER(AD90)),G90-AD90,"")</x:f>
        <x:v>-0.07809523809523805</x:v>
      </x:c>
      <x:c r="AC90" s="3" t="str"/>
      <x:c r="AD90" s="12" t="n">
        <x:v>0.4314285714285714</x:v>
      </x:c>
      <x:c r="AE90" s="3" t="str">
        <x:v>[13306,"2311062-BK-P-O-11"]</x:v>
      </x:c>
      <x:c r="AF90" t="n">
        <x:f>IF(ISNUMBER(H90),1,0)</x:f>
        <x:v>1</x:v>
      </x:c>
      <x:c r="AG90" t="n">
        <x:f>IF(ISNUMBER(I90),1,0)</x:f>
        <x:v>1</x:v>
      </x:c>
      <x:c r="AH90" t="str">
        <x:v>["2311062","2311062-BK-P-O","BK-P","黑色 PU"]</x:v>
      </x:c>
      <x:c r="AI90" t="n">
        <x:f>IF(ISNUMBER(G90),1,0)</x:f>
        <x:v>1</x:v>
      </x:c>
      <x:c r="AJ90" t="n">
        <x:f>IF(ISNUMBER(AD90),1,0)</x:f>
        <x:v>1</x:v>
      </x:c>
    </x:row>
    <x:row r="91" ht="30" customHeight="1">
      <x:c r="A91" s="3" t="str">
        <x:v>2311062-RD-V-O-8</x:v>
      </x:c>
      <x:c r="B91" s="3" t="str">
        <x:v>4店-彬郁-US</x:v>
      </x:c>
      <x:c r="C91" s="3" t="str">
        <x:v>陈晨</x:v>
      </x:c>
      <x:c r="D91" s="3" t="str">
        <x:v>2311062</x:v>
      </x:c>
      <x:c r="E91" s="3" t="str">
        <x:f>IF(Z91="移出","已移出",IF(NOT(ISNUMBER(H91)),"数据待核",IF(H91=0,"断货",IF(NOT(ISNUMBER(G91)),"数据待核",IF(G91=0,"零日销待复核",IF(F91&lt;60,"补货提醒",IF(F91&lt;=90,"正常库存",IF(F91&lt;180,"促销",IF(F91&lt;=365,"红线促销","考虑清仓")))))))))</x:f>
        <x:v>红线促销</x:v>
      </x:c>
      <x:c r="F91" s="11" t="n">
        <x:f>IF(AND(ISNUMBER(H91),ISNUMBER(G91),G91&gt;0),H91/G91,"")</x:f>
        <x:v>182.26415094339623</x:v>
      </x:c>
      <x:c r="G91" s="12" t="n">
        <x:f>IF(AND(COUNT(P91:R91)=3,MIN(P91:R91)&gt;=0,P91&lt;=Q91,Q91&lt;=R91),P91/7*0.5+Q91/14*0.3+R91/30*0.2,"")</x:f>
        <x:v>0.1261904761904762</x:v>
      </x:c>
      <x:c r="H91" s="10" t="n">
        <x:f>IF(ISNUMBER(U91),U91,"")</x:f>
        <x:v>23</x:v>
      </x:c>
      <x:c r="I91" s="10" t="n">
        <x:v>21</x:v>
      </x:c>
      <x:c r="J91" s="11" t="n">
        <x:f>IF(AND(Z91="共同",ISNUMBER(F91),ISNUMBER(M91)),F91-M91,"")</x:f>
        <x:v>58.03879883072017</x:v>
      </x:c>
      <x:c r="K91" s="13" t="n">
        <x:f>IF(AND(ISNUMBER(J91),M91&lt;&gt;0),J91/M91,"")</x:f>
        <x:v>0.46720575022461813</x:v>
      </x:c>
      <x:c r="L91" s="10" t="str">
        <x:v>促销</x:v>
      </x:c>
      <x:c r="M91" s="11" t="n">
        <x:v>124.22535211267606</x:v>
      </x:c>
      <x:c r="N91" s="10" t="n">
        <x:f>IF(AND(Z91="共同",COUNT(H91:I91)=2),H91-I91,"")</x:f>
        <x:v>2</x:v>
      </x:c>
      <x:c r="O91" s="10" t="n">
        <x:v>0</x:v>
      </x:c>
      <x:c r="P91" s="10" t="n">
        <x:v>1</x:v>
      </x:c>
      <x:c r="Q91" s="10" t="n">
        <x:v>1</x:v>
      </x:c>
      <x:c r="R91" s="10" t="n">
        <x:v>5</x:v>
      </x:c>
      <x:c r="S91" s="10" t="n">
        <x:v>30</x:v>
      </x:c>
      <x:c r="T91" s="10" t="n">
        <x:v>0</x:v>
      </x:c>
      <x:c r="U91" s="10" t="n">
        <x:f>IF(AND(ISNUMBER(X91),X91&gt;=0,Y91&lt;&gt;1),X91,"")</x:f>
        <x:v>23</x:v>
      </x:c>
      <x:c r="V91" s="10" t="n">
        <x:v>0</x:v>
      </x:c>
      <x:c r="W91" s="10" t="n">
        <x:v>0</x:v>
      </x:c>
      <x:c r="X91" s="10" t="n">
        <x:v>23</x:v>
      </x:c>
      <x:c r="Y91" s="3" t="n">
        <x:v>0</x:v>
      </x:c>
      <x:c r="Z91" s="3" t="str">
        <x:v>共同</x:v>
      </x:c>
      <x:c r="AA91" s="3" t="str">
        <x:v>在售</x:v>
      </x:c>
      <x:c r="AB91" s="12" t="n">
        <x:f>IF(AND(Z91="共同",ISNUMBER(G91),ISNUMBER(AD91)),G91-AD91,"")</x:f>
        <x:v>-0.042857142857142844</x:v>
      </x:c>
      <x:c r="AC91" s="3" t="str"/>
      <x:c r="AD91" s="12" t="n">
        <x:v>0.16904761904761903</x:v>
      </x:c>
      <x:c r="AE91" s="3" t="str">
        <x:v>[13306,"2311062-RD-V-O-8"]</x:v>
      </x:c>
      <x:c r="AF91" t="n">
        <x:f>IF(ISNUMBER(H91),1,0)</x:f>
        <x:v>1</x:v>
      </x:c>
      <x:c r="AG91" t="n">
        <x:f>IF(ISNUMBER(I91),1,0)</x:f>
        <x:v>1</x:v>
      </x:c>
      <x:c r="AH91" t="str">
        <x:v>["2311062","2311062-RD-V-O","RD-V","酒红锦纶"]</x:v>
      </x:c>
      <x:c r="AI91" t="n">
        <x:f>IF(ISNUMBER(G91),1,0)</x:f>
        <x:v>1</x:v>
      </x:c>
      <x:c r="AJ91" t="n">
        <x:f>IF(ISNUMBER(AD91),1,0)</x:f>
        <x:v>1</x:v>
      </x:c>
    </x:row>
    <x:row r="92" ht="30" customHeight="1">
      <x:c r="A92" s="3" t="str">
        <x:v>2311062-SL-P-O-8</x:v>
      </x:c>
      <x:c r="B92" s="3" t="str">
        <x:v>4店-彬郁-US</x:v>
      </x:c>
      <x:c r="C92" s="3" t="str">
        <x:v>陈晨</x:v>
      </x:c>
      <x:c r="D92" s="3" t="str">
        <x:v>2311062</x:v>
      </x:c>
      <x:c r="E92" s="3" t="str">
        <x:f>IF(Z92="移出","已移出",IF(NOT(ISNUMBER(H92)),"数据待核",IF(H92=0,"断货",IF(NOT(ISNUMBER(G92)),"数据待核",IF(G92=0,"零日销待复核",IF(F92&lt;60,"补货提醒",IF(F92&lt;=90,"正常库存",IF(F92&lt;180,"促销",IF(F92&lt;=365,"红线促销","考虑清仓")))))))))</x:f>
        <x:v>红线促销</x:v>
      </x:c>
      <x:c r="F92" s="11" t="n">
        <x:f>IF(AND(ISNUMBER(H92),ISNUMBER(G92),G92&gt;0),H92/G92,"")</x:f>
        <x:v>197.9381443298969</x:v>
      </x:c>
      <x:c r="G92" s="12" t="n">
        <x:f>IF(AND(COUNT(P92:R92)=3,MIN(P92:R92)&gt;=0,P92&lt;=Q92,Q92&lt;=R92),P92/7*0.5+Q92/14*0.3+R92/30*0.2,"")</x:f>
        <x:v>0.32333333333333336</x:v>
      </x:c>
      <x:c r="H92" s="10" t="n">
        <x:f>IF(ISNUMBER(U92),U92,"")</x:f>
        <x:v>64</x:v>
      </x:c>
      <x:c r="I92" s="10" t="n">
        <x:v>61</x:v>
      </x:c>
      <x:c r="J92" s="11" t="n">
        <x:f>IF(AND(Z92="共同",ISNUMBER(F92),ISNUMBER(M92)),F92-M92,"")</x:f>
        <x:v>48.98465595780385</x:v>
      </x:c>
      <x:c r="K92" s="13" t="n">
        <x:f>IF(AND(ISNUMBER(J92),M92&lt;&gt;0),J92/M92,"")</x:f>
        <x:v>0.3288587363287378</x:v>
      </x:c>
      <x:c r="L92" s="10" t="str">
        <x:v>促销</x:v>
      </x:c>
      <x:c r="M92" s="11" t="n">
        <x:v>148.95348837209303</x:v>
      </x:c>
      <x:c r="N92" s="10" t="n">
        <x:f>IF(AND(Z92="共同",COUNT(H92:I92)=2),H92-I92,"")</x:f>
        <x:v>3</x:v>
      </x:c>
      <x:c r="O92" s="10" t="n">
        <x:v>0</x:v>
      </x:c>
      <x:c r="P92" s="10" t="n">
        <x:v>2</x:v>
      </x:c>
      <x:c r="Q92" s="10" t="n">
        <x:v>5</x:v>
      </x:c>
      <x:c r="R92" s="10" t="n">
        <x:v>11</x:v>
      </x:c>
      <x:c r="S92" s="10" t="n">
        <x:v>121</x:v>
      </x:c>
      <x:c r="T92" s="10" t="n">
        <x:v>1</x:v>
      </x:c>
      <x:c r="U92" s="10" t="n">
        <x:f>IF(AND(ISNUMBER(X92),X92&gt;=0,Y92&lt;&gt;1),X92,"")</x:f>
        <x:v>64</x:v>
      </x:c>
      <x:c r="V92" s="10" t="n">
        <x:v>0</x:v>
      </x:c>
      <x:c r="W92" s="10" t="n">
        <x:v>0</x:v>
      </x:c>
      <x:c r="X92" s="10" t="n">
        <x:v>64</x:v>
      </x:c>
      <x:c r="Y92" s="3" t="n">
        <x:v>0</x:v>
      </x:c>
      <x:c r="Z92" s="3" t="str">
        <x:v>共同</x:v>
      </x:c>
      <x:c r="AA92" s="3" t="str">
        <x:v>在售</x:v>
      </x:c>
      <x:c r="AB92" s="12" t="n">
        <x:f>IF(AND(Z92="共同",ISNUMBER(G92),ISNUMBER(AD92)),G92-AD92,"")</x:f>
        <x:v>-0.08619047619047615</x:v>
      </x:c>
      <x:c r="AC92" s="3" t="str"/>
      <x:c r="AD92" s="12" t="n">
        <x:v>0.4095238095238095</x:v>
      </x:c>
      <x:c r="AE92" s="3" t="str">
        <x:v>[13306,"2311062-SL-P-O-8"]</x:v>
      </x:c>
      <x:c r="AF92" t="n">
        <x:f>IF(ISNUMBER(H92),1,0)</x:f>
        <x:v>1</x:v>
      </x:c>
      <x:c r="AG92" t="n">
        <x:f>IF(ISNUMBER(I92),1,0)</x:f>
        <x:v>1</x:v>
      </x:c>
      <x:c r="AH92" t="str">
        <x:v>["2311062","2311062-SL-P-O","SL-P","银色 PU"]</x:v>
      </x:c>
      <x:c r="AI92" t="n">
        <x:f>IF(ISNUMBER(G92),1,0)</x:f>
        <x:v>1</x:v>
      </x:c>
      <x:c r="AJ92" t="n">
        <x:f>IF(ISNUMBER(AD92),1,0)</x:f>
        <x:v>1</x:v>
      </x:c>
    </x:row>
    <x:row r="93" ht="30" customHeight="1">
      <x:c r="A93" s="3" t="str">
        <x:v>2311062-SL-P-O-9</x:v>
      </x:c>
      <x:c r="B93" s="3" t="str">
        <x:v>4店-彬郁-US</x:v>
      </x:c>
      <x:c r="C93" s="3" t="str">
        <x:v>陈晨</x:v>
      </x:c>
      <x:c r="D93" s="3" t="str">
        <x:v>2311062</x:v>
      </x:c>
      <x:c r="E93" s="3" t="str">
        <x:f>IF(Z93="移出","已移出",IF(NOT(ISNUMBER(H93)),"数据待核",IF(H93=0,"断货",IF(NOT(ISNUMBER(G93)),"数据待核",IF(G93=0,"零日销待复核",IF(F93&lt;60,"补货提醒",IF(F93&lt;=90,"正常库存",IF(F93&lt;180,"促销",IF(F93&lt;=365,"红线促销","考虑清仓")))))))))</x:f>
        <x:v>红线促销</x:v>
      </x:c>
      <x:c r="F93" s="11" t="n">
        <x:f>IF(AND(ISNUMBER(H93),ISNUMBER(G93),G93&gt;0),H93/G93,"")</x:f>
        <x:v>184.56591639871382</x:v>
      </x:c>
      <x:c r="G93" s="12" t="n">
        <x:f>IF(AND(COUNT(P93:R93)=3,MIN(P93:R93)&gt;=0,P93&lt;=Q93,Q93&lt;=R93),P93/7*0.5+Q93/14*0.3+R93/30*0.2,"")</x:f>
        <x:v>0.4442857142857143</x:v>
      </x:c>
      <x:c r="H93" s="10" t="n">
        <x:f>IF(ISNUMBER(U93),U93,"")</x:f>
        <x:v>82</x:v>
      </x:c>
      <x:c r="I93" s="10" t="n">
        <x:v>72</x:v>
      </x:c>
      <x:c r="J93" s="11" t="n">
        <x:f>IF(AND(Z93="共同",ISNUMBER(F93),ISNUMBER(M93)),F93-M93,"")</x:f>
        <x:v>-229.68065894375192</x:v>
      </x:c>
      <x:c r="K93" s="13" t="n">
        <x:f>IF(AND(ISNUMBER(J93),M93&lt;&gt;0),J93/M93,"")</x:f>
        <x:v>-0.554453971656544</x:v>
      </x:c>
      <x:c r="L93" s="10" t="str">
        <x:v>考虑清仓</x:v>
      </x:c>
      <x:c r="M93" s="11" t="n">
        <x:v>414.24657534246575</x:v>
      </x:c>
      <x:c r="N93" s="10" t="n">
        <x:f>IF(AND(Z93="共同",COUNT(H93:I93)=2),H93-I93,"")</x:f>
        <x:v>10</x:v>
      </x:c>
      <x:c r="O93" s="10" t="n">
        <x:v>0</x:v>
      </x:c>
      <x:c r="P93" s="10" t="n">
        <x:v>3</x:v>
      </x:c>
      <x:c r="Q93" s="10" t="n">
        <x:v>7</x:v>
      </x:c>
      <x:c r="R93" s="10" t="n">
        <x:v>12</x:v>
      </x:c>
      <x:c r="S93" s="10" t="n">
        <x:v>128</x:v>
      </x:c>
      <x:c r="T93" s="10" t="n">
        <x:v>0</x:v>
      </x:c>
      <x:c r="U93" s="10" t="n">
        <x:f>IF(AND(ISNUMBER(X93),X93&gt;=0,Y93&lt;&gt;1),X93,"")</x:f>
        <x:v>82</x:v>
      </x:c>
      <x:c r="V93" s="10" t="n">
        <x:v>0</x:v>
      </x:c>
      <x:c r="W93" s="10" t="n">
        <x:v>0</x:v>
      </x:c>
      <x:c r="X93" s="10" t="n">
        <x:v>82</x:v>
      </x:c>
      <x:c r="Y93" s="3" t="n">
        <x:v>0</x:v>
      </x:c>
      <x:c r="Z93" s="3" t="str">
        <x:v>共同</x:v>
      </x:c>
      <x:c r="AA93" s="3" t="str">
        <x:v>在售</x:v>
      </x:c>
      <x:c r="AB93" s="12" t="n">
        <x:f>IF(AND(Z93="共同",ISNUMBER(G93),ISNUMBER(AD93)),G93-AD93,"")</x:f>
        <x:v>0.2704761904761905</x:v>
      </x:c>
      <x:c r="AC93" s="3" t="str"/>
      <x:c r="AD93" s="12" t="n">
        <x:v>0.1738095238095238</x:v>
      </x:c>
      <x:c r="AE93" s="3" t="str">
        <x:v>[13306,"2311062-SL-P-O-9"]</x:v>
      </x:c>
      <x:c r="AF93" t="n">
        <x:f>IF(ISNUMBER(H93),1,0)</x:f>
        <x:v>1</x:v>
      </x:c>
      <x:c r="AG93" t="n">
        <x:f>IF(ISNUMBER(I93),1,0)</x:f>
        <x:v>1</x:v>
      </x:c>
      <x:c r="AH93" t="str">
        <x:v>["2311062","2311062-SL-P-O","SL-P","银色 PU"]</x:v>
      </x:c>
      <x:c r="AI93" t="n">
        <x:f>IF(ISNUMBER(G93),1,0)</x:f>
        <x:v>1</x:v>
      </x:c>
      <x:c r="AJ93" t="n">
        <x:f>IF(ISNUMBER(AD93),1,0)</x:f>
        <x:v>1</x:v>
      </x:c>
    </x:row>
    <x:row r="94" ht="30" customHeight="1">
      <x:c r="A94" s="3" t="str">
        <x:v>2311062-TN-P-O-7</x:v>
      </x:c>
      <x:c r="B94" s="3" t="str">
        <x:v>4店-彬郁-US</x:v>
      </x:c>
      <x:c r="C94" s="3" t="str">
        <x:v>陈晨</x:v>
      </x:c>
      <x:c r="D94" s="3" t="str">
        <x:v>2311062</x:v>
      </x:c>
      <x:c r="E94" s="3" t="str">
        <x:f>IF(Z94="移出","已移出",IF(NOT(ISNUMBER(H94)),"数据待核",IF(H94=0,"断货",IF(NOT(ISNUMBER(G94)),"数据待核",IF(G94=0,"零日销待复核",IF(F94&lt;60,"补货提醒",IF(F94&lt;=90,"正常库存",IF(F94&lt;180,"促销",IF(F94&lt;=365,"红线促销","考虑清仓")))))))))</x:f>
        <x:v>红线促销</x:v>
      </x:c>
      <x:c r="F94" s="11" t="n">
        <x:f>IF(AND(ISNUMBER(H94),ISNUMBER(G94),G94&gt;0),H94/G94,"")</x:f>
        <x:v>197.75784753363232</x:v>
      </x:c>
      <x:c r="G94" s="12" t="n">
        <x:f>IF(AND(COUNT(P94:R94)=3,MIN(P94:R94)&gt;=0,P94&lt;=Q94,Q94&lt;=R94),P94/7*0.5+Q94/14*0.3+R94/30*0.2,"")</x:f>
        <x:v>0.10619047619047618</x:v>
      </x:c>
      <x:c r="H94" s="10" t="n">
        <x:f>IF(ISNUMBER(U94),U94,"")</x:f>
        <x:v>21</x:v>
      </x:c>
      <x:c r="I94" s="10" t="n">
        <x:v>10</x:v>
      </x:c>
      <x:c r="J94" s="11" t="n">
        <x:f>IF(AND(Z94="共同",ISNUMBER(F94),ISNUMBER(M94)),F94-M94,"")</x:f>
        <x:v>118.51256451476439</x:v>
      </x:c>
      <x:c r="K94" s="13" t="n">
        <x:f>IF(AND(ISNUMBER(J94),M94&lt;&gt;0),J94/M94,"")</x:f>
        <x:v>1.495515695067265</x:v>
      </x:c>
      <x:c r="L94" s="10" t="str">
        <x:v>正常库存</x:v>
      </x:c>
      <x:c r="M94" s="11" t="n">
        <x:v>79.24528301886792</x:v>
      </x:c>
      <x:c r="N94" s="10" t="n">
        <x:f>IF(AND(Z94="共同",COUNT(H94:I94)=2),H94-I94,"")</x:f>
        <x:v>11</x:v>
      </x:c>
      <x:c r="O94" s="10" t="n">
        <x:v>0</x:v>
      </x:c>
      <x:c r="P94" s="10" t="n">
        <x:v>1</x:v>
      </x:c>
      <x:c r="Q94" s="10" t="n">
        <x:v>1</x:v>
      </x:c>
      <x:c r="R94" s="10" t="n">
        <x:v>2</x:v>
      </x:c>
      <x:c r="S94" s="10" t="n">
        <x:v>31</x:v>
      </x:c>
      <x:c r="T94" s="10" t="n">
        <x:v>0</x:v>
      </x:c>
      <x:c r="U94" s="10" t="n">
        <x:f>IF(AND(ISNUMBER(X94),X94&gt;=0,Y94&lt;&gt;1),X94,"")</x:f>
        <x:v>21</x:v>
      </x:c>
      <x:c r="V94" s="10" t="n">
        <x:v>0</x:v>
      </x:c>
      <x:c r="W94" s="10" t="n">
        <x:v>19</x:v>
      </x:c>
      <x:c r="X94" s="10" t="n">
        <x:v>21</x:v>
      </x:c>
      <x:c r="Y94" s="3" t="n">
        <x:v>0</x:v>
      </x:c>
      <x:c r="Z94" s="3" t="str">
        <x:v>共同</x:v>
      </x:c>
      <x:c r="AA94" s="3" t="str">
        <x:v>在售</x:v>
      </x:c>
      <x:c r="AB94" s="12" t="n">
        <x:f>IF(AND(Z94="共同",ISNUMBER(G94),ISNUMBER(AD94)),G94-AD94,"")</x:f>
        <x:v>-0.020000000000000004</x:v>
      </x:c>
      <x:c r="AC94" s="3" t="str"/>
      <x:c r="AD94" s="12" t="n">
        <x:v>0.1261904761904762</x:v>
      </x:c>
      <x:c r="AE94" s="3" t="str">
        <x:v>[13306,"2311062-TN-P-O-7"]</x:v>
      </x:c>
      <x:c r="AF94" t="n">
        <x:f>IF(ISNUMBER(H94),1,0)</x:f>
        <x:v>1</x:v>
      </x:c>
      <x:c r="AG94" t="n">
        <x:f>IF(ISNUMBER(I94),1,0)</x:f>
        <x:v>1</x:v>
      </x:c>
      <x:c r="AH94" t="str">
        <x:v>["2311062","2311062-TN-P-O","TN-P","驼色 PU"]</x:v>
      </x:c>
      <x:c r="AI94" t="n">
        <x:f>IF(ISNUMBER(G94),1,0)</x:f>
        <x:v>1</x:v>
      </x:c>
      <x:c r="AJ94" t="n">
        <x:f>IF(ISNUMBER(AD94),1,0)</x:f>
        <x:v>1</x:v>
      </x:c>
    </x:row>
    <x:row r="95" ht="30" customHeight="1">
      <x:c r="A95" s="3" t="str">
        <x:v>32582-TN-38.5</x:v>
      </x:c>
      <x:c r="B95" s="3" t="str">
        <x:v>3店-SANDIEX-US</x:v>
      </x:c>
      <x:c r="C95" s="3" t="str">
        <x:v>徐新怡</x:v>
      </x:c>
      <x:c r="D95" s="3" t="str">
        <x:v>32582</x:v>
      </x:c>
      <x:c r="E95" s="3" t="str">
        <x:f>IF(Z95="移出","已移出",IF(NOT(ISNUMBER(H95)),"数据待核",IF(H95=0,"断货",IF(NOT(ISNUMBER(G95)),"数据待核",IF(G95=0,"零日销待复核",IF(F95&lt;60,"补货提醒",IF(F95&lt;=90,"正常库存",IF(F95&lt;180,"促销",IF(F95&lt;=365,"红线促销","考虑清仓")))))))))</x:f>
        <x:v>红线促销</x:v>
      </x:c>
      <x:c r="F95" s="11" t="n">
        <x:f>IF(AND(ISNUMBER(H95),ISNUMBER(G95),G95&gt;0),H95/G95,"")</x:f>
        <x:v>346.95652173913044</x:v>
      </x:c>
      <x:c r="G95" s="12" t="n">
        <x:f>IF(AND(COUNT(P95:R95)=3,MIN(P95:R95)&gt;=0,P95&lt;=Q95,Q95&lt;=R95),P95/7*0.5+Q95/14*0.3+R95/30*0.2,"")</x:f>
        <x:v>0.05476190476190476</x:v>
      </x:c>
      <x:c r="H95" s="10" t="n">
        <x:f>IF(ISNUMBER(U95),U95,"")</x:f>
        <x:v>19</x:v>
      </x:c>
      <x:c r="I95" s="10" t="n">
        <x:v>18</x:v>
      </x:c>
      <x:c r="J95" s="11" t="n">
        <x:f>IF(AND(Z95="共同",ISNUMBER(F95),ISNUMBER(M95)),F95-M95,"")</x:f>
        <x:v>296.95652173913044</x:v>
      </x:c>
      <x:c r="K95" s="13" t="n">
        <x:f>IF(AND(ISNUMBER(J95),M95&lt;&gt;0),J95/M95,"")</x:f>
        <x:v>5.939130434782609</x:v>
      </x:c>
      <x:c r="L95" s="10" t="str">
        <x:v>补货提醒</x:v>
      </x:c>
      <x:c r="M95" s="11" t="n">
        <x:v>50</x:v>
      </x:c>
      <x:c r="N95" s="10" t="n">
        <x:f>IF(AND(Z95="共同",COUNT(H95:I95)=2),H95-I95,"")</x:f>
        <x:v>1</x:v>
      </x:c>
      <x:c r="O95" s="10" t="n">
        <x:v>277</x:v>
      </x:c>
      <x:c r="P95" s="10" t="n">
        <x:v>0</x:v>
      </x:c>
      <x:c r="Q95" s="10" t="n">
        <x:v>1</x:v>
      </x:c>
      <x:c r="R95" s="10" t="n">
        <x:v>5</x:v>
      </x:c>
      <x:c r="S95" s="10" t="n">
        <x:v>19</x:v>
      </x:c>
      <x:c r="T95" s="10" t="n">
        <x:v>0</x:v>
      </x:c>
      <x:c r="U95" s="10" t="n">
        <x:f>IF(AND(ISNUMBER(X95),X95&gt;=0,Y95&lt;&gt;1),X95,"")</x:f>
        <x:v>19</x:v>
      </x:c>
      <x:c r="V95" s="10" t="n">
        <x:v>0</x:v>
      </x:c>
      <x:c r="W95" s="10" t="n">
        <x:v>0</x:v>
      </x:c>
      <x:c r="X95" s="10" t="n">
        <x:v>19</x:v>
      </x:c>
      <x:c r="Y95" s="3" t="n">
        <x:v>0</x:v>
      </x:c>
      <x:c r="Z95" s="3" t="str">
        <x:v>共同</x:v>
      </x:c>
      <x:c r="AA95" s="3" t="str">
        <x:v>在售</x:v>
      </x:c>
      <x:c r="AB95" s="12" t="n">
        <x:f>IF(AND(Z95="共同",ISNUMBER(G95),ISNUMBER(AD95)),G95-AD95,"")</x:f>
        <x:v>-0.3052380952380952</x:v>
      </x:c>
      <x:c r="AC95" s="3" t="str"/>
      <x:c r="AD95" s="12" t="n">
        <x:v>0.36</x:v>
      </x:c>
      <x:c r="AE95" s="3" t="str">
        <x:v>[6574,"32582-TN-38.5"]</x:v>
      </x:c>
      <x:c r="AF95" t="n">
        <x:f>IF(ISNUMBER(H95),1,0)</x:f>
        <x:v>1</x:v>
      </x:c>
      <x:c r="AG95" t="n">
        <x:f>IF(ISNUMBER(I95),1,0)</x:f>
        <x:v>1</x:v>
      </x:c>
      <x:c r="AH95" t="str">
        <x:v>["32582","32582-TN","TN","驼色"]</x:v>
      </x:c>
      <x:c r="AI95" t="n">
        <x:f>IF(ISNUMBER(G95),1,0)</x:f>
        <x:v>1</x:v>
      </x:c>
      <x:c r="AJ95" t="n">
        <x:f>IF(ISNUMBER(AD95),1,0)</x:f>
        <x:v>1</x:v>
      </x:c>
    </x:row>
    <x:row r="96" ht="30" customHeight="1">
      <x:c r="A96" s="3" t="str">
        <x:v>32582-TN-41</x:v>
      </x:c>
      <x:c r="B96" s="3" t="str">
        <x:v>3店-SANDIEX-US</x:v>
      </x:c>
      <x:c r="C96" s="3" t="str">
        <x:v>徐新怡</x:v>
      </x:c>
      <x:c r="D96" s="3" t="str">
        <x:v>32582</x:v>
      </x:c>
      <x:c r="E96" s="3" t="str">
        <x:f>IF(Z96="移出","已移出",IF(NOT(ISNUMBER(H96)),"数据待核",IF(H96=0,"断货",IF(NOT(ISNUMBER(G96)),"数据待核",IF(G96=0,"零日销待复核",IF(F96&lt;60,"补货提醒",IF(F96&lt;=90,"正常库存",IF(F96&lt;180,"促销",IF(F96&lt;=365,"红线促销","考虑清仓")))))))))</x:f>
        <x:v>红线促销</x:v>
      </x:c>
      <x:c r="F96" s="11" t="n">
        <x:f>IF(AND(ISNUMBER(H96),ISNUMBER(G96),G96&gt;0),H96/G96,"")</x:f>
        <x:v>320.83333333333337</x:v>
      </x:c>
      <x:c r="G96" s="12" t="n">
        <x:f>IF(AND(COUNT(P96:R96)=3,MIN(P96:R96)&gt;=0,P96&lt;=Q96,Q96&lt;=R96),P96/7*0.5+Q96/14*0.3+R96/30*0.2,"")</x:f>
        <x:v>0.10285714285714284</x:v>
      </x:c>
      <x:c r="H96" s="10" t="n">
        <x:f>IF(ISNUMBER(U96),U96,"")</x:f>
        <x:v>33</x:v>
      </x:c>
      <x:c r="I96" s="10" t="n">
        <x:v>34</x:v>
      </x:c>
      <x:c r="J96" s="11" t="n">
        <x:f>IF(AND(Z96="共同",ISNUMBER(F96),ISNUMBER(M96)),F96-M96,"")</x:f>
        <x:v>257.7591283863369</x:v>
      </x:c>
      <x:c r="K96" s="13" t="n">
        <x:f>IF(AND(ISNUMBER(J96),M96&lt;&gt;0),J96/M96,"")</x:f>
        <x:v>4.086601307189543</x:v>
      </x:c>
      <x:c r="L96" s="10" t="str">
        <x:v>正常库存</x:v>
      </x:c>
      <x:c r="M96" s="11" t="n">
        <x:v>63.07420494699646</x:v>
      </x:c>
      <x:c r="N96" s="10" t="n">
        <x:f>IF(AND(Z96="共同",COUNT(H96:I96)=2),H96-I96,"")</x:f>
        <x:v>-1</x:v>
      </x:c>
      <x:c r="O96" s="10" t="n">
        <x:v>8</x:v>
      </x:c>
      <x:c r="P96" s="10" t="n">
        <x:v>0</x:v>
      </x:c>
      <x:c r="Q96" s="10" t="n">
        <x:v>2</x:v>
      </x:c>
      <x:c r="R96" s="10" t="n">
        <x:v>9</x:v>
      </x:c>
      <x:c r="S96" s="10" t="n">
        <x:v>34</x:v>
      </x:c>
      <x:c r="T96" s="10" t="n">
        <x:v>0</x:v>
      </x:c>
      <x:c r="U96" s="10" t="n">
        <x:f>IF(AND(ISNUMBER(X96),X96&gt;=0,Y96&lt;&gt;1),X96,"")</x:f>
        <x:v>33</x:v>
      </x:c>
      <x:c r="V96" s="10" t="n">
        <x:v>0</x:v>
      </x:c>
      <x:c r="W96" s="10" t="n">
        <x:v>0</x:v>
      </x:c>
      <x:c r="X96" s="10" t="n">
        <x:v>33</x:v>
      </x:c>
      <x:c r="Y96" s="3" t="n">
        <x:v>0</x:v>
      </x:c>
      <x:c r="Z96" s="3" t="str">
        <x:v>共同</x:v>
      </x:c>
      <x:c r="AA96" s="3" t="str">
        <x:v>在售</x:v>
      </x:c>
      <x:c r="AB96" s="12" t="n">
        <x:f>IF(AND(Z96="共同",ISNUMBER(G96),ISNUMBER(AD96)),G96-AD96,"")</x:f>
        <x:v>-0.43619047619047624</x:v>
      </x:c>
      <x:c r="AC96" s="3" t="str"/>
      <x:c r="AD96" s="12" t="n">
        <x:v>0.5390476190476191</x:v>
      </x:c>
      <x:c r="AE96" s="3" t="str">
        <x:v>[6574,"32582-TN-41"]</x:v>
      </x:c>
      <x:c r="AF96" t="n">
        <x:f>IF(ISNUMBER(H96),1,0)</x:f>
        <x:v>1</x:v>
      </x:c>
      <x:c r="AG96" t="n">
        <x:f>IF(ISNUMBER(I96),1,0)</x:f>
        <x:v>1</x:v>
      </x:c>
      <x:c r="AH96" t="str">
        <x:v>["32582","32582-TN","TN","驼色"]</x:v>
      </x:c>
      <x:c r="AI96" t="n">
        <x:f>IF(ISNUMBER(G96),1,0)</x:f>
        <x:v>1</x:v>
      </x:c>
      <x:c r="AJ96" t="n">
        <x:f>IF(ISNUMBER(AD96),1,0)</x:f>
        <x:v>1</x:v>
      </x:c>
    </x:row>
    <x:row r="97" ht="30" customHeight="1">
      <x:c r="A97" s="3" t="str">
        <x:v>32582-TN-42</x:v>
      </x:c>
      <x:c r="B97" s="3" t="str">
        <x:v>3店-SANDIEX-US</x:v>
      </x:c>
      <x:c r="C97" s="3" t="str">
        <x:v>徐新怡</x:v>
      </x:c>
      <x:c r="D97" s="3" t="str">
        <x:v>32582</x:v>
      </x:c>
      <x:c r="E97" s="3" t="str">
        <x:f>IF(Z97="移出","已移出",IF(NOT(ISNUMBER(H97)),"数据待核",IF(H97=0,"断货",IF(NOT(ISNUMBER(G97)),"数据待核",IF(G97=0,"零日销待复核",IF(F97&lt;60,"补货提醒",IF(F97&lt;=90,"正常库存",IF(F97&lt;180,"促销",IF(F97&lt;=365,"红线促销","考虑清仓")))))))))</x:f>
        <x:v>红线促销</x:v>
      </x:c>
      <x:c r="F97" s="11" t="n">
        <x:f>IF(AND(ISNUMBER(H97),ISNUMBER(G97),G97&gt;0),H97/G97,"")</x:f>
        <x:v>287.67123287671234</x:v>
      </x:c>
      <x:c r="G97" s="12" t="n">
        <x:f>IF(AND(COUNT(P97:R97)=3,MIN(P97:R97)&gt;=0,P97&lt;=Q97,Q97&lt;=R97),P97/7*0.5+Q97/14*0.3+R97/30*0.2,"")</x:f>
        <x:v>0.03476190476190476</x:v>
      </x:c>
      <x:c r="H97" s="10" t="n">
        <x:f>IF(ISNUMBER(U97),U97,"")</x:f>
        <x:v>10</x:v>
      </x:c>
      <x:c r="I97" s="10" t="n">
        <x:v>0</x:v>
      </x:c>
      <x:c r="J97" s="11" t="n">
        <x:f>IF(AND(Z97="共同",ISNUMBER(F97),ISNUMBER(M97)),F97-M97,"")</x:f>
        <x:v>287.67123287671234</x:v>
      </x:c>
      <x:c r="K97" s="13" t="str">
        <x:f>IF(AND(ISNUMBER(J97),M97&lt;&gt;0),J97/M97,"")</x:f>
      </x:c>
      <x:c r="L97" s="10" t="str">
        <x:v>断货</x:v>
      </x:c>
      <x:c r="M97" s="11" t="n">
        <x:v>0</x:v>
      </x:c>
      <x:c r="N97" s="10" t="n">
        <x:f>IF(AND(Z97="共同",COUNT(H97:I97)=2),H97-I97,"")</x:f>
        <x:v>10</x:v>
      </x:c>
      <x:c r="O97" s="10" t="n">
        <x:v>12</x:v>
      </x:c>
      <x:c r="P97" s="10" t="n">
        <x:v>0</x:v>
      </x:c>
      <x:c r="Q97" s="10" t="n">
        <x:v>1</x:v>
      </x:c>
      <x:c r="R97" s="10" t="n">
        <x:v>2</x:v>
      </x:c>
      <x:c r="S97" s="10" t="n">
        <x:v>18</x:v>
      </x:c>
      <x:c r="T97" s="10" t="n">
        <x:v>0</x:v>
      </x:c>
      <x:c r="U97" s="10" t="n">
        <x:f>IF(AND(ISNUMBER(X97),X97&gt;=0,Y97&lt;&gt;1),X97,"")</x:f>
        <x:v>10</x:v>
      </x:c>
      <x:c r="V97" s="10" t="n">
        <x:v>0</x:v>
      </x:c>
      <x:c r="W97" s="10" t="n">
        <x:v>0</x:v>
      </x:c>
      <x:c r="X97" s="10" t="n">
        <x:v>10</x:v>
      </x:c>
      <x:c r="Y97" s="3" t="n">
        <x:v>0</x:v>
      </x:c>
      <x:c r="Z97" s="3" t="str">
        <x:v>共同</x:v>
      </x:c>
      <x:c r="AA97" s="3" t="str">
        <x:v>在售</x:v>
      </x:c>
      <x:c r="AB97" s="12" t="n">
        <x:f>IF(AND(Z97="共同",ISNUMBER(G97),ISNUMBER(AD97)),G97-AD97,"")</x:f>
        <x:v>-0.07809523809523809</x:v>
      </x:c>
      <x:c r="AC97" s="3" t="str"/>
      <x:c r="AD97" s="12" t="n">
        <x:v>0.11285714285714285</x:v>
      </x:c>
      <x:c r="AE97" s="3" t="str">
        <x:v>[6574,"32582-TN-42"]</x:v>
      </x:c>
      <x:c r="AF97" t="n">
        <x:f>IF(ISNUMBER(H97),1,0)</x:f>
        <x:v>1</x:v>
      </x:c>
      <x:c r="AG97" t="n">
        <x:f>IF(ISNUMBER(I97),1,0)</x:f>
        <x:v>1</x:v>
      </x:c>
      <x:c r="AH97" t="str">
        <x:v>["32582","32582-TN","TN","驼色"]</x:v>
      </x:c>
      <x:c r="AI97" t="n">
        <x:f>IF(ISNUMBER(G97),1,0)</x:f>
        <x:v>1</x:v>
      </x:c>
      <x:c r="AJ97" t="n">
        <x:f>IF(ISNUMBER(AD97),1,0)</x:f>
        <x:v>1</x:v>
      </x:c>
    </x:row>
    <x:row r="98" ht="30" customHeight="1">
      <x:c r="A98" s="3" t="str">
        <x:v>32582-WT0P-39.5</x:v>
      </x:c>
      <x:c r="B98" s="3" t="str">
        <x:v>3店-SANDIEX-US</x:v>
      </x:c>
      <x:c r="C98" s="3" t="str">
        <x:v>徐新怡</x:v>
      </x:c>
      <x:c r="D98" s="3" t="str">
        <x:v>32582</x:v>
      </x:c>
      <x:c r="E98" s="3" t="str">
        <x:f>IF(Z98="移出","已移出",IF(NOT(ISNUMBER(H98)),"数据待核",IF(H98=0,"断货",IF(NOT(ISNUMBER(G98)),"数据待核",IF(G98=0,"零日销待复核",IF(F98&lt;60,"补货提醒",IF(F98&lt;=90,"正常库存",IF(F98&lt;180,"促销",IF(F98&lt;=365,"红线促销","考虑清仓")))))))))</x:f>
        <x:v>红线促销</x:v>
      </x:c>
      <x:c r="F98" s="11" t="n">
        <x:f>IF(AND(ISNUMBER(H98),ISNUMBER(G98),G98&gt;0),H98/G98,"")</x:f>
        <x:v>341.62679425837325</x:v>
      </x:c>
      <x:c r="G98" s="12" t="n">
        <x:f>IF(AND(COUNT(P98:R98)=3,MIN(P98:R98)&gt;=0,P98&lt;=Q98,Q98&lt;=R98),P98/7*0.5+Q98/14*0.3+R98/30*0.2,"")</x:f>
        <x:v>0.09952380952380951</x:v>
      </x:c>
      <x:c r="H98" s="10" t="n">
        <x:f>IF(ISNUMBER(U98),U98,"")</x:f>
        <x:v>34</x:v>
      </x:c>
      <x:c r="I98" s="10" t="n">
        <x:v>35</x:v>
      </x:c>
      <x:c r="J98" s="11" t="str">
        <x:f>IF(AND(Z98="共同",ISNUMBER(F98),ISNUMBER(M98)),F98-M98,"")</x:f>
      </x:c>
      <x:c r="K98" s="13" t="str">
        <x:f>IF(AND(ISNUMBER(J98),M98&lt;&gt;0),J98/M98,"")</x:f>
      </x:c>
      <x:c r="L98" s="10" t="str">
        <x:v>零日销待复核</x:v>
      </x:c>
      <x:c r="M98" s="11"/>
      <x:c r="N98" s="10" t="n">
        <x:f>IF(AND(Z98="共同",COUNT(H98:I98)=2),H98-I98,"")</x:f>
        <x:v>-1</x:v>
      </x:c>
      <x:c r="O98" s="10" t="n">
        <x:v>20</x:v>
      </x:c>
      <x:c r="P98" s="10" t="n">
        <x:v>1</x:v>
      </x:c>
      <x:c r="Q98" s="10" t="n">
        <x:v>1</x:v>
      </x:c>
      <x:c r="R98" s="10" t="n">
        <x:v>1</x:v>
      </x:c>
      <x:c r="S98" s="10" t="n">
        <x:v>34</x:v>
      </x:c>
      <x:c r="T98" s="10" t="n">
        <x:v>0</x:v>
      </x:c>
      <x:c r="U98" s="10" t="n">
        <x:f>IF(AND(ISNUMBER(X98),X98&gt;=0,Y98&lt;&gt;1),X98,"")</x:f>
        <x:v>34</x:v>
      </x:c>
      <x:c r="V98" s="10" t="n">
        <x:v>0</x:v>
      </x:c>
      <x:c r="W98" s="10" t="n">
        <x:v>0</x:v>
      </x:c>
      <x:c r="X98" s="10" t="n">
        <x:v>34</x:v>
      </x:c>
      <x:c r="Y98" s="3" t="n">
        <x:v>0</x:v>
      </x:c>
      <x:c r="Z98" s="3" t="str">
        <x:v>共同</x:v>
      </x:c>
      <x:c r="AA98" s="3" t="str">
        <x:v>在售</x:v>
      </x:c>
      <x:c r="AB98" s="12" t="n">
        <x:f>IF(AND(Z98="共同",ISNUMBER(G98),ISNUMBER(AD98)),G98-AD98,"")</x:f>
        <x:v>0.09952380952380951</x:v>
      </x:c>
      <x:c r="AC98" s="3" t="str"/>
      <x:c r="AD98" s="12" t="n">
        <x:v>0</x:v>
      </x:c>
      <x:c r="AE98" s="3" t="str">
        <x:v>[6574,"32582-WT0P-39.5"]</x:v>
      </x:c>
      <x:c r="AF98" t="n">
        <x:f>IF(ISNUMBER(H98),1,0)</x:f>
        <x:v>1</x:v>
      </x:c>
      <x:c r="AG98" t="n">
        <x:f>IF(ISNUMBER(I98),1,0)</x:f>
        <x:v>1</x:v>
      </x:c>
      <x:c r="AH98" t="str">
        <x:v>["32582","32582-WT0P","WT0P","白色"]</x:v>
      </x:c>
      <x:c r="AI98" t="n">
        <x:f>IF(ISNUMBER(G98),1,0)</x:f>
        <x:v>1</x:v>
      </x:c>
      <x:c r="AJ98" t="n">
        <x:f>IF(ISNUMBER(AD98),1,0)</x:f>
        <x:v>1</x:v>
      </x:c>
    </x:row>
    <x:row r="99" ht="30" customHeight="1">
      <x:c r="A99" s="3" t="str">
        <x:v>60516-ND-S-K-6</x:v>
      </x:c>
      <x:c r="B99" s="3" t="str">
        <x:v>3店-SANDIEX-US</x:v>
      </x:c>
      <x:c r="C99" s="3" t="str">
        <x:v>徐新怡</x:v>
      </x:c>
      <x:c r="D99" s="3" t="str">
        <x:v>60516</x:v>
      </x:c>
      <x:c r="E99" s="3" t="str">
        <x:f>IF(Z99="移出","已移出",IF(NOT(ISNUMBER(H99)),"数据待核",IF(H99=0,"断货",IF(NOT(ISNUMBER(G99)),"数据待核",IF(G99=0,"零日销待复核",IF(F99&lt;60,"补货提醒",IF(F99&lt;=90,"正常库存",IF(F99&lt;180,"促销",IF(F99&lt;=365,"红线促销","考虑清仓")))))))))</x:f>
        <x:v>红线促销</x:v>
      </x:c>
      <x:c r="F99" s="11" t="n">
        <x:f>IF(AND(ISNUMBER(H99),ISNUMBER(G99),G99&gt;0),H99/G99,"")</x:f>
        <x:v>215.95744680851064</x:v>
      </x:c>
      <x:c r="G99" s="12" t="n">
        <x:f>IF(AND(COUNT(P99:R99)=3,MIN(P99:R99)&gt;=0,P99&lt;=Q99,Q99&lt;=R99),P99/7*0.5+Q99/14*0.3+R99/30*0.2,"")</x:f>
        <x:v>0.13428571428571429</x:v>
      </x:c>
      <x:c r="H99" s="10" t="n">
        <x:f>IF(ISNUMBER(U99),U99,"")</x:f>
        <x:v>29</x:v>
      </x:c>
      <x:c r="I99" s="10" t="n">
        <x:v>30</x:v>
      </x:c>
      <x:c r="J99" s="11" t="n">
        <x:f>IF(AND(Z99="共同",ISNUMBER(F99),ISNUMBER(M99)),F99-M99,"")</x:f>
        <x:v>-851.8391633609808</x:v>
      </x:c>
      <x:c r="K99" s="13" t="n">
        <x:f>IF(AND(ISNUMBER(J99),M99&lt;&gt;0),J99/M99,"")</x:f>
        <x:v>-0.7977541371158392</x:v>
      </x:c>
      <x:c r="L99" s="10" t="str">
        <x:v>考虑清仓</x:v>
      </x:c>
      <x:c r="M99" s="11" t="n">
        <x:v>1067.7966101694915</x:v>
      </x:c>
      <x:c r="N99" s="10" t="n">
        <x:f>IF(AND(Z99="共同",COUNT(H99:I99)=2),H99-I99,"")</x:f>
        <x:v>-1</x:v>
      </x:c>
      <x:c r="O99" s="10" t="n">
        <x:v>0</x:v>
      </x:c>
      <x:c r="P99" s="10" t="n">
        <x:v>1</x:v>
      </x:c>
      <x:c r="Q99" s="10" t="n">
        <x:v>2</x:v>
      </x:c>
      <x:c r="R99" s="10" t="n">
        <x:v>3</x:v>
      </x:c>
      <x:c r="S99" s="10" t="n">
        <x:v>30</x:v>
      </x:c>
      <x:c r="T99" s="10" t="n">
        <x:v>0</x:v>
      </x:c>
      <x:c r="U99" s="10" t="n">
        <x:f>IF(AND(ISNUMBER(X99),X99&gt;=0,Y99&lt;&gt;1),X99,"")</x:f>
        <x:v>29</x:v>
      </x:c>
      <x:c r="V99" s="10" t="n">
        <x:v>0</x:v>
      </x:c>
      <x:c r="W99" s="10" t="n">
        <x:v>0</x:v>
      </x:c>
      <x:c r="X99" s="10" t="n">
        <x:v>29</x:v>
      </x:c>
      <x:c r="Y99" s="3" t="n">
        <x:v>0</x:v>
      </x:c>
      <x:c r="Z99" s="3" t="str">
        <x:v>共同</x:v>
      </x:c>
      <x:c r="AA99" s="3" t="str">
        <x:v>在售</x:v>
      </x:c>
      <x:c r="AB99" s="12" t="n">
        <x:f>IF(AND(Z99="共同",ISNUMBER(G99),ISNUMBER(AD99)),G99-AD99,"")</x:f>
        <x:v>0.1061904761904762</x:v>
      </x:c>
      <x:c r="AC99" s="3" t="str"/>
      <x:c r="AD99" s="12" t="n">
        <x:v>0.028095238095238097</x:v>
      </x:c>
      <x:c r="AE99" s="3" t="str">
        <x:v>[6574,"60516-ND-S-K-6"]</x:v>
      </x:c>
      <x:c r="AF99" t="n">
        <x:f>IF(ISNUMBER(H99),1,0)</x:f>
        <x:v>1</x:v>
      </x:c>
      <x:c r="AG99" t="n">
        <x:f>IF(ISNUMBER(I99),1,0)</x:f>
        <x:v>1</x:v>
      </x:c>
      <x:c r="AH99" t="str">
        <x:v>["60516","60516-ND-S-K","ND","裸色"]</x:v>
      </x:c>
      <x:c r="AI99" t="n">
        <x:f>IF(ISNUMBER(G99),1,0)</x:f>
        <x:v>1</x:v>
      </x:c>
      <x:c r="AJ99" t="n">
        <x:f>IF(ISNUMBER(AD99),1,0)</x:f>
        <x:v>1</x:v>
      </x:c>
    </x:row>
    <x:row r="100" ht="30" customHeight="1">
      <x:c r="A100" s="3" t="str">
        <x:v>60516-ND-S-K-7</x:v>
      </x:c>
      <x:c r="B100" s="3" t="str">
        <x:v>3店-SANDIEX-US</x:v>
      </x:c>
      <x:c r="C100" s="3" t="str">
        <x:v>徐新怡</x:v>
      </x:c>
      <x:c r="D100" s="3" t="str">
        <x:v>60516</x:v>
      </x:c>
      <x:c r="E100" s="3" t="str">
        <x:f>IF(Z100="移出","已移出",IF(NOT(ISNUMBER(H100)),"数据待核",IF(H100=0,"断货",IF(NOT(ISNUMBER(G100)),"数据待核",IF(G100=0,"零日销待复核",IF(F100&lt;60,"补货提醒",IF(F100&lt;=90,"正常库存",IF(F100&lt;180,"促销",IF(F100&lt;=365,"红线促销","考虑清仓")))))))))</x:f>
        <x:v>红线促销</x:v>
      </x:c>
      <x:c r="F100" s="11" t="n">
        <x:f>IF(AND(ISNUMBER(H100),ISNUMBER(G100),G100&gt;0),H100/G100,"")</x:f>
        <x:v>240.5825242718447</x:v>
      </x:c>
      <x:c r="G100" s="12" t="n">
        <x:f>IF(AND(COUNT(P100:R100)=3,MIN(P100:R100)&gt;=0,P100&lt;=Q100,Q100&lt;=R100),P100/7*0.5+Q100/14*0.3+R100/30*0.2,"")</x:f>
        <x:v>0.2452380952380952</x:v>
      </x:c>
      <x:c r="H100" s="10" t="n">
        <x:f>IF(ISNUMBER(U100),U100,"")</x:f>
        <x:v>59</x:v>
      </x:c>
      <x:c r="I100" s="10" t="n">
        <x:v>63</x:v>
      </x:c>
      <x:c r="J100" s="11" t="n">
        <x:f>IF(AND(Z100="共同",ISNUMBER(F100),ISNUMBER(M100)),F100-M100,"")</x:f>
        <x:v>66.2742238765878</x:v>
      </x:c>
      <x:c r="K100" s="13" t="n">
        <x:f>IF(AND(ISNUMBER(J100),M100&lt;&gt;0),J100/M100,"")</x:f>
        <x:v>0.3802126675913087</x:v>
      </x:c>
      <x:c r="L100" s="10" t="str">
        <x:v>促销</x:v>
      </x:c>
      <x:c r="M100" s="11" t="n">
        <x:v>174.3083003952569</x:v>
      </x:c>
      <x:c r="N100" s="10" t="n">
        <x:f>IF(AND(Z100="共同",COUNT(H100:I100)=2),H100-I100,"")</x:f>
        <x:v>-4</x:v>
      </x:c>
      <x:c r="O100" s="10" t="n">
        <x:v>3</x:v>
      </x:c>
      <x:c r="P100" s="10" t="n">
        <x:v>1</x:v>
      </x:c>
      <x:c r="Q100" s="10" t="n">
        <x:v>5</x:v>
      </x:c>
      <x:c r="R100" s="10" t="n">
        <x:v>10</x:v>
      </x:c>
      <x:c r="S100" s="10" t="n">
        <x:v>59</x:v>
      </x:c>
      <x:c r="T100" s="10" t="n">
        <x:v>0</x:v>
      </x:c>
      <x:c r="U100" s="10" t="n">
        <x:f>IF(AND(ISNUMBER(X100),X100&gt;=0,Y100&lt;&gt;1),X100,"")</x:f>
        <x:v>59</x:v>
      </x:c>
      <x:c r="V100" s="10" t="n">
        <x:v>0</x:v>
      </x:c>
      <x:c r="W100" s="10" t="n">
        <x:v>0</x:v>
      </x:c>
      <x:c r="X100" s="10" t="n">
        <x:v>59</x:v>
      </x:c>
      <x:c r="Y100" s="3" t="n">
        <x:v>0</x:v>
      </x:c>
      <x:c r="Z100" s="3" t="str">
        <x:v>共同</x:v>
      </x:c>
      <x:c r="AA100" s="3" t="str">
        <x:v>在售</x:v>
      </x:c>
      <x:c r="AB100" s="12" t="n">
        <x:f>IF(AND(Z100="共同",ISNUMBER(G100),ISNUMBER(AD100)),G100-AD100,"")</x:f>
        <x:v>-0.11619047619047623</x:v>
      </x:c>
      <x:c r="AC100" s="3" t="str"/>
      <x:c r="AD100" s="12" t="n">
        <x:v>0.36142857142857143</x:v>
      </x:c>
      <x:c r="AE100" s="3" t="str">
        <x:v>[6574,"60516-ND-S-K-7"]</x:v>
      </x:c>
      <x:c r="AF100" t="n">
        <x:f>IF(ISNUMBER(H100),1,0)</x:f>
        <x:v>1</x:v>
      </x:c>
      <x:c r="AG100" t="n">
        <x:f>IF(ISNUMBER(I100),1,0)</x:f>
        <x:v>1</x:v>
      </x:c>
      <x:c r="AH100" t="str">
        <x:v>["60516","60516-ND-S-K","ND","裸色"]</x:v>
      </x:c>
      <x:c r="AI100" t="n">
        <x:f>IF(ISNUMBER(G100),1,0)</x:f>
        <x:v>1</x:v>
      </x:c>
      <x:c r="AJ100" t="n">
        <x:f>IF(ISNUMBER(AD100),1,0)</x:f>
        <x:v>1</x:v>
      </x:c>
    </x:row>
    <x:row r="101" ht="30" customHeight="1">
      <x:c r="A101" s="3" t="str">
        <x:v>60516-ND-S-K-9</x:v>
      </x:c>
      <x:c r="B101" s="3" t="str">
        <x:v>3店-SANDIEX-US</x:v>
      </x:c>
      <x:c r="C101" s="3" t="str">
        <x:v>徐新怡</x:v>
      </x:c>
      <x:c r="D101" s="3" t="str">
        <x:v>60516</x:v>
      </x:c>
      <x:c r="E101" s="3" t="str">
        <x:f>IF(Z101="移出","已移出",IF(NOT(ISNUMBER(H101)),"数据待核",IF(H101=0,"断货",IF(NOT(ISNUMBER(G101)),"数据待核",IF(G101=0,"零日销待复核",IF(F101&lt;60,"补货提醒",IF(F101&lt;=90,"正常库存",IF(F101&lt;180,"促销",IF(F101&lt;=365,"红线促销","考虑清仓")))))))))</x:f>
        <x:v>红线促销</x:v>
      </x:c>
      <x:c r="F101" s="11" t="n">
        <x:f>IF(AND(ISNUMBER(H101),ISNUMBER(G101),G101&gt;0),H101/G101,"")</x:f>
        <x:v>203.4883720930233</x:v>
      </x:c>
      <x:c r="G101" s="12" t="n">
        <x:f>IF(AND(COUNT(P101:R101)=3,MIN(P101:R101)&gt;=0,P101&lt;=Q101,Q101&lt;=R101),P101/7*0.5+Q101/14*0.3+R101/30*0.2,"")</x:f>
        <x:v>0.2457142857142857</x:v>
      </x:c>
      <x:c r="H101" s="10" t="n">
        <x:f>IF(ISNUMBER(U101),U101,"")</x:f>
        <x:v>50</x:v>
      </x:c>
      <x:c r="I101" s="10" t="n">
        <x:v>50</x:v>
      </x:c>
      <x:c r="J101" s="11" t="n">
        <x:f>IF(AND(Z101="共同",ISNUMBER(F101),ISNUMBER(M101)),F101-M101,"")</x:f>
        <x:v>99.21826285767072</x:v>
      </x:c>
      <x:c r="K101" s="13" t="n">
        <x:f>IF(AND(ISNUMBER(J101),M101&lt;&gt;0),J101/M101,"")</x:f>
        <x:v>0.9515503875968989</x:v>
      </x:c>
      <x:c r="L101" s="10" t="str">
        <x:v>促销</x:v>
      </x:c>
      <x:c r="M101" s="11" t="n">
        <x:v>104.27010923535256</x:v>
      </x:c>
      <x:c r="N101" s="10" t="n">
        <x:f>IF(AND(Z101="共同",COUNT(H101:I101)=2),H101-I101,"")</x:f>
        <x:v>0</x:v>
      </x:c>
      <x:c r="O101" s="10" t="n">
        <x:v>19</x:v>
      </x:c>
      <x:c r="P101" s="10" t="n">
        <x:v>2</x:v>
      </x:c>
      <x:c r="Q101" s="10" t="n">
        <x:v>2</x:v>
      </x:c>
      <x:c r="R101" s="10" t="n">
        <x:v>9</x:v>
      </x:c>
      <x:c r="S101" s="10" t="n">
        <x:v>51</x:v>
      </x:c>
      <x:c r="T101" s="10" t="n">
        <x:v>1</x:v>
      </x:c>
      <x:c r="U101" s="10" t="n">
        <x:f>IF(AND(ISNUMBER(X101),X101&gt;=0,Y101&lt;&gt;1),X101,"")</x:f>
        <x:v>50</x:v>
      </x:c>
      <x:c r="V101" s="10" t="n">
        <x:v>0</x:v>
      </x:c>
      <x:c r="W101" s="10" t="n">
        <x:v>0</x:v>
      </x:c>
      <x:c r="X101" s="10" t="n">
        <x:v>50</x:v>
      </x:c>
      <x:c r="Y101" s="3" t="n">
        <x:v>0</x:v>
      </x:c>
      <x:c r="Z101" s="3" t="str">
        <x:v>共同</x:v>
      </x:c>
      <x:c r="AA101" s="3" t="str">
        <x:v>在售</x:v>
      </x:c>
      <x:c r="AB101" s="12" t="n">
        <x:f>IF(AND(Z101="共同",ISNUMBER(G101),ISNUMBER(AD101)),G101-AD101,"")</x:f>
        <x:v>-0.23380952380952372</x:v>
      </x:c>
      <x:c r="AC101" s="3" t="str"/>
      <x:c r="AD101" s="12" t="n">
        <x:v>0.4795238095238094</x:v>
      </x:c>
      <x:c r="AE101" s="3" t="str">
        <x:v>[6574,"60516-ND-S-K-9"]</x:v>
      </x:c>
      <x:c r="AF101" t="n">
        <x:f>IF(ISNUMBER(H101),1,0)</x:f>
        <x:v>1</x:v>
      </x:c>
      <x:c r="AG101" t="n">
        <x:f>IF(ISNUMBER(I101),1,0)</x:f>
        <x:v>1</x:v>
      </x:c>
      <x:c r="AH101" t="str">
        <x:v>["60516","60516-ND-S-K","ND","裸色"]</x:v>
      </x:c>
      <x:c r="AI101" t="n">
        <x:f>IF(ISNUMBER(G101),1,0)</x:f>
        <x:v>1</x:v>
      </x:c>
      <x:c r="AJ101" t="n">
        <x:f>IF(ISNUMBER(AD101),1,0)</x:f>
        <x:v>1</x:v>
      </x:c>
    </x:row>
    <x:row r="102" ht="30" customHeight="1">
      <x:c r="A102" s="3" t="str">
        <x:v>60516-RD-S-K-6</x:v>
      </x:c>
      <x:c r="B102" s="3" t="str">
        <x:v>3店-SANDIEX-US</x:v>
      </x:c>
      <x:c r="C102" s="3" t="str">
        <x:v>徐新怡</x:v>
      </x:c>
      <x:c r="D102" s="3" t="str">
        <x:v>60516</x:v>
      </x:c>
      <x:c r="E102" s="3" t="str">
        <x:f>IF(Z102="移出","已移出",IF(NOT(ISNUMBER(H102)),"数据待核",IF(H102=0,"断货",IF(NOT(ISNUMBER(G102)),"数据待核",IF(G102=0,"零日销待复核",IF(F102&lt;60,"补货提醒",IF(F102&lt;=90,"正常库存",IF(F102&lt;180,"促销",IF(F102&lt;=365,"红线促销","考虑清仓")))))))))</x:f>
        <x:v>红线促销</x:v>
      </x:c>
      <x:c r="F102" s="11" t="n">
        <x:f>IF(AND(ISNUMBER(H102),ISNUMBER(G102),G102&gt;0),H102/G102,"")</x:f>
        <x:v>349.99999999999994</x:v>
      </x:c>
      <x:c r="G102" s="12" t="n">
        <x:f>IF(AND(COUNT(P102:R102)=3,MIN(P102:R102)&gt;=0,P102&lt;=Q102,Q102&lt;=R102),P102/7*0.5+Q102/14*0.3+R102/30*0.2,"")</x:f>
        <x:v>0.020000000000000004</x:v>
      </x:c>
      <x:c r="H102" s="10" t="n">
        <x:f>IF(ISNUMBER(U102),U102,"")</x:f>
        <x:v>7</x:v>
      </x:c>
      <x:c r="I102" s="10" t="n">
        <x:v>7</x:v>
      </x:c>
      <x:c r="J102" s="11" t="n">
        <x:f>IF(AND(Z102="共同",ISNUMBER(F102),ISNUMBER(M102)),F102-M102,"")</x:f>
        <x:v>306.89149560117295</x:v>
      </x:c>
      <x:c r="K102" s="13" t="n">
        <x:f>IF(AND(ISNUMBER(J102),M102&lt;&gt;0),J102/M102,"")</x:f>
        <x:v>7.119047619047616</x:v>
      </x:c>
      <x:c r="L102" s="10" t="str">
        <x:v>补货提醒</x:v>
      </x:c>
      <x:c r="M102" s="11" t="n">
        <x:v>43.10850439882699</x:v>
      </x:c>
      <x:c r="N102" s="10" t="n">
        <x:f>IF(AND(Z102="共同",COUNT(H102:I102)=2),H102-I102,"")</x:f>
        <x:v>0</x:v>
      </x:c>
      <x:c r="O102" s="10" t="n">
        <x:v>20</x:v>
      </x:c>
      <x:c r="P102" s="10" t="n">
        <x:v>0</x:v>
      </x:c>
      <x:c r="Q102" s="10" t="n">
        <x:v>0</x:v>
      </x:c>
      <x:c r="R102" s="10" t="n">
        <x:v>3</x:v>
      </x:c>
      <x:c r="S102" s="10" t="n">
        <x:v>8</x:v>
      </x:c>
      <x:c r="T102" s="10" t="n">
        <x:v>0</x:v>
      </x:c>
      <x:c r="U102" s="10" t="n">
        <x:f>IF(AND(ISNUMBER(X102),X102&gt;=0,Y102&lt;&gt;1),X102,"")</x:f>
        <x:v>7</x:v>
      </x:c>
      <x:c r="V102" s="10" t="n">
        <x:v>0</x:v>
      </x:c>
      <x:c r="W102" s="10" t="n">
        <x:v>0</x:v>
      </x:c>
      <x:c r="X102" s="10" t="n">
        <x:v>7</x:v>
      </x:c>
      <x:c r="Y102" s="3" t="n">
        <x:v>0</x:v>
      </x:c>
      <x:c r="Z102" s="3" t="str">
        <x:v>共同</x:v>
      </x:c>
      <x:c r="AA102" s="3" t="str">
        <x:v>在售</x:v>
      </x:c>
      <x:c r="AB102" s="12" t="n">
        <x:f>IF(AND(Z102="共同",ISNUMBER(G102),ISNUMBER(AD102)),G102-AD102,"")</x:f>
        <x:v>-0.14238095238095233</x:v>
      </x:c>
      <x:c r="AC102" s="3" t="str"/>
      <x:c r="AD102" s="12" t="n">
        <x:v>0.16238095238095235</x:v>
      </x:c>
      <x:c r="AE102" s="3" t="str">
        <x:v>[6574,"60516-RD-S-K-6"]</x:v>
      </x:c>
      <x:c r="AF102" t="n">
        <x:f>IF(ISNUMBER(H102),1,0)</x:f>
        <x:v>1</x:v>
      </x:c>
      <x:c r="AG102" t="n">
        <x:f>IF(ISNUMBER(I102),1,0)</x:f>
        <x:v>1</x:v>
      </x:c>
      <x:c r="AH102" t="str">
        <x:v>["60516","60516-RD-S-K","RD","红色"]</x:v>
      </x:c>
      <x:c r="AI102" t="n">
        <x:f>IF(ISNUMBER(G102),1,0)</x:f>
        <x:v>1</x:v>
      </x:c>
      <x:c r="AJ102" t="n">
        <x:f>IF(ISNUMBER(AD102),1,0)</x:f>
        <x:v>1</x:v>
      </x:c>
    </x:row>
    <x:row r="103" ht="30" customHeight="1">
      <x:c r="A103" s="3" t="str">
        <x:v>9967-BK-39B</x:v>
      </x:c>
      <x:c r="B103" s="3" t="str">
        <x:v>1店-MUSSHOE-US</x:v>
      </x:c>
      <x:c r="C103" s="3" t="str">
        <x:v>徐新怡</x:v>
      </x:c>
      <x:c r="D103" s="3" t="str">
        <x:v>9967</x:v>
      </x:c>
      <x:c r="E103" s="3" t="str">
        <x:f>IF(Z103="移出","已移出",IF(NOT(ISNUMBER(H103)),"数据待核",IF(H103=0,"断货",IF(NOT(ISNUMBER(G103)),"数据待核",IF(G103=0,"零日销待复核",IF(F103&lt;60,"补货提醒",IF(F103&lt;=90,"正常库存",IF(F103&lt;180,"促销",IF(F103&lt;=365,"红线促销","考虑清仓")))))))))</x:f>
        <x:v>红线促销</x:v>
      </x:c>
      <x:c r="F103" s="11" t="n">
        <x:f>IF(AND(ISNUMBER(H103),ISNUMBER(G103),G103&gt;0),H103/G103,"")</x:f>
        <x:v>281.3397129186603</x:v>
      </x:c>
      <x:c r="G103" s="12" t="n">
        <x:f>IF(AND(COUNT(P103:R103)=3,MIN(P103:R103)&gt;=0,P103&lt;=Q103,Q103&lt;=R103),P103/7*0.5+Q103/14*0.3+R103/30*0.2,"")</x:f>
        <x:v>0.09952380952380951</x:v>
      </x:c>
      <x:c r="H103" s="10" t="n">
        <x:f>IF(ISNUMBER(U103),U103,"")</x:f>
        <x:v>28</x:v>
      </x:c>
      <x:c r="I103" s="10"/>
      <x:c r="J103" s="11" t="str">
        <x:f>IF(AND(Z103="共同",ISNUMBER(F103),ISNUMBER(M103)),F103-M103,"")</x:f>
      </x:c>
      <x:c r="K103" s="13" t="str">
        <x:f>IF(AND(ISNUMBER(J103),M103&lt;&gt;0),J103/M103,"")</x:f>
      </x:c>
      <x:c r="L103" s="10"/>
      <x:c r="M103" s="11"/>
      <x:c r="N103" s="10" t="str">
        <x:f>IF(AND(Z103="共同",COUNT(H103:I103)=2),H103-I103,"")</x:f>
      </x:c>
      <x:c r="O103" s="10" t="n">
        <x:v>1</x:v>
      </x:c>
      <x:c r="P103" s="10" t="n">
        <x:v>1</x:v>
      </x:c>
      <x:c r="Q103" s="10" t="n">
        <x:v>1</x:v>
      </x:c>
      <x:c r="R103" s="10" t="n">
        <x:v>1</x:v>
      </x:c>
      <x:c r="S103" s="10" t="n">
        <x:v>71</x:v>
      </x:c>
      <x:c r="T103" s="10" t="n">
        <x:v>0</x:v>
      </x:c>
      <x:c r="U103" s="10" t="n">
        <x:f>IF(AND(ISNUMBER(X103),X103&gt;=0,Y103&lt;&gt;1),X103,"")</x:f>
        <x:v>28</x:v>
      </x:c>
      <x:c r="V103" s="10" t="n">
        <x:v>0</x:v>
      </x:c>
      <x:c r="W103" s="10" t="n">
        <x:v>398</x:v>
      </x:c>
      <x:c r="X103" s="10" t="n">
        <x:v>28</x:v>
      </x:c>
      <x:c r="Y103" s="3" t="n">
        <x:v>0</x:v>
      </x:c>
      <x:c r="Z103" s="3" t="str">
        <x:v>新增</x:v>
      </x:c>
      <x:c r="AA103" s="3" t="str">
        <x:v>在售</x:v>
      </x:c>
      <x:c r="AB103" s="12" t="str">
        <x:f>IF(AND(Z103="共同",ISNUMBER(G103),ISNUMBER(AD103)),G103-AD103,"")</x:f>
      </x:c>
      <x:c r="AC103" s="3" t="str"/>
      <x:c r="AD103" s="12"/>
      <x:c r="AE103" s="3" t="str">
        <x:v>[13120,"9967-BK-39B"]</x:v>
      </x:c>
      <x:c r="AF103" t="n">
        <x:f>IF(ISNUMBER(H103),1,0)</x:f>
        <x:v>1</x:v>
      </x:c>
      <x:c r="AG103" t="n">
        <x:f>IF(ISNUMBER(I103),1,0)</x:f>
        <x:v>0</x:v>
      </x:c>
      <x:c r="AH103" t="str">
        <x:v>["9967","9967-BK-39B","BK-39B","黑色"]</x:v>
      </x:c>
      <x:c r="AI103" t="n">
        <x:f>IF(ISNUMBER(G103),1,0)</x:f>
        <x:v>1</x:v>
      </x:c>
      <x:c r="AJ103" t="n">
        <x:f>IF(ISNUMBER(AD103),1,0)</x:f>
        <x:v>0</x:v>
      </x:c>
    </x:row>
    <x:row r="104" ht="30" customHeight="1">
      <x:c r="A104" s="3" t="str">
        <x:v>B06-BGP-37.5</x:v>
      </x:c>
      <x:c r="B104" s="3" t="str">
        <x:v>1店-MUSSHOE-US</x:v>
      </x:c>
      <x:c r="C104" s="3" t="str">
        <x:v>艾年</x:v>
      </x:c>
      <x:c r="D104" s="3" t="str">
        <x:v>B06</x:v>
      </x:c>
      <x:c r="E104" s="3" t="str">
        <x:f>IF(Z104="移出","已移出",IF(NOT(ISNUMBER(H104)),"数据待核",IF(H104=0,"断货",IF(NOT(ISNUMBER(G104)),"数据待核",IF(G104=0,"零日销待复核",IF(F104&lt;60,"补货提醒",IF(F104&lt;=90,"正常库存",IF(F104&lt;180,"促销",IF(F104&lt;=365,"红线促销","考虑清仓")))))))))</x:f>
        <x:v>红线促销</x:v>
      </x:c>
      <x:c r="F104" s="11" t="n">
        <x:f>IF(AND(ISNUMBER(H104),ISNUMBER(G104),G104&gt;0),H104/G104,"")</x:f>
        <x:v>216.260162601626</x:v>
      </x:c>
      <x:c r="G104" s="12" t="n">
        <x:f>IF(AND(COUNT(P104:R104)=3,MIN(P104:R104)&gt;=0,P104&lt;=Q104,Q104&lt;=R104),P104/7*0.5+Q104/14*0.3+R104/30*0.2,"")</x:f>
        <x:v>0.1757142857142857</x:v>
      </x:c>
      <x:c r="H104" s="10" t="n">
        <x:f>IF(ISNUMBER(U104),U104,"")</x:f>
        <x:v>38</x:v>
      </x:c>
      <x:c r="I104" s="10" t="n">
        <x:v>42</x:v>
      </x:c>
      <x:c r="J104" s="11" t="n">
        <x:f>IF(AND(Z104="共同",ISNUMBER(F104),ISNUMBER(M104)),F104-M104,"")</x:f>
        <x:v>92.20952969023361</x:v>
      </x:c>
      <x:c r="K104" s="13" t="n">
        <x:f>IF(AND(ISNUMBER(J104),M104&lt;&gt;0),J104/M104,"")</x:f>
        <x:v>0.743321718931475</x:v>
      </x:c>
      <x:c r="L104" s="10" t="str">
        <x:v>促销</x:v>
      </x:c>
      <x:c r="M104" s="11" t="n">
        <x:v>124.0506329113924</x:v>
      </x:c>
      <x:c r="N104" s="10" t="n">
        <x:f>IF(AND(Z104="共同",COUNT(H104:I104)=2),H104-I104,"")</x:f>
        <x:v>-4</x:v>
      </x:c>
      <x:c r="O104" s="10" t="n">
        <x:v>62</x:v>
      </x:c>
      <x:c r="P104" s="10" t="n">
        <x:v>1</x:v>
      </x:c>
      <x:c r="Q104" s="10" t="n">
        <x:v>3</x:v>
      </x:c>
      <x:c r="R104" s="10" t="n">
        <x:v>6</x:v>
      </x:c>
      <x:c r="S104" s="10" t="n">
        <x:v>39</x:v>
      </x:c>
      <x:c r="T104" s="10" t="n">
        <x:v>0</x:v>
      </x:c>
      <x:c r="U104" s="10" t="n">
        <x:f>IF(AND(ISNUMBER(X104),X104&gt;=0,Y104&lt;&gt;1),X104,"")</x:f>
        <x:v>38</x:v>
      </x:c>
      <x:c r="V104" s="10" t="n">
        <x:v>0</x:v>
      </x:c>
      <x:c r="W104" s="10" t="n">
        <x:v>0</x:v>
      </x:c>
      <x:c r="X104" s="10" t="n">
        <x:v>38</x:v>
      </x:c>
      <x:c r="Y104" s="3" t="n">
        <x:v>0</x:v>
      </x:c>
      <x:c r="Z104" s="3" t="str">
        <x:v>共同</x:v>
      </x:c>
      <x:c r="AA104" s="3" t="str">
        <x:v>在售</x:v>
      </x:c>
      <x:c r="AB104" s="12" t="n">
        <x:f>IF(AND(Z104="共同",ISNUMBER(G104),ISNUMBER(AD104)),G104-AD104,"")</x:f>
        <x:v>-0.16285714285714287</x:v>
      </x:c>
      <x:c r="AC104" s="3" t="str"/>
      <x:c r="AD104" s="12" t="n">
        <x:v>0.3385714285714286</x:v>
      </x:c>
      <x:c r="AE104" s="3" t="str">
        <x:v>[13120,"B06-BGP-37.5"]</x:v>
      </x:c>
      <x:c r="AF104" t="n">
        <x:f>IF(ISNUMBER(H104),1,0)</x:f>
        <x:v>1</x:v>
      </x:c>
      <x:c r="AG104" t="n">
        <x:f>IF(ISNUMBER(I104),1,0)</x:f>
        <x:v>1</x:v>
      </x:c>
      <x:c r="AH104" t="str">
        <x:v>["B06","B06-BGP","BGP","米色PU"]</x:v>
      </x:c>
      <x:c r="AI104" t="n">
        <x:f>IF(ISNUMBER(G104),1,0)</x:f>
        <x:v>1</x:v>
      </x:c>
      <x:c r="AJ104" t="n">
        <x:f>IF(ISNUMBER(AD104),1,0)</x:f>
        <x:v>1</x:v>
      </x:c>
    </x:row>
    <x:row r="105" ht="30" customHeight="1">
      <x:c r="A105" s="3" t="str">
        <x:v>B06-BGP-42-N</x:v>
      </x:c>
      <x:c r="B105" s="3" t="str">
        <x:v>1店-MUSSHOE-US</x:v>
      </x:c>
      <x:c r="C105" s="3" t="str">
        <x:v>艾年</x:v>
      </x:c>
      <x:c r="D105" s="3" t="str">
        <x:v>B06</x:v>
      </x:c>
      <x:c r="E105" s="3" t="str">
        <x:f>IF(Z105="移出","已移出",IF(NOT(ISNUMBER(H105)),"数据待核",IF(H105=0,"断货",IF(NOT(ISNUMBER(G105)),"数据待核",IF(G105=0,"零日销待复核",IF(F105&lt;60,"补货提醒",IF(F105&lt;=90,"正常库存",IF(F105&lt;180,"促销",IF(F105&lt;=365,"红线促销","考虑清仓")))))))))</x:f>
        <x:v>红线促销</x:v>
      </x:c>
      <x:c r="F105" s="11" t="n">
        <x:f>IF(AND(ISNUMBER(H105),ISNUMBER(G105),G105&gt;0),H105/G105,"")</x:f>
        <x:v>225.8964143426295</x:v>
      </x:c>
      <x:c r="G105" s="12" t="n">
        <x:f>IF(AND(COUNT(P105:R105)=3,MIN(P105:R105)&gt;=0,P105&lt;=Q105,Q105&lt;=R105),P105/7*0.5+Q105/14*0.3+R105/30*0.2,"")</x:f>
        <x:v>0.11952380952380952</x:v>
      </x:c>
      <x:c r="H105" s="10" t="n">
        <x:f>IF(ISNUMBER(U105),U105,"")</x:f>
        <x:v>27</x:v>
      </x:c>
      <x:c r="I105" s="10" t="n">
        <x:v>27</x:v>
      </x:c>
      <x:c r="J105" s="11" t="n">
        <x:f>IF(AND(Z105="共同",ISNUMBER(F105),ISNUMBER(M105)),F105-M105,"")</x:f>
        <x:v>142.88030892535278</x:v>
      </x:c>
      <x:c r="K105" s="13" t="n">
        <x:f>IF(AND(ISNUMBER(J105),M105&lt;&gt;0),J105/M105,"")</x:f>
        <x:v>1.7211155378486058</x:v>
      </x:c>
      <x:c r="L105" s="10" t="str">
        <x:v>正常库存</x:v>
      </x:c>
      <x:c r="M105" s="11" t="n">
        <x:v>83.01610541727672</x:v>
      </x:c>
      <x:c r="N105" s="10" t="n">
        <x:f>IF(AND(Z105="共同",COUNT(H105:I105)=2),H105-I105,"")</x:f>
        <x:v>0</x:v>
      </x:c>
      <x:c r="O105" s="10" t="n">
        <x:v>30</x:v>
      </x:c>
      <x:c r="P105" s="10" t="n">
        <x:v>1</x:v>
      </x:c>
      <x:c r="Q105" s="10" t="n">
        <x:v>1</x:v>
      </x:c>
      <x:c r="R105" s="10" t="n">
        <x:v>4</x:v>
      </x:c>
      <x:c r="S105" s="10" t="n">
        <x:v>28</x:v>
      </x:c>
      <x:c r="T105" s="10" t="n">
        <x:v>0</x:v>
      </x:c>
      <x:c r="U105" s="10" t="n">
        <x:f>IF(AND(ISNUMBER(X105),X105&gt;=0,Y105&lt;&gt;1),X105,"")</x:f>
        <x:v>27</x:v>
      </x:c>
      <x:c r="V105" s="10" t="n">
        <x:v>0</x:v>
      </x:c>
      <x:c r="W105" s="10" t="n">
        <x:v>27</x:v>
      </x:c>
      <x:c r="X105" s="10" t="n">
        <x:v>27</x:v>
      </x:c>
      <x:c r="Y105" s="3" t="n">
        <x:v>0</x:v>
      </x:c>
      <x:c r="Z105" s="3" t="str">
        <x:v>共同</x:v>
      </x:c>
      <x:c r="AA105" s="3" t="str">
        <x:v>在售</x:v>
      </x:c>
      <x:c r="AB105" s="12" t="n">
        <x:f>IF(AND(Z105="共同",ISNUMBER(G105),ISNUMBER(AD105)),G105-AD105,"")</x:f>
        <x:v>-0.20571428571428568</x:v>
      </x:c>
      <x:c r="AC105" s="3" t="str"/>
      <x:c r="AD105" s="12" t="n">
        <x:v>0.3252380952380952</x:v>
      </x:c>
      <x:c r="AE105" s="3" t="str">
        <x:v>[13120,"B06-BGP-42-N"]</x:v>
      </x:c>
      <x:c r="AF105" t="n">
        <x:f>IF(ISNUMBER(H105),1,0)</x:f>
        <x:v>1</x:v>
      </x:c>
      <x:c r="AG105" t="n">
        <x:f>IF(ISNUMBER(I105),1,0)</x:f>
        <x:v>1</x:v>
      </x:c>
      <x:c r="AH105" t="str">
        <x:v>["B06","B06-BGP","BGP","米色PU"]</x:v>
      </x:c>
      <x:c r="AI105" t="n">
        <x:f>IF(ISNUMBER(G105),1,0)</x:f>
        <x:v>1</x:v>
      </x:c>
      <x:c r="AJ105" t="n">
        <x:f>IF(ISNUMBER(AD105),1,0)</x:f>
        <x:v>1</x:v>
      </x:c>
    </x:row>
    <x:row r="106" ht="30" customHeight="1">
      <x:c r="A106" s="3" t="str">
        <x:v>B06-CFP-37</x:v>
      </x:c>
      <x:c r="B106" s="3" t="str">
        <x:v>1店-MUSSHOE-US</x:v>
      </x:c>
      <x:c r="C106" s="3" t="str">
        <x:v>艾年</x:v>
      </x:c>
      <x:c r="D106" s="3" t="str">
        <x:v>B06</x:v>
      </x:c>
      <x:c r="E106" s="3" t="str">
        <x:f>IF(Z106="移出","已移出",IF(NOT(ISNUMBER(H106)),"数据待核",IF(H106=0,"断货",IF(NOT(ISNUMBER(G106)),"数据待核",IF(G106=0,"零日销待复核",IF(F106&lt;60,"补货提醒",IF(F106&lt;=90,"正常库存",IF(F106&lt;180,"促销",IF(F106&lt;=365,"红线促销","考虑清仓")))))))))</x:f>
        <x:v>红线促销</x:v>
      </x:c>
      <x:c r="F106" s="11" t="n">
        <x:f>IF(AND(ISNUMBER(H106),ISNUMBER(G106),G106&gt;0),H106/G106,"")</x:f>
        <x:v>226.0089686098655</x:v>
      </x:c>
      <x:c r="G106" s="12" t="n">
        <x:f>IF(AND(COUNT(P106:R106)=3,MIN(P106:R106)&gt;=0,P106&lt;=Q106,Q106&lt;=R106),P106/7*0.5+Q106/14*0.3+R106/30*0.2,"")</x:f>
        <x:v>0.10619047619047618</x:v>
      </x:c>
      <x:c r="H106" s="10" t="n">
        <x:f>IF(ISNUMBER(U106),U106,"")</x:f>
        <x:v>24</x:v>
      </x:c>
      <x:c r="I106" s="10" t="n">
        <x:v>13</x:v>
      </x:c>
      <x:c r="J106" s="11" t="n">
        <x:f>IF(AND(Z106="共同",ISNUMBER(F106),ISNUMBER(M106)),F106-M106,"")</x:f>
        <x:v>-44.2880610931048</x:v>
      </x:c>
      <x:c r="K106" s="13" t="n">
        <x:f>IF(AND(ISNUMBER(J106),M106&lt;&gt;0),J106/M106,"")</x:f>
        <x:v>-0.16384960331148662</x:v>
      </x:c>
      <x:c r="L106" s="10" t="str">
        <x:v>红线促销</x:v>
      </x:c>
      <x:c r="M106" s="11" t="n">
        <x:v>270.2970297029703</x:v>
      </x:c>
      <x:c r="N106" s="10" t="n">
        <x:f>IF(AND(Z106="共同",COUNT(H106:I106)=2),H106-I106,"")</x:f>
        <x:v>11</x:v>
      </x:c>
      <x:c r="O106" s="10" t="n">
        <x:v>0</x:v>
      </x:c>
      <x:c r="P106" s="10" t="n">
        <x:v>1</x:v>
      </x:c>
      <x:c r="Q106" s="10" t="n">
        <x:v>1</x:v>
      </x:c>
      <x:c r="R106" s="10" t="n">
        <x:v>2</x:v>
      </x:c>
      <x:c r="S106" s="10" t="n">
        <x:v>26</x:v>
      </x:c>
      <x:c r="T106" s="10" t="n">
        <x:v>0</x:v>
      </x:c>
      <x:c r="U106" s="10" t="n">
        <x:f>IF(AND(ISNUMBER(X106),X106&gt;=0,Y106&lt;&gt;1),X106,"")</x:f>
        <x:v>24</x:v>
      </x:c>
      <x:c r="V106" s="10" t="n">
        <x:v>0</x:v>
      </x:c>
      <x:c r="W106" s="10" t="n">
        <x:v>2</x:v>
      </x:c>
      <x:c r="X106" s="10" t="n">
        <x:v>24</x:v>
      </x:c>
      <x:c r="Y106" s="3" t="n">
        <x:v>0</x:v>
      </x:c>
      <x:c r="Z106" s="3" t="str">
        <x:v>共同</x:v>
      </x:c>
      <x:c r="AA106" s="3" t="str">
        <x:v>在售</x:v>
      </x:c>
      <x:c r="AB106" s="12" t="n">
        <x:f>IF(AND(Z106="共同",ISNUMBER(G106),ISNUMBER(AD106)),G106-AD106,"")</x:f>
        <x:v>0.05809523809523809</x:v>
      </x:c>
      <x:c r="AC106" s="3" t="str"/>
      <x:c r="AD106" s="12" t="n">
        <x:v>0.048095238095238094</x:v>
      </x:c>
      <x:c r="AE106" s="3" t="str">
        <x:v>[13120,"B06-CFP-37"]</x:v>
      </x:c>
      <x:c r="AF106" t="n">
        <x:f>IF(ISNUMBER(H106),1,0)</x:f>
        <x:v>1</x:v>
      </x:c>
      <x:c r="AG106" t="n">
        <x:f>IF(ISNUMBER(I106),1,0)</x:f>
        <x:v>1</x:v>
      </x:c>
      <x:c r="AH106" t="str">
        <x:v>["B06","B06-CFP","CFP","咖色PU"]</x:v>
      </x:c>
      <x:c r="AI106" t="n">
        <x:f>IF(ISNUMBER(G106),1,0)</x:f>
        <x:v>1</x:v>
      </x:c>
      <x:c r="AJ106" t="n">
        <x:f>IF(ISNUMBER(AD106),1,0)</x:f>
        <x:v>1</x:v>
      </x:c>
    </x:row>
    <x:row r="107" ht="30" customHeight="1">
      <x:c r="A107" s="3" t="str">
        <x:v>B06-HP-41</x:v>
      </x:c>
      <x:c r="B107" s="3" t="str">
        <x:v>1店-MUSSHOE-US</x:v>
      </x:c>
      <x:c r="C107" s="3" t="str">
        <x:v>艾年</x:v>
      </x:c>
      <x:c r="D107" s="3" t="str">
        <x:v>B06</x:v>
      </x:c>
      <x:c r="E107" s="3" t="str">
        <x:f>IF(Z107="移出","已移出",IF(NOT(ISNUMBER(H107)),"数据待核",IF(H107=0,"断货",IF(NOT(ISNUMBER(G107)),"数据待核",IF(G107=0,"零日销待复核",IF(F107&lt;60,"补货提醒",IF(F107&lt;=90,"正常库存",IF(F107&lt;180,"促销",IF(F107&lt;=365,"红线促销","考虑清仓")))))))))</x:f>
        <x:v>红线促销</x:v>
      </x:c>
      <x:c r="F107" s="11" t="n">
        <x:f>IF(AND(ISNUMBER(H107),ISNUMBER(G107),G107&gt;0),H107/G107,"")</x:f>
        <x:v>300</x:v>
      </x:c>
      <x:c r="G107" s="12" t="n">
        <x:f>IF(AND(COUNT(P107:R107)=3,MIN(P107:R107)&gt;=0,P107&lt;=Q107,Q107&lt;=R107),P107/7*0.5+Q107/14*0.3+R107/30*0.2,"")</x:f>
        <x:v>0.006666666666666667</x:v>
      </x:c>
      <x:c r="H107" s="10" t="n">
        <x:f>IF(ISNUMBER(U107),U107,"")</x:f>
        <x:v>2</x:v>
      </x:c>
      <x:c r="I107" s="10"/>
      <x:c r="J107" s="11" t="str">
        <x:f>IF(AND(Z107="共同",ISNUMBER(F107),ISNUMBER(M107)),F107-M107,"")</x:f>
      </x:c>
      <x:c r="K107" s="13" t="str">
        <x:f>IF(AND(ISNUMBER(J107),M107&lt;&gt;0),J107/M107,"")</x:f>
      </x:c>
      <x:c r="L107" s="10"/>
      <x:c r="M107" s="11"/>
      <x:c r="N107" s="10" t="str">
        <x:f>IF(AND(Z107="共同",COUNT(H107:I107)=2),H107-I107,"")</x:f>
      </x:c>
      <x:c r="O107" s="10"/>
      <x:c r="P107" s="10" t="n">
        <x:v>0</x:v>
      </x:c>
      <x:c r="Q107" s="10" t="n">
        <x:v>0</x:v>
      </x:c>
      <x:c r="R107" s="10" t="n">
        <x:v>1</x:v>
      </x:c>
      <x:c r="S107" s="10" t="n">
        <x:v>2</x:v>
      </x:c>
      <x:c r="T107" s="10" t="n">
        <x:v>0</x:v>
      </x:c>
      <x:c r="U107" s="10" t="n">
        <x:f>IF(AND(ISNUMBER(X107),X107&gt;=0,Y107&lt;&gt;1),X107,"")</x:f>
        <x:v>2</x:v>
      </x:c>
      <x:c r="V107" s="10" t="n">
        <x:v>0</x:v>
      </x:c>
      <x:c r="W107" s="10" t="n">
        <x:v>0</x:v>
      </x:c>
      <x:c r="X107" s="10" t="n">
        <x:v>2</x:v>
      </x:c>
      <x:c r="Y107" s="3" t="n">
        <x:v>0</x:v>
      </x:c>
      <x:c r="Z107" s="3" t="str">
        <x:v>新增</x:v>
      </x:c>
      <x:c r="AA107" s="3" t="str">
        <x:v>在售</x:v>
      </x:c>
      <x:c r="AB107" s="12" t="str">
        <x:f>IF(AND(Z107="共同",ISNUMBER(G107),ISNUMBER(AD107)),G107-AD107,"")</x:f>
      </x:c>
      <x:c r="AC107" s="3" t="str"/>
      <x:c r="AD107" s="12"/>
      <x:c r="AE107" s="3" t="str">
        <x:v>[13120,"B06-HP-41"]</x:v>
      </x:c>
      <x:c r="AF107" t="n">
        <x:f>IF(ISNUMBER(H107),1,0)</x:f>
        <x:v>1</x:v>
      </x:c>
      <x:c r="AG107" t="n">
        <x:f>IF(ISNUMBER(I107),1,0)</x:f>
        <x:v>0</x:v>
      </x:c>
      <x:c r="AH107" t="str">
        <x:v>["B06","B06-HP","HP","芭比粉羊京绒"]</x:v>
      </x:c>
      <x:c r="AI107" t="n">
        <x:f>IF(ISNUMBER(G107),1,0)</x:f>
        <x:v>1</x:v>
      </x:c>
      <x:c r="AJ107" t="n">
        <x:f>IF(ISNUMBER(AD107),1,0)</x:f>
        <x:v>0</x:v>
      </x:c>
    </x:row>
    <x:row r="108" ht="30" customHeight="1">
      <x:c r="A108" s="3" t="str">
        <x:v>B06-RG-40.5</x:v>
      </x:c>
      <x:c r="B108" s="3" t="str">
        <x:v>1店-MUSSHOE-US</x:v>
      </x:c>
      <x:c r="C108" s="3" t="str">
        <x:v>艾年</x:v>
      </x:c>
      <x:c r="D108" s="3" t="str">
        <x:v>B06</x:v>
      </x:c>
      <x:c r="E108" s="3" t="str">
        <x:f>IF(Z108="移出","已移出",IF(NOT(ISNUMBER(H108)),"数据待核",IF(H108=0,"断货",IF(NOT(ISNUMBER(G108)),"数据待核",IF(G108=0,"零日销待复核",IF(F108&lt;60,"补货提醒",IF(F108&lt;=90,"正常库存",IF(F108&lt;180,"促销",IF(F108&lt;=365,"红线促销","考虑清仓")))))))))</x:f>
        <x:v>红线促销</x:v>
      </x:c>
      <x:c r="F108" s="11" t="n">
        <x:f>IF(AND(ISNUMBER(H108),ISNUMBER(G108),G108&gt;0),H108/G108,"")</x:f>
        <x:v>224.99999999999997</x:v>
      </x:c>
      <x:c r="G108" s="12" t="n">
        <x:f>IF(AND(COUNT(P108:R108)=3,MIN(P108:R108)&gt;=0,P108&lt;=Q108,Q108&lt;=R108),P108/7*0.5+Q108/14*0.3+R108/30*0.2,"")</x:f>
        <x:v>0.013333333333333334</x:v>
      </x:c>
      <x:c r="H108" s="10" t="n">
        <x:f>IF(ISNUMBER(U108),U108,"")</x:f>
        <x:v>3</x:v>
      </x:c>
      <x:c r="I108" s="10" t="n">
        <x:v>3</x:v>
      </x:c>
      <x:c r="J108" s="11" t="n">
        <x:f>IF(AND(Z108="共同",ISNUMBER(F108),ISNUMBER(M108)),F108-M108,"")</x:f>
        <x:v>198.41772151898732</x:v>
      </x:c>
      <x:c r="K108" s="13" t="n">
        <x:f>IF(AND(ISNUMBER(J108),M108&lt;&gt;0),J108/M108,"")</x:f>
        <x:v>7.464285714285713</x:v>
      </x:c>
      <x:c r="L108" s="10" t="str">
        <x:v>补货提醒</x:v>
      </x:c>
      <x:c r="M108" s="11" t="n">
        <x:v>26.58227848101266</x:v>
      </x:c>
      <x:c r="N108" s="10" t="n">
        <x:f>IF(AND(Z108="共同",COUNT(H108:I108)=2),H108-I108,"")</x:f>
        <x:v>0</x:v>
      </x:c>
      <x:c r="O108" s="10" t="n">
        <x:v>0</x:v>
      </x:c>
      <x:c r="P108" s="10" t="n">
        <x:v>0</x:v>
      </x:c>
      <x:c r="Q108" s="10" t="n">
        <x:v>0</x:v>
      </x:c>
      <x:c r="R108" s="10" t="n">
        <x:v>2</x:v>
      </x:c>
      <x:c r="S108" s="10" t="n">
        <x:v>3</x:v>
      </x:c>
      <x:c r="T108" s="10" t="n">
        <x:v>0</x:v>
      </x:c>
      <x:c r="U108" s="10" t="n">
        <x:f>IF(AND(ISNUMBER(X108),X108&gt;=0,Y108&lt;&gt;1),X108,"")</x:f>
        <x:v>3</x:v>
      </x:c>
      <x:c r="V108" s="10" t="n">
        <x:v>0</x:v>
      </x:c>
      <x:c r="W108" s="10" t="n">
        <x:v>0</x:v>
      </x:c>
      <x:c r="X108" s="10" t="n">
        <x:v>3</x:v>
      </x:c>
      <x:c r="Y108" s="3" t="n">
        <x:v>0</x:v>
      </x:c>
      <x:c r="Z108" s="3" t="str">
        <x:v>共同</x:v>
      </x:c>
      <x:c r="AA108" s="3" t="str">
        <x:v>在售</x:v>
      </x:c>
      <x:c r="AB108" s="12" t="n">
        <x:f>IF(AND(Z108="共同",ISNUMBER(G108),ISNUMBER(AD108)),G108-AD108,"")</x:f>
        <x:v>-0.09952380952380951</x:v>
      </x:c>
      <x:c r="AC108" s="3" t="str"/>
      <x:c r="AD108" s="12" t="n">
        <x:v>0.11285714285714285</x:v>
      </x:c>
      <x:c r="AE108" s="3" t="str">
        <x:v>[13120,"B06-RG-40.5"]</x:v>
      </x:c>
      <x:c r="AF108" t="n">
        <x:f>IF(ISNUMBER(H108),1,0)</x:f>
        <x:v>1</x:v>
      </x:c>
      <x:c r="AG108" t="n">
        <x:f>IF(ISNUMBER(I108),1,0)</x:f>
        <x:v>1</x:v>
      </x:c>
      <x:c r="AH108" t="str">
        <x:v>["B06","B06-RG","RG","玫瑰金PU"]</x:v>
      </x:c>
      <x:c r="AI108" t="n">
        <x:f>IF(ISNUMBER(G108),1,0)</x:f>
        <x:v>1</x:v>
      </x:c>
      <x:c r="AJ108" t="n">
        <x:f>IF(ISNUMBER(AD108),1,0)</x:f>
        <x:v>1</x:v>
      </x:c>
    </x:row>
    <x:row r="109" ht="30" customHeight="1">
      <x:c r="A109" s="3" t="str">
        <x:v>B06b-NU-37-N</x:v>
      </x:c>
      <x:c r="B109" s="3" t="str">
        <x:v>1店-MUSSHOE-US</x:v>
      </x:c>
      <x:c r="C109" s="3" t="str">
        <x:v>艾年</x:v>
      </x:c>
      <x:c r="D109" s="3" t="str">
        <x:v>B06b</x:v>
      </x:c>
      <x:c r="E109" s="3" t="str">
        <x:f>IF(Z109="移出","已移出",IF(NOT(ISNUMBER(H109)),"数据待核",IF(H109=0,"断货",IF(NOT(ISNUMBER(G109)),"数据待核",IF(G109=0,"零日销待复核",IF(F109&lt;60,"补货提醒",IF(F109&lt;=90,"正常库存",IF(F109&lt;180,"促销",IF(F109&lt;=365,"红线促销","考虑清仓")))))))))</x:f>
        <x:v>红线促销</x:v>
      </x:c>
      <x:c r="F109" s="11" t="n">
        <x:f>IF(AND(ISNUMBER(H109),ISNUMBER(G109),G109&gt;0),H109/G109,"")</x:f>
        <x:v>268.0851063829787</x:v>
      </x:c>
      <x:c r="G109" s="12" t="n">
        <x:f>IF(AND(COUNT(P109:R109)=3,MIN(P109:R109)&gt;=0,P109&lt;=Q109,Q109&lt;=R109),P109/7*0.5+Q109/14*0.3+R109/30*0.2,"")</x:f>
        <x:v>0.08952380952380952</x:v>
      </x:c>
      <x:c r="H109" s="10" t="n">
        <x:f>IF(ISNUMBER(U109),U109,"")</x:f>
        <x:v>24</x:v>
      </x:c>
      <x:c r="I109" s="10" t="n">
        <x:v>26</x:v>
      </x:c>
      <x:c r="J109" s="11" t="n">
        <x:f>IF(AND(Z109="共同",ISNUMBER(F109),ISNUMBER(M109)),F109-M109,"")</x:f>
        <x:v>198.44224924012158</x:v>
      </x:c>
      <x:c r="K109" s="13" t="n">
        <x:f>IF(AND(ISNUMBER(J109),M109&lt;&gt;0),J109/M109,"")</x:f>
        <x:v>2.849427168576105</x:v>
      </x:c>
      <x:c r="L109" s="10" t="str">
        <x:v>正常库存</x:v>
      </x:c>
      <x:c r="M109" s="11" t="n">
        <x:v>69.64285714285714</x:v>
      </x:c>
      <x:c r="N109" s="10" t="n">
        <x:f>IF(AND(Z109="共同",COUNT(H109:I109)=2),H109-I109,"")</x:f>
        <x:v>-2</x:v>
      </x:c>
      <x:c r="O109" s="10" t="n">
        <x:v>10</x:v>
      </x:c>
      <x:c r="P109" s="10" t="n">
        <x:v>0</x:v>
      </x:c>
      <x:c r="Q109" s="10" t="n">
        <x:v>2</x:v>
      </x:c>
      <x:c r="R109" s="10" t="n">
        <x:v>7</x:v>
      </x:c>
      <x:c r="S109" s="10" t="n">
        <x:v>26</x:v>
      </x:c>
      <x:c r="T109" s="10" t="n">
        <x:v>0</x:v>
      </x:c>
      <x:c r="U109" s="10" t="n">
        <x:f>IF(AND(ISNUMBER(X109),X109&gt;=0,Y109&lt;&gt;1),X109,"")</x:f>
        <x:v>24</x:v>
      </x:c>
      <x:c r="V109" s="10" t="n">
        <x:v>0</x:v>
      </x:c>
      <x:c r="W109" s="10" t="n">
        <x:v>19</x:v>
      </x:c>
      <x:c r="X109" s="10" t="n">
        <x:v>24</x:v>
      </x:c>
      <x:c r="Y109" s="3" t="n">
        <x:v>0</x:v>
      </x:c>
      <x:c r="Z109" s="3" t="str">
        <x:v>共同</x:v>
      </x:c>
      <x:c r="AA109" s="3" t="str">
        <x:v>在售</x:v>
      </x:c>
      <x:c r="AB109" s="12" t="n">
        <x:f>IF(AND(Z109="共同",ISNUMBER(G109),ISNUMBER(AD109)),G109-AD109,"")</x:f>
        <x:v>-0.28380952380952384</x:v>
      </x:c>
      <x:c r="AC109" s="3" t="str"/>
      <x:c r="AD109" s="12" t="n">
        <x:v>0.37333333333333335</x:v>
      </x:c>
      <x:c r="AE109" s="3" t="str">
        <x:v>[13120,"B06b-NU-37-N"]</x:v>
      </x:c>
      <x:c r="AF109" t="n">
        <x:f>IF(ISNUMBER(H109),1,0)</x:f>
        <x:v>1</x:v>
      </x:c>
      <x:c r="AG109" t="n">
        <x:f>IF(ISNUMBER(I109),1,0)</x:f>
        <x:v>1</x:v>
      </x:c>
      <x:c r="AH109" t="str">
        <x:v>["B06b","B06b-NU","NU","裸色羊京绒"]</x:v>
      </x:c>
      <x:c r="AI109" t="n">
        <x:f>IF(ISNUMBER(G109),1,0)</x:f>
        <x:v>1</x:v>
      </x:c>
      <x:c r="AJ109" t="n">
        <x:f>IF(ISNUMBER(AD109),1,0)</x:f>
        <x:v>1</x:v>
      </x:c>
    </x:row>
    <x:row r="110" ht="30" customHeight="1">
      <x:c r="A110" s="3" t="str">
        <x:v>B06b-NY-39-N</x:v>
      </x:c>
      <x:c r="B110" s="3" t="str">
        <x:v>1店-MUSSHOE-US</x:v>
      </x:c>
      <x:c r="C110" s="3" t="str">
        <x:v>艾年</x:v>
      </x:c>
      <x:c r="D110" s="3" t="str">
        <x:v>B06b</x:v>
      </x:c>
      <x:c r="E110" s="3" t="str">
        <x:f>IF(Z110="移出","已移出",IF(NOT(ISNUMBER(H110)),"数据待核",IF(H110=0,"断货",IF(NOT(ISNUMBER(G110)),"数据待核",IF(G110=0,"零日销待复核",IF(F110&lt;60,"补货提醒",IF(F110&lt;=90,"正常库存",IF(F110&lt;180,"促销",IF(F110&lt;=365,"红线促销","考虑清仓")))))))))</x:f>
        <x:v>红线促销</x:v>
      </x:c>
      <x:c r="F110" s="11" t="n">
        <x:f>IF(AND(ISNUMBER(H110),ISNUMBER(G110),G110&gt;0),H110/G110,"")</x:f>
        <x:v>234.12162162162164</x:v>
      </x:c>
      <x:c r="G110" s="12" t="n">
        <x:f>IF(AND(COUNT(P110:R110)=3,MIN(P110:R110)&gt;=0,P110&lt;=Q110,Q110&lt;=R110),P110/7*0.5+Q110/14*0.3+R110/30*0.2,"")</x:f>
        <x:v>0.14095238095238094</x:v>
      </x:c>
      <x:c r="H110" s="10" t="n">
        <x:f>IF(ISNUMBER(U110),U110,"")</x:f>
        <x:v>33</x:v>
      </x:c>
      <x:c r="I110" s="10" t="n">
        <x:v>7</x:v>
      </x:c>
      <x:c r="J110" s="11" t="n">
        <x:f>IF(AND(Z110="共同",ISNUMBER(F110),ISNUMBER(M110)),F110-M110,"")</x:f>
        <x:v>190.24102460669627</x:v>
      </x:c>
      <x:c r="K110" s="13" t="n">
        <x:f>IF(AND(ISNUMBER(J110),M110&lt;&gt;0),J110/M110,"")</x:f>
        <x:v>4.335424710424711</x:v>
      </x:c>
      <x:c r="L110" s="10" t="str">
        <x:v>补货提醒</x:v>
      </x:c>
      <x:c r="M110" s="11" t="n">
        <x:v>43.88059701492538</x:v>
      </x:c>
      <x:c r="N110" s="10" t="n">
        <x:f>IF(AND(Z110="共同",COUNT(H110:I110)=2),H110-I110,"")</x:f>
        <x:v>26</x:v>
      </x:c>
      <x:c r="O110" s="10" t="n">
        <x:v>0</x:v>
      </x:c>
      <x:c r="P110" s="10" t="n">
        <x:v>1</x:v>
      </x:c>
      <x:c r="Q110" s="10" t="n">
        <x:v>2</x:v>
      </x:c>
      <x:c r="R110" s="10" t="n">
        <x:v>4</x:v>
      </x:c>
      <x:c r="S110" s="10" t="n">
        <x:v>33</x:v>
      </x:c>
      <x:c r="T110" s="10" t="n">
        <x:v>0</x:v>
      </x:c>
      <x:c r="U110" s="10" t="n">
        <x:f>IF(AND(ISNUMBER(X110),X110&gt;=0,Y110&lt;&gt;1),X110,"")</x:f>
        <x:v>33</x:v>
      </x:c>
      <x:c r="V110" s="10" t="n">
        <x:v>0</x:v>
      </x:c>
      <x:c r="W110" s="10" t="n">
        <x:v>24</x:v>
      </x:c>
      <x:c r="X110" s="10" t="n">
        <x:v>33</x:v>
      </x:c>
      <x:c r="Y110" s="3" t="n">
        <x:v>0</x:v>
      </x:c>
      <x:c r="Z110" s="3" t="str">
        <x:v>共同</x:v>
      </x:c>
      <x:c r="AA110" s="3" t="str">
        <x:v>在售</x:v>
      </x:c>
      <x:c r="AB110" s="12" t="n">
        <x:f>IF(AND(Z110="共同",ISNUMBER(G110),ISNUMBER(AD110)),G110-AD110,"")</x:f>
        <x:v>-0.018571428571428572</x:v>
      </x:c>
      <x:c r="AC110" s="3" t="str"/>
      <x:c r="AD110" s="12" t="n">
        <x:v>0.1595238095238095</x:v>
      </x:c>
      <x:c r="AE110" s="3" t="str">
        <x:v>[13120,"B06b-NY-39-N"]</x:v>
      </x:c>
      <x:c r="AF110" t="n">
        <x:f>IF(ISNUMBER(H110),1,0)</x:f>
        <x:v>1</x:v>
      </x:c>
      <x:c r="AG110" t="n">
        <x:f>IF(ISNUMBER(I110),1,0)</x:f>
        <x:v>1</x:v>
      </x:c>
      <x:c r="AH110" t="str">
        <x:v>["B06b","B06b-NY","NY","藏青色羊京绒"]</x:v>
      </x:c>
      <x:c r="AI110" t="n">
        <x:f>IF(ISNUMBER(G110),1,0)</x:f>
        <x:v>1</x:v>
      </x:c>
      <x:c r="AJ110" t="n">
        <x:f>IF(ISNUMBER(AD110),1,0)</x:f>
        <x:v>1</x:v>
      </x:c>
    </x:row>
    <x:row r="111" ht="30" customHeight="1">
      <x:c r="A111" s="3" t="str">
        <x:v>B06b-RD-39</x:v>
      </x:c>
      <x:c r="B111" s="3" t="str">
        <x:v>1店-MUSSHOE-US</x:v>
      </x:c>
      <x:c r="C111" s="3" t="str">
        <x:v>艾年</x:v>
      </x:c>
      <x:c r="D111" s="3" t="str">
        <x:v>B06b</x:v>
      </x:c>
      <x:c r="E111" s="3" t="str">
        <x:f>IF(Z111="移出","已移出",IF(NOT(ISNUMBER(H111)),"数据待核",IF(H111=0,"断货",IF(NOT(ISNUMBER(G111)),"数据待核",IF(G111=0,"零日销待复核",IF(F111&lt;60,"补货提醒",IF(F111&lt;=90,"正常库存",IF(F111&lt;180,"促销",IF(F111&lt;=365,"红线促销","考虑清仓")))))))))</x:f>
        <x:v>红线促销</x:v>
      </x:c>
      <x:c r="F111" s="11" t="n">
        <x:f>IF(AND(ISNUMBER(H111),ISNUMBER(G111),G111&gt;0),H111/G111,"")</x:f>
        <x:v>235.4260089686099</x:v>
      </x:c>
      <x:c r="G111" s="12" t="n">
        <x:f>IF(AND(COUNT(P111:R111)=3,MIN(P111:R111)&gt;=0,P111&lt;=Q111,Q111&lt;=R111),P111/7*0.5+Q111/14*0.3+R111/30*0.2,"")</x:f>
        <x:v>0.10619047619047618</x:v>
      </x:c>
      <x:c r="H111" s="10" t="n">
        <x:f>IF(ISNUMBER(U111),U111,"")</x:f>
        <x:v>25</x:v>
      </x:c>
      <x:c r="I111" s="10" t="n">
        <x:v>15</x:v>
      </x:c>
      <x:c r="J111" s="11" t="n">
        <x:f>IF(AND(Z111="共同",ISNUMBER(F111),ISNUMBER(M111)),F111-M111,"")</x:f>
        <x:v>-126.6429565486315</x:v>
      </x:c>
      <x:c r="K111" s="13" t="n">
        <x:f>IF(AND(ISNUMBER(J111),M111&lt;&gt;0),J111/M111,"")</x:f>
        <x:v>-0.3497757847533632</x:v>
      </x:c>
      <x:c r="L111" s="10" t="str">
        <x:v>红线促销</x:v>
      </x:c>
      <x:c r="M111" s="11" t="n">
        <x:v>362.0689655172414</x:v>
      </x:c>
      <x:c r="N111" s="10" t="n">
        <x:f>IF(AND(Z111="共同",COUNT(H111:I111)=2),H111-I111,"")</x:f>
        <x:v>10</x:v>
      </x:c>
      <x:c r="O111" s="10" t="n">
        <x:v>0</x:v>
      </x:c>
      <x:c r="P111" s="10" t="n">
        <x:v>1</x:v>
      </x:c>
      <x:c r="Q111" s="10" t="n">
        <x:v>1</x:v>
      </x:c>
      <x:c r="R111" s="10" t="n">
        <x:v>2</x:v>
      </x:c>
      <x:c r="S111" s="10" t="n">
        <x:v>26</x:v>
      </x:c>
      <x:c r="T111" s="10" t="n">
        <x:v>0</x:v>
      </x:c>
      <x:c r="U111" s="10" t="n">
        <x:f>IF(AND(ISNUMBER(X111),X111&gt;=0,Y111&lt;&gt;1),X111,"")</x:f>
        <x:v>25</x:v>
      </x:c>
      <x:c r="V111" s="10" t="n">
        <x:v>0</x:v>
      </x:c>
      <x:c r="W111" s="10" t="n">
        <x:v>0</x:v>
      </x:c>
      <x:c r="X111" s="10" t="n">
        <x:v>25</x:v>
      </x:c>
      <x:c r="Y111" s="3" t="n">
        <x:v>0</x:v>
      </x:c>
      <x:c r="Z111" s="3" t="str">
        <x:v>共同</x:v>
      </x:c>
      <x:c r="AA111" s="3" t="str">
        <x:v>在售</x:v>
      </x:c>
      <x:c r="AB111" s="12" t="n">
        <x:f>IF(AND(Z111="共同",ISNUMBER(G111),ISNUMBER(AD111)),G111-AD111,"")</x:f>
        <x:v>0.06476190476190476</x:v>
      </x:c>
      <x:c r="AC111" s="3" t="str"/>
      <x:c r="AD111" s="12" t="n">
        <x:v>0.041428571428571426</x:v>
      </x:c>
      <x:c r="AE111" s="3" t="str">
        <x:v>[13120,"B06b-RD-39"]</x:v>
      </x:c>
      <x:c r="AF111" t="n">
        <x:f>IF(ISNUMBER(H111),1,0)</x:f>
        <x:v>1</x:v>
      </x:c>
      <x:c r="AG111" t="n">
        <x:f>IF(ISNUMBER(I111),1,0)</x:f>
        <x:v>1</x:v>
      </x:c>
      <x:c r="AH111" t="str">
        <x:v>["B06b","B06b-RD","RD","大红色羊京绒"]</x:v>
      </x:c>
      <x:c r="AI111" t="n">
        <x:f>IF(ISNUMBER(G111),1,0)</x:f>
        <x:v>1</x:v>
      </x:c>
      <x:c r="AJ111" t="n">
        <x:f>IF(ISNUMBER(AD111),1,0)</x:f>
        <x:v>1</x:v>
      </x:c>
    </x:row>
    <x:row r="112" ht="30" customHeight="1">
      <x:c r="A112" s="3" t="str">
        <x:v>B07-BG-40.5</x:v>
      </x:c>
      <x:c r="B112" s="3" t="str">
        <x:v>4店-彬郁-US</x:v>
      </x:c>
      <x:c r="C112" s="3" t="str">
        <x:v>艾年</x:v>
      </x:c>
      <x:c r="D112" s="3" t="str">
        <x:v>B07</x:v>
      </x:c>
      <x:c r="E112" s="3" t="str">
        <x:f>IF(Z112="移出","已移出",IF(NOT(ISNUMBER(H112)),"数据待核",IF(H112=0,"断货",IF(NOT(ISNUMBER(G112)),"数据待核",IF(G112=0,"零日销待复核",IF(F112&lt;60,"补货提醒",IF(F112&lt;=90,"正常库存",IF(F112&lt;180,"促销",IF(F112&lt;=365,"红线促销","考虑清仓")))))))))</x:f>
        <x:v>红线促销</x:v>
      </x:c>
      <x:c r="F112" s="11" t="n">
        <x:f>IF(AND(ISNUMBER(H112),ISNUMBER(G112),G112&gt;0),H112/G112,"")</x:f>
        <x:v>234.5744680851064</x:v>
      </x:c>
      <x:c r="G112" s="12" t="n">
        <x:f>IF(AND(COUNT(P112:R112)=3,MIN(P112:R112)&gt;=0,P112&lt;=Q112,Q112&lt;=R112),P112/7*0.5+Q112/14*0.3+R112/30*0.2,"")</x:f>
        <x:v>0.08952380952380952</x:v>
      </x:c>
      <x:c r="H112" s="10" t="n">
        <x:f>IF(ISNUMBER(U112),U112,"")</x:f>
        <x:v>21</x:v>
      </x:c>
      <x:c r="I112" s="10" t="n">
        <x:v>5</x:v>
      </x:c>
      <x:c r="J112" s="11" t="n">
        <x:f>IF(AND(Z112="共同",ISNUMBER(F112),ISNUMBER(M112)),F112-M112,"")</x:f>
        <x:v>221.2326637649031</x:v>
      </x:c>
      <x:c r="K112" s="13" t="n">
        <x:f>IF(AND(ISNUMBER(J112),M112&lt;&gt;0),J112/M112,"")</x:f>
        <x:v>16.58191489361702</x:v>
      </x:c>
      <x:c r="L112" s="10" t="str">
        <x:v>补货提醒</x:v>
      </x:c>
      <x:c r="M112" s="11" t="n">
        <x:v>13.341804320203304</x:v>
      </x:c>
      <x:c r="N112" s="10" t="n">
        <x:f>IF(AND(Z112="共同",COUNT(H112:I112)=2),H112-I112,"")</x:f>
        <x:v>16</x:v>
      </x:c>
      <x:c r="O112" s="10" t="n">
        <x:v>0</x:v>
      </x:c>
      <x:c r="P112" s="10" t="n">
        <x:v>0</x:v>
      </x:c>
      <x:c r="Q112" s="10" t="n">
        <x:v>2</x:v>
      </x:c>
      <x:c r="R112" s="10" t="n">
        <x:v>7</x:v>
      </x:c>
      <x:c r="S112" s="10" t="n">
        <x:v>23</x:v>
      </x:c>
      <x:c r="T112" s="10" t="n">
        <x:v>0</x:v>
      </x:c>
      <x:c r="U112" s="10" t="n">
        <x:f>IF(AND(ISNUMBER(X112),X112&gt;=0,Y112&lt;&gt;1),X112,"")</x:f>
        <x:v>21</x:v>
      </x:c>
      <x:c r="V112" s="10" t="n">
        <x:v>0</x:v>
      </x:c>
      <x:c r="W112" s="10" t="n">
        <x:v>0</x:v>
      </x:c>
      <x:c r="X112" s="10" t="n">
        <x:v>21</x:v>
      </x:c>
      <x:c r="Y112" s="3" t="n">
        <x:v>0</x:v>
      </x:c>
      <x:c r="Z112" s="3" t="str">
        <x:v>共同</x:v>
      </x:c>
      <x:c r="AA112" s="3" t="str">
        <x:v>在售</x:v>
      </x:c>
      <x:c r="AB112" s="12" t="n">
        <x:f>IF(AND(Z112="共同",ISNUMBER(G112),ISNUMBER(AD112)),G112-AD112,"")</x:f>
        <x:v>-0.28523809523809524</x:v>
      </x:c>
      <x:c r="AC112" s="3" t="str"/>
      <x:c r="AD112" s="12" t="n">
        <x:v>0.37476190476190474</x:v>
      </x:c>
      <x:c r="AE112" s="3" t="str">
        <x:v>[13306,"B07-BG-40.5"]</x:v>
      </x:c>
      <x:c r="AF112" t="n">
        <x:f>IF(ISNUMBER(H112),1,0)</x:f>
        <x:v>1</x:v>
      </x:c>
      <x:c r="AG112" t="n">
        <x:f>IF(ISNUMBER(I112),1,0)</x:f>
        <x:v>1</x:v>
      </x:c>
      <x:c r="AH112" t="str">
        <x:v>["B07","B07-BG","BG","米色羊京绒"]</x:v>
      </x:c>
      <x:c r="AI112" t="n">
        <x:f>IF(ISNUMBER(G112),1,0)</x:f>
        <x:v>1</x:v>
      </x:c>
      <x:c r="AJ112" t="n">
        <x:f>IF(ISNUMBER(AD112),1,0)</x:f>
        <x:v>1</x:v>
      </x:c>
    </x:row>
    <x:row r="113" ht="30" customHeight="1">
      <x:c r="A113" s="3" t="str">
        <x:v>B07-BK-38.5</x:v>
      </x:c>
      <x:c r="B113" s="3" t="str">
        <x:v>4店-彬郁-US</x:v>
      </x:c>
      <x:c r="C113" s="3" t="str">
        <x:v>艾年</x:v>
      </x:c>
      <x:c r="D113" s="3" t="str">
        <x:v>B07</x:v>
      </x:c>
      <x:c r="E113" s="3" t="str">
        <x:f>IF(Z113="移出","已移出",IF(NOT(ISNUMBER(H113)),"数据待核",IF(H113=0,"断货",IF(NOT(ISNUMBER(G113)),"数据待核",IF(G113=0,"零日销待复核",IF(F113&lt;60,"补货提醒",IF(F113&lt;=90,"正常库存",IF(F113&lt;180,"促销",IF(F113&lt;=365,"红线促销","考虑清仓")))))))))</x:f>
        <x:v>红线促销</x:v>
      </x:c>
      <x:c r="F113" s="11" t="n">
        <x:f>IF(AND(ISNUMBER(H113),ISNUMBER(G113),G113&gt;0),H113/G113,"")</x:f>
        <x:v>305.51612903225805</x:v>
      </x:c>
      <x:c r="G113" s="12" t="n">
        <x:f>IF(AND(COUNT(P113:R113)=3,MIN(P113:R113)&gt;=0,P113&lt;=Q113,Q113&lt;=R113),P113/7*0.5+Q113/14*0.3+R113/30*0.2,"")</x:f>
        <x:v>1.4761904761904763</x:v>
      </x:c>
      <x:c r="H113" s="10" t="n">
        <x:f>IF(ISNUMBER(U113),U113,"")</x:f>
        <x:v>451</x:v>
      </x:c>
      <x:c r="I113" s="10" t="n">
        <x:v>477</x:v>
      </x:c>
      <x:c r="J113" s="11" t="n">
        <x:f>IF(AND(Z113="共同",ISNUMBER(F113),ISNUMBER(M113)),F113-M113,"")</x:f>
        <x:v>-250.05791422897312</x:v>
      </x:c>
      <x:c r="K113" s="13" t="n">
        <x:f>IF(AND(ISNUMBER(J113),M113&lt;&gt;0),J113/M113,"")</x:f>
        <x:v>-0.45008926759991874</x:v>
      </x:c>
      <x:c r="L113" s="10" t="str">
        <x:v>考虑清仓</x:v>
      </x:c>
      <x:c r="M113" s="11" t="n">
        <x:v>555.5740432612312</x:v>
      </x:c>
      <x:c r="N113" s="10" t="n">
        <x:f>IF(AND(Z113="共同",COUNT(H113:I113)=2),H113-I113,"")</x:f>
        <x:v>-26</x:v>
      </x:c>
      <x:c r="O113" s="10" t="n">
        <x:v>40</x:v>
      </x:c>
      <x:c r="P113" s="10" t="n">
        <x:v>12</x:v>
      </x:c>
      <x:c r="Q113" s="10" t="n">
        <x:v>18</x:v>
      </x:c>
      <x:c r="R113" s="10" t="n">
        <x:v>35</x:v>
      </x:c>
      <x:c r="S113" s="10" t="n">
        <x:v>479</x:v>
      </x:c>
      <x:c r="T113" s="10" t="n">
        <x:v>2</x:v>
      </x:c>
      <x:c r="U113" s="10" t="n">
        <x:f>IF(AND(ISNUMBER(X113),X113&gt;=0,Y113&lt;&gt;1),X113,"")</x:f>
        <x:v>451</x:v>
      </x:c>
      <x:c r="V113" s="10" t="n">
        <x:v>0</x:v>
      </x:c>
      <x:c r="W113" s="10" t="n">
        <x:v>0</x:v>
      </x:c>
      <x:c r="X113" s="10" t="n">
        <x:v>451</x:v>
      </x:c>
      <x:c r="Y113" s="3" t="n">
        <x:v>0</x:v>
      </x:c>
      <x:c r="Z113" s="3" t="str">
        <x:v>共同</x:v>
      </x:c>
      <x:c r="AA113" s="3" t="str">
        <x:v>在售</x:v>
      </x:c>
      <x:c r="AB113" s="12" t="n">
        <x:f>IF(AND(Z113="共同",ISNUMBER(G113),ISNUMBER(AD113)),G113-AD113,"")</x:f>
        <x:v>0.6176190476190475</x:v>
      </x:c>
      <x:c r="AC113" s="3" t="str"/>
      <x:c r="AD113" s="12" t="n">
        <x:v>0.8585714285714288</x:v>
      </x:c>
      <x:c r="AE113" s="3" t="str">
        <x:v>[13306,"B07-BK-38.5"]</x:v>
      </x:c>
      <x:c r="AF113" t="n">
        <x:f>IF(ISNUMBER(H113),1,0)</x:f>
        <x:v>1</x:v>
      </x:c>
      <x:c r="AG113" t="n">
        <x:f>IF(ISNUMBER(I113),1,0)</x:f>
        <x:v>1</x:v>
      </x:c>
      <x:c r="AH113" t="str">
        <x:v>["B07","B07-BK","BK","黑色羊京绒"]</x:v>
      </x:c>
      <x:c r="AI113" t="n">
        <x:f>IF(ISNUMBER(G113),1,0)</x:f>
        <x:v>1</x:v>
      </x:c>
      <x:c r="AJ113" t="n">
        <x:f>IF(ISNUMBER(AD113),1,0)</x:f>
        <x:v>1</x:v>
      </x:c>
    </x:row>
    <x:row r="114" ht="30" customHeight="1">
      <x:c r="A114" s="3" t="str">
        <x:v>B07-BK-I-0-37.5</x:v>
      </x:c>
      <x:c r="B114" s="3" t="str">
        <x:v>4店-彬郁-US</x:v>
      </x:c>
      <x:c r="C114" s="3" t="str">
        <x:v>艾年</x:v>
      </x:c>
      <x:c r="D114" s="3" t="str">
        <x:v>B07</x:v>
      </x:c>
      <x:c r="E114" s="3" t="str">
        <x:f>IF(Z114="移出","已移出",IF(NOT(ISNUMBER(H114)),"数据待核",IF(H114=0,"断货",IF(NOT(ISNUMBER(G114)),"数据待核",IF(G114=0,"零日销待复核",IF(F114&lt;60,"补货提醒",IF(F114&lt;=90,"正常库存",IF(F114&lt;180,"促销",IF(F114&lt;=365,"红线促销","考虑清仓")))))))))</x:f>
        <x:v>红线促销</x:v>
      </x:c>
      <x:c r="F114" s="11" t="n">
        <x:f>IF(AND(ISNUMBER(H114),ISNUMBER(G114),G114&gt;0),H114/G114,"")</x:f>
        <x:v>249.15254237288138</x:v>
      </x:c>
      <x:c r="G114" s="12" t="n">
        <x:f>IF(AND(COUNT(P114:R114)=3,MIN(P114:R114)&gt;=0,P114&lt;=Q114,Q114&lt;=R114),P114/7*0.5+Q114/14*0.3+R114/30*0.2,"")</x:f>
        <x:v>0.028095238095238093</x:v>
      </x:c>
      <x:c r="H114" s="10" t="n">
        <x:f>IF(ISNUMBER(U114),U114,"")</x:f>
        <x:v>7</x:v>
      </x:c>
      <x:c r="I114" s="10" t="n">
        <x:v>8</x:v>
      </x:c>
      <x:c r="J114" s="11" t="str">
        <x:f>IF(AND(Z114="共同",ISNUMBER(F114),ISNUMBER(M114)),F114-M114,"")</x:f>
      </x:c>
      <x:c r="K114" s="13" t="str">
        <x:f>IF(AND(ISNUMBER(J114),M114&lt;&gt;0),J114/M114,"")</x:f>
      </x:c>
      <x:c r="L114" s="10" t="str">
        <x:v>零日销待复核</x:v>
      </x:c>
      <x:c r="M114" s="11"/>
      <x:c r="N114" s="10" t="n">
        <x:f>IF(AND(Z114="共同",COUNT(H114:I114)=2),H114-I114,"")</x:f>
        <x:v>-1</x:v>
      </x:c>
      <x:c r="O114" s="10" t="n">
        <x:v>0</x:v>
      </x:c>
      <x:c r="P114" s="10" t="n">
        <x:v>0</x:v>
      </x:c>
      <x:c r="Q114" s="10" t="n">
        <x:v>1</x:v>
      </x:c>
      <x:c r="R114" s="10" t="n">
        <x:v>1</x:v>
      </x:c>
      <x:c r="S114" s="10" t="n">
        <x:v>7</x:v>
      </x:c>
      <x:c r="T114" s="10" t="n">
        <x:v>0</x:v>
      </x:c>
      <x:c r="U114" s="10" t="n">
        <x:f>IF(AND(ISNUMBER(X114),X114&gt;=0,Y114&lt;&gt;1),X114,"")</x:f>
        <x:v>7</x:v>
      </x:c>
      <x:c r="V114" s="10" t="n">
        <x:v>0</x:v>
      </x:c>
      <x:c r="W114" s="10" t="n">
        <x:v>0</x:v>
      </x:c>
      <x:c r="X114" s="10" t="n">
        <x:v>7</x:v>
      </x:c>
      <x:c r="Y114" s="3" t="n">
        <x:v>0</x:v>
      </x:c>
      <x:c r="Z114" s="3" t="str">
        <x:v>共同</x:v>
      </x:c>
      <x:c r="AA114" s="3" t="str">
        <x:v>在售</x:v>
      </x:c>
      <x:c r="AB114" s="12" t="n">
        <x:f>IF(AND(Z114="共同",ISNUMBER(G114),ISNUMBER(AD114)),G114-AD114,"")</x:f>
        <x:v>0.028095238095238093</x:v>
      </x:c>
      <x:c r="AC114" s="3" t="str"/>
      <x:c r="AD114" s="12" t="n">
        <x:v>0</x:v>
      </x:c>
      <x:c r="AE114" s="3" t="str">
        <x:v>[13306,"B07-BK-I-0-37.5"]</x:v>
      </x:c>
      <x:c r="AF114" t="n">
        <x:f>IF(ISNUMBER(H114),1,0)</x:f>
        <x:v>1</x:v>
      </x:c>
      <x:c r="AG114" t="n">
        <x:f>IF(ISNUMBER(I114),1,0)</x:f>
        <x:v>1</x:v>
      </x:c>
      <x:c r="AH114" t="str">
        <x:v>["B07","B07-BK-I-0","BK-I","黑色色织提花"]</x:v>
      </x:c>
      <x:c r="AI114" t="n">
        <x:f>IF(ISNUMBER(G114),1,0)</x:f>
        <x:v>1</x:v>
      </x:c>
      <x:c r="AJ114" t="n">
        <x:f>IF(ISNUMBER(AD114),1,0)</x:f>
        <x:v>1</x:v>
      </x:c>
    </x:row>
    <x:row r="115" ht="30" customHeight="1">
      <x:c r="A115" s="3" t="str">
        <x:v>B07-BK-V-0-39</x:v>
      </x:c>
      <x:c r="B115" s="3" t="str">
        <x:v>4店-彬郁-US</x:v>
      </x:c>
      <x:c r="C115" s="3" t="str">
        <x:v>艾年</x:v>
      </x:c>
      <x:c r="D115" s="3" t="str">
        <x:v>B07</x:v>
      </x:c>
      <x:c r="E115" s="3" t="str">
        <x:f>IF(Z115="移出","已移出",IF(NOT(ISNUMBER(H115)),"数据待核",IF(H115=0,"断货",IF(NOT(ISNUMBER(G115)),"数据待核",IF(G115=0,"零日销待复核",IF(F115&lt;60,"补货提醒",IF(F115&lt;=90,"正常库存",IF(F115&lt;180,"促销",IF(F115&lt;=365,"红线促销","考虑清仓")))))))))</x:f>
        <x:v>红线促销</x:v>
      </x:c>
      <x:c r="F115" s="11" t="n">
        <x:f>IF(AND(ISNUMBER(H115),ISNUMBER(G115),G115&gt;0),H115/G115,"")</x:f>
        <x:v>331.9354838709678</x:v>
      </x:c>
      <x:c r="G115" s="12" t="n">
        <x:f>IF(AND(COUNT(P115:R115)=3,MIN(P115:R115)&gt;=0,P115&lt;=Q115,Q115&lt;=R115),P115/7*0.5+Q115/14*0.3+R115/30*0.2,"")</x:f>
        <x:v>0.1476190476190476</x:v>
      </x:c>
      <x:c r="H115" s="10" t="n">
        <x:f>IF(ISNUMBER(U115),U115,"")</x:f>
        <x:v>49</x:v>
      </x:c>
      <x:c r="I115" s="10" t="n">
        <x:v>51</x:v>
      </x:c>
      <x:c r="J115" s="11" t="n">
        <x:f>IF(AND(Z115="共同",ISNUMBER(F115),ISNUMBER(M115)),F115-M115,"")</x:f>
        <x:v>41.691581431943405</x:v>
      </x:c>
      <x:c r="K115" s="13" t="n">
        <x:f>IF(AND(ISNUMBER(J115),M115&lt;&gt;0),J115/M115,"")</x:f>
        <x:v>0.14364326375711592</x:v>
      </x:c>
      <x:c r="L115" s="10" t="str">
        <x:v>红线促销</x:v>
      </x:c>
      <x:c r="M115" s="11" t="n">
        <x:v>290.2439024390244</x:v>
      </x:c>
      <x:c r="N115" s="10" t="n">
        <x:f>IF(AND(Z115="共同",COUNT(H115:I115)=2),H115-I115,"")</x:f>
        <x:v>-2</x:v>
      </x:c>
      <x:c r="O115" s="10" t="n">
        <x:v>156</x:v>
      </x:c>
      <x:c r="P115" s="10" t="n">
        <x:v>1</x:v>
      </x:c>
      <x:c r="Q115" s="10" t="n">
        <x:v>2</x:v>
      </x:c>
      <x:c r="R115" s="10" t="n">
        <x:v>5</x:v>
      </x:c>
      <x:c r="S115" s="10" t="n">
        <x:v>55</x:v>
      </x:c>
      <x:c r="T115" s="10" t="n">
        <x:v>0</x:v>
      </x:c>
      <x:c r="U115" s="10" t="n">
        <x:f>IF(AND(ISNUMBER(X115),X115&gt;=0,Y115&lt;&gt;1),X115,"")</x:f>
        <x:v>49</x:v>
      </x:c>
      <x:c r="V115" s="10" t="n">
        <x:v>21</x:v>
      </x:c>
      <x:c r="W115" s="10" t="n">
        <x:v>14</x:v>
      </x:c>
      <x:c r="X115" s="10" t="n">
        <x:v>49</x:v>
      </x:c>
      <x:c r="Y115" s="3" t="n">
        <x:v>0</x:v>
      </x:c>
      <x:c r="Z115" s="3" t="str">
        <x:v>共同</x:v>
      </x:c>
      <x:c r="AA115" s="3" t="str">
        <x:v>在售</x:v>
      </x:c>
      <x:c r="AB115" s="12" t="n">
        <x:f>IF(AND(Z115="共同",ISNUMBER(G115),ISNUMBER(AD115)),G115-AD115,"")</x:f>
        <x:v>-0.028095238095238118</x:v>
      </x:c>
      <x:c r="AC115" s="3" t="str"/>
      <x:c r="AD115" s="12" t="n">
        <x:v>0.1757142857142857</x:v>
      </x:c>
      <x:c r="AE115" s="3" t="str">
        <x:v>[13306,"B07-BK-V-0-39"]</x:v>
      </x:c>
      <x:c r="AF115" t="n">
        <x:f>IF(ISNUMBER(H115),1,0)</x:f>
        <x:v>1</x:v>
      </x:c>
      <x:c r="AG115" t="n">
        <x:f>IF(ISNUMBER(I115),1,0)</x:f>
        <x:v>1</x:v>
      </x:c>
      <x:c r="AH115" t="str">
        <x:v>["B07","B07-BK-V-0","BK-V","黑色天鹅绒"]</x:v>
      </x:c>
      <x:c r="AI115" t="n">
        <x:f>IF(ISNUMBER(G115),1,0)</x:f>
        <x:v>1</x:v>
      </x:c>
      <x:c r="AJ115" t="n">
        <x:f>IF(ISNUMBER(AD115),1,0)</x:f>
        <x:v>1</x:v>
      </x:c>
    </x:row>
    <x:row r="116" ht="30" customHeight="1">
      <x:c r="A116" s="3" t="str">
        <x:v>B07-BK-Z-0-39</x:v>
      </x:c>
      <x:c r="B116" s="3" t="str">
        <x:v>4店-彬郁-US</x:v>
      </x:c>
      <x:c r="C116" s="3" t="str">
        <x:v>艾年</x:v>
      </x:c>
      <x:c r="D116" s="3" t="str">
        <x:v>B07</x:v>
      </x:c>
      <x:c r="E116" s="3" t="str">
        <x:f>IF(Z116="移出","已移出",IF(NOT(ISNUMBER(H116)),"数据待核",IF(H116=0,"断货",IF(NOT(ISNUMBER(G116)),"数据待核",IF(G116=0,"零日销待复核",IF(F116&lt;60,"补货提醒",IF(F116&lt;=90,"正常库存",IF(F116&lt;180,"促销",IF(F116&lt;=365,"红线促销","考虑清仓")))))))))</x:f>
        <x:v>红线促销</x:v>
      </x:c>
      <x:c r="F116" s="11" t="n">
        <x:f>IF(AND(ISNUMBER(H116),ISNUMBER(G116),G116&gt;0),H116/G116,"")</x:f>
        <x:v>289.65517241379314</x:v>
      </x:c>
      <x:c r="G116" s="12" t="n">
        <x:f>IF(AND(COUNT(P116:R116)=3,MIN(P116:R116)&gt;=0,P116&lt;=Q116,Q116&lt;=R116),P116/7*0.5+Q116/14*0.3+R116/30*0.2,"")</x:f>
        <x:v>0.041428571428571426</x:v>
      </x:c>
      <x:c r="H116" s="10" t="n">
        <x:f>IF(ISNUMBER(U116),U116,"")</x:f>
        <x:v>12</x:v>
      </x:c>
      <x:c r="I116" s="10" t="n">
        <x:v>13</x:v>
      </x:c>
      <x:c r="J116" s="11" t="n">
        <x:f>IF(AND(Z116="共同",ISNUMBER(F116),ISNUMBER(M116)),F116-M116,"")</x:f>
        <x:v>197.4254426840634</x:v>
      </x:c>
      <x:c r="K116" s="13" t="n">
        <x:f>IF(AND(ISNUMBER(J116),M116&lt;&gt;0),J116/M116,"")</x:f>
        <x:v>2.140583554376658</x:v>
      </x:c>
      <x:c r="L116" s="10" t="str">
        <x:v>促销</x:v>
      </x:c>
      <x:c r="M116" s="11" t="n">
        <x:v>92.22972972972974</x:v>
      </x:c>
      <x:c r="N116" s="10" t="n">
        <x:f>IF(AND(Z116="共同",COUNT(H116:I116)=2),H116-I116,"")</x:f>
        <x:v>-1</x:v>
      </x:c>
      <x:c r="O116" s="10" t="n">
        <x:v>0</x:v>
      </x:c>
      <x:c r="P116" s="10" t="n">
        <x:v>0</x:v>
      </x:c>
      <x:c r="Q116" s="10" t="n">
        <x:v>1</x:v>
      </x:c>
      <x:c r="R116" s="10" t="n">
        <x:v>3</x:v>
      </x:c>
      <x:c r="S116" s="10" t="n">
        <x:v>12</x:v>
      </x:c>
      <x:c r="T116" s="10" t="n">
        <x:v>0</x:v>
      </x:c>
      <x:c r="U116" s="10" t="n">
        <x:f>IF(AND(ISNUMBER(X116),X116&gt;=0,Y116&lt;&gt;1),X116,"")</x:f>
        <x:v>12</x:v>
      </x:c>
      <x:c r="V116" s="10" t="n">
        <x:v>1</x:v>
      </x:c>
      <x:c r="W116" s="10" t="n">
        <x:v>0</x:v>
      </x:c>
      <x:c r="X116" s="10" t="n">
        <x:v>12</x:v>
      </x:c>
      <x:c r="Y116" s="3" t="n">
        <x:v>0</x:v>
      </x:c>
      <x:c r="Z116" s="3" t="str">
        <x:v>共同</x:v>
      </x:c>
      <x:c r="AA116" s="3" t="str">
        <x:v>在售</x:v>
      </x:c>
      <x:c r="AB116" s="12" t="n">
        <x:f>IF(AND(Z116="共同",ISNUMBER(G116),ISNUMBER(AD116)),G116-AD116,"")</x:f>
        <x:v>-0.09952380952380951</x:v>
      </x:c>
      <x:c r="AC116" s="3" t="str"/>
      <x:c r="AD116" s="12" t="n">
        <x:v>0.14095238095238094</x:v>
      </x:c>
      <x:c r="AE116" s="3" t="str">
        <x:v>[13306,"B07-BK-Z-0-39"]</x:v>
      </x:c>
      <x:c r="AF116" t="n">
        <x:f>IF(ISNUMBER(H116),1,0)</x:f>
        <x:v>1</x:v>
      </x:c>
      <x:c r="AG116" t="n">
        <x:f>IF(ISNUMBER(I116),1,0)</x:f>
        <x:v>1</x:v>
      </x:c>
      <x:c r="AH116" t="str">
        <x:v>["B07","B07-BK-Z-0","BK-Z","黑色镜面PU"]</x:v>
      </x:c>
      <x:c r="AI116" t="n">
        <x:f>IF(ISNUMBER(G116),1,0)</x:f>
        <x:v>1</x:v>
      </x:c>
      <x:c r="AJ116" t="n">
        <x:f>IF(ISNUMBER(AD116),1,0)</x:f>
        <x:v>1</x:v>
      </x:c>
    </x:row>
    <x:row r="117" ht="30" customHeight="1">
      <x:c r="A117" s="3" t="str">
        <x:v>B07-BK-Z-0-41</x:v>
      </x:c>
      <x:c r="B117" s="3" t="str">
        <x:v>4店-彬郁-US</x:v>
      </x:c>
      <x:c r="C117" s="3" t="str">
        <x:v>艾年</x:v>
      </x:c>
      <x:c r="D117" s="3" t="str">
        <x:v>B07</x:v>
      </x:c>
      <x:c r="E117" s="3" t="str">
        <x:f>IF(Z117="移出","已移出",IF(NOT(ISNUMBER(H117)),"数据待核",IF(H117=0,"断货",IF(NOT(ISNUMBER(G117)),"数据待核",IF(G117=0,"零日销待复核",IF(F117&lt;60,"补货提醒",IF(F117&lt;=90,"正常库存",IF(F117&lt;180,"促销",IF(F117&lt;=365,"红线促销","考虑清仓")))))))))</x:f>
        <x:v>红线促销</x:v>
      </x:c>
      <x:c r="F117" s="11" t="n">
        <x:f>IF(AND(ISNUMBER(H117),ISNUMBER(G117),G117&gt;0),H117/G117,"")</x:f>
        <x:v>313.7931034482759</x:v>
      </x:c>
      <x:c r="G117" s="12" t="n">
        <x:f>IF(AND(COUNT(P117:R117)=3,MIN(P117:R117)&gt;=0,P117&lt;=Q117,Q117&lt;=R117),P117/7*0.5+Q117/14*0.3+R117/30*0.2,"")</x:f>
        <x:v>0.041428571428571426</x:v>
      </x:c>
      <x:c r="H117" s="10" t="n">
        <x:f>IF(ISNUMBER(U117),U117,"")</x:f>
        <x:v>13</x:v>
      </x:c>
      <x:c r="I117" s="10" t="n">
        <x:v>13</x:v>
      </x:c>
      <x:c r="J117" s="11" t="n">
        <x:f>IF(AND(Z117="共同",ISNUMBER(F117),ISNUMBER(M117)),F117-M117,"")</x:f>
        <x:v>-173.70689655172418</x:v>
      </x:c>
      <x:c r="K117" s="13" t="n">
        <x:f>IF(AND(ISNUMBER(J117),M117&lt;&gt;0),J117/M117,"")</x:f>
        <x:v>-0.35632183908045983</x:v>
      </x:c>
      <x:c r="L117" s="10" t="str">
        <x:v>考虑清仓</x:v>
      </x:c>
      <x:c r="M117" s="11" t="n">
        <x:v>487.50000000000006</x:v>
      </x:c>
      <x:c r="N117" s="10" t="n">
        <x:f>IF(AND(Z117="共同",COUNT(H117:I117)=2),H117-I117,"")</x:f>
        <x:v>0</x:v>
      </x:c>
      <x:c r="O117" s="10" t="n">
        <x:v>0</x:v>
      </x:c>
      <x:c r="P117" s="10" t="n">
        <x:v>0</x:v>
      </x:c>
      <x:c r="Q117" s="10" t="n">
        <x:v>1</x:v>
      </x:c>
      <x:c r="R117" s="10" t="n">
        <x:v>3</x:v>
      </x:c>
      <x:c r="S117" s="10" t="n">
        <x:v>13</x:v>
      </x:c>
      <x:c r="T117" s="10" t="n">
        <x:v>0</x:v>
      </x:c>
      <x:c r="U117" s="10" t="n">
        <x:f>IF(AND(ISNUMBER(X117),X117&gt;=0,Y117&lt;&gt;1),X117,"")</x:f>
        <x:v>13</x:v>
      </x:c>
      <x:c r="V117" s="10" t="n">
        <x:v>0</x:v>
      </x:c>
      <x:c r="W117" s="10" t="n">
        <x:v>0</x:v>
      </x:c>
      <x:c r="X117" s="10" t="n">
        <x:v>13</x:v>
      </x:c>
      <x:c r="Y117" s="3" t="n">
        <x:v>0</x:v>
      </x:c>
      <x:c r="Z117" s="3" t="str">
        <x:v>共同</x:v>
      </x:c>
      <x:c r="AA117" s="3" t="str">
        <x:v>在售</x:v>
      </x:c>
      <x:c r="AB117" s="12" t="n">
        <x:f>IF(AND(Z117="共同",ISNUMBER(G117),ISNUMBER(AD117)),G117-AD117,"")</x:f>
        <x:v>0.01476190476190476</x:v>
      </x:c>
      <x:c r="AC117" s="3" t="str"/>
      <x:c r="AD117" s="12" t="n">
        <x:v>0.026666666666666665</x:v>
      </x:c>
      <x:c r="AE117" s="3" t="str">
        <x:v>[13306,"B07-BK-Z-0-41"]</x:v>
      </x:c>
      <x:c r="AF117" t="n">
        <x:f>IF(ISNUMBER(H117),1,0)</x:f>
        <x:v>1</x:v>
      </x:c>
      <x:c r="AG117" t="n">
        <x:f>IF(ISNUMBER(I117),1,0)</x:f>
        <x:v>1</x:v>
      </x:c>
      <x:c r="AH117" t="str">
        <x:v>["B07","B07-BK-Z-0","BK-Z","黑色镜面PU"]</x:v>
      </x:c>
      <x:c r="AI117" t="n">
        <x:f>IF(ISNUMBER(G117),1,0)</x:f>
        <x:v>1</x:v>
      </x:c>
      <x:c r="AJ117" t="n">
        <x:f>IF(ISNUMBER(AD117),1,0)</x:f>
        <x:v>1</x:v>
      </x:c>
    </x:row>
    <x:row r="118" ht="30" customHeight="1">
      <x:c r="A118" s="3" t="str">
        <x:v>B07-BKP-37.5</x:v>
      </x:c>
      <x:c r="B118" s="3" t="str">
        <x:v>4店-彬郁-US</x:v>
      </x:c>
      <x:c r="C118" s="3" t="str">
        <x:v>艾年</x:v>
      </x:c>
      <x:c r="D118" s="3" t="str">
        <x:v>B07</x:v>
      </x:c>
      <x:c r="E118" s="3" t="str">
        <x:f>IF(Z118="移出","已移出",IF(NOT(ISNUMBER(H118)),"数据待核",IF(H118=0,"断货",IF(NOT(ISNUMBER(G118)),"数据待核",IF(G118=0,"零日销待复核",IF(F118&lt;60,"补货提醒",IF(F118&lt;=90,"正常库存",IF(F118&lt;180,"促销",IF(F118&lt;=365,"红线促销","考虑清仓")))))))))</x:f>
        <x:v>红线促销</x:v>
      </x:c>
      <x:c r="F118" s="11" t="n">
        <x:f>IF(AND(ISNUMBER(H118),ISNUMBER(G118),G118&gt;0),H118/G118,"")</x:f>
        <x:v>267.05202312138726</x:v>
      </x:c>
      <x:c r="G118" s="12" t="n">
        <x:f>IF(AND(COUNT(P118:R118)=3,MIN(P118:R118)&gt;=0,P118&lt;=Q118,Q118&lt;=R118),P118/7*0.5+Q118/14*0.3+R118/30*0.2,"")</x:f>
        <x:v>0.24714285714285714</x:v>
      </x:c>
      <x:c r="H118" s="10" t="n">
        <x:f>IF(ISNUMBER(U118),U118,"")</x:f>
        <x:v>66</x:v>
      </x:c>
      <x:c r="I118" s="10" t="n">
        <x:v>67</x:v>
      </x:c>
      <x:c r="J118" s="11" t="n">
        <x:f>IF(AND(Z118="共同",ISNUMBER(F118),ISNUMBER(M118)),F118-M118,"")</x:f>
        <x:v>-186.81894462054828</x:v>
      </x:c>
      <x:c r="K118" s="13" t="n">
        <x:f>IF(AND(ISNUMBER(J118),M118&lt;&gt;0),J118/M118,"")</x:f>
        <x:v>-0.41161245794150647</x:v>
      </x:c>
      <x:c r="L118" s="10" t="str">
        <x:v>考虑清仓</x:v>
      </x:c>
      <x:c r="M118" s="11" t="n">
        <x:v>453.87096774193554</x:v>
      </x:c>
      <x:c r="N118" s="10" t="n">
        <x:f>IF(AND(Z118="共同",COUNT(H118:I118)=2),H118-I118,"")</x:f>
        <x:v>-1</x:v>
      </x:c>
      <x:c r="O118" s="10" t="n">
        <x:v>15</x:v>
      </x:c>
      <x:c r="P118" s="10" t="n">
        <x:v>2</x:v>
      </x:c>
      <x:c r="Q118" s="10" t="n">
        <x:v>3</x:v>
      </x:c>
      <x:c r="R118" s="10" t="n">
        <x:v>6</x:v>
      </x:c>
      <x:c r="S118" s="10" t="n">
        <x:v>67</x:v>
      </x:c>
      <x:c r="T118" s="10" t="n">
        <x:v>0</x:v>
      </x:c>
      <x:c r="U118" s="10" t="n">
        <x:f>IF(AND(ISNUMBER(X118),X118&gt;=0,Y118&lt;&gt;1),X118,"")</x:f>
        <x:v>66</x:v>
      </x:c>
      <x:c r="V118" s="10" t="n">
        <x:v>0</x:v>
      </x:c>
      <x:c r="W118" s="10" t="n">
        <x:v>0</x:v>
      </x:c>
      <x:c r="X118" s="10" t="n">
        <x:v>66</x:v>
      </x:c>
      <x:c r="Y118" s="3" t="n">
        <x:v>0</x:v>
      </x:c>
      <x:c r="Z118" s="3" t="str">
        <x:v>共同</x:v>
      </x:c>
      <x:c r="AA118" s="3" t="str">
        <x:v>在售</x:v>
      </x:c>
      <x:c r="AB118" s="12" t="n">
        <x:f>IF(AND(Z118="共同",ISNUMBER(G118),ISNUMBER(AD118)),G118-AD118,"")</x:f>
        <x:v>0.09952380952380954</x:v>
      </x:c>
      <x:c r="AC118" s="3" t="str"/>
      <x:c r="AD118" s="12" t="n">
        <x:v>0.1476190476190476</x:v>
      </x:c>
      <x:c r="AE118" s="3" t="str">
        <x:v>[13306,"B07-BKP-37.5"]</x:v>
      </x:c>
      <x:c r="AF118" t="n">
        <x:f>IF(ISNUMBER(H118),1,0)</x:f>
        <x:v>1</x:v>
      </x:c>
      <x:c r="AG118" t="n">
        <x:f>IF(ISNUMBER(I118),1,0)</x:f>
        <x:v>1</x:v>
      </x:c>
      <x:c r="AH118" t="str">
        <x:v>["B07","B07-BKP","BKP","黑色PU"]</x:v>
      </x:c>
      <x:c r="AI118" t="n">
        <x:f>IF(ISNUMBER(G118),1,0)</x:f>
        <x:v>1</x:v>
      </x:c>
      <x:c r="AJ118" t="n">
        <x:f>IF(ISNUMBER(AD118),1,0)</x:f>
        <x:v>1</x:v>
      </x:c>
    </x:row>
    <x:row r="119" ht="30" customHeight="1">
      <x:c r="A119" s="3" t="str">
        <x:v>B07-BKP-41.5</x:v>
      </x:c>
      <x:c r="B119" s="3" t="str">
        <x:v>4店-彬郁-US</x:v>
      </x:c>
      <x:c r="C119" s="3" t="str">
        <x:v>艾年</x:v>
      </x:c>
      <x:c r="D119" s="3" t="str">
        <x:v>B07</x:v>
      </x:c>
      <x:c r="E119" s="3" t="str">
        <x:f>IF(Z119="移出","已移出",IF(NOT(ISNUMBER(H119)),"数据待核",IF(H119=0,"断货",IF(NOT(ISNUMBER(G119)),"数据待核",IF(G119=0,"零日销待复核",IF(F119&lt;60,"补货提醒",IF(F119&lt;=90,"正常库存",IF(F119&lt;180,"促销",IF(F119&lt;=365,"红线促销","考虑清仓")))))))))</x:f>
        <x:v>红线促销</x:v>
      </x:c>
      <x:c r="F119" s="11" t="n">
        <x:f>IF(AND(ISNUMBER(H119),ISNUMBER(G119),G119&gt;0),H119/G119,"")</x:f>
        <x:v>222.72727272727272</x:v>
      </x:c>
      <x:c r="G119" s="12" t="n">
        <x:f>IF(AND(COUNT(P119:R119)=3,MIN(P119:R119)&gt;=0,P119&lt;=Q119,Q119&lt;=R119),P119/7*0.5+Q119/14*0.3+R119/30*0.2,"")</x:f>
        <x:v>0.06285714285714286</x:v>
      </x:c>
      <x:c r="H119" s="10" t="n">
        <x:f>IF(ISNUMBER(U119),U119,"")</x:f>
        <x:v>14</x:v>
      </x:c>
      <x:c r="I119" s="10" t="n">
        <x:v>12</x:v>
      </x:c>
      <x:c r="J119" s="11" t="n">
        <x:f>IF(AND(Z119="共同",ISNUMBER(F119),ISNUMBER(M119)),F119-M119,"")</x:f>
        <x:v>-204.39137134052388</x:v>
      </x:c>
      <x:c r="K119" s="13" t="n">
        <x:f>IF(AND(ISNUMBER(J119),M119&lt;&gt;0),J119/M119,"")</x:f>
        <x:v>-0.47853535353535354</x:v>
      </x:c>
      <x:c r="L119" s="10" t="str">
        <x:v>考虑清仓</x:v>
      </x:c>
      <x:c r="M119" s="11" t="n">
        <x:v>427.1186440677966</x:v>
      </x:c>
      <x:c r="N119" s="10" t="n">
        <x:f>IF(AND(Z119="共同",COUNT(H119:I119)=2),H119-I119,"")</x:f>
        <x:v>2</x:v>
      </x:c>
      <x:c r="O119" s="10" t="n">
        <x:v>0</x:v>
      </x:c>
      <x:c r="P119" s="10" t="n">
        <x:v>0</x:v>
      </x:c>
      <x:c r="Q119" s="10" t="n">
        <x:v>2</x:v>
      </x:c>
      <x:c r="R119" s="10" t="n">
        <x:v>3</x:v>
      </x:c>
      <x:c r="S119" s="10" t="n">
        <x:v>19</x:v>
      </x:c>
      <x:c r="T119" s="10" t="n">
        <x:v>0</x:v>
      </x:c>
      <x:c r="U119" s="10" t="n">
        <x:f>IF(AND(ISNUMBER(X119),X119&gt;=0,Y119&lt;&gt;1),X119,"")</x:f>
        <x:v>14</x:v>
      </x:c>
      <x:c r="V119" s="10" t="n">
        <x:v>0</x:v>
      </x:c>
      <x:c r="W119" s="10" t="n">
        <x:v>0</x:v>
      </x:c>
      <x:c r="X119" s="10" t="n">
        <x:v>14</x:v>
      </x:c>
      <x:c r="Y119" s="3" t="n">
        <x:v>0</x:v>
      </x:c>
      <x:c r="Z119" s="3" t="str">
        <x:v>共同</x:v>
      </x:c>
      <x:c r="AA119" s="3" t="str">
        <x:v>在售</x:v>
      </x:c>
      <x:c r="AB119" s="12" t="n">
        <x:f>IF(AND(Z119="共同",ISNUMBER(G119),ISNUMBER(AD119)),G119-AD119,"")</x:f>
        <x:v>0.034761904761904765</x:v>
      </x:c>
      <x:c r="AC119" s="3" t="str"/>
      <x:c r="AD119" s="12" t="n">
        <x:v>0.028095238095238097</x:v>
      </x:c>
      <x:c r="AE119" s="3" t="str">
        <x:v>[13306,"B07-BKP-41.5"]</x:v>
      </x:c>
      <x:c r="AF119" t="n">
        <x:f>IF(ISNUMBER(H119),1,0)</x:f>
        <x:v>1</x:v>
      </x:c>
      <x:c r="AG119" t="n">
        <x:f>IF(ISNUMBER(I119),1,0)</x:f>
        <x:v>1</x:v>
      </x:c>
      <x:c r="AH119" t="str">
        <x:v>["B07","B07-BKP","BKP","黑色PU"]</x:v>
      </x:c>
      <x:c r="AI119" t="n">
        <x:f>IF(ISNUMBER(G119),1,0)</x:f>
        <x:v>1</x:v>
      </x:c>
      <x:c r="AJ119" t="n">
        <x:f>IF(ISNUMBER(AD119),1,0)</x:f>
        <x:v>1</x:v>
      </x:c>
    </x:row>
    <x:row r="120" ht="30" customHeight="1">
      <x:c r="A120" s="3" t="str">
        <x:v>B07-CF-37</x:v>
      </x:c>
      <x:c r="B120" s="3" t="str">
        <x:v>4店-彬郁-US</x:v>
      </x:c>
      <x:c r="C120" s="3" t="str">
        <x:v>艾年</x:v>
      </x:c>
      <x:c r="D120" s="3" t="str">
        <x:v>B07</x:v>
      </x:c>
      <x:c r="E120" s="3" t="str">
        <x:f>IF(Z120="移出","已移出",IF(NOT(ISNUMBER(H120)),"数据待核",IF(H120=0,"断货",IF(NOT(ISNUMBER(G120)),"数据待核",IF(G120=0,"零日销待复核",IF(F120&lt;60,"补货提醒",IF(F120&lt;=90,"正常库存",IF(F120&lt;180,"促销",IF(F120&lt;=365,"红线促销","考虑清仓")))))))))</x:f>
        <x:v>红线促销</x:v>
      </x:c>
      <x:c r="F120" s="11" t="n">
        <x:f>IF(AND(ISNUMBER(H120),ISNUMBER(G120),G120&gt;0),H120/G120,"")</x:f>
        <x:v>205.74324324324326</x:v>
      </x:c>
      <x:c r="G120" s="12" t="n">
        <x:f>IF(AND(COUNT(P120:R120)=3,MIN(P120:R120)&gt;=0,P120&lt;=Q120,Q120&lt;=R120),P120/7*0.5+Q120/14*0.3+R120/30*0.2,"")</x:f>
        <x:v>0.14095238095238094</x:v>
      </x:c>
      <x:c r="H120" s="10" t="n">
        <x:f>IF(ISNUMBER(U120),U120,"")</x:f>
        <x:v>29</x:v>
      </x:c>
      <x:c r="I120" s="10" t="n">
        <x:v>16</x:v>
      </x:c>
      <x:c r="J120" s="11" t="n">
        <x:f>IF(AND(Z120="共同",ISNUMBER(F120),ISNUMBER(M120)),F120-M120,"")</x:f>
        <x:v>80.37010891488504</x:v>
      </x:c>
      <x:c r="K120" s="13" t="n">
        <x:f>IF(AND(ISNUMBER(J120),M120&lt;&gt;0),J120/M120,"")</x:f>
        <x:v>0.6410472972972973</x:v>
      </x:c>
      <x:c r="L120" s="10" t="str">
        <x:v>促销</x:v>
      </x:c>
      <x:c r="M120" s="11" t="n">
        <x:v>125.37313432835822</x:v>
      </x:c>
      <x:c r="N120" s="10" t="n">
        <x:f>IF(AND(Z120="共同",COUNT(H120:I120)=2),H120-I120,"")</x:f>
        <x:v>13</x:v>
      </x:c>
      <x:c r="O120" s="10" t="n">
        <x:v>6</x:v>
      </x:c>
      <x:c r="P120" s="10" t="n">
        <x:v>1</x:v>
      </x:c>
      <x:c r="Q120" s="10" t="n">
        <x:v>2</x:v>
      </x:c>
      <x:c r="R120" s="10" t="n">
        <x:v>4</x:v>
      </x:c>
      <x:c r="S120" s="10" t="n">
        <x:v>29</x:v>
      </x:c>
      <x:c r="T120" s="10" t="n">
        <x:v>0</x:v>
      </x:c>
      <x:c r="U120" s="10" t="n">
        <x:f>IF(AND(ISNUMBER(X120),X120&gt;=0,Y120&lt;&gt;1),X120,"")</x:f>
        <x:v>29</x:v>
      </x:c>
      <x:c r="V120" s="10" t="n">
        <x:v>0</x:v>
      </x:c>
      <x:c r="W120" s="10" t="n">
        <x:v>0</x:v>
      </x:c>
      <x:c r="X120" s="10" t="n">
        <x:v>29</x:v>
      </x:c>
      <x:c r="Y120" s="3" t="n">
        <x:v>0</x:v>
      </x:c>
      <x:c r="Z120" s="3" t="str">
        <x:v>共同</x:v>
      </x:c>
      <x:c r="AA120" s="3" t="str">
        <x:v>在售</x:v>
      </x:c>
      <x:c r="AB120" s="12" t="n">
        <x:f>IF(AND(Z120="共同",ISNUMBER(G120),ISNUMBER(AD120)),G120-AD120,"")</x:f>
        <x:v>0.013333333333333336</x:v>
      </x:c>
      <x:c r="AC120" s="3" t="str"/>
      <x:c r="AD120" s="12" t="n">
        <x:v>0.1276190476190476</x:v>
      </x:c>
      <x:c r="AE120" s="3" t="str">
        <x:v>[13306,"B07-CF-37"]</x:v>
      </x:c>
      <x:c r="AF120" t="n">
        <x:f>IF(ISNUMBER(H120),1,0)</x:f>
        <x:v>1</x:v>
      </x:c>
      <x:c r="AG120" t="n">
        <x:f>IF(ISNUMBER(I120),1,0)</x:f>
        <x:v>1</x:v>
      </x:c>
      <x:c r="AH120" t="str">
        <x:v>["B07","B07-CF","CF","咖色PU"]</x:v>
      </x:c>
      <x:c r="AI120" t="n">
        <x:f>IF(ISNUMBER(G120),1,0)</x:f>
        <x:v>1</x:v>
      </x:c>
      <x:c r="AJ120" t="n">
        <x:f>IF(ISNUMBER(AD120),1,0)</x:f>
        <x:v>1</x:v>
      </x:c>
    </x:row>
    <x:row r="121" ht="30" customHeight="1">
      <x:c r="A121" s="3" t="str">
        <x:v>B07-CF-40.5</x:v>
      </x:c>
      <x:c r="B121" s="3" t="str">
        <x:v>4店-彬郁-US</x:v>
      </x:c>
      <x:c r="C121" s="3" t="str">
        <x:v>艾年</x:v>
      </x:c>
      <x:c r="D121" s="3" t="str">
        <x:v>B07</x:v>
      </x:c>
      <x:c r="E121" s="3" t="str">
        <x:f>IF(Z121="移出","已移出",IF(NOT(ISNUMBER(H121)),"数据待核",IF(H121=0,"断货",IF(NOT(ISNUMBER(G121)),"数据待核",IF(G121=0,"零日销待复核",IF(F121&lt;60,"补货提醒",IF(F121&lt;=90,"正常库存",IF(F121&lt;180,"促销",IF(F121&lt;=365,"红线促销","考虑清仓")))))))))</x:f>
        <x:v>红线促销</x:v>
      </x:c>
      <x:c r="F121" s="11" t="n">
        <x:f>IF(AND(ISNUMBER(H121),ISNUMBER(G121),G121&gt;0),H121/G121,"")</x:f>
        <x:v>224.99999999999997</x:v>
      </x:c>
      <x:c r="G121" s="12" t="n">
        <x:f>IF(AND(COUNT(P121:R121)=3,MIN(P121:R121)&gt;=0,P121&lt;=Q121,Q121&lt;=R121),P121/7*0.5+Q121/14*0.3+R121/30*0.2,"")</x:f>
        <x:v>0.02666666666666667</x:v>
      </x:c>
      <x:c r="H121" s="10" t="n">
        <x:f>IF(ISNUMBER(U121),U121,"")</x:f>
        <x:v>6</x:v>
      </x:c>
      <x:c r="I121" s="10" t="n">
        <x:v>4</x:v>
      </x:c>
      <x:c r="J121" s="11" t="n">
        <x:f>IF(AND(Z121="共同",ISNUMBER(F121),ISNUMBER(M121)),F121-M121,"")</x:f>
        <x:v>200.36656891495596</x:v>
      </x:c>
      <x:c r="K121" s="13" t="n">
        <x:f>IF(AND(ISNUMBER(J121),M121&lt;&gt;0),J121/M121,"")</x:f>
        <x:v>8.133928571428568</x:v>
      </x:c>
      <x:c r="L121" s="10" t="str">
        <x:v>补货提醒</x:v>
      </x:c>
      <x:c r="M121" s="11" t="n">
        <x:v>24.633431085043995</x:v>
      </x:c>
      <x:c r="N121" s="10" t="n">
        <x:f>IF(AND(Z121="共同",COUNT(H121:I121)=2),H121-I121,"")</x:f>
        <x:v>2</x:v>
      </x:c>
      <x:c r="O121" s="10" t="n">
        <x:v>0</x:v>
      </x:c>
      <x:c r="P121" s="10" t="n">
        <x:v>0</x:v>
      </x:c>
      <x:c r="Q121" s="10" t="n">
        <x:v>0</x:v>
      </x:c>
      <x:c r="R121" s="10" t="n">
        <x:v>4</x:v>
      </x:c>
      <x:c r="S121" s="10" t="n">
        <x:v>13</x:v>
      </x:c>
      <x:c r="T121" s="10" t="n">
        <x:v>0</x:v>
      </x:c>
      <x:c r="U121" s="10" t="n">
        <x:f>IF(AND(ISNUMBER(X121),X121&gt;=0,Y121&lt;&gt;1),X121,"")</x:f>
        <x:v>6</x:v>
      </x:c>
      <x:c r="V121" s="10" t="n">
        <x:v>7</x:v>
      </x:c>
      <x:c r="W121" s="10" t="n">
        <x:v>0</x:v>
      </x:c>
      <x:c r="X121" s="10" t="n">
        <x:v>6</x:v>
      </x:c>
      <x:c r="Y121" s="3" t="n">
        <x:v>0</x:v>
      </x:c>
      <x:c r="Z121" s="3" t="str">
        <x:v>共同</x:v>
      </x:c>
      <x:c r="AA121" s="3" t="str">
        <x:v>在售</x:v>
      </x:c>
      <x:c r="AB121" s="12" t="n">
        <x:f>IF(AND(Z121="共同",ISNUMBER(G121),ISNUMBER(AD121)),G121-AD121,"")</x:f>
        <x:v>-0.13571428571428568</x:v>
      </x:c>
      <x:c r="AC121" s="3" t="str"/>
      <x:c r="AD121" s="12" t="n">
        <x:v>0.16238095238095235</x:v>
      </x:c>
      <x:c r="AE121" s="3" t="str">
        <x:v>[13306,"B07-CF-40.5"]</x:v>
      </x:c>
      <x:c r="AF121" t="n">
        <x:f>IF(ISNUMBER(H121),1,0)</x:f>
        <x:v>1</x:v>
      </x:c>
      <x:c r="AG121" t="n">
        <x:f>IF(ISNUMBER(I121),1,0)</x:f>
        <x:v>1</x:v>
      </x:c>
      <x:c r="AH121" t="str">
        <x:v>["B07","B07-CF","CF","咖色PU"]</x:v>
      </x:c>
      <x:c r="AI121" t="n">
        <x:f>IF(ISNUMBER(G121),1,0)</x:f>
        <x:v>1</x:v>
      </x:c>
      <x:c r="AJ121" t="n">
        <x:f>IF(ISNUMBER(AD121),1,0)</x:f>
        <x:v>1</x:v>
      </x:c>
    </x:row>
    <x:row r="122" ht="30" customHeight="1">
      <x:c r="A122" s="3" t="str">
        <x:v>B07-IV-P-40.5</x:v>
      </x:c>
      <x:c r="B122" s="3" t="str">
        <x:v>4店-彬郁-US</x:v>
      </x:c>
      <x:c r="C122" s="3" t="str">
        <x:v>艾年</x:v>
      </x:c>
      <x:c r="D122" s="3" t="str">
        <x:v>B07</x:v>
      </x:c>
      <x:c r="E122" s="3" t="str">
        <x:f>IF(Z122="移出","已移出",IF(NOT(ISNUMBER(H122)),"数据待核",IF(H122=0,"断货",IF(NOT(ISNUMBER(G122)),"数据待核",IF(G122=0,"零日销待复核",IF(F122&lt;60,"补货提醒",IF(F122&lt;=90,"正常库存",IF(F122&lt;180,"促销",IF(F122&lt;=365,"红线促销","考虑清仓")))))))))</x:f>
        <x:v>红线促销</x:v>
      </x:c>
      <x:c r="F122" s="11" t="n">
        <x:f>IF(AND(ISNUMBER(H122),ISNUMBER(G122),G122&gt;0),H122/G122,"")</x:f>
        <x:v>348.43049327354265</x:v>
      </x:c>
      <x:c r="G122" s="12" t="n">
        <x:f>IF(AND(COUNT(P122:R122)=3,MIN(P122:R122)&gt;=0,P122&lt;=Q122,Q122&lt;=R122),P122/7*0.5+Q122/14*0.3+R122/30*0.2,"")</x:f>
        <x:v>0.10619047619047618</x:v>
      </x:c>
      <x:c r="H122" s="10" t="n">
        <x:f>IF(ISNUMBER(U122),U122,"")</x:f>
        <x:v>37</x:v>
      </x:c>
      <x:c r="I122" s="10" t="n">
        <x:v>3</x:v>
      </x:c>
      <x:c r="J122" s="11" t="n">
        <x:f>IF(AND(Z122="共同",ISNUMBER(F122),ISNUMBER(M122)),F122-M122,"")</x:f>
        <x:v>198.43049327354265</x:v>
      </x:c>
      <x:c r="K122" s="13" t="n">
        <x:f>IF(AND(ISNUMBER(J122),M122&lt;&gt;0),J122/M122,"")</x:f>
        <x:v>1.322869955156951</x:v>
      </x:c>
      <x:c r="L122" s="10" t="str">
        <x:v>促销</x:v>
      </x:c>
      <x:c r="M122" s="11" t="n">
        <x:v>150</x:v>
      </x:c>
      <x:c r="N122" s="10" t="n">
        <x:f>IF(AND(Z122="共同",COUNT(H122:I122)=2),H122-I122,"")</x:f>
        <x:v>34</x:v>
      </x:c>
      <x:c r="O122" s="10" t="n">
        <x:v>0</x:v>
      </x:c>
      <x:c r="P122" s="10" t="n">
        <x:v>1</x:v>
      </x:c>
      <x:c r="Q122" s="10" t="n">
        <x:v>1</x:v>
      </x:c>
      <x:c r="R122" s="10" t="n">
        <x:v>2</x:v>
      </x:c>
      <x:c r="S122" s="10" t="n">
        <x:v>37</x:v>
      </x:c>
      <x:c r="T122" s="10" t="n">
        <x:v>0</x:v>
      </x:c>
      <x:c r="U122" s="10" t="n">
        <x:f>IF(AND(ISNUMBER(X122),X122&gt;=0,Y122&lt;&gt;1),X122,"")</x:f>
        <x:v>37</x:v>
      </x:c>
      <x:c r="V122" s="10" t="n">
        <x:v>0</x:v>
      </x:c>
      <x:c r="W122" s="10" t="n">
        <x:v>0</x:v>
      </x:c>
      <x:c r="X122" s="10" t="n">
        <x:v>37</x:v>
      </x:c>
      <x:c r="Y122" s="3" t="n">
        <x:v>0</x:v>
      </x:c>
      <x:c r="Z122" s="3" t="str">
        <x:v>共同</x:v>
      </x:c>
      <x:c r="AA122" s="3" t="str">
        <x:v>在售</x:v>
      </x:c>
      <x:c r="AB122" s="12" t="n">
        <x:f>IF(AND(Z122="共同",ISNUMBER(G122),ISNUMBER(AD122)),G122-AD122,"")</x:f>
        <x:v>0.08619047619047618</x:v>
      </x:c>
      <x:c r="AC122" s="3" t="str"/>
      <x:c r="AD122" s="12" t="n">
        <x:v>0.02</x:v>
      </x:c>
      <x:c r="AE122" s="3" t="str">
        <x:v>[13306,"B07-IV-P-40.5"]</x:v>
      </x:c>
      <x:c r="AF122" t="n">
        <x:f>IF(ISNUMBER(H122),1,0)</x:f>
        <x:v>1</x:v>
      </x:c>
      <x:c r="AG122" t="n">
        <x:f>IF(ISNUMBER(I122),1,0)</x:f>
        <x:v>1</x:v>
      </x:c>
      <x:c r="AH122" t="str">
        <x:v>["B07","B07-IV-P","IV-P","米白色PU"]</x:v>
      </x:c>
      <x:c r="AI122" t="n">
        <x:f>IF(ISNUMBER(G122),1,0)</x:f>
        <x:v>1</x:v>
      </x:c>
      <x:c r="AJ122" t="n">
        <x:f>IF(ISNUMBER(AD122),1,0)</x:f>
        <x:v>1</x:v>
      </x:c>
    </x:row>
    <x:row r="123" ht="30" customHeight="1">
      <x:c r="A123" s="3" t="str">
        <x:v>B07-ND-Z-0-38</x:v>
      </x:c>
      <x:c r="B123" s="3" t="str">
        <x:v>4店-彬郁-US</x:v>
      </x:c>
      <x:c r="C123" s="3" t="str">
        <x:v>艾年</x:v>
      </x:c>
      <x:c r="D123" s="3" t="str">
        <x:v>B07</x:v>
      </x:c>
      <x:c r="E123" s="3" t="str">
        <x:f>IF(Z123="移出","已移出",IF(NOT(ISNUMBER(H123)),"数据待核",IF(H123=0,"断货",IF(NOT(ISNUMBER(G123)),"数据待核",IF(G123=0,"零日销待复核",IF(F123&lt;60,"补货提醒",IF(F123&lt;=90,"正常库存",IF(F123&lt;180,"促销",IF(F123&lt;=365,"红线促销","考虑清仓")))))))))</x:f>
        <x:v>红线促销</x:v>
      </x:c>
      <x:c r="F123" s="11" t="n">
        <x:f>IF(AND(ISNUMBER(H123),ISNUMBER(G123),G123&gt;0),H123/G123,"")</x:f>
        <x:v>249.15254237288138</x:v>
      </x:c>
      <x:c r="G123" s="12" t="n">
        <x:f>IF(AND(COUNT(P123:R123)=3,MIN(P123:R123)&gt;=0,P123&lt;=Q123,Q123&lt;=R123),P123/7*0.5+Q123/14*0.3+R123/30*0.2,"")</x:f>
        <x:v>0.028095238095238093</x:v>
      </x:c>
      <x:c r="H123" s="10" t="n">
        <x:f>IF(ISNUMBER(U123),U123,"")</x:f>
        <x:v>7</x:v>
      </x:c>
      <x:c r="I123" s="10" t="n">
        <x:v>8</x:v>
      </x:c>
      <x:c r="J123" s="11" t="str">
        <x:f>IF(AND(Z123="共同",ISNUMBER(F123),ISNUMBER(M123)),F123-M123,"")</x:f>
      </x:c>
      <x:c r="K123" s="13" t="str">
        <x:f>IF(AND(ISNUMBER(J123),M123&lt;&gt;0),J123/M123,"")</x:f>
      </x:c>
      <x:c r="L123" s="10" t="str">
        <x:v>零日销待复核</x:v>
      </x:c>
      <x:c r="M123" s="11"/>
      <x:c r="N123" s="10" t="n">
        <x:f>IF(AND(Z123="共同",COUNT(H123:I123)=2),H123-I123,"")</x:f>
        <x:v>-1</x:v>
      </x:c>
      <x:c r="O123" s="10" t="n">
        <x:v>0</x:v>
      </x:c>
      <x:c r="P123" s="10" t="n">
        <x:v>0</x:v>
      </x:c>
      <x:c r="Q123" s="10" t="n">
        <x:v>1</x:v>
      </x:c>
      <x:c r="R123" s="10" t="n">
        <x:v>1</x:v>
      </x:c>
      <x:c r="S123" s="10" t="n">
        <x:v>7</x:v>
      </x:c>
      <x:c r="T123" s="10" t="n">
        <x:v>0</x:v>
      </x:c>
      <x:c r="U123" s="10" t="n">
        <x:f>IF(AND(ISNUMBER(X123),X123&gt;=0,Y123&lt;&gt;1),X123,"")</x:f>
        <x:v>7</x:v>
      </x:c>
      <x:c r="V123" s="10" t="n">
        <x:v>0</x:v>
      </x:c>
      <x:c r="W123" s="10" t="n">
        <x:v>0</x:v>
      </x:c>
      <x:c r="X123" s="10" t="n">
        <x:v>7</x:v>
      </x:c>
      <x:c r="Y123" s="3" t="n">
        <x:v>0</x:v>
      </x:c>
      <x:c r="Z123" s="3" t="str">
        <x:v>共同</x:v>
      </x:c>
      <x:c r="AA123" s="3" t="str">
        <x:v>在售</x:v>
      </x:c>
      <x:c r="AB123" s="12" t="n">
        <x:f>IF(AND(Z123="共同",ISNUMBER(G123),ISNUMBER(AD123)),G123-AD123,"")</x:f>
        <x:v>0.028095238095238093</x:v>
      </x:c>
      <x:c r="AC123" s="3" t="str"/>
      <x:c r="AD123" s="12" t="n">
        <x:v>0</x:v>
      </x:c>
      <x:c r="AE123" s="3" t="str">
        <x:v>[13306,"B07-ND-Z-0-38"]</x:v>
      </x:c>
      <x:c r="AF123" t="n">
        <x:f>IF(ISNUMBER(H123),1,0)</x:f>
        <x:v>1</x:v>
      </x:c>
      <x:c r="AG123" t="n">
        <x:f>IF(ISNUMBER(I123),1,0)</x:f>
        <x:v>1</x:v>
      </x:c>
      <x:c r="AH123" t="str">
        <x:v>["B07","B07-ND-Z-0","ND-Z","裸色镜面PU"]</x:v>
      </x:c>
      <x:c r="AI123" t="n">
        <x:f>IF(ISNUMBER(G123),1,0)</x:f>
        <x:v>1</x:v>
      </x:c>
      <x:c r="AJ123" t="n">
        <x:f>IF(ISNUMBER(AD123),1,0)</x:f>
        <x:v>1</x:v>
      </x:c>
    </x:row>
    <x:row r="124" ht="30" customHeight="1">
      <x:c r="A124" s="3" t="str">
        <x:v>B07-ND-Z-0-40.5</x:v>
      </x:c>
      <x:c r="B124" s="3" t="str">
        <x:v>4店-彬郁-US</x:v>
      </x:c>
      <x:c r="C124" s="3" t="str">
        <x:v>艾年</x:v>
      </x:c>
      <x:c r="D124" s="3" t="str">
        <x:v>B07</x:v>
      </x:c>
      <x:c r="E124" s="3" t="str">
        <x:f>IF(Z124="移出","已移出",IF(NOT(ISNUMBER(H124)),"数据待核",IF(H124=0,"断货",IF(NOT(ISNUMBER(G124)),"数据待核",IF(G124=0,"零日销待复核",IF(F124&lt;60,"补货提醒",IF(F124&lt;=90,"正常库存",IF(F124&lt;180,"促销",IF(F124&lt;=365,"红线促销","考虑清仓")))))))))</x:f>
        <x:v>红线促销</x:v>
      </x:c>
      <x:c r="F124" s="11" t="n">
        <x:f>IF(AND(ISNUMBER(H124),ISNUMBER(G124),G124&gt;0),H124/G124,"")</x:f>
        <x:v>345.2054794520548</x:v>
      </x:c>
      <x:c r="G124" s="12" t="n">
        <x:f>IF(AND(COUNT(P124:R124)=3,MIN(P124:R124)&gt;=0,P124&lt;=Q124,Q124&lt;=R124),P124/7*0.5+Q124/14*0.3+R124/30*0.2,"")</x:f>
        <x:v>0.03476190476190476</x:v>
      </x:c>
      <x:c r="H124" s="10" t="n">
        <x:f>IF(ISNUMBER(U124),U124,"")</x:f>
        <x:v>12</x:v>
      </x:c>
      <x:c r="I124" s="10" t="n">
        <x:v>13</x:v>
      </x:c>
      <x:c r="J124" s="11" t="n">
        <x:f>IF(AND(Z124="共同",ISNUMBER(F124),ISNUMBER(M124)),F124-M124,"")</x:f>
        <x:v>-117.50638495472481</x:v>
      </x:c>
      <x:c r="K124" s="13" t="n">
        <x:f>IF(AND(ISNUMBER(J124),M124&lt;&gt;0),J124/M124,"")</x:f>
        <x:v>-0.25395152792413056</x:v>
      </x:c>
      <x:c r="L124" s="10" t="str">
        <x:v>考虑清仓</x:v>
      </x:c>
      <x:c r="M124" s="11" t="n">
        <x:v>462.7118644067796</x:v>
      </x:c>
      <x:c r="N124" s="10" t="n">
        <x:f>IF(AND(Z124="共同",COUNT(H124:I124)=2),H124-I124,"")</x:f>
        <x:v>-1</x:v>
      </x:c>
      <x:c r="O124" s="10" t="n">
        <x:v>0</x:v>
      </x:c>
      <x:c r="P124" s="10" t="n">
        <x:v>0</x:v>
      </x:c>
      <x:c r="Q124" s="10" t="n">
        <x:v>1</x:v>
      </x:c>
      <x:c r="R124" s="10" t="n">
        <x:v>2</x:v>
      </x:c>
      <x:c r="S124" s="10" t="n">
        <x:v>12</x:v>
      </x:c>
      <x:c r="T124" s="10" t="n">
        <x:v>0</x:v>
      </x:c>
      <x:c r="U124" s="10" t="n">
        <x:f>IF(AND(ISNUMBER(X124),X124&gt;=0,Y124&lt;&gt;1),X124,"")</x:f>
        <x:v>12</x:v>
      </x:c>
      <x:c r="V124" s="10" t="n">
        <x:v>0</x:v>
      </x:c>
      <x:c r="W124" s="10" t="n">
        <x:v>0</x:v>
      </x:c>
      <x:c r="X124" s="10" t="n">
        <x:v>12</x:v>
      </x:c>
      <x:c r="Y124" s="3" t="n">
        <x:v>0</x:v>
      </x:c>
      <x:c r="Z124" s="3" t="str">
        <x:v>共同</x:v>
      </x:c>
      <x:c r="AA124" s="3" t="str">
        <x:v>在售</x:v>
      </x:c>
      <x:c r="AB124" s="12" t="n">
        <x:f>IF(AND(Z124="共同",ISNUMBER(G124),ISNUMBER(AD124)),G124-AD124,"")</x:f>
        <x:v>0.006666666666666661</x:v>
      </x:c>
      <x:c r="AC124" s="3" t="str"/>
      <x:c r="AD124" s="12" t="n">
        <x:v>0.028095238095238097</x:v>
      </x:c>
      <x:c r="AE124" s="3" t="str">
        <x:v>[13306,"B07-ND-Z-0-40.5"]</x:v>
      </x:c>
      <x:c r="AF124" t="n">
        <x:f>IF(ISNUMBER(H124),1,0)</x:f>
        <x:v>1</x:v>
      </x:c>
      <x:c r="AG124" t="n">
        <x:f>IF(ISNUMBER(I124),1,0)</x:f>
        <x:v>1</x:v>
      </x:c>
      <x:c r="AH124" t="str">
        <x:v>["B07","B07-ND-Z-0","ND-Z","裸色镜面PU"]</x:v>
      </x:c>
      <x:c r="AI124" t="n">
        <x:f>IF(ISNUMBER(G124),1,0)</x:f>
        <x:v>1</x:v>
      </x:c>
      <x:c r="AJ124" t="n">
        <x:f>IF(ISNUMBER(AD124),1,0)</x:f>
        <x:v>1</x:v>
      </x:c>
    </x:row>
    <x:row r="125" ht="30" customHeight="1">
      <x:c r="A125" s="3" t="str">
        <x:v>B07-NY-40.5-by</x:v>
      </x:c>
      <x:c r="B125" s="3" t="str">
        <x:v>4店-彬郁-US</x:v>
      </x:c>
      <x:c r="C125" s="3" t="str">
        <x:v>艾年</x:v>
      </x:c>
      <x:c r="D125" s="3" t="str">
        <x:v>B07</x:v>
      </x:c>
      <x:c r="E125" s="3" t="str">
        <x:f>IF(Z125="移出","已移出",IF(NOT(ISNUMBER(H125)),"数据待核",IF(H125=0,"断货",IF(NOT(ISNUMBER(G125)),"数据待核",IF(G125=0,"零日销待复核",IF(F125&lt;60,"补货提醒",IF(F125&lt;=90,"正常库存",IF(F125&lt;180,"促销",IF(F125&lt;=365,"红线促销","考虑清仓")))))))))</x:f>
        <x:v>红线促销</x:v>
      </x:c>
      <x:c r="F125" s="11" t="n">
        <x:f>IF(AND(ISNUMBER(H125),ISNUMBER(G125),G125&gt;0),H125/G125,"")</x:f>
        <x:v>197.0674486803519</x:v>
      </x:c>
      <x:c r="G125" s="12" t="n">
        <x:f>IF(AND(COUNT(P125:R125)=3,MIN(P125:R125)&gt;=0,P125&lt;=Q125,Q125&lt;=R125),P125/7*0.5+Q125/14*0.3+R125/30*0.2,"")</x:f>
        <x:v>0.16238095238095238</x:v>
      </x:c>
      <x:c r="H125" s="10" t="n">
        <x:f>IF(ISNUMBER(U125),U125,"")</x:f>
        <x:v>32</x:v>
      </x:c>
      <x:c r="I125" s="10" t="n">
        <x:v>14</x:v>
      </x:c>
      <x:c r="J125" s="11" t="n">
        <x:f>IF(AND(Z125="共同",ISNUMBER(F125),ISNUMBER(M125)),F125-M125,"")</x:f>
        <x:v>65.2288836579304</x:v>
      </x:c>
      <x:c r="K125" s="13" t="n">
        <x:f>IF(AND(ISNUMBER(J125),M125&lt;&gt;0),J125/M125,"")</x:f>
        <x:v>0.4947633012149143</x:v>
      </x:c>
      <x:c r="L125" s="10" t="str">
        <x:v>促销</x:v>
      </x:c>
      <x:c r="M125" s="11" t="n">
        <x:v>131.8385650224215</x:v>
      </x:c>
      <x:c r="N125" s="10" t="n">
        <x:f>IF(AND(Z125="共同",COUNT(H125:I125)=2),H125-I125,"")</x:f>
        <x:v>18</x:v>
      </x:c>
      <x:c r="O125" s="10" t="n">
        <x:v>0</x:v>
      </x:c>
      <x:c r="P125" s="10" t="n">
        <x:v>1</x:v>
      </x:c>
      <x:c r="Q125" s="10" t="n">
        <x:v>3</x:v>
      </x:c>
      <x:c r="R125" s="10" t="n">
        <x:v>4</x:v>
      </x:c>
      <x:c r="S125" s="10" t="n">
        <x:v>40</x:v>
      </x:c>
      <x:c r="T125" s="10" t="n">
        <x:v>0</x:v>
      </x:c>
      <x:c r="U125" s="10" t="n">
        <x:f>IF(AND(ISNUMBER(X125),X125&gt;=0,Y125&lt;&gt;1),X125,"")</x:f>
        <x:v>32</x:v>
      </x:c>
      <x:c r="V125" s="10" t="n">
        <x:v>0</x:v>
      </x:c>
      <x:c r="W125" s="10" t="n">
        <x:v>0</x:v>
      </x:c>
      <x:c r="X125" s="10" t="n">
        <x:v>32</x:v>
      </x:c>
      <x:c r="Y125" s="3" t="n">
        <x:v>0</x:v>
      </x:c>
      <x:c r="Z125" s="3" t="str">
        <x:v>共同</x:v>
      </x:c>
      <x:c r="AA125" s="3" t="str">
        <x:v>在售</x:v>
      </x:c>
      <x:c r="AB125" s="12" t="n">
        <x:f>IF(AND(Z125="共同",ISNUMBER(G125),ISNUMBER(AD125)),G125-AD125,"")</x:f>
        <x:v>0.05619047619047618</x:v>
      </x:c>
      <x:c r="AC125" s="3" t="str"/>
      <x:c r="AD125" s="12" t="n">
        <x:v>0.1061904761904762</x:v>
      </x:c>
      <x:c r="AE125" s="3" t="str">
        <x:v>[13306,"B07-NY-40.5-by"]</x:v>
      </x:c>
      <x:c r="AF125" t="n">
        <x:f>IF(ISNUMBER(H125),1,0)</x:f>
        <x:v>1</x:v>
      </x:c>
      <x:c r="AG125" t="n">
        <x:f>IF(ISNUMBER(I125),1,0)</x:f>
        <x:v>1</x:v>
      </x:c>
      <x:c r="AH125" t="str">
        <x:v>["B07","B07-NY","NY","藏青色羊京绒"]</x:v>
      </x:c>
      <x:c r="AI125" t="n">
        <x:f>IF(ISNUMBER(G125),1,0)</x:f>
        <x:v>1</x:v>
      </x:c>
      <x:c r="AJ125" t="n">
        <x:f>IF(ISNUMBER(AD125),1,0)</x:f>
        <x:v>1</x:v>
      </x:c>
    </x:row>
    <x:row r="126" ht="30" customHeight="1">
      <x:c r="A126" s="3" t="str">
        <x:v>B07-NY-41.5-by</x:v>
      </x:c>
      <x:c r="B126" s="3" t="str">
        <x:v>4店-彬郁-US</x:v>
      </x:c>
      <x:c r="C126" s="3" t="str">
        <x:v>艾年</x:v>
      </x:c>
      <x:c r="D126" s="3" t="str">
        <x:v>B07</x:v>
      </x:c>
      <x:c r="E126" s="3" t="str">
        <x:f>IF(Z126="移出","已移出",IF(NOT(ISNUMBER(H126)),"数据待核",IF(H126=0,"断货",IF(NOT(ISNUMBER(G126)),"数据待核",IF(G126=0,"零日销待复核",IF(F126&lt;60,"补货提醒",IF(F126&lt;=90,"正常库存",IF(F126&lt;180,"促销",IF(F126&lt;=365,"红线促销","考虑清仓")))))))))</x:f>
        <x:v>红线促销</x:v>
      </x:c>
      <x:c r="F126" s="11" t="n">
        <x:f>IF(AND(ISNUMBER(H126),ISNUMBER(G126),G126&gt;0),H126/G126,"")</x:f>
        <x:v>300</x:v>
      </x:c>
      <x:c r="G126" s="12" t="n">
        <x:f>IF(AND(COUNT(P126:R126)=3,MIN(P126:R126)&gt;=0,P126&lt;=Q126,Q126&lt;=R126),P126/7*0.5+Q126/14*0.3+R126/30*0.2,"")</x:f>
        <x:v>0.006666666666666667</x:v>
      </x:c>
      <x:c r="H126" s="10" t="n">
        <x:f>IF(ISNUMBER(U126),U126,"")</x:f>
        <x:v>2</x:v>
      </x:c>
      <x:c r="I126" s="10" t="n">
        <x:v>2</x:v>
      </x:c>
      <x:c r="J126" s="11" t="n">
        <x:f>IF(AND(Z126="共同",ISNUMBER(F126),ISNUMBER(M126)),F126-M126,"")</x:f>
        <x:v>279.9043062200957</x:v>
      </x:c>
      <x:c r="K126" s="13" t="n">
        <x:f>IF(AND(ISNUMBER(J126),M126&lt;&gt;0),J126/M126,"")</x:f>
        <x:v>13.928571428571427</x:v>
      </x:c>
      <x:c r="L126" s="10" t="str">
        <x:v>补货提醒</x:v>
      </x:c>
      <x:c r="M126" s="11" t="n">
        <x:v>20.09569377990431</x:v>
      </x:c>
      <x:c r="N126" s="10" t="n">
        <x:f>IF(AND(Z126="共同",COUNT(H126:I126)=2),H126-I126,"")</x:f>
        <x:v>0</x:v>
      </x:c>
      <x:c r="O126" s="10" t="n">
        <x:v>0</x:v>
      </x:c>
      <x:c r="P126" s="10" t="n">
        <x:v>0</x:v>
      </x:c>
      <x:c r="Q126" s="10" t="n">
        <x:v>0</x:v>
      </x:c>
      <x:c r="R126" s="10" t="n">
        <x:v>1</x:v>
      </x:c>
      <x:c r="S126" s="10" t="n">
        <x:v>2</x:v>
      </x:c>
      <x:c r="T126" s="10" t="n">
        <x:v>0</x:v>
      </x:c>
      <x:c r="U126" s="10" t="n">
        <x:f>IF(AND(ISNUMBER(X126),X126&gt;=0,Y126&lt;&gt;1),X126,"")</x:f>
        <x:v>2</x:v>
      </x:c>
      <x:c r="V126" s="10" t="n">
        <x:v>0</x:v>
      </x:c>
      <x:c r="W126" s="10" t="n">
        <x:v>0</x:v>
      </x:c>
      <x:c r="X126" s="10" t="n">
        <x:v>2</x:v>
      </x:c>
      <x:c r="Y126" s="3" t="n">
        <x:v>0</x:v>
      </x:c>
      <x:c r="Z126" s="3" t="str">
        <x:v>共同</x:v>
      </x:c>
      <x:c r="AA126" s="3" t="str">
        <x:v>在售</x:v>
      </x:c>
      <x:c r="AB126" s="12" t="n">
        <x:f>IF(AND(Z126="共同",ISNUMBER(G126),ISNUMBER(AD126)),G126-AD126,"")</x:f>
        <x:v>-0.09285714285714285</x:v>
      </x:c>
      <x:c r="AC126" s="3" t="str"/>
      <x:c r="AD126" s="12" t="n">
        <x:v>0.09952380952380951</x:v>
      </x:c>
      <x:c r="AE126" s="3" t="str">
        <x:v>[13306,"B07-NY-41.5-by"]</x:v>
      </x:c>
      <x:c r="AF126" t="n">
        <x:f>IF(ISNUMBER(H126),1,0)</x:f>
        <x:v>1</x:v>
      </x:c>
      <x:c r="AG126" t="n">
        <x:f>IF(ISNUMBER(I126),1,0)</x:f>
        <x:v>1</x:v>
      </x:c>
      <x:c r="AH126" t="str">
        <x:v>["B07","B07-NY","NY","藏青色羊京绒"]</x:v>
      </x:c>
      <x:c r="AI126" t="n">
        <x:f>IF(ISNUMBER(G126),1,0)</x:f>
        <x:v>1</x:v>
      </x:c>
      <x:c r="AJ126" t="n">
        <x:f>IF(ISNUMBER(AD126),1,0)</x:f>
        <x:v>1</x:v>
      </x:c>
    </x:row>
    <x:row r="127" ht="30" customHeight="1">
      <x:c r="A127" s="3" t="str">
        <x:v>B07-TN-38-by</x:v>
      </x:c>
      <x:c r="B127" s="3" t="str">
        <x:v>4店-彬郁-US</x:v>
      </x:c>
      <x:c r="C127" s="3" t="str">
        <x:v>艾年</x:v>
      </x:c>
      <x:c r="D127" s="3" t="str">
        <x:v>B07</x:v>
      </x:c>
      <x:c r="E127" s="3" t="str">
        <x:f>IF(Z127="移出","已移出",IF(NOT(ISNUMBER(H127)),"数据待核",IF(H127=0,"断货",IF(NOT(ISNUMBER(G127)),"数据待核",IF(G127=0,"零日销待复核",IF(F127&lt;60,"补货提醒",IF(F127&lt;=90,"正常库存",IF(F127&lt;180,"促销",IF(F127&lt;=365,"红线促销","考虑清仓")))))))))</x:f>
        <x:v>红线促销</x:v>
      </x:c>
      <x:c r="F127" s="11" t="n">
        <x:f>IF(AND(ISNUMBER(H127),ISNUMBER(G127),G127&gt;0),H127/G127,"")</x:f>
        <x:v>359.5890410958905</x:v>
      </x:c>
      <x:c r="G127" s="12" t="n">
        <x:f>IF(AND(COUNT(P127:R127)=3,MIN(P127:R127)&gt;=0,P127&lt;=Q127,Q127&lt;=R127),P127/7*0.5+Q127/14*0.3+R127/30*0.2,"")</x:f>
        <x:v>0.06952380952380952</x:v>
      </x:c>
      <x:c r="H127" s="10" t="n">
        <x:f>IF(ISNUMBER(U127),U127,"")</x:f>
        <x:v>25</x:v>
      </x:c>
      <x:c r="I127" s="10" t="n">
        <x:v>27</x:v>
      </x:c>
      <x:c r="J127" s="11" t="n">
        <x:f>IF(AND(Z127="共同",ISNUMBER(F127),ISNUMBER(M127)),F127-M127,"")</x:f>
        <x:v>168.03498704183642</x:v>
      </x:c>
      <x:c r="K127" s="13" t="n">
        <x:f>IF(AND(ISNUMBER(J127),M127&lt;&gt;0),J127/M127,"")</x:f>
        <x:v>0.8772196854388637</x:v>
      </x:c>
      <x:c r="L127" s="10" t="str">
        <x:v>红线促销</x:v>
      </x:c>
      <x:c r="M127" s="11" t="n">
        <x:v>191.55405405405406</x:v>
      </x:c>
      <x:c r="N127" s="10" t="n">
        <x:f>IF(AND(Z127="共同",COUNT(H127:I127)=2),H127-I127,"")</x:f>
        <x:v>-2</x:v>
      </x:c>
      <x:c r="O127" s="10" t="n">
        <x:v>0</x:v>
      </x:c>
      <x:c r="P127" s="10" t="n">
        <x:v>0</x:v>
      </x:c>
      <x:c r="Q127" s="10" t="n">
        <x:v>2</x:v>
      </x:c>
      <x:c r="R127" s="10" t="n">
        <x:v>4</x:v>
      </x:c>
      <x:c r="S127" s="10" t="n">
        <x:v>26</x:v>
      </x:c>
      <x:c r="T127" s="10" t="n">
        <x:v>0</x:v>
      </x:c>
      <x:c r="U127" s="10" t="n">
        <x:f>IF(AND(ISNUMBER(X127),X127&gt;=0,Y127&lt;&gt;1),X127,"")</x:f>
        <x:v>25</x:v>
      </x:c>
      <x:c r="V127" s="10" t="n">
        <x:v>0</x:v>
      </x:c>
      <x:c r="W127" s="10" t="n">
        <x:v>0</x:v>
      </x:c>
      <x:c r="X127" s="10" t="n">
        <x:v>25</x:v>
      </x:c>
      <x:c r="Y127" s="3" t="n">
        <x:v>0</x:v>
      </x:c>
      <x:c r="Z127" s="3" t="str">
        <x:v>共同</x:v>
      </x:c>
      <x:c r="AA127" s="3" t="str">
        <x:v>在售</x:v>
      </x:c>
      <x:c r="AB127" s="12" t="n">
        <x:f>IF(AND(Z127="共同",ISNUMBER(G127),ISNUMBER(AD127)),G127-AD127,"")</x:f>
        <x:v>-0.07142857142857142</x:v>
      </x:c>
      <x:c r="AC127" s="3" t="str"/>
      <x:c r="AD127" s="12" t="n">
        <x:v>0.14095238095238094</x:v>
      </x:c>
      <x:c r="AE127" s="3" t="str">
        <x:v>[13306,"B07-TN-38-by"]</x:v>
      </x:c>
      <x:c r="AF127" t="n">
        <x:f>IF(ISNUMBER(H127),1,0)</x:f>
        <x:v>1</x:v>
      </x:c>
      <x:c r="AG127" t="n">
        <x:f>IF(ISNUMBER(I127),1,0)</x:f>
        <x:v>1</x:v>
      </x:c>
      <x:c r="AH127" t="str">
        <x:v>["B07","B07-TN","TN","驼色羊京绒"]</x:v>
      </x:c>
      <x:c r="AI127" t="n">
        <x:f>IF(ISNUMBER(G127),1,0)</x:f>
        <x:v>1</x:v>
      </x:c>
      <x:c r="AJ127" t="n">
        <x:f>IF(ISNUMBER(AD127),1,0)</x:f>
        <x:v>1</x:v>
      </x:c>
    </x:row>
    <x:row r="128" ht="30" customHeight="1">
      <x:c r="A128" s="3" t="str">
        <x:v>B07-WT-37-New</x:v>
      </x:c>
      <x:c r="B128" s="3" t="str">
        <x:v>4店-彬郁-US</x:v>
      </x:c>
      <x:c r="C128" s="3" t="str">
        <x:v>艾年</x:v>
      </x:c>
      <x:c r="D128" s="3" t="str">
        <x:v>B07</x:v>
      </x:c>
      <x:c r="E128" s="3" t="str">
        <x:f>IF(Z128="移出","已移出",IF(NOT(ISNUMBER(H128)),"数据待核",IF(H128=0,"断货",IF(NOT(ISNUMBER(G128)),"数据待核",IF(G128=0,"零日销待复核",IF(F128&lt;60,"补货提醒",IF(F128&lt;=90,"正常库存",IF(F128&lt;180,"促销",IF(F128&lt;=365,"红线促销","考虑清仓")))))))))</x:f>
        <x:v>红线促销</x:v>
      </x:c>
      <x:c r="F128" s="11" t="n">
        <x:f>IF(AND(ISNUMBER(H128),ISNUMBER(G128),G128&gt;0),H128/G128,"")</x:f>
        <x:v>300</x:v>
      </x:c>
      <x:c r="G128" s="12" t="n">
        <x:f>IF(AND(COUNT(P128:R128)=3,MIN(P128:R128)&gt;=0,P128&lt;=Q128,Q128&lt;=R128),P128/7*0.5+Q128/14*0.3+R128/30*0.2,"")</x:f>
        <x:v>0.006666666666666667</x:v>
      </x:c>
      <x:c r="H128" s="10" t="n">
        <x:f>IF(ISNUMBER(U128),U128,"")</x:f>
        <x:v>2</x:v>
      </x:c>
      <x:c r="I128" s="10" t="n">
        <x:v>2</x:v>
      </x:c>
      <x:c r="J128" s="11" t="n">
        <x:f>IF(AND(Z128="共同",ISNUMBER(F128),ISNUMBER(M128)),F128-M128,"")</x:f>
        <x:v>279.9043062200957</x:v>
      </x:c>
      <x:c r="K128" s="13" t="n">
        <x:f>IF(AND(ISNUMBER(J128),M128&lt;&gt;0),J128/M128,"")</x:f>
        <x:v>13.928571428571427</x:v>
      </x:c>
      <x:c r="L128" s="10" t="str">
        <x:v>补货提醒</x:v>
      </x:c>
      <x:c r="M128" s="11" t="n">
        <x:v>20.09569377990431</x:v>
      </x:c>
      <x:c r="N128" s="10" t="n">
        <x:f>IF(AND(Z128="共同",COUNT(H128:I128)=2),H128-I128,"")</x:f>
        <x:v>0</x:v>
      </x:c>
      <x:c r="O128" s="10" t="n">
        <x:v>0</x:v>
      </x:c>
      <x:c r="P128" s="10" t="n">
        <x:v>0</x:v>
      </x:c>
      <x:c r="Q128" s="10" t="n">
        <x:v>0</x:v>
      </x:c>
      <x:c r="R128" s="10" t="n">
        <x:v>1</x:v>
      </x:c>
      <x:c r="S128" s="10" t="n">
        <x:v>2</x:v>
      </x:c>
      <x:c r="T128" s="10" t="n">
        <x:v>0</x:v>
      </x:c>
      <x:c r="U128" s="10" t="n">
        <x:f>IF(AND(ISNUMBER(X128),X128&gt;=0,Y128&lt;&gt;1),X128,"")</x:f>
        <x:v>2</x:v>
      </x:c>
      <x:c r="V128" s="10" t="n">
        <x:v>0</x:v>
      </x:c>
      <x:c r="W128" s="10" t="n">
        <x:v>0</x:v>
      </x:c>
      <x:c r="X128" s="10" t="n">
        <x:v>2</x:v>
      </x:c>
      <x:c r="Y128" s="3" t="n">
        <x:v>0</x:v>
      </x:c>
      <x:c r="Z128" s="3" t="str">
        <x:v>共同</x:v>
      </x:c>
      <x:c r="AA128" s="3" t="str">
        <x:v>在售</x:v>
      </x:c>
      <x:c r="AB128" s="12" t="n">
        <x:f>IF(AND(Z128="共同",ISNUMBER(G128),ISNUMBER(AD128)),G128-AD128,"")</x:f>
        <x:v>-0.09285714285714285</x:v>
      </x:c>
      <x:c r="AC128" s="3" t="str"/>
      <x:c r="AD128" s="12" t="n">
        <x:v>0.09952380952380951</x:v>
      </x:c>
      <x:c r="AE128" s="3" t="str">
        <x:v>[13306,"B07-WT-37-New"]</x:v>
      </x:c>
      <x:c r="AF128" t="n">
        <x:f>IF(ISNUMBER(H128),1,0)</x:f>
        <x:v>1</x:v>
      </x:c>
      <x:c r="AG128" t="n">
        <x:f>IF(ISNUMBER(I128),1,0)</x:f>
        <x:v>1</x:v>
      </x:c>
      <x:c r="AH128" t="str">
        <x:v>["B07","B07-WT","WT","白色PU"]</x:v>
      </x:c>
      <x:c r="AI128" t="n">
        <x:f>IF(ISNUMBER(G128),1,0)</x:f>
        <x:v>1</x:v>
      </x:c>
      <x:c r="AJ128" t="n">
        <x:f>IF(ISNUMBER(AD128),1,0)</x:f>
        <x:v>1</x:v>
      </x:c>
    </x:row>
    <x:row r="129" ht="30" customHeight="1">
      <x:c r="A129" s="3" t="str">
        <x:v>S02-TNP-41</x:v>
      </x:c>
      <x:c r="B129" s="3" t="str">
        <x:v>3店-SANDIEX-US</x:v>
      </x:c>
      <x:c r="C129" s="3" t="str">
        <x:v>陈晨</x:v>
      </x:c>
      <x:c r="D129" s="3" t="str">
        <x:v>S02</x:v>
      </x:c>
      <x:c r="E129" s="3" t="str">
        <x:f>IF(Z129="移出","已移出",IF(NOT(ISNUMBER(H129)),"数据待核",IF(H129=0,"断货",IF(NOT(ISNUMBER(G129)),"数据待核",IF(G129=0,"零日销待复核",IF(F129&lt;60,"补货提醒",IF(F129&lt;=90,"正常库存",IF(F129&lt;180,"促销",IF(F129&lt;=365,"红线促销","考虑清仓")))))))))</x:f>
        <x:v>红线促销</x:v>
      </x:c>
      <x:c r="F129" s="11" t="n">
        <x:f>IF(AND(ISNUMBER(H129),ISNUMBER(G129),G129&gt;0),H129/G129,"")</x:f>
        <x:v>242.11764705882354</x:v>
      </x:c>
      <x:c r="G129" s="12" t="n">
        <x:f>IF(AND(COUNT(P129:R129)=3,MIN(P129:R129)&gt;=0,P129&lt;=Q129,Q129&lt;=R129),P129/7*0.5+Q129/14*0.3+R129/30*0.2,"")</x:f>
        <x:v>0.20238095238095238</x:v>
      </x:c>
      <x:c r="H129" s="10" t="n">
        <x:f>IF(ISNUMBER(U129),U129,"")</x:f>
        <x:v>49</x:v>
      </x:c>
      <x:c r="I129" s="10" t="n">
        <x:v>49</x:v>
      </x:c>
      <x:c r="J129" s="11" t="n">
        <x:f>IF(AND(Z129="共同",ISNUMBER(F129),ISNUMBER(M129)),F129-M129,"")</x:f>
        <x:v>165.38386629819712</x:v>
      </x:c>
      <x:c r="K129" s="13" t="n">
        <x:f>IF(AND(ISNUMBER(J129),M129&lt;&gt;0),J129/M129,"")</x:f>
        <x:v>2.1552941176470584</x:v>
      </x:c>
      <x:c r="L129" s="10" t="str">
        <x:v>正常库存</x:v>
      </x:c>
      <x:c r="M129" s="11" t="n">
        <x:v>76.7337807606264</x:v>
      </x:c>
      <x:c r="N129" s="10" t="n">
        <x:f>IF(AND(Z129="共同",COUNT(H129:I129)=2),H129-I129,"")</x:f>
        <x:v>0</x:v>
      </x:c>
      <x:c r="O129" s="10" t="n">
        <x:v>0</x:v>
      </x:c>
      <x:c r="P129" s="10" t="n">
        <x:v>1</x:v>
      </x:c>
      <x:c r="Q129" s="10" t="n">
        <x:v>3</x:v>
      </x:c>
      <x:c r="R129" s="10" t="n">
        <x:v>10</x:v>
      </x:c>
      <x:c r="S129" s="10" t="n">
        <x:v>50</x:v>
      </x:c>
      <x:c r="T129" s="10" t="n">
        <x:v>0</x:v>
      </x:c>
      <x:c r="U129" s="10" t="n">
        <x:f>IF(AND(ISNUMBER(X129),X129&gt;=0,Y129&lt;&gt;1),X129,"")</x:f>
        <x:v>49</x:v>
      </x:c>
      <x:c r="V129" s="10" t="n">
        <x:v>0</x:v>
      </x:c>
      <x:c r="W129" s="10" t="n">
        <x:v>0</x:v>
      </x:c>
      <x:c r="X129" s="10" t="n">
        <x:v>49</x:v>
      </x:c>
      <x:c r="Y129" s="3" t="n">
        <x:v>0</x:v>
      </x:c>
      <x:c r="Z129" s="3" t="str">
        <x:v>共同</x:v>
      </x:c>
      <x:c r="AA129" s="3" t="str">
        <x:v>在售</x:v>
      </x:c>
      <x:c r="AB129" s="12" t="n">
        <x:f>IF(AND(Z129="共同",ISNUMBER(G129),ISNUMBER(AD129)),G129-AD129,"")</x:f>
        <x:v>-0.4361904761904762</x:v>
      </x:c>
      <x:c r="AC129" s="3" t="str"/>
      <x:c r="AD129" s="12" t="n">
        <x:v>0.6385714285714286</x:v>
      </x:c>
      <x:c r="AE129" s="3" t="str">
        <x:v>[6574,"S02-TNP-41"]</x:v>
      </x:c>
      <x:c r="AF129" t="n">
        <x:f>IF(ISNUMBER(H129),1,0)</x:f>
        <x:v>1</x:v>
      </x:c>
      <x:c r="AG129" t="n">
        <x:f>IF(ISNUMBER(I129),1,0)</x:f>
        <x:v>1</x:v>
      </x:c>
      <x:c r="AH129" t="str">
        <x:v>["S02","S02-TNP","TNP","驼色PU"]</x:v>
      </x:c>
      <x:c r="AI129" t="n">
        <x:f>IF(ISNUMBER(G129),1,0)</x:f>
        <x:v>1</x:v>
      </x:c>
      <x:c r="AJ129" t="n">
        <x:f>IF(ISNUMBER(AD129),1,0)</x:f>
        <x:v>1</x:v>
      </x:c>
    </x:row>
    <x:row r="130" ht="30" customHeight="1">
      <x:c r="A130" s="3" t="str">
        <x:v>S02a-BK-37</x:v>
      </x:c>
      <x:c r="B130" s="3" t="str">
        <x:v>3店-SANDIEX-US</x:v>
      </x:c>
      <x:c r="C130" s="3" t="str">
        <x:v>陈晨</x:v>
      </x:c>
      <x:c r="D130" s="3" t="str">
        <x:v>S02a</x:v>
      </x:c>
      <x:c r="E130" s="3" t="str">
        <x:f>IF(Z130="移出","已移出",IF(NOT(ISNUMBER(H130)),"数据待核",IF(H130=0,"断货",IF(NOT(ISNUMBER(G130)),"数据待核",IF(G130=0,"零日销待复核",IF(F130&lt;60,"补货提醒",IF(F130&lt;=90,"正常库存",IF(F130&lt;180,"促销",IF(F130&lt;=365,"红线促销","考虑清仓")))))))))</x:f>
        <x:v>红线促销</x:v>
      </x:c>
      <x:c r="F130" s="11" t="n">
        <x:f>IF(AND(ISNUMBER(H130),ISNUMBER(G130),G130&gt;0),H130/G130,"")</x:f>
        <x:v>251.19617224880386</x:v>
      </x:c>
      <x:c r="G130" s="12" t="n">
        <x:f>IF(AND(COUNT(P130:R130)=3,MIN(P130:R130)&gt;=0,P130&lt;=Q130,Q130&lt;=R130),P130/7*0.5+Q130/14*0.3+R130/30*0.2,"")</x:f>
        <x:v>0.09952380952380951</x:v>
      </x:c>
      <x:c r="H130" s="10" t="n">
        <x:f>IF(ISNUMBER(U130),U130,"")</x:f>
        <x:v>25</x:v>
      </x:c>
      <x:c r="I130" s="10" t="n">
        <x:v>26</x:v>
      </x:c>
      <x:c r="J130" s="11" t="str">
        <x:f>IF(AND(Z130="共同",ISNUMBER(F130),ISNUMBER(M130)),F130-M130,"")</x:f>
      </x:c>
      <x:c r="K130" s="13" t="str">
        <x:f>IF(AND(ISNUMBER(J130),M130&lt;&gt;0),J130/M130,"")</x:f>
      </x:c>
      <x:c r="L130" s="10" t="str">
        <x:v>零日销待复核</x:v>
      </x:c>
      <x:c r="M130" s="11"/>
      <x:c r="N130" s="10" t="n">
        <x:f>IF(AND(Z130="共同",COUNT(H130:I130)=2),H130-I130,"")</x:f>
        <x:v>-1</x:v>
      </x:c>
      <x:c r="O130" s="10" t="n">
        <x:v>232</x:v>
      </x:c>
      <x:c r="P130" s="10" t="n">
        <x:v>1</x:v>
      </x:c>
      <x:c r="Q130" s="10" t="n">
        <x:v>1</x:v>
      </x:c>
      <x:c r="R130" s="10" t="n">
        <x:v>1</x:v>
      </x:c>
      <x:c r="S130" s="10" t="n">
        <x:v>25</x:v>
      </x:c>
      <x:c r="T130" s="10" t="n">
        <x:v>0</x:v>
      </x:c>
      <x:c r="U130" s="10" t="n">
        <x:f>IF(AND(ISNUMBER(X130),X130&gt;=0,Y130&lt;&gt;1),X130,"")</x:f>
        <x:v>25</x:v>
      </x:c>
      <x:c r="V130" s="10" t="n">
        <x:v>0</x:v>
      </x:c>
      <x:c r="W130" s="10" t="n">
        <x:v>0</x:v>
      </x:c>
      <x:c r="X130" s="10" t="n">
        <x:v>25</x:v>
      </x:c>
      <x:c r="Y130" s="3" t="n">
        <x:v>0</x:v>
      </x:c>
      <x:c r="Z130" s="3" t="str">
        <x:v>共同</x:v>
      </x:c>
      <x:c r="AA130" s="3" t="str">
        <x:v>在售</x:v>
      </x:c>
      <x:c r="AB130" s="12" t="n">
        <x:f>IF(AND(Z130="共同",ISNUMBER(G130),ISNUMBER(AD130)),G130-AD130,"")</x:f>
        <x:v>0.09952380952380951</x:v>
      </x:c>
      <x:c r="AC130" s="3" t="str"/>
      <x:c r="AD130" s="12" t="n">
        <x:v>0</x:v>
      </x:c>
      <x:c r="AE130" s="3" t="str">
        <x:v>[6574,"S02a-BK-37"]</x:v>
      </x:c>
      <x:c r="AF130" t="n">
        <x:f>IF(ISNUMBER(H130),1,0)</x:f>
        <x:v>1</x:v>
      </x:c>
      <x:c r="AG130" t="n">
        <x:f>IF(ISNUMBER(I130),1,0)</x:f>
        <x:v>1</x:v>
      </x:c>
      <x:c r="AH130" t="str">
        <x:v>["S02a","S02a-BK","BK","黑色"]</x:v>
      </x:c>
      <x:c r="AI130" t="n">
        <x:f>IF(ISNUMBER(G130),1,0)</x:f>
        <x:v>1</x:v>
      </x:c>
      <x:c r="AJ130" t="n">
        <x:f>IF(ISNUMBER(AD130),1,0)</x:f>
        <x:v>1</x:v>
      </x:c>
    </x:row>
    <x:row r="131" ht="30" customHeight="1">
      <x:c r="A131" s="3" t="str">
        <x:v>S02a-ND1-38</x:v>
      </x:c>
      <x:c r="B131" s="3" t="str">
        <x:v>3店-SANDIEX-US</x:v>
      </x:c>
      <x:c r="C131" s="3" t="str">
        <x:v>陈晨</x:v>
      </x:c>
      <x:c r="D131" s="3" t="str">
        <x:v>S02a</x:v>
      </x:c>
      <x:c r="E131" s="3" t="str">
        <x:f>IF(Z131="移出","已移出",IF(NOT(ISNUMBER(H131)),"数据待核",IF(H131=0,"断货",IF(NOT(ISNUMBER(G131)),"数据待核",IF(G131=0,"零日销待复核",IF(F131&lt;60,"补货提醒",IF(F131&lt;=90,"正常库存",IF(F131&lt;180,"促销",IF(F131&lt;=365,"红线促销","考虑清仓")))))))))</x:f>
        <x:v>红线促销</x:v>
      </x:c>
      <x:c r="F131" s="11" t="n">
        <x:f>IF(AND(ISNUMBER(H131),ISNUMBER(G131),G131&gt;0),H131/G131,"")</x:f>
        <x:v>289.92537313432837</x:v>
      </x:c>
      <x:c r="G131" s="12" t="n">
        <x:f>IF(AND(COUNT(P131:R131)=3,MIN(P131:R131)&gt;=0,P131&lt;=Q131,Q131&lt;=R131),P131/7*0.5+Q131/14*0.3+R131/30*0.2,"")</x:f>
        <x:v>0.1276190476190476</x:v>
      </x:c>
      <x:c r="H131" s="10" t="n">
        <x:f>IF(ISNUMBER(U131),U131,"")</x:f>
        <x:v>37</x:v>
      </x:c>
      <x:c r="I131" s="10"/>
      <x:c r="J131" s="11" t="str">
        <x:f>IF(AND(Z131="共同",ISNUMBER(F131),ISNUMBER(M131)),F131-M131,"")</x:f>
      </x:c>
      <x:c r="K131" s="13" t="str">
        <x:f>IF(AND(ISNUMBER(J131),M131&lt;&gt;0),J131/M131,"")</x:f>
      </x:c>
      <x:c r="L131" s="10"/>
      <x:c r="M131" s="11"/>
      <x:c r="N131" s="10" t="str">
        <x:f>IF(AND(Z131="共同",COUNT(H131:I131)=2),H131-I131,"")</x:f>
      </x:c>
      <x:c r="O131" s="10" t="n">
        <x:v>0</x:v>
      </x:c>
      <x:c r="P131" s="10" t="n">
        <x:v>1</x:v>
      </x:c>
      <x:c r="Q131" s="10" t="n">
        <x:v>2</x:v>
      </x:c>
      <x:c r="R131" s="10" t="n">
        <x:v>2</x:v>
      </x:c>
      <x:c r="S131" s="10" t="n">
        <x:v>37</x:v>
      </x:c>
      <x:c r="T131" s="10" t="n">
        <x:v>0</x:v>
      </x:c>
      <x:c r="U131" s="10" t="n">
        <x:f>IF(AND(ISNUMBER(X131),X131&gt;=0,Y131&lt;&gt;1),X131,"")</x:f>
        <x:v>37</x:v>
      </x:c>
      <x:c r="V131" s="10" t="n">
        <x:v>0</x:v>
      </x:c>
      <x:c r="W131" s="10" t="n">
        <x:v>0</x:v>
      </x:c>
      <x:c r="X131" s="10" t="n">
        <x:v>37</x:v>
      </x:c>
      <x:c r="Y131" s="3" t="n">
        <x:v>0</x:v>
      </x:c>
      <x:c r="Z131" s="3" t="str">
        <x:v>新增</x:v>
      </x:c>
      <x:c r="AA131" s="3" t="str">
        <x:v>在售</x:v>
      </x:c>
      <x:c r="AB131" s="12" t="str">
        <x:f>IF(AND(Z131="共同",ISNUMBER(G131),ISNUMBER(AD131)),G131-AD131,"")</x:f>
      </x:c>
      <x:c r="AC131" s="3" t="str"/>
      <x:c r="AD131" s="12"/>
      <x:c r="AE131" s="3" t="str">
        <x:v>[6574,"S02a-ND1-38"]</x:v>
      </x:c>
      <x:c r="AF131" t="n">
        <x:f>IF(ISNUMBER(H131),1,0)</x:f>
        <x:v>1</x:v>
      </x:c>
      <x:c r="AG131" t="n">
        <x:f>IF(ISNUMBER(I131),1,0)</x:f>
        <x:v>0</x:v>
      </x:c>
      <x:c r="AH131" t="str">
        <x:v>["S02a","S02a-ND1","ND1","裸色"]</x:v>
      </x:c>
      <x:c r="AI131" t="n">
        <x:f>IF(ISNUMBER(G131),1,0)</x:f>
        <x:v>1</x:v>
      </x:c>
      <x:c r="AJ131" t="n">
        <x:f>IF(ISNUMBER(AD131),1,0)</x:f>
        <x:v>0</x:v>
      </x:c>
    </x:row>
    <x:row r="132" ht="30" customHeight="1">
      <x:c r="A132" s="3" t="str">
        <x:v>S02a-ND1-42</x:v>
      </x:c>
      <x:c r="B132" s="3" t="str">
        <x:v>3店-SANDIEX-US</x:v>
      </x:c>
      <x:c r="C132" s="3" t="str">
        <x:v>陈晨</x:v>
      </x:c>
      <x:c r="D132" s="3" t="str">
        <x:v>S02a</x:v>
      </x:c>
      <x:c r="E132" s="3" t="str">
        <x:f>IF(Z132="移出","已移出",IF(NOT(ISNUMBER(H132)),"数据待核",IF(H132=0,"断货",IF(NOT(ISNUMBER(G132)),"数据待核",IF(G132=0,"零日销待复核",IF(F132&lt;60,"补货提醒",IF(F132&lt;=90,"正常库存",IF(F132&lt;180,"促销",IF(F132&lt;=365,"红线促销","考虑清仓")))))))))</x:f>
        <x:v>红线促销</x:v>
      </x:c>
      <x:c r="F132" s="11" t="n">
        <x:f>IF(AND(ISNUMBER(H132),ISNUMBER(G132),G132&gt;0),H132/G132,"")</x:f>
        <x:v>230.1369863013699</x:v>
      </x:c>
      <x:c r="G132" s="12" t="n">
        <x:f>IF(AND(COUNT(P132:R132)=3,MIN(P132:R132)&gt;=0,P132&lt;=Q132,Q132&lt;=R132),P132/7*0.5+Q132/14*0.3+R132/30*0.2,"")</x:f>
        <x:v>0.03476190476190476</x:v>
      </x:c>
      <x:c r="H132" s="10" t="n">
        <x:f>IF(ISNUMBER(U132),U132,"")</x:f>
        <x:v>8</x:v>
      </x:c>
      <x:c r="I132" s="10"/>
      <x:c r="J132" s="11" t="str">
        <x:f>IF(AND(Z132="共同",ISNUMBER(F132),ISNUMBER(M132)),F132-M132,"")</x:f>
      </x:c>
      <x:c r="K132" s="13" t="str">
        <x:f>IF(AND(ISNUMBER(J132),M132&lt;&gt;0),J132/M132,"")</x:f>
      </x:c>
      <x:c r="L132" s="10"/>
      <x:c r="M132" s="11"/>
      <x:c r="N132" s="10" t="str">
        <x:f>IF(AND(Z132="共同",COUNT(H132:I132)=2),H132-I132,"")</x:f>
      </x:c>
      <x:c r="O132" s="10" t="n">
        <x:v>0</x:v>
      </x:c>
      <x:c r="P132" s="10" t="n">
        <x:v>0</x:v>
      </x:c>
      <x:c r="Q132" s="10" t="n">
        <x:v>1</x:v>
      </x:c>
      <x:c r="R132" s="10" t="n">
        <x:v>2</x:v>
      </x:c>
      <x:c r="S132" s="10" t="n">
        <x:v>8</x:v>
      </x:c>
      <x:c r="T132" s="10" t="n">
        <x:v>0</x:v>
      </x:c>
      <x:c r="U132" s="10" t="n">
        <x:f>IF(AND(ISNUMBER(X132),X132&gt;=0,Y132&lt;&gt;1),X132,"")</x:f>
        <x:v>8</x:v>
      </x:c>
      <x:c r="V132" s="10" t="n">
        <x:v>0</x:v>
      </x:c>
      <x:c r="W132" s="10" t="n">
        <x:v>0</x:v>
      </x:c>
      <x:c r="X132" s="10" t="n">
        <x:v>8</x:v>
      </x:c>
      <x:c r="Y132" s="3" t="n">
        <x:v>0</x:v>
      </x:c>
      <x:c r="Z132" s="3" t="str">
        <x:v>新增</x:v>
      </x:c>
      <x:c r="AA132" s="3" t="str">
        <x:v>在售</x:v>
      </x:c>
      <x:c r="AB132" s="12" t="str">
        <x:f>IF(AND(Z132="共同",ISNUMBER(G132),ISNUMBER(AD132)),G132-AD132,"")</x:f>
      </x:c>
      <x:c r="AC132" s="3" t="str"/>
      <x:c r="AD132" s="12"/>
      <x:c r="AE132" s="3" t="str">
        <x:v>[6574,"S02a-ND1-42"]</x:v>
      </x:c>
      <x:c r="AF132" t="n">
        <x:f>IF(ISNUMBER(H132),1,0)</x:f>
        <x:v>1</x:v>
      </x:c>
      <x:c r="AG132" t="n">
        <x:f>IF(ISNUMBER(I132),1,0)</x:f>
        <x:v>0</x:v>
      </x:c>
      <x:c r="AH132" t="str">
        <x:v>["S02a","S02a-ND1","ND1","裸色"]</x:v>
      </x:c>
      <x:c r="AI132" t="n">
        <x:f>IF(ISNUMBER(G132),1,0)</x:f>
        <x:v>1</x:v>
      </x:c>
      <x:c r="AJ132" t="n">
        <x:f>IF(ISNUMBER(AD132),1,0)</x:f>
        <x:v>0</x:v>
      </x:c>
    </x:row>
    <x:row r="133" ht="30" customHeight="1">
      <x:c r="A133" s="3" t="str">
        <x:v>S02b-BK-42</x:v>
      </x:c>
      <x:c r="B133" s="3" t="str">
        <x:v>3店-SANDIEX-US</x:v>
      </x:c>
      <x:c r="C133" s="3" t="str">
        <x:v>陈晨</x:v>
      </x:c>
      <x:c r="D133" s="3" t="str">
        <x:v>S02b</x:v>
      </x:c>
      <x:c r="E133" s="3" t="str">
        <x:f>IF(Z133="移出","已移出",IF(NOT(ISNUMBER(H133)),"数据待核",IF(H133=0,"断货",IF(NOT(ISNUMBER(G133)),"数据待核",IF(G133=0,"零日销待复核",IF(F133&lt;60,"补货提醒",IF(F133&lt;=90,"正常库存",IF(F133&lt;180,"促销",IF(F133&lt;=365,"红线促销","考虑清仓")))))))))</x:f>
        <x:v>红线促销</x:v>
      </x:c>
      <x:c r="F133" s="11" t="n">
        <x:f>IF(AND(ISNUMBER(H133),ISNUMBER(G133),G133&gt;0),H133/G133,"")</x:f>
        <x:v>225.75</x:v>
      </x:c>
      <x:c r="G133" s="12" t="n">
        <x:f>IF(AND(COUNT(P133:R133)=3,MIN(P133:R133)&gt;=0,P133&lt;=Q133,Q133&lt;=R133),P133/7*0.5+Q133/14*0.3+R133/30*0.2,"")</x:f>
        <x:v>0.19047619047619047</x:v>
      </x:c>
      <x:c r="H133" s="10" t="n">
        <x:f>IF(ISNUMBER(U133),U133,"")</x:f>
        <x:v>43</x:v>
      </x:c>
      <x:c r="I133" s="10" t="n">
        <x:v>25</x:v>
      </x:c>
      <x:c r="J133" s="11" t="n">
        <x:f>IF(AND(Z133="共同",ISNUMBER(F133),ISNUMBER(M133)),F133-M133,"")</x:f>
        <x:v>-230.77173913043487</x:v>
      </x:c>
      <x:c r="K133" s="13" t="n">
        <x:f>IF(AND(ISNUMBER(J133),M133&lt;&gt;0),J133/M133,"")</x:f>
        <x:v>-0.5055000000000001</x:v>
      </x:c>
      <x:c r="L133" s="10" t="str">
        <x:v>考虑清仓</x:v>
      </x:c>
      <x:c r="M133" s="11" t="n">
        <x:v>456.52173913043487</x:v>
      </x:c>
      <x:c r="N133" s="10" t="n">
        <x:f>IF(AND(Z133="共同",COUNT(H133:I133)=2),H133-I133,"")</x:f>
        <x:v>18</x:v>
      </x:c>
      <x:c r="O133" s="10" t="n">
        <x:v>38</x:v>
      </x:c>
      <x:c r="P133" s="10" t="n">
        <x:v>1</x:v>
      </x:c>
      <x:c r="Q133" s="10" t="n">
        <x:v>4</x:v>
      </x:c>
      <x:c r="R133" s="10" t="n">
        <x:v>5</x:v>
      </x:c>
      <x:c r="S133" s="10" t="n">
        <x:v>43</x:v>
      </x:c>
      <x:c r="T133" s="10" t="n">
        <x:v>0</x:v>
      </x:c>
      <x:c r="U133" s="10" t="n">
        <x:f>IF(AND(ISNUMBER(X133),X133&gt;=0,Y133&lt;&gt;1),X133,"")</x:f>
        <x:v>43</x:v>
      </x:c>
      <x:c r="V133" s="10" t="n">
        <x:v>0</x:v>
      </x:c>
      <x:c r="W133" s="10" t="n">
        <x:v>20</x:v>
      </x:c>
      <x:c r="X133" s="10" t="n">
        <x:v>43</x:v>
      </x:c>
      <x:c r="Y133" s="3" t="n">
        <x:v>0</x:v>
      </x:c>
      <x:c r="Z133" s="3" t="str">
        <x:v>共同</x:v>
      </x:c>
      <x:c r="AA133" s="3" t="str">
        <x:v>在售</x:v>
      </x:c>
      <x:c r="AB133" s="12" t="n">
        <x:f>IF(AND(Z133="共同",ISNUMBER(G133),ISNUMBER(AD133)),G133-AD133,"")</x:f>
        <x:v>0.1357142857142857</x:v>
      </x:c>
      <x:c r="AC133" s="3" t="str"/>
      <x:c r="AD133" s="12" t="n">
        <x:v>0.054761904761904755</x:v>
      </x:c>
      <x:c r="AE133" s="3" t="str">
        <x:v>[6574,"S02b-BK-42"]</x:v>
      </x:c>
      <x:c r="AF133" t="n">
        <x:f>IF(ISNUMBER(H133),1,0)</x:f>
        <x:v>1</x:v>
      </x:c>
      <x:c r="AG133" t="n">
        <x:f>IF(ISNUMBER(I133),1,0)</x:f>
        <x:v>1</x:v>
      </x:c>
      <x:c r="AH133" t="str">
        <x:v>["S02b","S02b-BK","BK","黑色"]</x:v>
      </x:c>
      <x:c r="AI133" t="n">
        <x:f>IF(ISNUMBER(G133),1,0)</x:f>
        <x:v>1</x:v>
      </x:c>
      <x:c r="AJ133" t="n">
        <x:f>IF(ISNUMBER(AD133),1,0)</x:f>
        <x:v>1</x:v>
      </x:c>
    </x:row>
    <x:row r="134" ht="30" customHeight="1">
      <x:c r="A134" s="3" t="str">
        <x:v>1S01-BKP-37</x:v>
      </x:c>
      <x:c r="B134" s="3" t="str">
        <x:v>3店-SANDIEX-US</x:v>
      </x:c>
      <x:c r="C134" s="3" t="str">
        <x:v>徐新怡</x:v>
      </x:c>
      <x:c r="D134" s="3" t="str">
        <x:v>1S01</x:v>
      </x:c>
      <x:c r="E134" s="3" t="str">
        <x:f>IF(Z134="移出","已移出",IF(NOT(ISNUMBER(H134)),"数据待核",IF(H134=0,"断货",IF(NOT(ISNUMBER(G134)),"数据待核",IF(G134=0,"零日销待复核",IF(F134&lt;60,"补货提醒",IF(F134&lt;=90,"正常库存",IF(F134&lt;180,"促销",IF(F134&lt;=365,"红线促销","考虑清仓")))))))))</x:f>
        <x:v>促销</x:v>
      </x:c>
      <x:c r="F134" s="11" t="n">
        <x:f>IF(AND(ISNUMBER(H134),ISNUMBER(G134),G134&gt;0),H134/G134,"")</x:f>
        <x:v>130.622009569378</x:v>
      </x:c>
      <x:c r="G134" s="12" t="n">
        <x:f>IF(AND(COUNT(P134:R134)=3,MIN(P134:R134)&gt;=0,P134&lt;=Q134,Q134&lt;=R134),P134/7*0.5+Q134/14*0.3+R134/30*0.2,"")</x:f>
        <x:v>0.09952380952380951</x:v>
      </x:c>
      <x:c r="H134" s="10" t="n">
        <x:f>IF(ISNUMBER(U134),U134,"")</x:f>
        <x:v>13</x:v>
      </x:c>
      <x:c r="I134" s="10" t="n">
        <x:v>0</x:v>
      </x:c>
      <x:c r="J134" s="11" t="str">
        <x:f>IF(AND(Z134="共同",ISNUMBER(F134),ISNUMBER(M134)),F134-M134,"")</x:f>
      </x:c>
      <x:c r="K134" s="13" t="str">
        <x:f>IF(AND(ISNUMBER(J134),M134&lt;&gt;0),J134/M134,"")</x:f>
      </x:c>
      <x:c r="L134" s="10" t="str">
        <x:v>断货</x:v>
      </x:c>
      <x:c r="M134" s="11"/>
      <x:c r="N134" s="10" t="n">
        <x:f>IF(AND(Z134="共同",COUNT(H134:I134)=2),H134-I134,"")</x:f>
        <x:v>13</x:v>
      </x:c>
      <x:c r="O134" s="10" t="n">
        <x:v>18</x:v>
      </x:c>
      <x:c r="P134" s="10" t="n">
        <x:v>1</x:v>
      </x:c>
      <x:c r="Q134" s="10" t="n">
        <x:v>1</x:v>
      </x:c>
      <x:c r="R134" s="10" t="n">
        <x:v>1</x:v>
      </x:c>
      <x:c r="S134" s="10" t="n">
        <x:v>13</x:v>
      </x:c>
      <x:c r="T134" s="10" t="n">
        <x:v>0</x:v>
      </x:c>
      <x:c r="U134" s="10" t="n">
        <x:f>IF(AND(ISNUMBER(X134),X134&gt;=0,Y134&lt;&gt;1),X134,"")</x:f>
        <x:v>13</x:v>
      </x:c>
      <x:c r="V134" s="10" t="n">
        <x:v>0</x:v>
      </x:c>
      <x:c r="W134" s="10" t="n">
        <x:v>0</x:v>
      </x:c>
      <x:c r="X134" s="10" t="n">
        <x:v>13</x:v>
      </x:c>
      <x:c r="Y134" s="3" t="n">
        <x:v>0</x:v>
      </x:c>
      <x:c r="Z134" s="3" t="str">
        <x:v>共同</x:v>
      </x:c>
      <x:c r="AA134" s="3" t="str">
        <x:v>在售</x:v>
      </x:c>
      <x:c r="AB134" s="12" t="n">
        <x:f>IF(AND(Z134="共同",ISNUMBER(G134),ISNUMBER(AD134)),G134-AD134,"")</x:f>
        <x:v>0.09952380952380951</x:v>
      </x:c>
      <x:c r="AC134" s="3" t="str"/>
      <x:c r="AD134" s="12" t="n">
        <x:v>0</x:v>
      </x:c>
      <x:c r="AE134" s="3" t="str">
        <x:v>[6574,"1S01-BKP-37"]</x:v>
      </x:c>
      <x:c r="AF134" t="n">
        <x:f>IF(ISNUMBER(H134),1,0)</x:f>
        <x:v>1</x:v>
      </x:c>
      <x:c r="AG134" t="n">
        <x:f>IF(ISNUMBER(I134),1,0)</x:f>
        <x:v>1</x:v>
      </x:c>
      <x:c r="AH134" t="str">
        <x:v>["1S01","1S01-BKP","BKP","黑色"]</x:v>
      </x:c>
      <x:c r="AI134" t="n">
        <x:f>IF(ISNUMBER(G134),1,0)</x:f>
        <x:v>1</x:v>
      </x:c>
      <x:c r="AJ134" t="n">
        <x:f>IF(ISNUMBER(AD134),1,0)</x:f>
        <x:v>1</x:v>
      </x:c>
    </x:row>
    <x:row r="135" ht="30" customHeight="1">
      <x:c r="A135" s="3" t="str">
        <x:v>1S01-DPB-9</x:v>
      </x:c>
      <x:c r="B135" s="3" t="str">
        <x:v>3店-SANDIEX-US</x:v>
      </x:c>
      <x:c r="C135" s="3" t="str">
        <x:v>徐新怡</x:v>
      </x:c>
      <x:c r="D135" s="3" t="str">
        <x:v>1S01</x:v>
      </x:c>
      <x:c r="E135" s="3" t="str">
        <x:f>IF(Z135="移出","已移出",IF(NOT(ISNUMBER(H135)),"数据待核",IF(H135=0,"断货",IF(NOT(ISNUMBER(G135)),"数据待核",IF(G135=0,"零日销待复核",IF(F135&lt;60,"补货提醒",IF(F135&lt;=90,"正常库存",IF(F135&lt;180,"促销",IF(F135&lt;=365,"红线促销","考虑清仓")))))))))</x:f>
        <x:v>促销</x:v>
      </x:c>
      <x:c r="F135" s="11" t="n">
        <x:f>IF(AND(ISNUMBER(H135),ISNUMBER(G135),G135&gt;0),H135/G135,"")</x:f>
        <x:v>150</x:v>
      </x:c>
      <x:c r="G135" s="12" t="n">
        <x:f>IF(AND(COUNT(P135:R135)=3,MIN(P135:R135)&gt;=0,P135&lt;=Q135,Q135&lt;=R135),P135/7*0.5+Q135/14*0.3+R135/30*0.2,"")</x:f>
        <x:v>0.02666666666666667</x:v>
      </x:c>
      <x:c r="H135" s="10" t="n">
        <x:f>IF(ISNUMBER(U135),U135,"")</x:f>
        <x:v>4</x:v>
      </x:c>
      <x:c r="I135" s="10" t="n">
        <x:v>4</x:v>
      </x:c>
      <x:c r="J135" s="11" t="n">
        <x:f>IF(AND(Z135="共同",ISNUMBER(F135),ISNUMBER(M135)),F135-M135,"")</x:f>
        <x:v>138.67924528301887</x:v>
      </x:c>
      <x:c r="K135" s="13" t="n">
        <x:f>IF(AND(ISNUMBER(J135),M135&lt;&gt;0),J135/M135,"")</x:f>
        <x:v>12.250000000000002</x:v>
      </x:c>
      <x:c r="L135" s="10" t="str">
        <x:v>补货提醒</x:v>
      </x:c>
      <x:c r="M135" s="11" t="n">
        <x:v>11.320754716981131</x:v>
      </x:c>
      <x:c r="N135" s="10" t="n">
        <x:f>IF(AND(Z135="共同",COUNT(H135:I135)=2),H135-I135,"")</x:f>
        <x:v>0</x:v>
      </x:c>
      <x:c r="O135" s="10" t="n">
        <x:v>40</x:v>
      </x:c>
      <x:c r="P135" s="10" t="n">
        <x:v>0</x:v>
      </x:c>
      <x:c r="Q135" s="10" t="n">
        <x:v>0</x:v>
      </x:c>
      <x:c r="R135" s="10" t="n">
        <x:v>4</x:v>
      </x:c>
      <x:c r="S135" s="10" t="n">
        <x:v>4</x:v>
      </x:c>
      <x:c r="T135" s="10" t="n">
        <x:v>0</x:v>
      </x:c>
      <x:c r="U135" s="10" t="n">
        <x:f>IF(AND(ISNUMBER(X135),X135&gt;=0,Y135&lt;&gt;1),X135,"")</x:f>
        <x:v>4</x:v>
      </x:c>
      <x:c r="V135" s="10" t="n">
        <x:v>0</x:v>
      </x:c>
      <x:c r="W135" s="10" t="n">
        <x:v>50</x:v>
      </x:c>
      <x:c r="X135" s="10" t="n">
        <x:v>4</x:v>
      </x:c>
      <x:c r="Y135" s="3" t="n">
        <x:v>0</x:v>
      </x:c>
      <x:c r="Z135" s="3" t="str">
        <x:v>共同</x:v>
      </x:c>
      <x:c r="AA135" s="3" t="str">
        <x:v>在售</x:v>
      </x:c>
      <x:c r="AB135" s="12" t="n">
        <x:f>IF(AND(Z135="共同",ISNUMBER(G135),ISNUMBER(AD135)),G135-AD135,"")</x:f>
        <x:v>-0.32666666666666666</x:v>
      </x:c>
      <x:c r="AC135" s="3" t="str"/>
      <x:c r="AD135" s="12" t="n">
        <x:v>0.35333333333333333</x:v>
      </x:c>
      <x:c r="AE135" s="3" t="str">
        <x:v>[6574,"1S01-DPB-9"]</x:v>
      </x:c>
      <x:c r="AF135" t="n">
        <x:f>IF(ISNUMBER(H135),1,0)</x:f>
        <x:v>1</x:v>
      </x:c>
      <x:c r="AG135" t="n">
        <x:f>IF(ISNUMBER(I135),1,0)</x:f>
        <x:v>1</x:v>
      </x:c>
      <x:c r="AH135" t="str">
        <x:v>["1S01","1S01-DPB","DPB","米色"]</x:v>
      </x:c>
      <x:c r="AI135" t="n">
        <x:f>IF(ISNUMBER(G135),1,0)</x:f>
        <x:v>1</x:v>
      </x:c>
      <x:c r="AJ135" t="n">
        <x:f>IF(ISNUMBER(AD135),1,0)</x:f>
        <x:v>1</x:v>
      </x:c>
    </x:row>
    <x:row r="136" ht="30" customHeight="1">
      <x:c r="A136" s="3" t="str">
        <x:v>1S01-TN-37</x:v>
      </x:c>
      <x:c r="B136" s="3" t="str">
        <x:v>3店-SANDIEX-US</x:v>
      </x:c>
      <x:c r="C136" s="3" t="str">
        <x:v>徐新怡</x:v>
      </x:c>
      <x:c r="D136" s="3" t="str">
        <x:v>1S01</x:v>
      </x:c>
      <x:c r="E136" s="3" t="str">
        <x:f>IF(Z136="移出","已移出",IF(NOT(ISNUMBER(H136)),"数据待核",IF(H136=0,"断货",IF(NOT(ISNUMBER(G136)),"数据待核",IF(G136=0,"零日销待复核",IF(F136&lt;60,"补货提醒",IF(F136&lt;=90,"正常库存",IF(F136&lt;180,"促销",IF(F136&lt;=365,"红线促销","考虑清仓")))))))))</x:f>
        <x:v>促销</x:v>
      </x:c>
      <x:c r="F136" s="11" t="n">
        <x:f>IF(AND(ISNUMBER(H136),ISNUMBER(G136),G136&gt;0),H136/G136,"")</x:f>
        <x:v>90.43062200956939</x:v>
      </x:c>
      <x:c r="G136" s="12" t="n">
        <x:f>IF(AND(COUNT(P136:R136)=3,MIN(P136:R136)&gt;=0,P136&lt;=Q136,Q136&lt;=R136),P136/7*0.5+Q136/14*0.3+R136/30*0.2,"")</x:f>
        <x:v>0.09952380952380951</x:v>
      </x:c>
      <x:c r="H136" s="10" t="n">
        <x:f>IF(ISNUMBER(U136),U136,"")</x:f>
        <x:v>9</x:v>
      </x:c>
      <x:c r="I136" s="10" t="n">
        <x:v>11</x:v>
      </x:c>
      <x:c r="J136" s="11" t="n">
        <x:f>IF(AND(Z136="共同",ISNUMBER(F136),ISNUMBER(M136)),F136-M136,"")</x:f>
        <x:v>-322.0693779904306</x:v>
      </x:c>
      <x:c r="K136" s="13" t="n">
        <x:f>IF(AND(ISNUMBER(J136),M136&lt;&gt;0),J136/M136,"")</x:f>
        <x:v>-0.7807742496737712</x:v>
      </x:c>
      <x:c r="L136" s="10" t="str">
        <x:v>考虑清仓</x:v>
      </x:c>
      <x:c r="M136" s="11" t="n">
        <x:v>412.5</x:v>
      </x:c>
      <x:c r="N136" s="10" t="n">
        <x:f>IF(AND(Z136="共同",COUNT(H136:I136)=2),H136-I136,"")</x:f>
        <x:v>-2</x:v>
      </x:c>
      <x:c r="O136" s="10" t="n">
        <x:v>3</x:v>
      </x:c>
      <x:c r="P136" s="10" t="n">
        <x:v>1</x:v>
      </x:c>
      <x:c r="Q136" s="10" t="n">
        <x:v>1</x:v>
      </x:c>
      <x:c r="R136" s="10" t="n">
        <x:v>1</x:v>
      </x:c>
      <x:c r="S136" s="10" t="n">
        <x:v>10</x:v>
      </x:c>
      <x:c r="T136" s="10" t="n">
        <x:v>0</x:v>
      </x:c>
      <x:c r="U136" s="10" t="n">
        <x:f>IF(AND(ISNUMBER(X136),X136&gt;=0,Y136&lt;&gt;1),X136,"")</x:f>
        <x:v>9</x:v>
      </x:c>
      <x:c r="V136" s="10" t="n">
        <x:v>0</x:v>
      </x:c>
      <x:c r="W136" s="10" t="n">
        <x:v>0</x:v>
      </x:c>
      <x:c r="X136" s="10" t="n">
        <x:v>9</x:v>
      </x:c>
      <x:c r="Y136" s="3" t="n">
        <x:v>0</x:v>
      </x:c>
      <x:c r="Z136" s="3" t="str">
        <x:v>共同</x:v>
      </x:c>
      <x:c r="AA136" s="3" t="str">
        <x:v>在售</x:v>
      </x:c>
      <x:c r="AB136" s="12" t="n">
        <x:f>IF(AND(Z136="共同",ISNUMBER(G136),ISNUMBER(AD136)),G136-AD136,"")</x:f>
        <x:v>0.07285714285714284</x:v>
      </x:c>
      <x:c r="AC136" s="3" t="str"/>
      <x:c r="AD136" s="12" t="n">
        <x:v>0.026666666666666665</x:v>
      </x:c>
      <x:c r="AE136" s="3" t="str">
        <x:v>[6574,"1S01-TN-37"]</x:v>
      </x:c>
      <x:c r="AF136" t="n">
        <x:f>IF(ISNUMBER(H136),1,0)</x:f>
        <x:v>1</x:v>
      </x:c>
      <x:c r="AG136" t="n">
        <x:f>IF(ISNUMBER(I136),1,0)</x:f>
        <x:v>1</x:v>
      </x:c>
      <x:c r="AH136" t="str">
        <x:v>["1S01","1S01-TN","TN","驼色"]</x:v>
      </x:c>
      <x:c r="AI136" t="n">
        <x:f>IF(ISNUMBER(G136),1,0)</x:f>
        <x:v>1</x:v>
      </x:c>
      <x:c r="AJ136" t="n">
        <x:f>IF(ISNUMBER(AD136),1,0)</x:f>
        <x:v>1</x:v>
      </x:c>
    </x:row>
    <x:row r="137" ht="30" customHeight="1">
      <x:c r="A137" s="3" t="str">
        <x:v>1S01-TN-41.5</x:v>
      </x:c>
      <x:c r="B137" s="3" t="str">
        <x:v>3店-SANDIEX-US</x:v>
      </x:c>
      <x:c r="C137" s="3" t="str">
        <x:v>徐新怡</x:v>
      </x:c>
      <x:c r="D137" s="3" t="str">
        <x:v>1S01</x:v>
      </x:c>
      <x:c r="E137" s="3" t="str">
        <x:f>IF(Z137="移出","已移出",IF(NOT(ISNUMBER(H137)),"数据待核",IF(H137=0,"断货",IF(NOT(ISNUMBER(G137)),"数据待核",IF(G137=0,"零日销待复核",IF(F137&lt;60,"补货提醒",IF(F137&lt;=90,"正常库存",IF(F137&lt;180,"促销",IF(F137&lt;=365,"红线促销","考虑清仓")))))))))</x:f>
        <x:v>促销</x:v>
      </x:c>
      <x:c r="F137" s="11" t="n">
        <x:f>IF(AND(ISNUMBER(H137),ISNUMBER(G137),G137&gt;0),H137/G137,"")</x:f>
        <x:v>169.5067264573991</x:v>
      </x:c>
      <x:c r="G137" s="12" t="n">
        <x:f>IF(AND(COUNT(P137:R137)=3,MIN(P137:R137)&gt;=0,P137&lt;=Q137,Q137&lt;=R137),P137/7*0.5+Q137/14*0.3+R137/30*0.2,"")</x:f>
        <x:v>0.10619047619047618</x:v>
      </x:c>
      <x:c r="H137" s="10" t="n">
        <x:f>IF(ISNUMBER(U137),U137,"")</x:f>
        <x:v>18</x:v>
      </x:c>
      <x:c r="I137" s="10" t="n">
        <x:v>18</x:v>
      </x:c>
      <x:c r="J137" s="11" t="n">
        <x:f>IF(AND(Z137="共同",ISNUMBER(F137),ISNUMBER(M137)),F137-M137,"")</x:f>
        <x:v>-348.30149272068314</x:v>
      </x:c>
      <x:c r="K137" s="13" t="n">
        <x:f>IF(AND(ISNUMBER(J137),M137&lt;&gt;0),J137/M137,"")</x:f>
        <x:v>-0.672645739910314</x:v>
      </x:c>
      <x:c r="L137" s="10" t="str">
        <x:v>考虑清仓</x:v>
      </x:c>
      <x:c r="M137" s="11" t="n">
        <x:v>517.8082191780823</x:v>
      </x:c>
      <x:c r="N137" s="10" t="n">
        <x:f>IF(AND(Z137="共同",COUNT(H137:I137)=2),H137-I137,"")</x:f>
        <x:v>0</x:v>
      </x:c>
      <x:c r="O137" s="10" t="n">
        <x:v>0</x:v>
      </x:c>
      <x:c r="P137" s="10" t="n">
        <x:v>1</x:v>
      </x:c>
      <x:c r="Q137" s="10" t="n">
        <x:v>1</x:v>
      </x:c>
      <x:c r="R137" s="10" t="n">
        <x:v>2</x:v>
      </x:c>
      <x:c r="S137" s="10" t="n">
        <x:v>18</x:v>
      </x:c>
      <x:c r="T137" s="10" t="n">
        <x:v>0</x:v>
      </x:c>
      <x:c r="U137" s="10" t="n">
        <x:f>IF(AND(ISNUMBER(X137),X137&gt;=0,Y137&lt;&gt;1),X137,"")</x:f>
        <x:v>18</x:v>
      </x:c>
      <x:c r="V137" s="10" t="n">
        <x:v>0</x:v>
      </x:c>
      <x:c r="W137" s="10" t="n">
        <x:v>0</x:v>
      </x:c>
      <x:c r="X137" s="10" t="n">
        <x:v>18</x:v>
      </x:c>
      <x:c r="Y137" s="3" t="n">
        <x:v>0</x:v>
      </x:c>
      <x:c r="Z137" s="3" t="str">
        <x:v>共同</x:v>
      </x:c>
      <x:c r="AA137" s="3" t="str">
        <x:v>在售</x:v>
      </x:c>
      <x:c r="AB137" s="12" t="n">
        <x:f>IF(AND(Z137="共同",ISNUMBER(G137),ISNUMBER(AD137)),G137-AD137,"")</x:f>
        <x:v>0.07142857142857142</x:v>
      </x:c>
      <x:c r="AC137" s="3" t="str"/>
      <x:c r="AD137" s="12" t="n">
        <x:v>0.03476190476190476</x:v>
      </x:c>
      <x:c r="AE137" s="3" t="str">
        <x:v>[6574,"1S01-TN-41.5"]</x:v>
      </x:c>
      <x:c r="AF137" t="n">
        <x:f>IF(ISNUMBER(H137),1,0)</x:f>
        <x:v>1</x:v>
      </x:c>
      <x:c r="AG137" t="n">
        <x:f>IF(ISNUMBER(I137),1,0)</x:f>
        <x:v>1</x:v>
      </x:c>
      <x:c r="AH137" t="str">
        <x:v>["1S01","1S01-TN","TN","驼色"]</x:v>
      </x:c>
      <x:c r="AI137" t="n">
        <x:f>IF(ISNUMBER(G137),1,0)</x:f>
        <x:v>1</x:v>
      </x:c>
      <x:c r="AJ137" t="n">
        <x:f>IF(ISNUMBER(AD137),1,0)</x:f>
        <x:v>1</x:v>
      </x:c>
    </x:row>
    <x:row r="138" ht="30" customHeight="1">
      <x:c r="A138" s="3" t="str">
        <x:v>230918-BW-S-Z-11</x:v>
      </x:c>
      <x:c r="B138" s="3" t="str">
        <x:v>1店-MUSSHOE-US</x:v>
      </x:c>
      <x:c r="C138" s="3" t="str">
        <x:v>艾年</x:v>
      </x:c>
      <x:c r="D138" s="3" t="str">
        <x:v>230918</x:v>
      </x:c>
      <x:c r="E138" s="3" t="str">
        <x:f>IF(Z138="移出","已移出",IF(NOT(ISNUMBER(H138)),"数据待核",IF(H138=0,"断货",IF(NOT(ISNUMBER(G138)),"数据待核",IF(G138=0,"零日销待复核",IF(F138&lt;60,"补货提醒",IF(F138&lt;=90,"正常库存",IF(F138&lt;180,"促销",IF(F138&lt;=365,"红线促销","考虑清仓")))))))))</x:f>
        <x:v>促销</x:v>
      </x:c>
      <x:c r="F138" s="11" t="n">
        <x:f>IF(AND(ISNUMBER(H138),ISNUMBER(G138),G138&gt;0),H138/G138,"")</x:f>
        <x:v>112.5</x:v>
      </x:c>
      <x:c r="G138" s="12" t="n">
        <x:f>IF(AND(COUNT(P138:R138)=3,MIN(P138:R138)&gt;=0,P138&lt;=Q138,Q138&lt;=R138),P138/7*0.5+Q138/14*0.3+R138/30*0.2,"")</x:f>
        <x:v>0.3466666666666667</x:v>
      </x:c>
      <x:c r="H138" s="10" t="n">
        <x:f>IF(ISNUMBER(U138),U138,"")</x:f>
        <x:v>39</x:v>
      </x:c>
      <x:c r="I138" s="10" t="n">
        <x:v>45</x:v>
      </x:c>
      <x:c r="J138" s="11" t="n">
        <x:f>IF(AND(Z138="共同",ISNUMBER(F138),ISNUMBER(M138)),F138-M138,"")</x:f>
        <x:v>-109.85294117647058</x:v>
      </x:c>
      <x:c r="K138" s="13" t="n">
        <x:f>IF(AND(ISNUMBER(J138),M138&lt;&gt;0),J138/M138,"")</x:f>
        <x:v>-0.494047619047619</x:v>
      </x:c>
      <x:c r="L138" s="10" t="str">
        <x:v>红线促销</x:v>
      </x:c>
      <x:c r="M138" s="11" t="n">
        <x:v>222.35294117647058</x:v>
      </x:c>
      <x:c r="N138" s="10" t="n">
        <x:f>IF(AND(Z138="共同",COUNT(H138:I138)=2),H138-I138,"")</x:f>
        <x:v>-6</x:v>
      </x:c>
      <x:c r="O138" s="10" t="n">
        <x:v>0</x:v>
      </x:c>
      <x:c r="P138" s="10" t="n">
        <x:v>3</x:v>
      </x:c>
      <x:c r="Q138" s="10" t="n">
        <x:v>4</x:v>
      </x:c>
      <x:c r="R138" s="10" t="n">
        <x:v>7</x:v>
      </x:c>
      <x:c r="S138" s="10" t="n">
        <x:v>41</x:v>
      </x:c>
      <x:c r="T138" s="10" t="n">
        <x:v>1</x:v>
      </x:c>
      <x:c r="U138" s="10" t="n">
        <x:f>IF(AND(ISNUMBER(X138),X138&gt;=0,Y138&lt;&gt;1),X138,"")</x:f>
        <x:v>39</x:v>
      </x:c>
      <x:c r="V138" s="10" t="n">
        <x:v>0</x:v>
      </x:c>
      <x:c r="W138" s="10" t="n">
        <x:v>0</x:v>
      </x:c>
      <x:c r="X138" s="10" t="n">
        <x:v>39</x:v>
      </x:c>
      <x:c r="Y138" s="3" t="n">
        <x:v>0</x:v>
      </x:c>
      <x:c r="Z138" s="3" t="str">
        <x:v>共同</x:v>
      </x:c>
      <x:c r="AA138" s="3" t="str">
        <x:v>在售</x:v>
      </x:c>
      <x:c r="AB138" s="12" t="n">
        <x:f>IF(AND(Z138="共同",ISNUMBER(G138),ISNUMBER(AD138)),G138-AD138,"")</x:f>
        <x:v>0.1442857142857143</x:v>
      </x:c>
      <x:c r="AC138" s="3" t="str"/>
      <x:c r="AD138" s="12" t="n">
        <x:v>0.20238095238095238</x:v>
      </x:c>
      <x:c r="AE138" s="3" t="str">
        <x:v>[13120,"230918-BW-S-Z-11"]</x:v>
      </x:c>
      <x:c r="AF138" t="n">
        <x:f>IF(ISNUMBER(H138),1,0)</x:f>
        <x:v>1</x:v>
      </x:c>
      <x:c r="AG138" t="n">
        <x:f>IF(ISNUMBER(I138),1,0)</x:f>
        <x:v>1</x:v>
      </x:c>
      <x:c r="AH138" t="str">
        <x:v>["230918","230918-BW-S-Z","BW","米白色PU"]</x:v>
      </x:c>
      <x:c r="AI138" t="n">
        <x:f>IF(ISNUMBER(G138),1,0)</x:f>
        <x:v>1</x:v>
      </x:c>
      <x:c r="AJ138" t="n">
        <x:f>IF(ISNUMBER(AD138),1,0)</x:f>
        <x:v>1</x:v>
      </x:c>
    </x:row>
    <x:row r="139" ht="30" customHeight="1">
      <x:c r="A139" s="3" t="str">
        <x:v>230918-TN-P-Z-11</x:v>
      </x:c>
      <x:c r="B139" s="3" t="str">
        <x:v>1店-MUSSHOE-US</x:v>
      </x:c>
      <x:c r="C139" s="3" t="str">
        <x:v>艾年</x:v>
      </x:c>
      <x:c r="D139" s="3" t="str">
        <x:v>230918</x:v>
      </x:c>
      <x:c r="E139" s="3" t="str">
        <x:f>IF(Z139="移出","已移出",IF(NOT(ISNUMBER(H139)),"数据待核",IF(H139=0,"断货",IF(NOT(ISNUMBER(G139)),"数据待核",IF(G139=0,"零日销待复核",IF(F139&lt;60,"补货提醒",IF(F139&lt;=90,"正常库存",IF(F139&lt;180,"促销",IF(F139&lt;=365,"红线促销","考虑清仓")))))))))</x:f>
        <x:v>促销</x:v>
      </x:c>
      <x:c r="F139" s="11" t="n">
        <x:f>IF(AND(ISNUMBER(H139),ISNUMBER(G139),G139&gt;0),H139/G139,"")</x:f>
        <x:v>133.95872420262663</x:v>
      </x:c>
      <x:c r="G139" s="12" t="n">
        <x:f>IF(AND(COUNT(P139:R139)=3,MIN(P139:R139)&gt;=0,P139&lt;=Q139,Q139&lt;=R139),P139/7*0.5+Q139/14*0.3+R139/30*0.2,"")</x:f>
        <x:v>0.2538095238095238</x:v>
      </x:c>
      <x:c r="H139" s="10" t="n">
        <x:f>IF(ISNUMBER(U139),U139,"")</x:f>
        <x:v>34</x:v>
      </x:c>
      <x:c r="I139" s="10" t="n">
        <x:v>36</x:v>
      </x:c>
      <x:c r="J139" s="11" t="n">
        <x:f>IF(AND(Z139="共同",ISNUMBER(F139),ISNUMBER(M139)),F139-M139,"")</x:f>
        <x:v>-32.92869301591645</x:v>
      </x:c>
      <x:c r="K139" s="13" t="n">
        <x:f>IF(AND(ISNUMBER(J139),M139&lt;&gt;0),J139/M139,"")</x:f>
        <x:v>-0.19731081926203903</x:v>
      </x:c>
      <x:c r="L139" s="10" t="str">
        <x:v>促销</x:v>
      </x:c>
      <x:c r="M139" s="11" t="n">
        <x:v>166.88741721854308</x:v>
      </x:c>
      <x:c r="N139" s="10" t="n">
        <x:f>IF(AND(Z139="共同",COUNT(H139:I139)=2),H139-I139,"")</x:f>
        <x:v>-2</x:v>
      </x:c>
      <x:c r="O139" s="10" t="n">
        <x:v>31</x:v>
      </x:c>
      <x:c r="P139" s="10" t="n">
        <x:v>2</x:v>
      </x:c>
      <x:c r="Q139" s="10" t="n">
        <x:v>3</x:v>
      </x:c>
      <x:c r="R139" s="10" t="n">
        <x:v>7</x:v>
      </x:c>
      <x:c r="S139" s="10" t="n">
        <x:v>38</x:v>
      </x:c>
      <x:c r="T139" s="10" t="n">
        <x:v>0</x:v>
      </x:c>
      <x:c r="U139" s="10" t="n">
        <x:f>IF(AND(ISNUMBER(X139),X139&gt;=0,Y139&lt;&gt;1),X139,"")</x:f>
        <x:v>34</x:v>
      </x:c>
      <x:c r="V139" s="10" t="n">
        <x:v>1</x:v>
      </x:c>
      <x:c r="W139" s="10" t="n">
        <x:v>1</x:v>
      </x:c>
      <x:c r="X139" s="10" t="n">
        <x:v>34</x:v>
      </x:c>
      <x:c r="Y139" s="3" t="n">
        <x:v>0</x:v>
      </x:c>
      <x:c r="Z139" s="3" t="str">
        <x:v>共同</x:v>
      </x:c>
      <x:c r="AA139" s="3" t="str">
        <x:v>在售</x:v>
      </x:c>
      <x:c r="AB139" s="12" t="n">
        <x:f>IF(AND(Z139="共同",ISNUMBER(G139),ISNUMBER(AD139)),G139-AD139,"")</x:f>
        <x:v>0.038095238095238126</x:v>
      </x:c>
      <x:c r="AC139" s="3" t="str"/>
      <x:c r="AD139" s="12" t="n">
        <x:v>0.2157142857142857</x:v>
      </x:c>
      <x:c r="AE139" s="3" t="str">
        <x:v>[13120,"230918-TN-P-Z-11"]</x:v>
      </x:c>
      <x:c r="AF139" t="n">
        <x:f>IF(ISNUMBER(H139),1,0)</x:f>
        <x:v>1</x:v>
      </x:c>
      <x:c r="AG139" t="n">
        <x:f>IF(ISNUMBER(I139),1,0)</x:f>
        <x:v>1</x:v>
      </x:c>
      <x:c r="AH139" t="str">
        <x:v>["230918","230918-TN-P-Z","TN-P","驼色PU"]</x:v>
      </x:c>
      <x:c r="AI139" t="n">
        <x:f>IF(ISNUMBER(G139),1,0)</x:f>
        <x:v>1</x:v>
      </x:c>
      <x:c r="AJ139" t="n">
        <x:f>IF(ISNUMBER(AD139),1,0)</x:f>
        <x:v>1</x:v>
      </x:c>
    </x:row>
    <x:row r="140" ht="30" customHeight="1">
      <x:c r="A140" s="3" t="str">
        <x:v>230918-TN-S-Z-10</x:v>
      </x:c>
      <x:c r="B140" s="3" t="str">
        <x:v>1店-MUSSHOE-US</x:v>
      </x:c>
      <x:c r="C140" s="3" t="str">
        <x:v>艾年</x:v>
      </x:c>
      <x:c r="D140" s="3" t="str">
        <x:v>230918</x:v>
      </x:c>
      <x:c r="E140" s="3" t="str">
        <x:f>IF(Z140="移出","已移出",IF(NOT(ISNUMBER(H140)),"数据待核",IF(H140=0,"断货",IF(NOT(ISNUMBER(G140)),"数据待核",IF(G140=0,"零日销待复核",IF(F140&lt;60,"补货提醒",IF(F140&lt;=90,"正常库存",IF(F140&lt;180,"促销",IF(F140&lt;=365,"红线促销","考虑清仓")))))))))</x:f>
        <x:v>促销</x:v>
      </x:c>
      <x:c r="F140" s="11" t="n">
        <x:f>IF(AND(ISNUMBER(H140),ISNUMBER(G140),G140&gt;0),H140/G140,"")</x:f>
        <x:v>164.9214659685864</x:v>
      </x:c>
      <x:c r="G140" s="12" t="n">
        <x:f>IF(AND(COUNT(P140:R140)=3,MIN(P140:R140)&gt;=0,P140&lt;=Q140,Q140&lt;=R140),P140/7*0.5+Q140/14*0.3+R140/30*0.2,"")</x:f>
        <x:v>0.1819047619047619</x:v>
      </x:c>
      <x:c r="H140" s="10" t="n">
        <x:f>IF(ISNUMBER(U140),U140,"")</x:f>
        <x:v>30</x:v>
      </x:c>
      <x:c r="I140" s="10" t="n">
        <x:v>37</x:v>
      </x:c>
      <x:c r="J140" s="11" t="n">
        <x:f>IF(AND(Z140="共同",ISNUMBER(F140),ISNUMBER(M140)),F140-M140,"")</x:f>
        <x:v>-20.963701495528454</x:v>
      </x:c>
      <x:c r="K140" s="13" t="n">
        <x:f>IF(AND(ISNUMBER(J140),M140&lt;&gt;0),J140/M140,"")</x:f>
        <x:v>-0.11277769916513375</x:v>
      </x:c>
      <x:c r="L140" s="10" t="str">
        <x:v>红线促销</x:v>
      </x:c>
      <x:c r="M140" s="11" t="n">
        <x:v>185.88516746411486</x:v>
      </x:c>
      <x:c r="N140" s="10" t="n">
        <x:f>IF(AND(Z140="共同",COUNT(H140:I140)=2),H140-I140,"")</x:f>
        <x:v>-7</x:v>
      </x:c>
      <x:c r="O140" s="10" t="n">
        <x:v>68</x:v>
      </x:c>
      <x:c r="P140" s="10" t="n">
        <x:v>0</x:v>
      </x:c>
      <x:c r="Q140" s="10" t="n">
        <x:v>6</x:v>
      </x:c>
      <x:c r="R140" s="10" t="n">
        <x:v>8</x:v>
      </x:c>
      <x:c r="S140" s="10" t="n">
        <x:v>39</x:v>
      </x:c>
      <x:c r="T140" s="10" t="n">
        <x:v>0</x:v>
      </x:c>
      <x:c r="U140" s="10" t="n">
        <x:f>IF(AND(ISNUMBER(X140),X140&gt;=0,Y140&lt;&gt;1),X140,"")</x:f>
        <x:v>30</x:v>
      </x:c>
      <x:c r="V140" s="10" t="n">
        <x:v>0</x:v>
      </x:c>
      <x:c r="W140" s="10" t="n">
        <x:v>0</x:v>
      </x:c>
      <x:c r="X140" s="10" t="n">
        <x:v>30</x:v>
      </x:c>
      <x:c r="Y140" s="3" t="n">
        <x:v>0</x:v>
      </x:c>
      <x:c r="Z140" s="3" t="str">
        <x:v>共同</x:v>
      </x:c>
      <x:c r="AA140" s="3" t="str">
        <x:v>在售</x:v>
      </x:c>
      <x:c r="AB140" s="12" t="n">
        <x:f>IF(AND(Z140="共同",ISNUMBER(G140),ISNUMBER(AD140)),G140-AD140,"")</x:f>
        <x:v>-0.017142857142857126</x:v>
      </x:c>
      <x:c r="AC140" s="3" t="str"/>
      <x:c r="AD140" s="12" t="n">
        <x:v>0.19904761904761903</x:v>
      </x:c>
      <x:c r="AE140" s="3" t="str">
        <x:v>[13120,"230918-TN-S-Z-10"]</x:v>
      </x:c>
      <x:c r="AF140" t="n">
        <x:f>IF(ISNUMBER(H140),1,0)</x:f>
        <x:v>1</x:v>
      </x:c>
      <x:c r="AG140" t="n">
        <x:f>IF(ISNUMBER(I140),1,0)</x:f>
        <x:v>1</x:v>
      </x:c>
      <x:c r="AH140" t="str">
        <x:v>["230918","230918-TN-S-Z","TN","驼色"]</x:v>
      </x:c>
      <x:c r="AI140" t="n">
        <x:f>IF(ISNUMBER(G140),1,0)</x:f>
        <x:v>1</x:v>
      </x:c>
      <x:c r="AJ140" t="n">
        <x:f>IF(ISNUMBER(AD140),1,0)</x:f>
        <x:v>1</x:v>
      </x:c>
    </x:row>
    <x:row r="141" ht="30" customHeight="1">
      <x:c r="A141" s="3" t="str">
        <x:v>230918-TN-S-Z-11</x:v>
      </x:c>
      <x:c r="B141" s="3" t="str">
        <x:v>1店-MUSSHOE-US</x:v>
      </x:c>
      <x:c r="C141" s="3" t="str">
        <x:v>艾年</x:v>
      </x:c>
      <x:c r="D141" s="3" t="str">
        <x:v>230918</x:v>
      </x:c>
      <x:c r="E141" s="3" t="str">
        <x:f>IF(Z141="移出","已移出",IF(NOT(ISNUMBER(H141)),"数据待核",IF(H141=0,"断货",IF(NOT(ISNUMBER(G141)),"数据待核",IF(G141=0,"零日销待复核",IF(F141&lt;60,"补货提醒",IF(F141&lt;=90,"正常库存",IF(F141&lt;180,"促销",IF(F141&lt;=365,"红线促销","考虑清仓")))))))))</x:f>
        <x:v>促销</x:v>
      </x:c>
      <x:c r="F141" s="11" t="n">
        <x:f>IF(AND(ISNUMBER(H141),ISNUMBER(G141),G141&gt;0),H141/G141,"")</x:f>
        <x:v>148.93617021276594</x:v>
      </x:c>
      <x:c r="G141" s="12" t="n">
        <x:f>IF(AND(COUNT(P141:R141)=3,MIN(P141:R141)&gt;=0,P141&lt;=Q141,Q141&lt;=R141),P141/7*0.5+Q141/14*0.3+R141/30*0.2,"")</x:f>
        <x:v>0.26857142857142857</x:v>
      </x:c>
      <x:c r="H141" s="10" t="n">
        <x:f>IF(ISNUMBER(U141),U141,"")</x:f>
        <x:v>40</x:v>
      </x:c>
      <x:c r="I141" s="10" t="n">
        <x:v>45</x:v>
      </x:c>
      <x:c r="J141" s="11" t="n">
        <x:f>IF(AND(Z141="共同",ISNUMBER(F141),ISNUMBER(M141)),F141-M141,"")</x:f>
        <x:v>-3226.063829787234</x:v>
      </x:c>
      <x:c r="K141" s="13" t="n">
        <x:f>IF(AND(ISNUMBER(J141),M141&lt;&gt;0),J141/M141,"")</x:f>
        <x:v>-0.9558707643814027</x:v>
      </x:c>
      <x:c r="L141" s="10" t="str">
        <x:v>考虑清仓</x:v>
      </x:c>
      <x:c r="M141" s="11" t="n">
        <x:v>3375</x:v>
      </x:c>
      <x:c r="N141" s="10" t="n">
        <x:f>IF(AND(Z141="共同",COUNT(H141:I141)=2),H141-I141,"")</x:f>
        <x:v>-5</x:v>
      </x:c>
      <x:c r="O141" s="10" t="n">
        <x:v>0</x:v>
      </x:c>
      <x:c r="P141" s="10" t="n">
        <x:v>2</x:v>
      </x:c>
      <x:c r="Q141" s="10" t="n">
        <x:v>4</x:v>
      </x:c>
      <x:c r="R141" s="10" t="n">
        <x:v>6</x:v>
      </x:c>
      <x:c r="S141" s="10" t="n">
        <x:v>40</x:v>
      </x:c>
      <x:c r="T141" s="10" t="n">
        <x:v>0</x:v>
      </x:c>
      <x:c r="U141" s="10" t="n">
        <x:f>IF(AND(ISNUMBER(X141),X141&gt;=0,Y141&lt;&gt;1),X141,"")</x:f>
        <x:v>40</x:v>
      </x:c>
      <x:c r="V141" s="10" t="n">
        <x:v>0</x:v>
      </x:c>
      <x:c r="W141" s="10" t="n">
        <x:v>1</x:v>
      </x:c>
      <x:c r="X141" s="10" t="n">
        <x:v>40</x:v>
      </x:c>
      <x:c r="Y141" s="3" t="n">
        <x:v>0</x:v>
      </x:c>
      <x:c r="Z141" s="3" t="str">
        <x:v>共同</x:v>
      </x:c>
      <x:c r="AA141" s="3" t="str">
        <x:v>在售</x:v>
      </x:c>
      <x:c r="AB141" s="12" t="n">
        <x:f>IF(AND(Z141="共同",ISNUMBER(G141),ISNUMBER(AD141)),G141-AD141,"")</x:f>
        <x:v>0.25523809523809526</x:v>
      </x:c>
      <x:c r="AC141" s="3" t="str"/>
      <x:c r="AD141" s="12" t="n">
        <x:v>0.013333333333333332</x:v>
      </x:c>
      <x:c r="AE141" s="3" t="str">
        <x:v>[13120,"230918-TN-S-Z-11"]</x:v>
      </x:c>
      <x:c r="AF141" t="n">
        <x:f>IF(ISNUMBER(H141),1,0)</x:f>
        <x:v>1</x:v>
      </x:c>
      <x:c r="AG141" t="n">
        <x:f>IF(ISNUMBER(I141),1,0)</x:f>
        <x:v>1</x:v>
      </x:c>
      <x:c r="AH141" t="str">
        <x:v>["230918","230918-TN-S-Z","TN","驼色"]</x:v>
      </x:c>
      <x:c r="AI141" t="n">
        <x:f>IF(ISNUMBER(G141),1,0)</x:f>
        <x:v>1</x:v>
      </x:c>
      <x:c r="AJ141" t="n">
        <x:f>IF(ISNUMBER(AD141),1,0)</x:f>
        <x:v>1</x:v>
      </x:c>
    </x:row>
    <x:row r="142" ht="30" customHeight="1">
      <x:c r="A142" s="3" t="str">
        <x:v>2311062-BK-P-O-6</x:v>
      </x:c>
      <x:c r="B142" s="3" t="str">
        <x:v>4店-彬郁-US</x:v>
      </x:c>
      <x:c r="C142" s="3" t="str">
        <x:v>陈晨</x:v>
      </x:c>
      <x:c r="D142" s="3" t="str">
        <x:v>2311062</x:v>
      </x:c>
      <x:c r="E142" s="3" t="str">
        <x:f>IF(Z142="移出","已移出",IF(NOT(ISNUMBER(H142)),"数据待核",IF(H142=0,"断货",IF(NOT(ISNUMBER(G142)),"数据待核",IF(G142=0,"零日销待复核",IF(F142&lt;60,"补货提醒",IF(F142&lt;=90,"正常库存",IF(F142&lt;180,"促销",IF(F142&lt;=365,"红线促销","考虑清仓")))))))))</x:f>
        <x:v>促销</x:v>
      </x:c>
      <x:c r="F142" s="11" t="n">
        <x:f>IF(AND(ISNUMBER(H142),ISNUMBER(G142),G142&gt;0),H142/G142,"")</x:f>
        <x:v>97.6441413515189</x:v>
      </x:c>
      <x:c r="G142" s="12" t="n">
        <x:f>IF(AND(COUNT(P142:R142)=3,MIN(P142:R142)&gt;=0,P142&lt;=Q142,Q142&lt;=R142),P142/7*0.5+Q142/14*0.3+R142/30*0.2,"")</x:f>
        <x:v>0.7680952380952382</x:v>
      </x:c>
      <x:c r="H142" s="10" t="n">
        <x:f>IF(ISNUMBER(U142),U142,"")</x:f>
        <x:v>75</x:v>
      </x:c>
      <x:c r="I142" s="10" t="n">
        <x:v>62</x:v>
      </x:c>
      <x:c r="J142" s="11" t="n">
        <x:f>IF(AND(Z142="共同",ISNUMBER(F142),ISNUMBER(M142)),F142-M142,"")</x:f>
        <x:v>34.10094955064042</x:v>
      </x:c>
      <x:c r="K142" s="13" t="n">
        <x:f>IF(AND(ISNUMBER(J142),M142&lt;&gt;0),J142/M142,"")</x:f>
        <x:v>0.536657800531968</x:v>
      </x:c>
      <x:c r="L142" s="10" t="str">
        <x:v>正常库存</x:v>
      </x:c>
      <x:c r="M142" s="11" t="n">
        <x:v>63.543191800878475</x:v>
      </x:c>
      <x:c r="N142" s="10" t="n">
        <x:f>IF(AND(Z142="共同",COUNT(H142:I142)=2),H142-I142,"")</x:f>
        <x:v>13</x:v>
      </x:c>
      <x:c r="O142" s="10" t="n">
        <x:v>44</x:v>
      </x:c>
      <x:c r="P142" s="10" t="n">
        <x:v>6</x:v>
      </x:c>
      <x:c r="Q142" s="10" t="n">
        <x:v>9</x:v>
      </x:c>
      <x:c r="R142" s="10" t="n">
        <x:v>22</x:v>
      </x:c>
      <x:c r="S142" s="10" t="n">
        <x:v>87</x:v>
      </x:c>
      <x:c r="T142" s="10" t="n">
        <x:v>0</x:v>
      </x:c>
      <x:c r="U142" s="10" t="n">
        <x:f>IF(AND(ISNUMBER(X142),X142&gt;=0,Y142&lt;&gt;1),X142,"")</x:f>
        <x:v>75</x:v>
      </x:c>
      <x:c r="V142" s="10" t="n">
        <x:v>0</x:v>
      </x:c>
      <x:c r="W142" s="10" t="n">
        <x:v>20</x:v>
      </x:c>
      <x:c r="X142" s="10" t="n">
        <x:v>75</x:v>
      </x:c>
      <x:c r="Y142" s="3" t="n">
        <x:v>0</x:v>
      </x:c>
      <x:c r="Z142" s="3" t="str">
        <x:v>共同</x:v>
      </x:c>
      <x:c r="AA142" s="3" t="str">
        <x:v>在售</x:v>
      </x:c>
      <x:c r="AB142" s="12" t="n">
        <x:f>IF(AND(Z142="共同",ISNUMBER(G142),ISNUMBER(AD142)),G142-AD142,"")</x:f>
        <x:v>-0.2076190476190476</x:v>
      </x:c>
      <x:c r="AC142" s="3" t="str"/>
      <x:c r="AD142" s="12" t="n">
        <x:v>0.9757142857142858</x:v>
      </x:c>
      <x:c r="AE142" s="3" t="str">
        <x:v>[13306,"2311062-BK-P-O-6"]</x:v>
      </x:c>
      <x:c r="AF142" t="n">
        <x:f>IF(ISNUMBER(H142),1,0)</x:f>
        <x:v>1</x:v>
      </x:c>
      <x:c r="AG142" t="n">
        <x:f>IF(ISNUMBER(I142),1,0)</x:f>
        <x:v>1</x:v>
      </x:c>
      <x:c r="AH142" t="str">
        <x:v>["2311062","2311062-BK-P-O","BK-P","黑色 PU"]</x:v>
      </x:c>
      <x:c r="AI142" t="n">
        <x:f>IF(ISNUMBER(G142),1,0)</x:f>
        <x:v>1</x:v>
      </x:c>
      <x:c r="AJ142" t="n">
        <x:f>IF(ISNUMBER(AD142),1,0)</x:f>
        <x:v>1</x:v>
      </x:c>
    </x:row>
    <x:row r="143" ht="30" customHeight="1">
      <x:c r="A143" s="3" t="str">
        <x:v>2311062-BK-P-O-7</x:v>
      </x:c>
      <x:c r="B143" s="3" t="str">
        <x:v>4店-彬郁-US</x:v>
      </x:c>
      <x:c r="C143" s="3" t="str">
        <x:v>陈晨</x:v>
      </x:c>
      <x:c r="D143" s="3" t="str">
        <x:v>2311062</x:v>
      </x:c>
      <x:c r="E143" s="3" t="str">
        <x:f>IF(Z143="移出","已移出",IF(NOT(ISNUMBER(H143)),"数据待核",IF(H143=0,"断货",IF(NOT(ISNUMBER(G143)),"数据待核",IF(G143=0,"零日销待复核",IF(F143&lt;60,"补货提醒",IF(F143&lt;=90,"正常库存",IF(F143&lt;180,"促销",IF(F143&lt;=365,"红线促销","考虑清仓")))))))))</x:f>
        <x:v>促销</x:v>
      </x:c>
      <x:c r="F143" s="11" t="n">
        <x:f>IF(AND(ISNUMBER(H143),ISNUMBER(G143),G143&gt;0),H143/G143,"")</x:f>
        <x:v>158.99497487437185</x:v>
      </x:c>
      <x:c r="G143" s="12" t="n">
        <x:f>IF(AND(COUNT(P143:R143)=3,MIN(P143:R143)&gt;=0,P143&lt;=Q143,Q143&lt;=R143),P143/7*0.5+Q143/14*0.3+R143/30*0.2,"")</x:f>
        <x:v>1.4214285714285715</x:v>
      </x:c>
      <x:c r="H143" s="10" t="n">
        <x:f>IF(ISNUMBER(U143),U143,"")</x:f>
        <x:v>226</x:v>
      </x:c>
      <x:c r="I143" s="10" t="n">
        <x:v>186</x:v>
      </x:c>
      <x:c r="J143" s="11" t="n">
        <x:f>IF(AND(Z143="共同",ISNUMBER(F143),ISNUMBER(M143)),F143-M143,"")</x:f>
        <x:v>41.23796552857745</x:v>
      </x:c>
      <x:c r="K143" s="13" t="n">
        <x:f>IF(AND(ISNUMBER(J143),M143&lt;&gt;0),J143/M143,"")</x:f>
        <x:v>0.3501954215522053</x:v>
      </x:c>
      <x:c r="L143" s="10" t="str">
        <x:v>促销</x:v>
      </x:c>
      <x:c r="M143" s="11" t="n">
        <x:v>117.7570093457944</x:v>
      </x:c>
      <x:c r="N143" s="10" t="n">
        <x:f>IF(AND(Z143="共同",COUNT(H143:I143)=2),H143-I143,"")</x:f>
        <x:v>40</x:v>
      </x:c>
      <x:c r="O143" s="10" t="n">
        <x:v>0</x:v>
      </x:c>
      <x:c r="P143" s="10" t="n">
        <x:v>10</x:v>
      </x:c>
      <x:c r="Q143" s="10" t="n">
        <x:v>19</x:v>
      </x:c>
      <x:c r="R143" s="10" t="n">
        <x:v>45</x:v>
      </x:c>
      <x:c r="S143" s="10" t="n">
        <x:v>310</x:v>
      </x:c>
      <x:c r="T143" s="10" t="n">
        <x:v>1</x:v>
      </x:c>
      <x:c r="U143" s="10" t="n">
        <x:f>IF(AND(ISNUMBER(X143),X143&gt;=0,Y143&lt;&gt;1),X143,"")</x:f>
        <x:v>226</x:v>
      </x:c>
      <x:c r="V143" s="10" t="n">
        <x:v>0</x:v>
      </x:c>
      <x:c r="W143" s="10" t="n">
        <x:v>0</x:v>
      </x:c>
      <x:c r="X143" s="10" t="n">
        <x:v>226</x:v>
      </x:c>
      <x:c r="Y143" s="3" t="n">
        <x:v>0</x:v>
      </x:c>
      <x:c r="Z143" s="3" t="str">
        <x:v>共同</x:v>
      </x:c>
      <x:c r="AA143" s="3" t="str">
        <x:v>在售</x:v>
      </x:c>
      <x:c r="AB143" s="12" t="n">
        <x:f>IF(AND(Z143="共同",ISNUMBER(G143),ISNUMBER(AD143)),G143-AD143,"")</x:f>
        <x:v>-0.15809523809523784</x:v>
      </x:c>
      <x:c r="AC143" s="3" t="str"/>
      <x:c r="AD143" s="12" t="n">
        <x:v>1.5795238095238093</x:v>
      </x:c>
      <x:c r="AE143" s="3" t="str">
        <x:v>[13306,"2311062-BK-P-O-7"]</x:v>
      </x:c>
      <x:c r="AF143" t="n">
        <x:f>IF(ISNUMBER(H143),1,0)</x:f>
        <x:v>1</x:v>
      </x:c>
      <x:c r="AG143" t="n">
        <x:f>IF(ISNUMBER(I143),1,0)</x:f>
        <x:v>1</x:v>
      </x:c>
      <x:c r="AH143" t="str">
        <x:v>["2311062","2311062-BK-P-O","BK-P","黑色 PU"]</x:v>
      </x:c>
      <x:c r="AI143" t="n">
        <x:f>IF(ISNUMBER(G143),1,0)</x:f>
        <x:v>1</x:v>
      </x:c>
      <x:c r="AJ143" t="n">
        <x:f>IF(ISNUMBER(AD143),1,0)</x:f>
        <x:v>1</x:v>
      </x:c>
    </x:row>
    <x:row r="144" ht="30" customHeight="1">
      <x:c r="A144" s="3" t="str">
        <x:v>2311062-BK-P-O-8</x:v>
      </x:c>
      <x:c r="B144" s="3" t="str">
        <x:v>4店-彬郁-US</x:v>
      </x:c>
      <x:c r="C144" s="3" t="str">
        <x:v>陈晨</x:v>
      </x:c>
      <x:c r="D144" s="3" t="str">
        <x:v>2311062</x:v>
      </x:c>
      <x:c r="E144" s="3" t="str">
        <x:f>IF(Z144="移出","已移出",IF(NOT(ISNUMBER(H144)),"数据待核",IF(H144=0,"断货",IF(NOT(ISNUMBER(G144)),"数据待核",IF(G144=0,"零日销待复核",IF(F144&lt;60,"补货提醒",IF(F144&lt;=90,"正常库存",IF(F144&lt;180,"促销",IF(F144&lt;=365,"红线促销","考虑清仓")))))))))</x:f>
        <x:v>促销</x:v>
      </x:c>
      <x:c r="F144" s="11" t="n">
        <x:f>IF(AND(ISNUMBER(H144),ISNUMBER(G144),G144&gt;0),H144/G144,"")</x:f>
        <x:v>95.27326440177252</x:v>
      </x:c>
      <x:c r="G144" s="12" t="n">
        <x:f>IF(AND(COUNT(P144:R144)=3,MIN(P144:R144)&gt;=0,P144&lt;=Q144,Q144&lt;=R144),P144/7*0.5+Q144/14*0.3+R144/30*0.2,"")</x:f>
        <x:v>2.256666666666667</x:v>
      </x:c>
      <x:c r="H144" s="10" t="n">
        <x:f>IF(ISNUMBER(U144),U144,"")</x:f>
        <x:v>215</x:v>
      </x:c>
      <x:c r="I144" s="10" t="n">
        <x:v>182</x:v>
      </x:c>
      <x:c r="J144" s="11" t="n">
        <x:f>IF(AND(Z144="共同",ISNUMBER(F144),ISNUMBER(M144)),F144-M144,"")</x:f>
        <x:v>2.4837523842925435</x:v>
      </x:c>
      <x:c r="K144" s="13" t="n">
        <x:f>IF(AND(ISNUMBER(J144),M144&lt;&gt;0),J144/M144,"")</x:f>
        <x:v>0.026767598301677097</x:v>
      </x:c>
      <x:c r="L144" s="10" t="str">
        <x:v>促销</x:v>
      </x:c>
      <x:c r="M144" s="11" t="n">
        <x:v>92.78951201747998</x:v>
      </x:c>
      <x:c r="N144" s="10" t="n">
        <x:f>IF(AND(Z144="共同",COUNT(H144:I144)=2),H144-I144,"")</x:f>
        <x:v>33</x:v>
      </x:c>
      <x:c r="O144" s="10" t="n">
        <x:v>0</x:v>
      </x:c>
      <x:c r="P144" s="10" t="n">
        <x:v>16</x:v>
      </x:c>
      <x:c r="Q144" s="10" t="n">
        <x:v>33</x:v>
      </x:c>
      <x:c r="R144" s="10" t="n">
        <x:v>61</x:v>
      </x:c>
      <x:c r="S144" s="10" t="n">
        <x:v>299</x:v>
      </x:c>
      <x:c r="T144" s="10" t="n">
        <x:v>0</x:v>
      </x:c>
      <x:c r="U144" s="10" t="n">
        <x:f>IF(AND(ISNUMBER(X144),X144&gt;=0,Y144&lt;&gt;1),X144,"")</x:f>
        <x:v>215</x:v>
      </x:c>
      <x:c r="V144" s="10" t="n">
        <x:v>0</x:v>
      </x:c>
      <x:c r="W144" s="10" t="n">
        <x:v>54</x:v>
      </x:c>
      <x:c r="X144" s="10" t="n">
        <x:v>215</x:v>
      </x:c>
      <x:c r="Y144" s="3" t="n">
        <x:v>0</x:v>
      </x:c>
      <x:c r="Z144" s="3" t="str">
        <x:v>共同</x:v>
      </x:c>
      <x:c r="AA144" s="3" t="str">
        <x:v>在售</x:v>
      </x:c>
      <x:c r="AB144" s="12" t="n">
        <x:f>IF(AND(Z144="共同",ISNUMBER(G144),ISNUMBER(AD144)),G144-AD144,"")</x:f>
        <x:v>0.2952380952380955</x:v>
      </x:c>
      <x:c r="AC144" s="3" t="str"/>
      <x:c r="AD144" s="12" t="n">
        <x:v>1.9614285714285713</x:v>
      </x:c>
      <x:c r="AE144" s="3" t="str">
        <x:v>[13306,"2311062-BK-P-O-8"]</x:v>
      </x:c>
      <x:c r="AF144" t="n">
        <x:f>IF(ISNUMBER(H144),1,0)</x:f>
        <x:v>1</x:v>
      </x:c>
      <x:c r="AG144" t="n">
        <x:f>IF(ISNUMBER(I144),1,0)</x:f>
        <x:v>1</x:v>
      </x:c>
      <x:c r="AH144" t="str">
        <x:v>["2311062","2311062-BK-P-O","BK-P","黑色 PU"]</x:v>
      </x:c>
      <x:c r="AI144" t="n">
        <x:f>IF(ISNUMBER(G144),1,0)</x:f>
        <x:v>1</x:v>
      </x:c>
      <x:c r="AJ144" t="n">
        <x:f>IF(ISNUMBER(AD144),1,0)</x:f>
        <x:v>1</x:v>
      </x:c>
    </x:row>
    <x:row r="145" ht="30" customHeight="1">
      <x:c r="A145" s="3" t="str">
        <x:v>2311062-RD-V-O-7</x:v>
      </x:c>
      <x:c r="B145" s="3" t="str">
        <x:v>4店-彬郁-US</x:v>
      </x:c>
      <x:c r="C145" s="3" t="str">
        <x:v>陈晨</x:v>
      </x:c>
      <x:c r="D145" s="3" t="str">
        <x:v>2311062</x:v>
      </x:c>
      <x:c r="E145" s="3" t="str">
        <x:f>IF(Z145="移出","已移出",IF(NOT(ISNUMBER(H145)),"数据待核",IF(H145=0,"断货",IF(NOT(ISNUMBER(G145)),"数据待核",IF(G145=0,"零日销待复核",IF(F145&lt;60,"补货提醒",IF(F145&lt;=90,"正常库存",IF(F145&lt;180,"促销",IF(F145&lt;=365,"红线促销","考虑清仓")))))))))</x:f>
        <x:v>促销</x:v>
      </x:c>
      <x:c r="F145" s="11" t="n">
        <x:f>IF(AND(ISNUMBER(H145),ISNUMBER(G145),G145&gt;0),H145/G145,"")</x:f>
        <x:v>128.91089108910893</x:v>
      </x:c>
      <x:c r="G145" s="12" t="n">
        <x:f>IF(AND(COUNT(P145:R145)=3,MIN(P145:R145)&gt;=0,P145&lt;=Q145,Q145&lt;=R145),P145/7*0.5+Q145/14*0.3+R145/30*0.2,"")</x:f>
        <x:v>0.24047619047619045</x:v>
      </x:c>
      <x:c r="H145" s="10" t="n">
        <x:f>IF(ISNUMBER(U145),U145,"")</x:f>
        <x:v>31</x:v>
      </x:c>
      <x:c r="I145" s="10" t="n">
        <x:v>29</x:v>
      </x:c>
      <x:c r="J145" s="11" t="n">
        <x:f>IF(AND(Z145="共同",ISNUMBER(F145),ISNUMBER(M145)),F145-M145,"")</x:f>
        <x:v>-98.32791488104036</x:v>
      </x:c>
      <x:c r="K145" s="13" t="n">
        <x:f>IF(AND(ISNUMBER(J145),M145&lt;&gt;0),J145/M145,"")</x:f>
        <x:v>-0.43270740867190166</x:v>
      </x:c>
      <x:c r="L145" s="10" t="str">
        <x:v>红线促销</x:v>
      </x:c>
      <x:c r="M145" s="11" t="n">
        <x:v>227.2388059701493</x:v>
      </x:c>
      <x:c r="N145" s="10" t="n">
        <x:f>IF(AND(Z145="共同",COUNT(H145:I145)=2),H145-I145,"")</x:f>
        <x:v>2</x:v>
      </x:c>
      <x:c r="O145" s="10" t="n">
        <x:v>0</x:v>
      </x:c>
      <x:c r="P145" s="10" t="n">
        <x:v>2</x:v>
      </x:c>
      <x:c r="Q145" s="10" t="n">
        <x:v>3</x:v>
      </x:c>
      <x:c r="R145" s="10" t="n">
        <x:v>5</x:v>
      </x:c>
      <x:c r="S145" s="10" t="n">
        <x:v>39</x:v>
      </x:c>
      <x:c r="T145" s="10" t="n">
        <x:v>0</x:v>
      </x:c>
      <x:c r="U145" s="10" t="n">
        <x:f>IF(AND(ISNUMBER(X145),X145&gt;=0,Y145&lt;&gt;1),X145,"")</x:f>
        <x:v>31</x:v>
      </x:c>
      <x:c r="V145" s="10" t="n">
        <x:v>0</x:v>
      </x:c>
      <x:c r="W145" s="10" t="n">
        <x:v>0</x:v>
      </x:c>
      <x:c r="X145" s="10" t="n">
        <x:v>31</x:v>
      </x:c>
      <x:c r="Y145" s="3" t="n">
        <x:v>0</x:v>
      </x:c>
      <x:c r="Z145" s="3" t="str">
        <x:v>共同</x:v>
      </x:c>
      <x:c r="AA145" s="3" t="str">
        <x:v>在售</x:v>
      </x:c>
      <x:c r="AB145" s="12" t="n">
        <x:f>IF(AND(Z145="共同",ISNUMBER(G145),ISNUMBER(AD145)),G145-AD145,"")</x:f>
        <x:v>0.11285714285714285</x:v>
      </x:c>
      <x:c r="AC145" s="3" t="str"/>
      <x:c r="AD145" s="12" t="n">
        <x:v>0.1276190476190476</x:v>
      </x:c>
      <x:c r="AE145" s="3" t="str">
        <x:v>[13306,"2311062-RD-V-O-7"]</x:v>
      </x:c>
      <x:c r="AF145" t="n">
        <x:f>IF(ISNUMBER(H145),1,0)</x:f>
        <x:v>1</x:v>
      </x:c>
      <x:c r="AG145" t="n">
        <x:f>IF(ISNUMBER(I145),1,0)</x:f>
        <x:v>1</x:v>
      </x:c>
      <x:c r="AH145" t="str">
        <x:v>["2311062","2311062-RD-V-O","RD-V","酒红锦纶"]</x:v>
      </x:c>
      <x:c r="AI145" t="n">
        <x:f>IF(ISNUMBER(G145),1,0)</x:f>
        <x:v>1</x:v>
      </x:c>
      <x:c r="AJ145" t="n">
        <x:f>IF(ISNUMBER(AD145),1,0)</x:f>
        <x:v>1</x:v>
      </x:c>
    </x:row>
    <x:row r="146" ht="30" customHeight="1">
      <x:c r="A146" s="3" t="str">
        <x:v>2311062-SL-P-O-6</x:v>
      </x:c>
      <x:c r="B146" s="3" t="str">
        <x:v>4店-彬郁-US</x:v>
      </x:c>
      <x:c r="C146" s="3" t="str">
        <x:v>陈晨</x:v>
      </x:c>
      <x:c r="D146" s="3" t="str">
        <x:v>2311062</x:v>
      </x:c>
      <x:c r="E146" s="3" t="str">
        <x:f>IF(Z146="移出","已移出",IF(NOT(ISNUMBER(H146)),"数据待核",IF(H146=0,"断货",IF(NOT(ISNUMBER(G146)),"数据待核",IF(G146=0,"零日销待复核",IF(F146&lt;60,"补货提醒",IF(F146&lt;=90,"正常库存",IF(F146&lt;180,"促销",IF(F146&lt;=365,"红线促销","考虑清仓")))))))))</x:f>
        <x:v>促销</x:v>
      </x:c>
      <x:c r="F146" s="11" t="n">
        <x:f>IF(AND(ISNUMBER(H146),ISNUMBER(G146),G146&gt;0),H146/G146,"")</x:f>
        <x:v>100.398406374502</x:v>
      </x:c>
      <x:c r="G146" s="12" t="n">
        <x:f>IF(AND(COUNT(P146:R146)=3,MIN(P146:R146)&gt;=0,P146&lt;=Q146,Q146&lt;=R146),P146/7*0.5+Q146/14*0.3+R146/30*0.2,"")</x:f>
        <x:v>0.11952380952380952</x:v>
      </x:c>
      <x:c r="H146" s="10" t="n">
        <x:f>IF(ISNUMBER(U146),U146,"")</x:f>
        <x:v>12</x:v>
      </x:c>
      <x:c r="I146" s="10" t="n">
        <x:v>0</x:v>
      </x:c>
      <x:c r="J146" s="11" t="str">
        <x:f>IF(AND(Z146="共同",ISNUMBER(F146),ISNUMBER(M146)),F146-M146,"")</x:f>
      </x:c>
      <x:c r="K146" s="13" t="str">
        <x:f>IF(AND(ISNUMBER(J146),M146&lt;&gt;0),J146/M146,"")</x:f>
      </x:c>
      <x:c r="L146" s="10" t="str">
        <x:v>断货</x:v>
      </x:c>
      <x:c r="M146" s="11"/>
      <x:c r="N146" s="10" t="n">
        <x:f>IF(AND(Z146="共同",COUNT(H146:I146)=2),H146-I146,"")</x:f>
        <x:v>12</x:v>
      </x:c>
      <x:c r="O146" s="10" t="n">
        <x:v>0</x:v>
      </x:c>
      <x:c r="P146" s="10" t="n">
        <x:v>1</x:v>
      </x:c>
      <x:c r="Q146" s="10" t="n">
        <x:v>1</x:v>
      </x:c>
      <x:c r="R146" s="10" t="n">
        <x:v>4</x:v>
      </x:c>
      <x:c r="S146" s="10" t="n">
        <x:v>14</x:v>
      </x:c>
      <x:c r="T146" s="10" t="n">
        <x:v>0</x:v>
      </x:c>
      <x:c r="U146" s="10" t="n">
        <x:f>IF(AND(ISNUMBER(X146),X146&gt;=0,Y146&lt;&gt;1),X146,"")</x:f>
        <x:v>12</x:v>
      </x:c>
      <x:c r="V146" s="10" t="n">
        <x:v>0</x:v>
      </x:c>
      <x:c r="W146" s="10" t="n">
        <x:v>0</x:v>
      </x:c>
      <x:c r="X146" s="10" t="n">
        <x:v>12</x:v>
      </x:c>
      <x:c r="Y146" s="3" t="n">
        <x:v>0</x:v>
      </x:c>
      <x:c r="Z146" s="3" t="str">
        <x:v>共同</x:v>
      </x:c>
      <x:c r="AA146" s="3" t="str">
        <x:v>在售</x:v>
      </x:c>
      <x:c r="AB146" s="12" t="str">
        <x:f>IF(AND(Z146="共同",ISNUMBER(G146),ISNUMBER(AD146)),G146-AD146,"")</x:f>
      </x:c>
      <x:c r="AC146" s="3" t="str"/>
      <x:c r="AD146" s="12"/>
      <x:c r="AE146" s="3" t="str">
        <x:v>[13306,"2311062-SL-P-O-6"]</x:v>
      </x:c>
      <x:c r="AF146" t="n">
        <x:f>IF(ISNUMBER(H146),1,0)</x:f>
        <x:v>1</x:v>
      </x:c>
      <x:c r="AG146" t="n">
        <x:f>IF(ISNUMBER(I146),1,0)</x:f>
        <x:v>1</x:v>
      </x:c>
      <x:c r="AH146" t="str">
        <x:v>["2311062","2311062-SL-P-O","SL-P","银色 PU"]</x:v>
      </x:c>
      <x:c r="AI146" t="n">
        <x:f>IF(ISNUMBER(G146),1,0)</x:f>
        <x:v>1</x:v>
      </x:c>
      <x:c r="AJ146" t="n">
        <x:f>IF(ISNUMBER(AD146),1,0)</x:f>
        <x:v>0</x:v>
      </x:c>
    </x:row>
    <x:row r="147" ht="30" customHeight="1">
      <x:c r="A147" s="3" t="str">
        <x:v>2311062-WT-P-O-8</x:v>
      </x:c>
      <x:c r="B147" s="3" t="str">
        <x:v>4店-彬郁-US</x:v>
      </x:c>
      <x:c r="C147" s="3" t="str">
        <x:v>陈晨</x:v>
      </x:c>
      <x:c r="D147" s="3" t="str">
        <x:v>2311062</x:v>
      </x:c>
      <x:c r="E147" s="3" t="str">
        <x:f>IF(Z147="移出","已移出",IF(NOT(ISNUMBER(H147)),"数据待核",IF(H147=0,"断货",IF(NOT(ISNUMBER(G147)),"数据待核",IF(G147=0,"零日销待复核",IF(F147&lt;60,"补货提醒",IF(F147&lt;=90,"正常库存",IF(F147&lt;180,"促销",IF(F147&lt;=365,"红线促销","考虑清仓")))))))))</x:f>
        <x:v>促销</x:v>
      </x:c>
      <x:c r="F147" s="11" t="n">
        <x:f>IF(AND(ISNUMBER(H147),ISNUMBER(G147),G147&gt;0),H147/G147,"")</x:f>
        <x:v>100.18832391713748</x:v>
      </x:c>
      <x:c r="G147" s="12" t="n">
        <x:f>IF(AND(COUNT(P147:R147)=3,MIN(P147:R147)&gt;=0,P147&lt;=Q147,Q147&lt;=R147),P147/7*0.5+Q147/14*0.3+R147/30*0.2,"")</x:f>
        <x:v>1.5171428571428571</x:v>
      </x:c>
      <x:c r="H147" s="10" t="n">
        <x:f>IF(ISNUMBER(U147),U147,"")</x:f>
        <x:v>152</x:v>
      </x:c>
      <x:c r="I147" s="10" t="n">
        <x:v>166</x:v>
      </x:c>
      <x:c r="J147" s="11" t="str">
        <x:f>IF(AND(Z147="共同",ISNUMBER(F147),ISNUMBER(M147)),F147-M147,"")</x:f>
      </x:c>
      <x:c r="K147" s="13" t="str">
        <x:f>IF(AND(ISNUMBER(J147),M147&lt;&gt;0),J147/M147,"")</x:f>
      </x:c>
      <x:c r="L147" s="10" t="str">
        <x:v>数据待核</x:v>
      </x:c>
      <x:c r="M147" s="11"/>
      <x:c r="N147" s="10" t="n">
        <x:f>IF(AND(Z147="共同",COUNT(H147:I147)=2),H147-I147,"")</x:f>
        <x:v>-14</x:v>
      </x:c>
      <x:c r="O147" s="10" t="n">
        <x:v>282</x:v>
      </x:c>
      <x:c r="P147" s="10" t="n">
        <x:v>11</x:v>
      </x:c>
      <x:c r="Q147" s="10" t="n">
        <x:v>22</x:v>
      </x:c>
      <x:c r="R147" s="10" t="n">
        <x:v>39</x:v>
      </x:c>
      <x:c r="S147" s="10" t="n">
        <x:v>161</x:v>
      </x:c>
      <x:c r="T147" s="10" t="n">
        <x:v>0</x:v>
      </x:c>
      <x:c r="U147" s="10" t="n">
        <x:f>IF(AND(ISNUMBER(X147),X147&gt;=0,Y147&lt;&gt;1),X147,"")</x:f>
        <x:v>152</x:v>
      </x:c>
      <x:c r="V147" s="10" t="n">
        <x:v>37</x:v>
      </x:c>
      <x:c r="W147" s="10" t="n">
        <x:v>136</x:v>
      </x:c>
      <x:c r="X147" s="10" t="n">
        <x:v>152</x:v>
      </x:c>
      <x:c r="Y147" s="3" t="n">
        <x:v>0</x:v>
      </x:c>
      <x:c r="Z147" s="3" t="str">
        <x:v>共同</x:v>
      </x:c>
      <x:c r="AA147" s="3" t="str">
        <x:v>在售</x:v>
      </x:c>
      <x:c r="AB147" s="12" t="str">
        <x:f>IF(AND(Z147="共同",ISNUMBER(G147),ISNUMBER(AD147)),G147-AD147,"")</x:f>
      </x:c>
      <x:c r="AC147" s="3" t="str">
        <x:v>近90天SKU销量未匹配，未按0处理</x:v>
      </x:c>
      <x:c r="AD147" s="12"/>
      <x:c r="AE147" s="3" t="str">
        <x:v>[13306,"2311062-WT-P-O-8"]</x:v>
      </x:c>
      <x:c r="AF147" t="n">
        <x:f>IF(ISNUMBER(H147),1,0)</x:f>
        <x:v>1</x:v>
      </x:c>
      <x:c r="AG147" t="n">
        <x:f>IF(ISNUMBER(I147),1,0)</x:f>
        <x:v>1</x:v>
      </x:c>
      <x:c r="AH147" t="str">
        <x:v>["2311062","2311062-WT-P-O","WT-P","白色 PU"]</x:v>
      </x:c>
      <x:c r="AI147" t="n">
        <x:f>IF(ISNUMBER(G147),1,0)</x:f>
        <x:v>1</x:v>
      </x:c>
      <x:c r="AJ147" t="n">
        <x:f>IF(ISNUMBER(AD147),1,0)</x:f>
        <x:v>0</x:v>
      </x:c>
    </x:row>
    <x:row r="148" ht="30" customHeight="1">
      <x:c r="A148" s="3" t="str">
        <x:v>32582-BK-40.5</x:v>
      </x:c>
      <x:c r="B148" s="3" t="str">
        <x:v>3店-SANDIEX-US</x:v>
      </x:c>
      <x:c r="C148" s="3" t="str">
        <x:v>徐新怡</x:v>
      </x:c>
      <x:c r="D148" s="3" t="str">
        <x:v>32582</x:v>
      </x:c>
      <x:c r="E148" s="3" t="str">
        <x:f>IF(Z148="移出","已移出",IF(NOT(ISNUMBER(H148)),"数据待核",IF(H148=0,"断货",IF(NOT(ISNUMBER(G148)),"数据待核",IF(G148=0,"零日销待复核",IF(F148&lt;60,"补货提醒",IF(F148&lt;=90,"正常库存",IF(F148&lt;180,"促销",IF(F148&lt;=365,"红线促销","考虑清仓")))))))))</x:f>
        <x:v>促销</x:v>
      </x:c>
      <x:c r="F148" s="11" t="n">
        <x:f>IF(AND(ISNUMBER(H148),ISNUMBER(G148),G148&gt;0),H148/G148,"")</x:f>
        <x:v>108.51438637698179</x:v>
      </x:c>
      <x:c r="G148" s="12" t="n">
        <x:f>IF(AND(COUNT(P148:R148)=3,MIN(P148:R148)&gt;=0,P148&lt;=Q148,Q148&lt;=R148),P148/7*0.5+Q148/14*0.3+R148/30*0.2,"")</x:f>
        <x:v>0.810952380952381</x:v>
      </x:c>
      <x:c r="H148" s="10" t="n">
        <x:f>IF(ISNUMBER(U148),U148,"")</x:f>
        <x:v>88</x:v>
      </x:c>
      <x:c r="I148" s="10" t="n">
        <x:v>59</x:v>
      </x:c>
      <x:c r="J148" s="11" t="n">
        <x:f>IF(AND(Z148="共同",ISNUMBER(F148),ISNUMBER(M148)),F148-M148,"")</x:f>
        <x:v>73.79877976448529</x:v>
      </x:c>
      <x:c r="K148" s="13" t="n">
        <x:f>IF(AND(ISNUMBER(J148),M148&lt;&gt;0),J148/M148,"")</x:f>
        <x:v>2.1258098868397743</x:v>
      </x:c>
      <x:c r="L148" s="10" t="str">
        <x:v>补货提醒</x:v>
      </x:c>
      <x:c r="M148" s="11" t="n">
        <x:v>34.715606612496494</x:v>
      </x:c>
      <x:c r="N148" s="10" t="n">
        <x:f>IF(AND(Z148="共同",COUNT(H148:I148)=2),H148-I148,"")</x:f>
        <x:v>29</x:v>
      </x:c>
      <x:c r="O148" s="10" t="n">
        <x:v>0</x:v>
      </x:c>
      <x:c r="P148" s="10" t="n">
        <x:v>4</x:v>
      </x:c>
      <x:c r="Q148" s="10" t="n">
        <x:v>13</x:v>
      </x:c>
      <x:c r="R148" s="10" t="n">
        <x:v>37</x:v>
      </x:c>
      <x:c r="S148" s="10" t="n">
        <x:v>88</x:v>
      </x:c>
      <x:c r="T148" s="10" t="n">
        <x:v>0</x:v>
      </x:c>
      <x:c r="U148" s="10" t="n">
        <x:f>IF(AND(ISNUMBER(X148),X148&gt;=0,Y148&lt;&gt;1),X148,"")</x:f>
        <x:v>88</x:v>
      </x:c>
      <x:c r="V148" s="10" t="n">
        <x:v>0</x:v>
      </x:c>
      <x:c r="W148" s="10" t="n">
        <x:v>20</x:v>
      </x:c>
      <x:c r="X148" s="10" t="n">
        <x:v>88</x:v>
      </x:c>
      <x:c r="Y148" s="3" t="n">
        <x:v>0</x:v>
      </x:c>
      <x:c r="Z148" s="3" t="str">
        <x:v>共同</x:v>
      </x:c>
      <x:c r="AA148" s="3" t="str">
        <x:v>在售</x:v>
      </x:c>
      <x:c r="AB148" s="12" t="n">
        <x:f>IF(AND(Z148="共同",ISNUMBER(G148),ISNUMBER(AD148)),G148-AD148,"")</x:f>
        <x:v>-0.8885714285714287</x:v>
      </x:c>
      <x:c r="AC148" s="3" t="str"/>
      <x:c r="AD148" s="12" t="n">
        <x:v>1.6995238095238097</x:v>
      </x:c>
      <x:c r="AE148" s="3" t="str">
        <x:v>[6574,"32582-BK-40.5"]</x:v>
      </x:c>
      <x:c r="AF148" t="n">
        <x:f>IF(ISNUMBER(H148),1,0)</x:f>
        <x:v>1</x:v>
      </x:c>
      <x:c r="AG148" t="n">
        <x:f>IF(ISNUMBER(I148),1,0)</x:f>
        <x:v>1</x:v>
      </x:c>
      <x:c r="AH148" t="str">
        <x:v>["32582","32582-BK","BK","黑色"]</x:v>
      </x:c>
      <x:c r="AI148" t="n">
        <x:f>IF(ISNUMBER(G148),1,0)</x:f>
        <x:v>1</x:v>
      </x:c>
      <x:c r="AJ148" t="n">
        <x:f>IF(ISNUMBER(AD148),1,0)</x:f>
        <x:v>1</x:v>
      </x:c>
    </x:row>
    <x:row r="149" ht="30" customHeight="1">
      <x:c r="A149" s="3" t="str">
        <x:v>32582-BKW-39.5</x:v>
      </x:c>
      <x:c r="B149" s="3" t="str">
        <x:v>3店-SANDIEX-US</x:v>
      </x:c>
      <x:c r="C149" s="3" t="str">
        <x:v>徐新怡</x:v>
      </x:c>
      <x:c r="D149" s="3" t="str">
        <x:v>32582</x:v>
      </x:c>
      <x:c r="E149" s="3" t="str">
        <x:f>IF(Z149="移出","已移出",IF(NOT(ISNUMBER(H149)),"数据待核",IF(H149=0,"断货",IF(NOT(ISNUMBER(G149)),"数据待核",IF(G149=0,"零日销待复核",IF(F149&lt;60,"补货提醒",IF(F149&lt;=90,"正常库存",IF(F149&lt;180,"促销",IF(F149&lt;=365,"红线促销","考虑清仓")))))))))</x:f>
        <x:v>促销</x:v>
      </x:c>
      <x:c r="F149" s="11" t="n">
        <x:f>IF(AND(ISNUMBER(H149),ISNUMBER(G149),G149&gt;0),H149/G149,"")</x:f>
        <x:v>167.1280276816609</x:v>
      </x:c>
      <x:c r="G149" s="12" t="n">
        <x:f>IF(AND(COUNT(P149:R149)=3,MIN(P149:R149)&gt;=0,P149&lt;=Q149,Q149&lt;=R149),P149/7*0.5+Q149/14*0.3+R149/30*0.2,"")</x:f>
        <x:v>0.2752380952380952</x:v>
      </x:c>
      <x:c r="H149" s="10" t="n">
        <x:f>IF(ISNUMBER(U149),U149,"")</x:f>
        <x:v>46</x:v>
      </x:c>
      <x:c r="I149" s="10" t="n">
        <x:v>50</x:v>
      </x:c>
      <x:c r="J149" s="11" t="n">
        <x:f>IF(AND(Z149="共同",ISNUMBER(F149),ISNUMBER(M149)),F149-M149,"")</x:f>
        <x:v>-35.18411104666282</x:v>
      </x:c>
      <x:c r="K149" s="13" t="n">
        <x:f>IF(AND(ISNUMBER(J149),M149&lt;&gt;0),J149/M149,"")</x:f>
        <x:v>-0.1739100346020762</x:v>
      </x:c>
      <x:c r="L149" s="10" t="str">
        <x:v>红线促销</x:v>
      </x:c>
      <x:c r="M149" s="11" t="n">
        <x:v>202.31213872832373</x:v>
      </x:c>
      <x:c r="N149" s="10" t="n">
        <x:f>IF(AND(Z149="共同",COUNT(H149:I149)=2),H149-I149,"")</x:f>
        <x:v>-4</x:v>
      </x:c>
      <x:c r="O149" s="10" t="n">
        <x:v>179</x:v>
      </x:c>
      <x:c r="P149" s="10" t="n">
        <x:v>2</x:v>
      </x:c>
      <x:c r="Q149" s="10" t="n">
        <x:v>4</x:v>
      </x:c>
      <x:c r="R149" s="10" t="n">
        <x:v>7</x:v>
      </x:c>
      <x:c r="S149" s="10" t="n">
        <x:v>46</x:v>
      </x:c>
      <x:c r="T149" s="10" t="n">
        <x:v>0</x:v>
      </x:c>
      <x:c r="U149" s="10" t="n">
        <x:f>IF(AND(ISNUMBER(X149),X149&gt;=0,Y149&lt;&gt;1),X149,"")</x:f>
        <x:v>46</x:v>
      </x:c>
      <x:c r="V149" s="10" t="n">
        <x:v>0</x:v>
      </x:c>
      <x:c r="W149" s="10" t="n">
        <x:v>0</x:v>
      </x:c>
      <x:c r="X149" s="10" t="n">
        <x:v>46</x:v>
      </x:c>
      <x:c r="Y149" s="3" t="n">
        <x:v>0</x:v>
      </x:c>
      <x:c r="Z149" s="3" t="str">
        <x:v>共同</x:v>
      </x:c>
      <x:c r="AA149" s="3" t="str">
        <x:v>在售</x:v>
      </x:c>
      <x:c r="AB149" s="12" t="n">
        <x:f>IF(AND(Z149="共同",ISNUMBER(G149),ISNUMBER(AD149)),G149-AD149,"")</x:f>
        <x:v>0.028095238095238118</x:v>
      </x:c>
      <x:c r="AC149" s="3" t="str"/>
      <x:c r="AD149" s="12" t="n">
        <x:v>0.2471428571428571</x:v>
      </x:c>
      <x:c r="AE149" s="3" t="str">
        <x:v>[6574,"32582-BKW-39.5"]</x:v>
      </x:c>
      <x:c r="AF149" t="n">
        <x:f>IF(ISNUMBER(H149),1,0)</x:f>
        <x:v>1</x:v>
      </x:c>
      <x:c r="AG149" t="n">
        <x:f>IF(ISNUMBER(I149),1,0)</x:f>
        <x:v>1</x:v>
      </x:c>
      <x:c r="AH149" t="str">
        <x:v>["32582","32582-BKW","BKW","黑色白色内里"]</x:v>
      </x:c>
      <x:c r="AI149" t="n">
        <x:f>IF(ISNUMBER(G149),1,0)</x:f>
        <x:v>1</x:v>
      </x:c>
      <x:c r="AJ149" t="n">
        <x:f>IF(ISNUMBER(AD149),1,0)</x:f>
        <x:v>1</x:v>
      </x:c>
    </x:row>
    <x:row r="150" ht="30" customHeight="1">
      <x:c r="A150" s="3" t="str">
        <x:v>32582-BKW-40</x:v>
      </x:c>
      <x:c r="B150" s="3" t="str">
        <x:v>3店-SANDIEX-US</x:v>
      </x:c>
      <x:c r="C150" s="3" t="str">
        <x:v>徐新怡</x:v>
      </x:c>
      <x:c r="D150" s="3" t="str">
        <x:v>32582</x:v>
      </x:c>
      <x:c r="E150" s="3" t="str">
        <x:f>IF(Z150="移出","已移出",IF(NOT(ISNUMBER(H150)),"数据待核",IF(H150=0,"断货",IF(NOT(ISNUMBER(G150)),"数据待核",IF(G150=0,"零日销待复核",IF(F150&lt;60,"补货提醒",IF(F150&lt;=90,"正常库存",IF(F150&lt;180,"促销",IF(F150&lt;=365,"红线促销","考虑清仓")))))))))</x:f>
        <x:v>促销</x:v>
      </x:c>
      <x:c r="F150" s="11" t="n">
        <x:f>IF(AND(ISNUMBER(H150),ISNUMBER(G150),G150&gt;0),H150/G150,"")</x:f>
        <x:v>110.22099447513814</x:v>
      </x:c>
      <x:c r="G150" s="12" t="n">
        <x:f>IF(AND(COUNT(P150:R150)=3,MIN(P150:R150)&gt;=0,P150&lt;=Q150,Q150&lt;=R150),P150/7*0.5+Q150/14*0.3+R150/30*0.2,"")</x:f>
        <x:v>0.3447619047619047</x:v>
      </x:c>
      <x:c r="H150" s="10" t="n">
        <x:f>IF(ISNUMBER(U150),U150,"")</x:f>
        <x:v>38</x:v>
      </x:c>
      <x:c r="I150" s="10" t="n">
        <x:v>44</x:v>
      </x:c>
      <x:c r="J150" s="11" t="n">
        <x:f>IF(AND(Z150="共同",ISNUMBER(F150),ISNUMBER(M150)),F150-M150,"")</x:f>
        <x:v>-49.6405972203636</x:v>
      </x:c>
      <x:c r="K150" s="13" t="n">
        <x:f>IF(AND(ISNUMBER(J150),M150&lt;&gt;0),J150/M150,"")</x:f>
        <x:v>-0.31052235057759914</x:v>
      </x:c>
      <x:c r="L150" s="10" t="str">
        <x:v>促销</x:v>
      </x:c>
      <x:c r="M150" s="11" t="n">
        <x:v>159.86159169550174</x:v>
      </x:c>
      <x:c r="N150" s="10" t="n">
        <x:f>IF(AND(Z150="共同",COUNT(H150:I150)=2),H150-I150,"")</x:f>
        <x:v>-6</x:v>
      </x:c>
      <x:c r="O150" s="10" t="n">
        <x:v>0</x:v>
      </x:c>
      <x:c r="P150" s="10" t="n">
        <x:v>2</x:v>
      </x:c>
      <x:c r="Q150" s="10" t="n">
        <x:v>6</x:v>
      </x:c>
      <x:c r="R150" s="10" t="n">
        <x:v>11</x:v>
      </x:c>
      <x:c r="S150" s="10" t="n">
        <x:v>40</x:v>
      </x:c>
      <x:c r="T150" s="10" t="n">
        <x:v>1</x:v>
      </x:c>
      <x:c r="U150" s="10" t="n">
        <x:f>IF(AND(ISNUMBER(X150),X150&gt;=0,Y150&lt;&gt;1),X150,"")</x:f>
        <x:v>38</x:v>
      </x:c>
      <x:c r="V150" s="10" t="n">
        <x:v>0</x:v>
      </x:c>
      <x:c r="W150" s="10" t="n">
        <x:v>0</x:v>
      </x:c>
      <x:c r="X150" s="10" t="n">
        <x:v>38</x:v>
      </x:c>
      <x:c r="Y150" s="3" t="n">
        <x:v>0</x:v>
      </x:c>
      <x:c r="Z150" s="3" t="str">
        <x:v>共同</x:v>
      </x:c>
      <x:c r="AA150" s="3" t="str">
        <x:v>在售</x:v>
      </x:c>
      <x:c r="AB150" s="12" t="n">
        <x:f>IF(AND(Z150="共同",ISNUMBER(G150),ISNUMBER(AD150)),G150-AD150,"")</x:f>
        <x:v>0.06952380952380949</x:v>
      </x:c>
      <x:c r="AC150" s="3" t="str"/>
      <x:c r="AD150" s="12" t="n">
        <x:v>0.2752380952380952</x:v>
      </x:c>
      <x:c r="AE150" s="3" t="str">
        <x:v>[6574,"32582-BKW-40"]</x:v>
      </x:c>
      <x:c r="AF150" t="n">
        <x:f>IF(ISNUMBER(H150),1,0)</x:f>
        <x:v>1</x:v>
      </x:c>
      <x:c r="AG150" t="n">
        <x:f>IF(ISNUMBER(I150),1,0)</x:f>
        <x:v>1</x:v>
      </x:c>
      <x:c r="AH150" t="str">
        <x:v>["32582","32582-BKW","BKW","黑色白色内里"]</x:v>
      </x:c>
      <x:c r="AI150" t="n">
        <x:f>IF(ISNUMBER(G150),1,0)</x:f>
        <x:v>1</x:v>
      </x:c>
      <x:c r="AJ150" t="n">
        <x:f>IF(ISNUMBER(AD150),1,0)</x:f>
        <x:v>1</x:v>
      </x:c>
    </x:row>
    <x:row r="151" ht="30" customHeight="1">
      <x:c r="A151" s="3" t="str">
        <x:v>32582-BKW-41.5</x:v>
      </x:c>
      <x:c r="B151" s="3" t="str">
        <x:v>3店-SANDIEX-US</x:v>
      </x:c>
      <x:c r="C151" s="3" t="str">
        <x:v>徐新怡</x:v>
      </x:c>
      <x:c r="D151" s="3" t="str">
        <x:v>32582</x:v>
      </x:c>
      <x:c r="E151" s="3" t="str">
        <x:f>IF(Z151="移出","已移出",IF(NOT(ISNUMBER(H151)),"数据待核",IF(H151=0,"断货",IF(NOT(ISNUMBER(G151)),"数据待核",IF(G151=0,"零日销待复核",IF(F151&lt;60,"补货提醒",IF(F151&lt;=90,"正常库存",IF(F151&lt;180,"促销",IF(F151&lt;=365,"红线促销","考虑清仓")))))))))</x:f>
        <x:v>促销</x:v>
      </x:c>
      <x:c r="F151" s="11" t="n">
        <x:f>IF(AND(ISNUMBER(H151),ISNUMBER(G151),G151&gt;0),H151/G151,"")</x:f>
        <x:v>150</x:v>
      </x:c>
      <x:c r="G151" s="12" t="n">
        <x:f>IF(AND(COUNT(P151:R151)=3,MIN(P151:R151)&gt;=0,P151&lt;=Q151,Q151&lt;=R151),P151/7*0.5+Q151/14*0.3+R151/30*0.2,"")</x:f>
        <x:v>0.006666666666666667</x:v>
      </x:c>
      <x:c r="H151" s="10" t="n">
        <x:f>IF(ISNUMBER(U151),U151,"")</x:f>
        <x:v>1</x:v>
      </x:c>
      <x:c r="I151" s="10" t="n">
        <x:v>0</x:v>
      </x:c>
      <x:c r="J151" s="11" t="n">
        <x:f>IF(AND(Z151="共同",ISNUMBER(F151),ISNUMBER(M151)),F151-M151,"")</x:f>
        <x:v>150</x:v>
      </x:c>
      <x:c r="K151" s="13" t="str">
        <x:f>IF(AND(ISNUMBER(J151),M151&lt;&gt;0),J151/M151,"")</x:f>
      </x:c>
      <x:c r="L151" s="10" t="str">
        <x:v>断货</x:v>
      </x:c>
      <x:c r="M151" s="11" t="n">
        <x:v>0</x:v>
      </x:c>
      <x:c r="N151" s="10" t="n">
        <x:f>IF(AND(Z151="共同",COUNT(H151:I151)=2),H151-I151,"")</x:f>
        <x:v>1</x:v>
      </x:c>
      <x:c r="O151" s="10"/>
      <x:c r="P151" s="10" t="n">
        <x:v>0</x:v>
      </x:c>
      <x:c r="Q151" s="10" t="n">
        <x:v>0</x:v>
      </x:c>
      <x:c r="R151" s="10" t="n">
        <x:v>1</x:v>
      </x:c>
      <x:c r="S151" s="10" t="n">
        <x:v>1</x:v>
      </x:c>
      <x:c r="T151" s="10" t="n">
        <x:v>0</x:v>
      </x:c>
      <x:c r="U151" s="10" t="n">
        <x:f>IF(AND(ISNUMBER(X151),X151&gt;=0,Y151&lt;&gt;1),X151,"")</x:f>
        <x:v>1</x:v>
      </x:c>
      <x:c r="V151" s="10" t="n">
        <x:v>0</x:v>
      </x:c>
      <x:c r="W151" s="10" t="n">
        <x:v>0</x:v>
      </x:c>
      <x:c r="X151" s="10" t="n">
        <x:v>1</x:v>
      </x:c>
      <x:c r="Y151" s="3" t="n">
        <x:v>0</x:v>
      </x:c>
      <x:c r="Z151" s="3" t="str">
        <x:v>共同</x:v>
      </x:c>
      <x:c r="AA151" s="3" t="str">
        <x:v>在售</x:v>
      </x:c>
      <x:c r="AB151" s="12" t="n">
        <x:f>IF(AND(Z151="共同",ISNUMBER(G151),ISNUMBER(AD151)),G151-AD151,"")</x:f>
        <x:v>-0.02142857142857143</x:v>
      </x:c>
      <x:c r="AC151" s="3" t="str"/>
      <x:c r="AD151" s="12" t="n">
        <x:v>0.028095238095238097</x:v>
      </x:c>
      <x:c r="AE151" s="3" t="str">
        <x:v>[6574,"32582-BKW-41.5"]</x:v>
      </x:c>
      <x:c r="AF151" t="n">
        <x:f>IF(ISNUMBER(H151),1,0)</x:f>
        <x:v>1</x:v>
      </x:c>
      <x:c r="AG151" t="n">
        <x:f>IF(ISNUMBER(I151),1,0)</x:f>
        <x:v>1</x:v>
      </x:c>
      <x:c r="AH151" t="str">
        <x:v>["32582","32582-BKW","BKW","黑色白色内里"]</x:v>
      </x:c>
      <x:c r="AI151" t="n">
        <x:f>IF(ISNUMBER(G151),1,0)</x:f>
        <x:v>1</x:v>
      </x:c>
      <x:c r="AJ151" t="n">
        <x:f>IF(ISNUMBER(AD151),1,0)</x:f>
        <x:v>1</x:v>
      </x:c>
    </x:row>
    <x:row r="152" ht="30" customHeight="1">
      <x:c r="A152" s="3" t="str">
        <x:v>32582-MT-40</x:v>
      </x:c>
      <x:c r="B152" s="3" t="str">
        <x:v>3店-SANDIEX-US</x:v>
      </x:c>
      <x:c r="C152" s="3" t="str">
        <x:v>徐新怡</x:v>
      </x:c>
      <x:c r="D152" s="3" t="str">
        <x:v>32582</x:v>
      </x:c>
      <x:c r="E152" s="3" t="str">
        <x:f>IF(Z152="移出","已移出",IF(NOT(ISNUMBER(H152)),"数据待核",IF(H152=0,"断货",IF(NOT(ISNUMBER(G152)),"数据待核",IF(G152=0,"零日销待复核",IF(F152&lt;60,"补货提醒",IF(F152&lt;=90,"正常库存",IF(F152&lt;180,"促销",IF(F152&lt;=365,"红线促销","考虑清仓")))))))))</x:f>
        <x:v>促销</x:v>
      </x:c>
      <x:c r="F152" s="11" t="n">
        <x:f>IF(AND(ISNUMBER(H152),ISNUMBER(G152),G152&gt;0),H152/G152,"")</x:f>
        <x:v>107.87671232876714</x:v>
      </x:c>
      <x:c r="G152" s="12" t="n">
        <x:f>IF(AND(COUNT(P152:R152)=3,MIN(P152:R152)&gt;=0,P152&lt;=Q152,Q152&lt;=R152),P152/7*0.5+Q152/14*0.3+R152/30*0.2,"")</x:f>
        <x:v>0.13904761904761903</x:v>
      </x:c>
      <x:c r="H152" s="10" t="n">
        <x:f>IF(ISNUMBER(U152),U152,"")</x:f>
        <x:v>15</x:v>
      </x:c>
      <x:c r="I152" s="10" t="n">
        <x:v>9</x:v>
      </x:c>
      <x:c r="J152" s="11" t="n">
        <x:f>IF(AND(Z152="共同",ISNUMBER(F152),ISNUMBER(M152)),F152-M152,"")</x:f>
        <x:v>82.40501421555959</x:v>
      </x:c>
      <x:c r="K152" s="13" t="n">
        <x:f>IF(AND(ISNUMBER(J152),M152&lt;&gt;0),J152/M152,"")</x:f>
        <x:v>3.2351598173515987</x:v>
      </x:c>
      <x:c r="L152" s="10" t="str">
        <x:v>补货提醒</x:v>
      </x:c>
      <x:c r="M152" s="11" t="n">
        <x:v>25.471698113207548</x:v>
      </x:c>
      <x:c r="N152" s="10" t="n">
        <x:f>IF(AND(Z152="共同",COUNT(H152:I152)=2),H152-I152,"")</x:f>
        <x:v>6</x:v>
      </x:c>
      <x:c r="O152" s="10" t="n">
        <x:v>4</x:v>
      </x:c>
      <x:c r="P152" s="10" t="n">
        <x:v>0</x:v>
      </x:c>
      <x:c r="Q152" s="10" t="n">
        <x:v>4</x:v>
      </x:c>
      <x:c r="R152" s="10" t="n">
        <x:v>8</x:v>
      </x:c>
      <x:c r="S152" s="10" t="n">
        <x:v>16</x:v>
      </x:c>
      <x:c r="T152" s="10" t="n">
        <x:v>0</x:v>
      </x:c>
      <x:c r="U152" s="10" t="n">
        <x:f>IF(AND(ISNUMBER(X152),X152&gt;=0,Y152&lt;&gt;1),X152,"")</x:f>
        <x:v>15</x:v>
      </x:c>
      <x:c r="V152" s="10" t="n">
        <x:v>0</x:v>
      </x:c>
      <x:c r="W152" s="10" t="n">
        <x:v>0</x:v>
      </x:c>
      <x:c r="X152" s="10" t="n">
        <x:v>15</x:v>
      </x:c>
      <x:c r="Y152" s="3" t="n">
        <x:v>0</x:v>
      </x:c>
      <x:c r="Z152" s="3" t="str">
        <x:v>共同</x:v>
      </x:c>
      <x:c r="AA152" s="3" t="str">
        <x:v>在售</x:v>
      </x:c>
      <x:c r="AB152" s="12" t="n">
        <x:f>IF(AND(Z152="共同",ISNUMBER(G152),ISNUMBER(AD152)),G152-AD152,"")</x:f>
        <x:v>-0.2142857142857143</x:v>
      </x:c>
      <x:c r="AC152" s="3" t="str"/>
      <x:c r="AD152" s="12" t="n">
        <x:v>0.35333333333333333</x:v>
      </x:c>
      <x:c r="AE152" s="3" t="str">
        <x:v>[6574,"32582-MT-40"]</x:v>
      </x:c>
      <x:c r="AF152" t="n">
        <x:f>IF(ISNUMBER(H152),1,0)</x:f>
        <x:v>1</x:v>
      </x:c>
      <x:c r="AG152" t="n">
        <x:f>IF(ISNUMBER(I152),1,0)</x:f>
        <x:v>1</x:v>
      </x:c>
      <x:c r="AH152" t="str">
        <x:v>["32582","32582-MT","MT","黄色"]</x:v>
      </x:c>
      <x:c r="AI152" t="n">
        <x:f>IF(ISNUMBER(G152),1,0)</x:f>
        <x:v>1</x:v>
      </x:c>
      <x:c r="AJ152" t="n">
        <x:f>IF(ISNUMBER(AD152),1,0)</x:f>
        <x:v>1</x:v>
      </x:c>
    </x:row>
    <x:row r="153" ht="30" customHeight="1">
      <x:c r="A153" s="3" t="str">
        <x:v>32582-ND-38.5</x:v>
      </x:c>
      <x:c r="B153" s="3" t="str">
        <x:v>3店-SANDIEX-US</x:v>
      </x:c>
      <x:c r="C153" s="3" t="str">
        <x:v>徐新怡</x:v>
      </x:c>
      <x:c r="D153" s="3" t="str">
        <x:v>32582</x:v>
      </x:c>
      <x:c r="E153" s="3" t="str">
        <x:f>IF(Z153="移出","已移出",IF(NOT(ISNUMBER(H153)),"数据待核",IF(H153=0,"断货",IF(NOT(ISNUMBER(G153)),"数据待核",IF(G153=0,"零日销待复核",IF(F153&lt;60,"补货提醒",IF(F153&lt;=90,"正常库存",IF(F153&lt;180,"促销",IF(F153&lt;=365,"红线促销","考虑清仓")))))))))</x:f>
        <x:v>促销</x:v>
      </x:c>
      <x:c r="F153" s="11" t="n">
        <x:f>IF(AND(ISNUMBER(H153),ISNUMBER(G153),G153&gt;0),H153/G153,"")</x:f>
        <x:v>128.4965034965035</x:v>
      </x:c>
      <x:c r="G153" s="12" t="n">
        <x:f>IF(AND(COUNT(P153:R153)=3,MIN(P153:R153)&gt;=0,P153&lt;=Q153,Q153&lt;=R153),P153/7*0.5+Q153/14*0.3+R153/30*0.2,"")</x:f>
        <x:v>0.2723809523809524</x:v>
      </x:c>
      <x:c r="H153" s="10" t="n">
        <x:f>IF(ISNUMBER(U153),U153,"")</x:f>
        <x:v>35</x:v>
      </x:c>
      <x:c r="I153" s="10" t="n">
        <x:v>37</x:v>
      </x:c>
      <x:c r="J153" s="11" t="n">
        <x:f>IF(AND(Z153="共同",ISNUMBER(F153),ISNUMBER(M153)),F153-M153,"")</x:f>
        <x:v>83.86698023401067</x:v>
      </x:c>
      <x:c r="K153" s="13" t="n">
        <x:f>IF(AND(ISNUMBER(J153),M153&lt;&gt;0),J153/M153,"")</x:f>
        <x:v>1.879181629181629</x:v>
      </x:c>
      <x:c r="L153" s="10" t="str">
        <x:v>补货提醒</x:v>
      </x:c>
      <x:c r="M153" s="11" t="n">
        <x:v>44.62952326249282</x:v>
      </x:c>
      <x:c r="N153" s="10" t="n">
        <x:f>IF(AND(Z153="共同",COUNT(H153:I153)=2),H153-I153,"")</x:f>
        <x:v>-2</x:v>
      </x:c>
      <x:c r="O153" s="10" t="n">
        <x:v>56</x:v>
      </x:c>
      <x:c r="P153" s="10" t="n">
        <x:v>2</x:v>
      </x:c>
      <x:c r="Q153" s="10" t="n">
        <x:v>2</x:v>
      </x:c>
      <x:c r="R153" s="10" t="n">
        <x:v>13</x:v>
      </x:c>
      <x:c r="S153" s="10" t="n">
        <x:v>38</x:v>
      </x:c>
      <x:c r="T153" s="10" t="n">
        <x:v>0</x:v>
      </x:c>
      <x:c r="U153" s="10" t="n">
        <x:f>IF(AND(ISNUMBER(X153),X153&gt;=0,Y153&lt;&gt;1),X153,"")</x:f>
        <x:v>35</x:v>
      </x:c>
      <x:c r="V153" s="10" t="n">
        <x:v>0</x:v>
      </x:c>
      <x:c r="W153" s="10" t="n">
        <x:v>20</x:v>
      </x:c>
      <x:c r="X153" s="10" t="n">
        <x:v>35</x:v>
      </x:c>
      <x:c r="Y153" s="3" t="n">
        <x:v>0</x:v>
      </x:c>
      <x:c r="Z153" s="3" t="str">
        <x:v>共同</x:v>
      </x:c>
      <x:c r="AA153" s="3" t="str">
        <x:v>在售</x:v>
      </x:c>
      <x:c r="AB153" s="12" t="n">
        <x:f>IF(AND(Z153="共同",ISNUMBER(G153),ISNUMBER(AD153)),G153-AD153,"")</x:f>
        <x:v>-0.5566666666666668</x:v>
      </x:c>
      <x:c r="AC153" s="3" t="str"/>
      <x:c r="AD153" s="12" t="n">
        <x:v>0.8290476190476191</x:v>
      </x:c>
      <x:c r="AE153" s="3" t="str">
        <x:v>[6574,"32582-ND-38.5"]</x:v>
      </x:c>
      <x:c r="AF153" t="n">
        <x:f>IF(ISNUMBER(H153),1,0)</x:f>
        <x:v>1</x:v>
      </x:c>
      <x:c r="AG153" t="n">
        <x:f>IF(ISNUMBER(I153),1,0)</x:f>
        <x:v>1</x:v>
      </x:c>
      <x:c r="AH153" t="str">
        <x:v>["32582","32582-ND","ND","裸色"]</x:v>
      </x:c>
      <x:c r="AI153" t="n">
        <x:f>IF(ISNUMBER(G153),1,0)</x:f>
        <x:v>1</x:v>
      </x:c>
      <x:c r="AJ153" t="n">
        <x:f>IF(ISNUMBER(AD153),1,0)</x:f>
        <x:v>1</x:v>
      </x:c>
    </x:row>
    <x:row r="154" ht="30" customHeight="1">
      <x:c r="A154" s="3" t="str">
        <x:v>32582-NY-37.5</x:v>
      </x:c>
      <x:c r="B154" s="3" t="str">
        <x:v>3店-SANDIEX-US</x:v>
      </x:c>
      <x:c r="C154" s="3" t="str">
        <x:v>徐新怡</x:v>
      </x:c>
      <x:c r="D154" s="3" t="str">
        <x:v>32582</x:v>
      </x:c>
      <x:c r="E154" s="3" t="str">
        <x:f>IF(Z154="移出","已移出",IF(NOT(ISNUMBER(H154)),"数据待核",IF(H154=0,"断货",IF(NOT(ISNUMBER(G154)),"数据待核",IF(G154=0,"零日销待复核",IF(F154&lt;60,"补货提醒",IF(F154&lt;=90,"正常库存",IF(F154&lt;180,"促销",IF(F154&lt;=365,"红线促销","考虑清仓")))))))))</x:f>
        <x:v>促销</x:v>
      </x:c>
      <x:c r="F154" s="11" t="n">
        <x:f>IF(AND(ISNUMBER(H154),ISNUMBER(G154),G154&gt;0),H154/G154,"")</x:f>
        <x:v>123.14814814814815</x:v>
      </x:c>
      <x:c r="G154" s="12" t="n">
        <x:f>IF(AND(COUNT(P154:R154)=3,MIN(P154:R154)&gt;=0,P154&lt;=Q154,Q154&lt;=R154),P154/7*0.5+Q154/14*0.3+R154/30*0.2,"")</x:f>
        <x:v>0.15428571428571428</x:v>
      </x:c>
      <x:c r="H154" s="10" t="n">
        <x:f>IF(ISNUMBER(U154),U154,"")</x:f>
        <x:v>19</x:v>
      </x:c>
      <x:c r="I154" s="10" t="n">
        <x:v>21</x:v>
      </x:c>
      <x:c r="J154" s="11" t="n">
        <x:f>IF(AND(Z154="共同",ISNUMBER(F154),ISNUMBER(M154)),F154-M154,"")</x:f>
        <x:v>71.26579520697169</x:v>
      </x:c>
      <x:c r="K154" s="13" t="n">
        <x:f>IF(AND(ISNUMBER(J154),M154&lt;&gt;0),J154/M154,"")</x:f>
        <x:v>1.3736037624926516</x:v>
      </x:c>
      <x:c r="L154" s="10" t="str">
        <x:v>补货提醒</x:v>
      </x:c>
      <x:c r="M154" s="11" t="n">
        <x:v>51.88235294117647</x:v>
      </x:c>
      <x:c r="N154" s="10" t="n">
        <x:f>IF(AND(Z154="共同",COUNT(H154:I154)=2),H154-I154,"")</x:f>
        <x:v>-2</x:v>
      </x:c>
      <x:c r="O154" s="10" t="n">
        <x:v>5</x:v>
      </x:c>
      <x:c r="P154" s="10" t="n">
        <x:v>1</x:v>
      </x:c>
      <x:c r="Q154" s="10" t="n">
        <x:v>2</x:v>
      </x:c>
      <x:c r="R154" s="10" t="n">
        <x:v>6</x:v>
      </x:c>
      <x:c r="S154" s="10" t="n">
        <x:v>19</x:v>
      </x:c>
      <x:c r="T154" s="10" t="n">
        <x:v>0</x:v>
      </x:c>
      <x:c r="U154" s="10" t="n">
        <x:f>IF(AND(ISNUMBER(X154),X154&gt;=0,Y154&lt;&gt;1),X154,"")</x:f>
        <x:v>19</x:v>
      </x:c>
      <x:c r="V154" s="10" t="n">
        <x:v>0</x:v>
      </x:c>
      <x:c r="W154" s="10" t="n">
        <x:v>0</x:v>
      </x:c>
      <x:c r="X154" s="10" t="n">
        <x:v>19</x:v>
      </x:c>
      <x:c r="Y154" s="3" t="n">
        <x:v>0</x:v>
      </x:c>
      <x:c r="Z154" s="3" t="str">
        <x:v>共同</x:v>
      </x:c>
      <x:c r="AA154" s="3" t="str">
        <x:v>在售</x:v>
      </x:c>
      <x:c r="AB154" s="12" t="n">
        <x:f>IF(AND(Z154="共同",ISNUMBER(G154),ISNUMBER(AD154)),G154-AD154,"")</x:f>
        <x:v>-0.2504761904761905</x:v>
      </x:c>
      <x:c r="AC154" s="3" t="str"/>
      <x:c r="AD154" s="12" t="n">
        <x:v>0.40476190476190477</x:v>
      </x:c>
      <x:c r="AE154" s="3" t="str">
        <x:v>[6574,"32582-NY-37.5"]</x:v>
      </x:c>
      <x:c r="AF154" t="n">
        <x:f>IF(ISNUMBER(H154),1,0)</x:f>
        <x:v>1</x:v>
      </x:c>
      <x:c r="AG154" t="n">
        <x:f>IF(ISNUMBER(I154),1,0)</x:f>
        <x:v>1</x:v>
      </x:c>
      <x:c r="AH154" t="str">
        <x:v>["32582","32582-NY","NY","藏青色"]</x:v>
      </x:c>
      <x:c r="AI154" t="n">
        <x:f>IF(ISNUMBER(G154),1,0)</x:f>
        <x:v>1</x:v>
      </x:c>
      <x:c r="AJ154" t="n">
        <x:f>IF(ISNUMBER(AD154),1,0)</x:f>
        <x:v>1</x:v>
      </x:c>
    </x:row>
    <x:row r="155" ht="30" customHeight="1">
      <x:c r="A155" s="3" t="str">
        <x:v>32582-NY-39</x:v>
      </x:c>
      <x:c r="B155" s="3" t="str">
        <x:v>3店-SANDIEX-US</x:v>
      </x:c>
      <x:c r="C155" s="3" t="str">
        <x:v>徐新怡</x:v>
      </x:c>
      <x:c r="D155" s="3" t="str">
        <x:v>32582</x:v>
      </x:c>
      <x:c r="E155" s="3" t="str">
        <x:f>IF(Z155="移出","已移出",IF(NOT(ISNUMBER(H155)),"数据待核",IF(H155=0,"断货",IF(NOT(ISNUMBER(G155)),"数据待核",IF(G155=0,"零日销待复核",IF(F155&lt;60,"补货提醒",IF(F155&lt;=90,"正常库存",IF(F155&lt;180,"促销",IF(F155&lt;=365,"红线促销","考虑清仓")))))))))</x:f>
        <x:v>促销</x:v>
      </x:c>
      <x:c r="F155" s="11" t="n">
        <x:f>IF(AND(ISNUMBER(H155),ISNUMBER(G155),G155&gt;0),H155/G155,"")</x:f>
        <x:v>100.44843049327355</x:v>
      </x:c>
      <x:c r="G155" s="12" t="n">
        <x:f>IF(AND(COUNT(P155:R155)=3,MIN(P155:R155)&gt;=0,P155&lt;=Q155,Q155&lt;=R155),P155/7*0.5+Q155/14*0.3+R155/30*0.2,"")</x:f>
        <x:v>0.6371428571428571</x:v>
      </x:c>
      <x:c r="H155" s="10" t="n">
        <x:f>IF(ISNUMBER(U155),U155,"")</x:f>
        <x:v>64</x:v>
      </x:c>
      <x:c r="I155" s="10" t="n">
        <x:v>71</x:v>
      </x:c>
      <x:c r="J155" s="11" t="n">
        <x:f>IF(AND(Z155="共同",ISNUMBER(F155),ISNUMBER(M155)),F155-M155,"")</x:f>
        <x:v>56.32294958176126</x:v>
      </x:c>
      <x:c r="K155" s="13" t="n">
        <x:f>IF(AND(ISNUMBER(J155),M155&lt;&gt;0),J155/M155,"")</x:f>
        <x:v>1.2764268721446763</x:v>
      </x:c>
      <x:c r="L155" s="10" t="str">
        <x:v>补货提醒</x:v>
      </x:c>
      <x:c r="M155" s="11" t="n">
        <x:v>44.12548091151229</x:v>
      </x:c>
      <x:c r="N155" s="10" t="n">
        <x:f>IF(AND(Z155="共同",COUNT(H155:I155)=2),H155-I155,"")</x:f>
        <x:v>-7</x:v>
      </x:c>
      <x:c r="O155" s="10" t="n">
        <x:v>42</x:v>
      </x:c>
      <x:c r="P155" s="10" t="n">
        <x:v>4</x:v>
      </x:c>
      <x:c r="Q155" s="10" t="n">
        <x:v>8</x:v>
      </x:c>
      <x:c r="R155" s="10" t="n">
        <x:v>27</x:v>
      </x:c>
      <x:c r="S155" s="10" t="n">
        <x:v>69</x:v>
      </x:c>
      <x:c r="T155" s="10" t="n">
        <x:v>1</x:v>
      </x:c>
      <x:c r="U155" s="10" t="n">
        <x:f>IF(AND(ISNUMBER(X155),X155&gt;=0,Y155&lt;&gt;1),X155,"")</x:f>
        <x:v>64</x:v>
      </x:c>
      <x:c r="V155" s="10" t="n">
        <x:v>0</x:v>
      </x:c>
      <x:c r="W155" s="10" t="n">
        <x:v>0</x:v>
      </x:c>
      <x:c r="X155" s="10" t="n">
        <x:v>64</x:v>
      </x:c>
      <x:c r="Y155" s="3" t="n">
        <x:v>0</x:v>
      </x:c>
      <x:c r="Z155" s="3" t="str">
        <x:v>共同</x:v>
      </x:c>
      <x:c r="AA155" s="3" t="str">
        <x:v>在售</x:v>
      </x:c>
      <x:c r="AB155" s="12" t="n">
        <x:f>IF(AND(Z155="共同",ISNUMBER(G155),ISNUMBER(AD155)),G155-AD155,"")</x:f>
        <x:v>-0.9719047619047617</x:v>
      </x:c>
      <x:c r="AC155" s="3" t="str"/>
      <x:c r="AD155" s="12" t="n">
        <x:v>1.6090476190476188</x:v>
      </x:c>
      <x:c r="AE155" s="3" t="str">
        <x:v>[6574,"32582-NY-39"]</x:v>
      </x:c>
      <x:c r="AF155" t="n">
        <x:f>IF(ISNUMBER(H155),1,0)</x:f>
        <x:v>1</x:v>
      </x:c>
      <x:c r="AG155" t="n">
        <x:f>IF(ISNUMBER(I155),1,0)</x:f>
        <x:v>1</x:v>
      </x:c>
      <x:c r="AH155" t="str">
        <x:v>["32582","32582-NY","NY","藏青色"]</x:v>
      </x:c>
      <x:c r="AI155" t="n">
        <x:f>IF(ISNUMBER(G155),1,0)</x:f>
        <x:v>1</x:v>
      </x:c>
      <x:c r="AJ155" t="n">
        <x:f>IF(ISNUMBER(AD155),1,0)</x:f>
        <x:v>1</x:v>
      </x:c>
    </x:row>
    <x:row r="156" ht="30" customHeight="1">
      <x:c r="A156" s="3" t="str">
        <x:v>32582-RD-39</x:v>
      </x:c>
      <x:c r="B156" s="3" t="str">
        <x:v>3店-SANDIEX-US</x:v>
      </x:c>
      <x:c r="C156" s="3" t="str">
        <x:v>徐新怡</x:v>
      </x:c>
      <x:c r="D156" s="3" t="str">
        <x:v>32582</x:v>
      </x:c>
      <x:c r="E156" s="3" t="str">
        <x:f>IF(Z156="移出","已移出",IF(NOT(ISNUMBER(H156)),"数据待核",IF(H156=0,"断货",IF(NOT(ISNUMBER(G156)),"数据待核",IF(G156=0,"零日销待复核",IF(F156&lt;60,"补货提醒",IF(F156&lt;=90,"正常库存",IF(F156&lt;180,"促销",IF(F156&lt;=365,"红线促销","考虑清仓")))))))))</x:f>
        <x:v>促销</x:v>
      </x:c>
      <x:c r="F156" s="11" t="n">
        <x:f>IF(AND(ISNUMBER(H156),ISNUMBER(G156),G156&gt;0),H156/G156,"")</x:f>
        <x:v>100.47846889952154</x:v>
      </x:c>
      <x:c r="G156" s="12" t="n">
        <x:f>IF(AND(COUNT(P156:R156)=3,MIN(P156:R156)&gt;=0,P156&lt;=Q156,Q156&lt;=R156),P156/7*0.5+Q156/14*0.3+R156/30*0.2,"")</x:f>
        <x:v>0.09952380952380951</x:v>
      </x:c>
      <x:c r="H156" s="10" t="n">
        <x:f>IF(ISNUMBER(U156),U156,"")</x:f>
        <x:v>10</x:v>
      </x:c>
      <x:c r="I156" s="10" t="n">
        <x:v>11</x:v>
      </x:c>
      <x:c r="J156" s="11" t="str">
        <x:f>IF(AND(Z156="共同",ISNUMBER(F156),ISNUMBER(M156)),F156-M156,"")</x:f>
      </x:c>
      <x:c r="K156" s="13" t="str">
        <x:f>IF(AND(ISNUMBER(J156),M156&lt;&gt;0),J156/M156,"")</x:f>
      </x:c>
      <x:c r="L156" s="10" t="str">
        <x:v>零日销待复核</x:v>
      </x:c>
      <x:c r="M156" s="11"/>
      <x:c r="N156" s="10" t="n">
        <x:f>IF(AND(Z156="共同",COUNT(H156:I156)=2),H156-I156,"")</x:f>
        <x:v>-1</x:v>
      </x:c>
      <x:c r="O156" s="10" t="n">
        <x:v>0</x:v>
      </x:c>
      <x:c r="P156" s="10" t="n">
        <x:v>1</x:v>
      </x:c>
      <x:c r="Q156" s="10" t="n">
        <x:v>1</x:v>
      </x:c>
      <x:c r="R156" s="10" t="n">
        <x:v>1</x:v>
      </x:c>
      <x:c r="S156" s="10" t="n">
        <x:v>12</x:v>
      </x:c>
      <x:c r="T156" s="10" t="n">
        <x:v>0</x:v>
      </x:c>
      <x:c r="U156" s="10" t="n">
        <x:f>IF(AND(ISNUMBER(X156),X156&gt;=0,Y156&lt;&gt;1),X156,"")</x:f>
        <x:v>10</x:v>
      </x:c>
      <x:c r="V156" s="10" t="n">
        <x:v>0</x:v>
      </x:c>
      <x:c r="W156" s="10" t="n">
        <x:v>0</x:v>
      </x:c>
      <x:c r="X156" s="10" t="n">
        <x:v>10</x:v>
      </x:c>
      <x:c r="Y156" s="3" t="n">
        <x:v>0</x:v>
      </x:c>
      <x:c r="Z156" s="3" t="str">
        <x:v>共同</x:v>
      </x:c>
      <x:c r="AA156" s="3" t="str">
        <x:v>在售</x:v>
      </x:c>
      <x:c r="AB156" s="12" t="n">
        <x:f>IF(AND(Z156="共同",ISNUMBER(G156),ISNUMBER(AD156)),G156-AD156,"")</x:f>
        <x:v>0.09952380952380951</x:v>
      </x:c>
      <x:c r="AC156" s="3" t="str"/>
      <x:c r="AD156" s="12" t="n">
        <x:v>0</x:v>
      </x:c>
      <x:c r="AE156" s="3" t="str">
        <x:v>[6574,"32582-RD-39"]</x:v>
      </x:c>
      <x:c r="AF156" t="n">
        <x:f>IF(ISNUMBER(H156),1,0)</x:f>
        <x:v>1</x:v>
      </x:c>
      <x:c r="AG156" t="n">
        <x:f>IF(ISNUMBER(I156),1,0)</x:f>
        <x:v>1</x:v>
      </x:c>
      <x:c r="AH156" t="str">
        <x:v>["32582","32582-RD","RD","红色"]</x:v>
      </x:c>
      <x:c r="AI156" t="n">
        <x:f>IF(ISNUMBER(G156),1,0)</x:f>
        <x:v>1</x:v>
      </x:c>
      <x:c r="AJ156" t="n">
        <x:f>IF(ISNUMBER(AD156),1,0)</x:f>
        <x:v>1</x:v>
      </x:c>
    </x:row>
    <x:row r="157" ht="30" customHeight="1">
      <x:c r="A157" s="3" t="str">
        <x:v>32582-TN-37</x:v>
      </x:c>
      <x:c r="B157" s="3" t="str">
        <x:v>3店-SANDIEX-US</x:v>
      </x:c>
      <x:c r="C157" s="3" t="str">
        <x:v>徐新怡</x:v>
      </x:c>
      <x:c r="D157" s="3" t="str">
        <x:v>32582</x:v>
      </x:c>
      <x:c r="E157" s="3" t="str">
        <x:f>IF(Z157="移出","已移出",IF(NOT(ISNUMBER(H157)),"数据待核",IF(H157=0,"断货",IF(NOT(ISNUMBER(G157)),"数据待核",IF(G157=0,"零日销待复核",IF(F157&lt;60,"补货提醒",IF(F157&lt;=90,"正常库存",IF(F157&lt;180,"促销",IF(F157&lt;=365,"红线促销","考虑清仓")))))))))</x:f>
        <x:v>促销</x:v>
      </x:c>
      <x:c r="F157" s="11" t="n">
        <x:f>IF(AND(ISNUMBER(H157),ISNUMBER(G157),G157&gt;0),H157/G157,"")</x:f>
        <x:v>92.03187250996017</x:v>
      </x:c>
      <x:c r="G157" s="12" t="n">
        <x:f>IF(AND(COUNT(P157:R157)=3,MIN(P157:R157)&gt;=0,P157&lt;=Q157,Q157&lt;=R157),P157/7*0.5+Q157/14*0.3+R157/30*0.2,"")</x:f>
        <x:v>0.11952380952380952</x:v>
      </x:c>
      <x:c r="H157" s="10" t="n">
        <x:f>IF(ISNUMBER(U157),U157,"")</x:f>
        <x:v>11</x:v>
      </x:c>
      <x:c r="I157" s="10" t="n">
        <x:v>11</x:v>
      </x:c>
      <x:c r="J157" s="11" t="n">
        <x:f>IF(AND(Z157="共同",ISNUMBER(F157),ISNUMBER(M157)),F157-M157,"")</x:f>
        <x:v>43.604199553985325</x:v>
      </x:c>
      <x:c r="K157" s="13" t="n">
        <x:f>IF(AND(ISNUMBER(J157),M157&lt;&gt;0),J157/M157,"")</x:f>
        <x:v>0.9003984063745022</x:v>
      </x:c>
      <x:c r="L157" s="10" t="str">
        <x:v>补货提醒</x:v>
      </x:c>
      <x:c r="M157" s="11" t="n">
        <x:v>48.42767295597484</x:v>
      </x:c>
      <x:c r="N157" s="10" t="n">
        <x:f>IF(AND(Z157="共同",COUNT(H157:I157)=2),H157-I157,"")</x:f>
        <x:v>0</x:v>
      </x:c>
      <x:c r="O157" s="10" t="n">
        <x:v>55</x:v>
      </x:c>
      <x:c r="P157" s="10" t="n">
        <x:v>1</x:v>
      </x:c>
      <x:c r="Q157" s="10" t="n">
        <x:v>1</x:v>
      </x:c>
      <x:c r="R157" s="10" t="n">
        <x:v>4</x:v>
      </x:c>
      <x:c r="S157" s="10" t="n">
        <x:v>11</x:v>
      </x:c>
      <x:c r="T157" s="10" t="n">
        <x:v>0</x:v>
      </x:c>
      <x:c r="U157" s="10" t="n">
        <x:f>IF(AND(ISNUMBER(X157),X157&gt;=0,Y157&lt;&gt;1),X157,"")</x:f>
        <x:v>11</x:v>
      </x:c>
      <x:c r="V157" s="10" t="n">
        <x:v>0</x:v>
      </x:c>
      <x:c r="W157" s="10" t="n">
        <x:v>0</x:v>
      </x:c>
      <x:c r="X157" s="10" t="n">
        <x:v>11</x:v>
      </x:c>
      <x:c r="Y157" s="3" t="n">
        <x:v>0</x:v>
      </x:c>
      <x:c r="Z157" s="3" t="str">
        <x:v>共同</x:v>
      </x:c>
      <x:c r="AA157" s="3" t="str">
        <x:v>在售</x:v>
      </x:c>
      <x:c r="AB157" s="12" t="n">
        <x:f>IF(AND(Z157="共同",ISNUMBER(G157),ISNUMBER(AD157)),G157-AD157,"")</x:f>
        <x:v>-0.10761904761904763</x:v>
      </x:c>
      <x:c r="AC157" s="3" t="str"/>
      <x:c r="AD157" s="12" t="n">
        <x:v>0.22714285714285715</x:v>
      </x:c>
      <x:c r="AE157" s="3" t="str">
        <x:v>[6574,"32582-TN-37"]</x:v>
      </x:c>
      <x:c r="AF157" t="n">
        <x:f>IF(ISNUMBER(H157),1,0)</x:f>
        <x:v>1</x:v>
      </x:c>
      <x:c r="AG157" t="n">
        <x:f>IF(ISNUMBER(I157),1,0)</x:f>
        <x:v>1</x:v>
      </x:c>
      <x:c r="AH157" t="str">
        <x:v>["32582","32582-TN","TN","驼色"]</x:v>
      </x:c>
      <x:c r="AI157" t="n">
        <x:f>IF(ISNUMBER(G157),1,0)</x:f>
        <x:v>1</x:v>
      </x:c>
      <x:c r="AJ157" t="n">
        <x:f>IF(ISNUMBER(AD157),1,0)</x:f>
        <x:v>1</x:v>
      </x:c>
    </x:row>
    <x:row r="158" ht="30" customHeight="1">
      <x:c r="A158" s="3" t="str">
        <x:v>32582-TN-38</x:v>
      </x:c>
      <x:c r="B158" s="3" t="str">
        <x:v>3店-SANDIEX-US</x:v>
      </x:c>
      <x:c r="C158" s="3" t="str">
        <x:v>徐新怡</x:v>
      </x:c>
      <x:c r="D158" s="3" t="str">
        <x:v>32582</x:v>
      </x:c>
      <x:c r="E158" s="3" t="str">
        <x:f>IF(Z158="移出","已移出",IF(NOT(ISNUMBER(H158)),"数据待核",IF(H158=0,"断货",IF(NOT(ISNUMBER(G158)),"数据待核",IF(G158=0,"零日销待复核",IF(F158&lt;60,"补货提醒",IF(F158&lt;=90,"正常库存",IF(F158&lt;180,"促销",IF(F158&lt;=365,"红线促销","考虑清仓")))))))))</x:f>
        <x:v>促销</x:v>
      </x:c>
      <x:c r="F158" s="11" t="n">
        <x:f>IF(AND(ISNUMBER(H158),ISNUMBER(G158),G158&gt;0),H158/G158,"")</x:f>
        <x:v>156.0810810810811</x:v>
      </x:c>
      <x:c r="G158" s="12" t="n">
        <x:f>IF(AND(COUNT(P158:R158)=3,MIN(P158:R158)&gt;=0,P158&lt;=Q158,Q158&lt;=R158),P158/7*0.5+Q158/14*0.3+R158/30*0.2,"")</x:f>
        <x:v>0.14095238095238094</x:v>
      </x:c>
      <x:c r="H158" s="10" t="n">
        <x:f>IF(ISNUMBER(U158),U158,"")</x:f>
        <x:v>22</x:v>
      </x:c>
      <x:c r="I158" s="10" t="n">
        <x:v>25</x:v>
      </x:c>
      <x:c r="J158" s="11" t="n">
        <x:f>IF(AND(Z158="共同",ISNUMBER(F158),ISNUMBER(M158)),F158-M158,"")</x:f>
        <x:v>-30.08913168487635</x:v>
      </x:c>
      <x:c r="K158" s="13" t="n">
        <x:f>IF(AND(ISNUMBER(J158),M158&lt;&gt;0),J158/M158,"")</x:f>
        <x:v>-0.16162162162162153</x:v>
      </x:c>
      <x:c r="L158" s="10" t="str">
        <x:v>红线促销</x:v>
      </x:c>
      <x:c r="M158" s="11" t="n">
        <x:v>186.17021276595744</x:v>
      </x:c>
      <x:c r="N158" s="10" t="n">
        <x:f>IF(AND(Z158="共同",COUNT(H158:I158)=2),H158-I158,"")</x:f>
        <x:v>-3</x:v>
      </x:c>
      <x:c r="O158" s="10" t="n">
        <x:v>252</x:v>
      </x:c>
      <x:c r="P158" s="10" t="n">
        <x:v>1</x:v>
      </x:c>
      <x:c r="Q158" s="10" t="n">
        <x:v>2</x:v>
      </x:c>
      <x:c r="R158" s="10" t="n">
        <x:v>4</x:v>
      </x:c>
      <x:c r="S158" s="10" t="n">
        <x:v>22</x:v>
      </x:c>
      <x:c r="T158" s="10" t="n">
        <x:v>0</x:v>
      </x:c>
      <x:c r="U158" s="10" t="n">
        <x:f>IF(AND(ISNUMBER(X158),X158&gt;=0,Y158&lt;&gt;1),X158,"")</x:f>
        <x:v>22</x:v>
      </x:c>
      <x:c r="V158" s="10" t="n">
        <x:v>0</x:v>
      </x:c>
      <x:c r="W158" s="10" t="n">
        <x:v>0</x:v>
      </x:c>
      <x:c r="X158" s="10" t="n">
        <x:v>22</x:v>
      </x:c>
      <x:c r="Y158" s="3" t="n">
        <x:v>0</x:v>
      </x:c>
      <x:c r="Z158" s="3" t="str">
        <x:v>共同</x:v>
      </x:c>
      <x:c r="AA158" s="3" t="str">
        <x:v>在售</x:v>
      </x:c>
      <x:c r="AB158" s="12" t="n">
        <x:f>IF(AND(Z158="共同",ISNUMBER(G158),ISNUMBER(AD158)),G158-AD158,"")</x:f>
        <x:v>0.006666666666666654</x:v>
      </x:c>
      <x:c r="AC158" s="3" t="str"/>
      <x:c r="AD158" s="12" t="n">
        <x:v>0.13428571428571429</x:v>
      </x:c>
      <x:c r="AE158" s="3" t="str">
        <x:v>[6574,"32582-TN-38"]</x:v>
      </x:c>
      <x:c r="AF158" t="n">
        <x:f>IF(ISNUMBER(H158),1,0)</x:f>
        <x:v>1</x:v>
      </x:c>
      <x:c r="AG158" t="n">
        <x:f>IF(ISNUMBER(I158),1,0)</x:f>
        <x:v>1</x:v>
      </x:c>
      <x:c r="AH158" t="str">
        <x:v>["32582","32582-TN","TN","驼色"]</x:v>
      </x:c>
      <x:c r="AI158" t="n">
        <x:f>IF(ISNUMBER(G158),1,0)</x:f>
        <x:v>1</x:v>
      </x:c>
      <x:c r="AJ158" t="n">
        <x:f>IF(ISNUMBER(AD158),1,0)</x:f>
        <x:v>1</x:v>
      </x:c>
    </x:row>
    <x:row r="159" ht="30" customHeight="1">
      <x:c r="A159" s="3" t="str">
        <x:v>60516-LP-S-K-6</x:v>
      </x:c>
      <x:c r="B159" s="3" t="str">
        <x:v>3店-SANDIEX-US</x:v>
      </x:c>
      <x:c r="C159" s="3" t="str">
        <x:v>徐新怡</x:v>
      </x:c>
      <x:c r="D159" s="3" t="str">
        <x:v>60516</x:v>
      </x:c>
      <x:c r="E159" s="3" t="str">
        <x:f>IF(Z159="移出","已移出",IF(NOT(ISNUMBER(H159)),"数据待核",IF(H159=0,"断货",IF(NOT(ISNUMBER(G159)),"数据待核",IF(G159=0,"零日销待复核",IF(F159&lt;60,"补货提醒",IF(F159&lt;=90,"正常库存",IF(F159&lt;180,"促销",IF(F159&lt;=365,"红线促销","考虑清仓")))))))))</x:f>
        <x:v>促销</x:v>
      </x:c>
      <x:c r="F159" s="11" t="n">
        <x:f>IF(AND(ISNUMBER(H159),ISNUMBER(G159),G159&gt;0),H159/G159,"")</x:f>
        <x:v>110.99365750528543</x:v>
      </x:c>
      <x:c r="G159" s="12" t="n">
        <x:f>IF(AND(COUNT(P159:R159)=3,MIN(P159:R159)&gt;=0,P159&lt;=Q159,Q159&lt;=R159),P159/7*0.5+Q159/14*0.3+R159/30*0.2,"")</x:f>
        <x:v>0.2252380952380952</x:v>
      </x:c>
      <x:c r="H159" s="10" t="n">
        <x:f>IF(ISNUMBER(U159),U159,"")</x:f>
        <x:v>25</x:v>
      </x:c>
      <x:c r="I159" s="10" t="n">
        <x:v>29</x:v>
      </x:c>
      <x:c r="J159" s="11" t="n">
        <x:f>IF(AND(Z159="共同",ISNUMBER(F159),ISNUMBER(M159)),F159-M159,"")</x:f>
        <x:v>-76.96930545767754</x:v>
      </x:c>
      <x:c r="K159" s="13" t="n">
        <x:f>IF(AND(ISNUMBER(J159),M159&lt;&gt;0),J159/M159,"")</x:f>
        <x:v>-0.4094918714004519</x:v>
      </x:c>
      <x:c r="L159" s="10" t="str">
        <x:v>红线促销</x:v>
      </x:c>
      <x:c r="M159" s="11" t="n">
        <x:v>187.96296296296296</x:v>
      </x:c>
      <x:c r="N159" s="10" t="n">
        <x:f>IF(AND(Z159="共同",COUNT(H159:I159)=2),H159-I159,"")</x:f>
        <x:v>-4</x:v>
      </x:c>
      <x:c r="O159" s="10" t="n">
        <x:v>15</x:v>
      </x:c>
      <x:c r="P159" s="10" t="n">
        <x:v>1</x:v>
      </x:c>
      <x:c r="Q159" s="10" t="n">
        <x:v>5</x:v>
      </x:c>
      <x:c r="R159" s="10" t="n">
        <x:v>7</x:v>
      </x:c>
      <x:c r="S159" s="10" t="n">
        <x:v>26</x:v>
      </x:c>
      <x:c r="T159" s="10" t="n">
        <x:v>0</x:v>
      </x:c>
      <x:c r="U159" s="10" t="n">
        <x:f>IF(AND(ISNUMBER(X159),X159&gt;=0,Y159&lt;&gt;1),X159,"")</x:f>
        <x:v>25</x:v>
      </x:c>
      <x:c r="V159" s="10" t="n">
        <x:v>0</x:v>
      </x:c>
      <x:c r="W159" s="10" t="n">
        <x:v>0</x:v>
      </x:c>
      <x:c r="X159" s="10" t="n">
        <x:v>25</x:v>
      </x:c>
      <x:c r="Y159" s="3" t="n">
        <x:v>0</x:v>
      </x:c>
      <x:c r="Z159" s="3" t="str">
        <x:v>共同</x:v>
      </x:c>
      <x:c r="AA159" s="3" t="str">
        <x:v>在售</x:v>
      </x:c>
      <x:c r="AB159" s="12" t="n">
        <x:f>IF(AND(Z159="共同",ISNUMBER(G159),ISNUMBER(AD159)),G159-AD159,"")</x:f>
        <x:v>0.07095238095238093</x:v>
      </x:c>
      <x:c r="AC159" s="3" t="str"/>
      <x:c r="AD159" s="12" t="n">
        <x:v>0.15428571428571428</x:v>
      </x:c>
      <x:c r="AE159" s="3" t="str">
        <x:v>[6574,"60516-LP-S-K-6"]</x:v>
      </x:c>
      <x:c r="AF159" t="n">
        <x:f>IF(ISNUMBER(H159),1,0)</x:f>
        <x:v>1</x:v>
      </x:c>
      <x:c r="AG159" t="n">
        <x:f>IF(ISNUMBER(I159),1,0)</x:f>
        <x:v>1</x:v>
      </x:c>
      <x:c r="AH159" t="str">
        <x:v>["60516","60516-LP-S-K","LP","豹纹"]</x:v>
      </x:c>
      <x:c r="AI159" t="n">
        <x:f>IF(ISNUMBER(G159),1,0)</x:f>
        <x:v>1</x:v>
      </x:c>
      <x:c r="AJ159" t="n">
        <x:f>IF(ISNUMBER(AD159),1,0)</x:f>
        <x:v>1</x:v>
      </x:c>
    </x:row>
    <x:row r="160" ht="30" customHeight="1">
      <x:c r="A160" s="3" t="str">
        <x:v>60516-ND-S-K-7.5</x:v>
      </x:c>
      <x:c r="B160" s="3" t="str">
        <x:v>3店-SANDIEX-US</x:v>
      </x:c>
      <x:c r="C160" s="3" t="str">
        <x:v>徐新怡</x:v>
      </x:c>
      <x:c r="D160" s="3" t="str">
        <x:v>60516</x:v>
      </x:c>
      <x:c r="E160" s="3" t="str">
        <x:f>IF(Z160="移出","已移出",IF(NOT(ISNUMBER(H160)),"数据待核",IF(H160=0,"断货",IF(NOT(ISNUMBER(G160)),"数据待核",IF(G160=0,"零日销待复核",IF(F160&lt;60,"补货提醒",IF(F160&lt;=90,"正常库存",IF(F160&lt;180,"促销",IF(F160&lt;=365,"红线促销","考虑清仓")))))))))</x:f>
        <x:v>促销</x:v>
      </x:c>
      <x:c r="F160" s="11" t="n">
        <x:f>IF(AND(ISNUMBER(H160),ISNUMBER(G160),G160&gt;0),H160/G160,"")</x:f>
        <x:v>122.42152466367713</x:v>
      </x:c>
      <x:c r="G160" s="12" t="n">
        <x:f>IF(AND(COUNT(P160:R160)=3,MIN(P160:R160)&gt;=0,P160&lt;=Q160,Q160&lt;=R160),P160/7*0.5+Q160/14*0.3+R160/30*0.2,"")</x:f>
        <x:v>0.10619047619047618</x:v>
      </x:c>
      <x:c r="H160" s="10" t="n">
        <x:f>IF(ISNUMBER(U160),U160,"")</x:f>
        <x:v>13</x:v>
      </x:c>
      <x:c r="I160" s="10"/>
      <x:c r="J160" s="11" t="str">
        <x:f>IF(AND(Z160="共同",ISNUMBER(F160),ISNUMBER(M160)),F160-M160,"")</x:f>
      </x:c>
      <x:c r="K160" s="13" t="str">
        <x:f>IF(AND(ISNUMBER(J160),M160&lt;&gt;0),J160/M160,"")</x:f>
      </x:c>
      <x:c r="L160" s="10"/>
      <x:c r="M160" s="11"/>
      <x:c r="N160" s="10" t="str">
        <x:f>IF(AND(Z160="共同",COUNT(H160:I160)=2),H160-I160,"")</x:f>
      </x:c>
      <x:c r="O160" s="10" t="n">
        <x:v>0</x:v>
      </x:c>
      <x:c r="P160" s="10" t="n">
        <x:v>1</x:v>
      </x:c>
      <x:c r="Q160" s="10" t="n">
        <x:v>1</x:v>
      </x:c>
      <x:c r="R160" s="10" t="n">
        <x:v>2</x:v>
      </x:c>
      <x:c r="S160" s="10" t="n">
        <x:v>14</x:v>
      </x:c>
      <x:c r="T160" s="10" t="n">
        <x:v>0</x:v>
      </x:c>
      <x:c r="U160" s="10" t="n">
        <x:f>IF(AND(ISNUMBER(X160),X160&gt;=0,Y160&lt;&gt;1),X160,"")</x:f>
        <x:v>13</x:v>
      </x:c>
      <x:c r="V160" s="10" t="n">
        <x:v>0</x:v>
      </x:c>
      <x:c r="W160" s="10" t="n">
        <x:v>0</x:v>
      </x:c>
      <x:c r="X160" s="10" t="n">
        <x:v>13</x:v>
      </x:c>
      <x:c r="Y160" s="3" t="n">
        <x:v>0</x:v>
      </x:c>
      <x:c r="Z160" s="3" t="str">
        <x:v>新增</x:v>
      </x:c>
      <x:c r="AA160" s="3" t="str">
        <x:v>在售</x:v>
      </x:c>
      <x:c r="AB160" s="12" t="str">
        <x:f>IF(AND(Z160="共同",ISNUMBER(G160),ISNUMBER(AD160)),G160-AD160,"")</x:f>
      </x:c>
      <x:c r="AC160" s="3" t="str"/>
      <x:c r="AD160" s="12"/>
      <x:c r="AE160" s="3" t="str">
        <x:v>[6574,"60516-ND-S-K-7.5"]</x:v>
      </x:c>
      <x:c r="AF160" t="n">
        <x:f>IF(ISNUMBER(H160),1,0)</x:f>
        <x:v>1</x:v>
      </x:c>
      <x:c r="AG160" t="n">
        <x:f>IF(ISNUMBER(I160),1,0)</x:f>
        <x:v>0</x:v>
      </x:c>
      <x:c r="AH160" t="str">
        <x:v>["60516","60516-ND-S-K","ND","裸色"]</x:v>
      </x:c>
      <x:c r="AI160" t="n">
        <x:f>IF(ISNUMBER(G160),1,0)</x:f>
        <x:v>1</x:v>
      </x:c>
      <x:c r="AJ160" t="n">
        <x:f>IF(ISNUMBER(AD160),1,0)</x:f>
        <x:v>0</x:v>
      </x:c>
    </x:row>
    <x:row r="161" ht="30" customHeight="1">
      <x:c r="A161" s="3" t="str">
        <x:v>60516-ND-S-K-8</x:v>
      </x:c>
      <x:c r="B161" s="3" t="str">
        <x:v>3店-SANDIEX-US</x:v>
      </x:c>
      <x:c r="C161" s="3" t="str">
        <x:v>徐新怡</x:v>
      </x:c>
      <x:c r="D161" s="3" t="str">
        <x:v>60516</x:v>
      </x:c>
      <x:c r="E161" s="3" t="str">
        <x:f>IF(Z161="移出","已移出",IF(NOT(ISNUMBER(H161)),"数据待核",IF(H161=0,"断货",IF(NOT(ISNUMBER(G161)),"数据待核",IF(G161=0,"零日销待复核",IF(F161&lt;60,"补货提醒",IF(F161&lt;=90,"正常库存",IF(F161&lt;180,"促销",IF(F161&lt;=365,"红线促销","考虑清仓")))))))))</x:f>
        <x:v>促销</x:v>
      </x:c>
      <x:c r="F161" s="11" t="n">
        <x:f>IF(AND(ISNUMBER(H161),ISNUMBER(G161),G161&gt;0),H161/G161,"")</x:f>
        <x:v>105.17529215358934</x:v>
      </x:c>
      <x:c r="G161" s="12" t="n">
        <x:f>IF(AND(COUNT(P161:R161)=3,MIN(P161:R161)&gt;=0,P161&lt;=Q161,Q161&lt;=R161),P161/7*0.5+Q161/14*0.3+R161/30*0.2,"")</x:f>
        <x:v>0.5704761904761904</x:v>
      </x:c>
      <x:c r="H161" s="10" t="n">
        <x:f>IF(ISNUMBER(U161),U161,"")</x:f>
        <x:v>60</x:v>
      </x:c>
      <x:c r="I161" s="10" t="n">
        <x:v>66</x:v>
      </x:c>
      <x:c r="J161" s="11" t="n">
        <x:f>IF(AND(Z161="共同",ISNUMBER(F161),ISNUMBER(M161)),F161-M161,"")</x:f>
        <x:v>6.1752921535893535</x:v>
      </x:c>
      <x:c r="K161" s="13" t="n">
        <x:f>IF(AND(ISNUMBER(J161),M161&lt;&gt;0),J161/M161,"")</x:f>
        <x:v>0.06237668842009449</x:v>
      </x:c>
      <x:c r="L161" s="10" t="str">
        <x:v>促销</x:v>
      </x:c>
      <x:c r="M161" s="11" t="n">
        <x:v>98.99999999999999</x:v>
      </x:c>
      <x:c r="N161" s="10" t="n">
        <x:f>IF(AND(Z161="共同",COUNT(H161:I161)=2),H161-I161,"")</x:f>
        <x:v>-6</x:v>
      </x:c>
      <x:c r="O161" s="10" t="n">
        <x:v>97</x:v>
      </x:c>
      <x:c r="P161" s="10" t="n">
        <x:v>4</x:v>
      </x:c>
      <x:c r="Q161" s="10" t="n">
        <x:v>8</x:v>
      </x:c>
      <x:c r="R161" s="10" t="n">
        <x:v>17</x:v>
      </x:c>
      <x:c r="S161" s="10" t="n">
        <x:v>62</x:v>
      </x:c>
      <x:c r="T161" s="10" t="n">
        <x:v>0</x:v>
      </x:c>
      <x:c r="U161" s="10" t="n">
        <x:f>IF(AND(ISNUMBER(X161),X161&gt;=0,Y161&lt;&gt;1),X161,"")</x:f>
        <x:v>60</x:v>
      </x:c>
      <x:c r="V161" s="10" t="n">
        <x:v>0</x:v>
      </x:c>
      <x:c r="W161" s="10" t="n">
        <x:v>0</x:v>
      </x:c>
      <x:c r="X161" s="10" t="n">
        <x:v>60</x:v>
      </x:c>
      <x:c r="Y161" s="3" t="n">
        <x:v>0</x:v>
      </x:c>
      <x:c r="Z161" s="3" t="str">
        <x:v>共同</x:v>
      </x:c>
      <x:c r="AA161" s="3" t="str">
        <x:v>在售</x:v>
      </x:c>
      <x:c r="AB161" s="12" t="n">
        <x:f>IF(AND(Z161="共同",ISNUMBER(G161),ISNUMBER(AD161)),G161-AD161,"")</x:f>
        <x:v>-0.09619047619047638</x:v>
      </x:c>
      <x:c r="AC161" s="3" t="str"/>
      <x:c r="AD161" s="12" t="n">
        <x:v>0.6666666666666667</x:v>
      </x:c>
      <x:c r="AE161" s="3" t="str">
        <x:v>[6574,"60516-ND-S-K-8"]</x:v>
      </x:c>
      <x:c r="AF161" t="n">
        <x:f>IF(ISNUMBER(H161),1,0)</x:f>
        <x:v>1</x:v>
      </x:c>
      <x:c r="AG161" t="n">
        <x:f>IF(ISNUMBER(I161),1,0)</x:f>
        <x:v>1</x:v>
      </x:c>
      <x:c r="AH161" t="str">
        <x:v>["60516","60516-ND-S-K","ND","裸色"]</x:v>
      </x:c>
      <x:c r="AI161" t="n">
        <x:f>IF(ISNUMBER(G161),1,0)</x:f>
        <x:v>1</x:v>
      </x:c>
      <x:c r="AJ161" t="n">
        <x:f>IF(ISNUMBER(AD161),1,0)</x:f>
        <x:v>1</x:v>
      </x:c>
    </x:row>
    <x:row r="162" ht="30" customHeight="1">
      <x:c r="A162" s="3" t="str">
        <x:v>60516-RD-S-K-8</x:v>
      </x:c>
      <x:c r="B162" s="3" t="str">
        <x:v>3店-SANDIEX-US</x:v>
      </x:c>
      <x:c r="C162" s="3" t="str">
        <x:v>徐新怡</x:v>
      </x:c>
      <x:c r="D162" s="3" t="str">
        <x:v>60516</x:v>
      </x:c>
      <x:c r="E162" s="3" t="str">
        <x:f>IF(Z162="移出","已移出",IF(NOT(ISNUMBER(H162)),"数据待核",IF(H162=0,"断货",IF(NOT(ISNUMBER(G162)),"数据待核",IF(G162=0,"零日销待复核",IF(F162&lt;60,"补货提醒",IF(F162&lt;=90,"正常库存",IF(F162&lt;180,"促销",IF(F162&lt;=365,"红线促销","考虑清仓")))))))))</x:f>
        <x:v>促销</x:v>
      </x:c>
      <x:c r="F162" s="11" t="n">
        <x:f>IF(AND(ISNUMBER(H162),ISNUMBER(G162),G162&gt;0),H162/G162,"")</x:f>
        <x:v>98.37067209775968</x:v>
      </x:c>
      <x:c r="G162" s="12" t="n">
        <x:f>IF(AND(COUNT(P162:R162)=3,MIN(P162:R162)&gt;=0,P162&lt;=Q162,Q162&lt;=R162),P162/7*0.5+Q162/14*0.3+R162/30*0.2,"")</x:f>
        <x:v>0.2338095238095238</x:v>
      </x:c>
      <x:c r="H162" s="10" t="n">
        <x:f>IF(ISNUMBER(U162),U162,"")</x:f>
        <x:v>23</x:v>
      </x:c>
      <x:c r="I162" s="10" t="n">
        <x:v>25</x:v>
      </x:c>
      <x:c r="J162" s="11" t="n">
        <x:f>IF(AND(Z162="共同",ISNUMBER(F162),ISNUMBER(M162)),F162-M162,"")</x:f>
        <x:v>-791.4598363768166</x:v>
      </x:c>
      <x:c r="K162" s="13" t="n">
        <x:f>IF(AND(ISNUMBER(J162),M162&lt;&gt;0),J162/M162,"")</x:f>
        <x:v>-0.8894501018329939</x:v>
      </x:c>
      <x:c r="L162" s="10" t="str">
        <x:v>考虑清仓</x:v>
      </x:c>
      <x:c r="M162" s="11" t="n">
        <x:v>889.8305084745763</x:v>
      </x:c>
      <x:c r="N162" s="10" t="n">
        <x:f>IF(AND(Z162="共同",COUNT(H162:I162)=2),H162-I162,"")</x:f>
        <x:v>-2</x:v>
      </x:c>
      <x:c r="O162" s="10" t="n">
        <x:v>20</x:v>
      </x:c>
      <x:c r="P162" s="10" t="n">
        <x:v>2</x:v>
      </x:c>
      <x:c r="Q162" s="10" t="n">
        <x:v>3</x:v>
      </x:c>
      <x:c r="R162" s="10" t="n">
        <x:v>4</x:v>
      </x:c>
      <x:c r="S162" s="10" t="n">
        <x:v>23</x:v>
      </x:c>
      <x:c r="T162" s="10" t="n">
        <x:v>0</x:v>
      </x:c>
      <x:c r="U162" s="10" t="n">
        <x:f>IF(AND(ISNUMBER(X162),X162&gt;=0,Y162&lt;&gt;1),X162,"")</x:f>
        <x:v>23</x:v>
      </x:c>
      <x:c r="V162" s="10" t="n">
        <x:v>0</x:v>
      </x:c>
      <x:c r="W162" s="10" t="n">
        <x:v>0</x:v>
      </x:c>
      <x:c r="X162" s="10" t="n">
        <x:v>23</x:v>
      </x:c>
      <x:c r="Y162" s="3" t="n">
        <x:v>0</x:v>
      </x:c>
      <x:c r="Z162" s="3" t="str">
        <x:v>共同</x:v>
      </x:c>
      <x:c r="AA162" s="3" t="str">
        <x:v>在售</x:v>
      </x:c>
      <x:c r="AB162" s="12" t="n">
        <x:f>IF(AND(Z162="共同",ISNUMBER(G162),ISNUMBER(AD162)),G162-AD162,"")</x:f>
        <x:v>0.2057142857142857</x:v>
      </x:c>
      <x:c r="AC162" s="3" t="str"/>
      <x:c r="AD162" s="12" t="n">
        <x:v>0.028095238095238097</x:v>
      </x:c>
      <x:c r="AE162" s="3" t="str">
        <x:v>[6574,"60516-RD-S-K-8"]</x:v>
      </x:c>
      <x:c r="AF162" t="n">
        <x:f>IF(ISNUMBER(H162),1,0)</x:f>
        <x:v>1</x:v>
      </x:c>
      <x:c r="AG162" t="n">
        <x:f>IF(ISNUMBER(I162),1,0)</x:f>
        <x:v>1</x:v>
      </x:c>
      <x:c r="AH162" t="str">
        <x:v>["60516","60516-RD-S-K","RD","红色"]</x:v>
      </x:c>
      <x:c r="AI162" t="n">
        <x:f>IF(ISNUMBER(G162),1,0)</x:f>
        <x:v>1</x:v>
      </x:c>
      <x:c r="AJ162" t="n">
        <x:f>IF(ISNUMBER(AD162),1,0)</x:f>
        <x:v>1</x:v>
      </x:c>
    </x:row>
    <x:row r="163" ht="30" customHeight="1">
      <x:c r="A163" s="3" t="str">
        <x:v>8392-BK-37</x:v>
      </x:c>
      <x:c r="B163" s="3" t="str">
        <x:v>3店-SANDIEX-US</x:v>
      </x:c>
      <x:c r="C163" s="3" t="str">
        <x:v>徐新怡</x:v>
      </x:c>
      <x:c r="D163" s="3" t="str">
        <x:v>8392</x:v>
      </x:c>
      <x:c r="E163" s="3" t="str">
        <x:f>IF(Z163="移出","已移出",IF(NOT(ISNUMBER(H163)),"数据待核",IF(H163=0,"断货",IF(NOT(ISNUMBER(G163)),"数据待核",IF(G163=0,"零日销待复核",IF(F163&lt;60,"补货提醒",IF(F163&lt;=90,"正常库存",IF(F163&lt;180,"促销",IF(F163&lt;=365,"红线促销","考虑清仓")))))))))</x:f>
        <x:v>促销</x:v>
      </x:c>
      <x:c r="F163" s="11" t="n">
        <x:f>IF(AND(ISNUMBER(H163),ISNUMBER(G163),G163&gt;0),H163/G163,"")</x:f>
        <x:v>118.26923076923076</x:v>
      </x:c>
      <x:c r="G163" s="12" t="n">
        <x:f>IF(AND(COUNT(P163:R163)=3,MIN(P163:R163)&gt;=0,P163&lt;=Q163,Q163&lt;=R163),P163/7*0.5+Q163/14*0.3+R163/30*0.2,"")</x:f>
        <x:v>0.3466666666666667</x:v>
      </x:c>
      <x:c r="H163" s="10" t="n">
        <x:f>IF(ISNUMBER(U163),U163,"")</x:f>
        <x:v>41</x:v>
      </x:c>
      <x:c r="I163" s="10"/>
      <x:c r="J163" s="11" t="str">
        <x:f>IF(AND(Z163="共同",ISNUMBER(F163),ISNUMBER(M163)),F163-M163,"")</x:f>
      </x:c>
      <x:c r="K163" s="13" t="str">
        <x:f>IF(AND(ISNUMBER(J163),M163&lt;&gt;0),J163/M163,"")</x:f>
      </x:c>
      <x:c r="L163" s="10"/>
      <x:c r="M163" s="11"/>
      <x:c r="N163" s="10" t="str">
        <x:f>IF(AND(Z163="共同",COUNT(H163:I163)=2),H163-I163,"")</x:f>
      </x:c>
      <x:c r="O163" s="10" t="n">
        <x:v>0</x:v>
      </x:c>
      <x:c r="P163" s="10" t="n">
        <x:v>3</x:v>
      </x:c>
      <x:c r="Q163" s="10" t="n">
        <x:v>4</x:v>
      </x:c>
      <x:c r="R163" s="10" t="n">
        <x:v>7</x:v>
      </x:c>
      <x:c r="S163" s="10" t="n">
        <x:v>42</x:v>
      </x:c>
      <x:c r="T163" s="10" t="n">
        <x:v>0</x:v>
      </x:c>
      <x:c r="U163" s="10" t="n">
        <x:f>IF(AND(ISNUMBER(X163),X163&gt;=0,Y163&lt;&gt;1),X163,"")</x:f>
        <x:v>41</x:v>
      </x:c>
      <x:c r="V163" s="10" t="n">
        <x:v>0</x:v>
      </x:c>
      <x:c r="W163" s="10" t="n">
        <x:v>0</x:v>
      </x:c>
      <x:c r="X163" s="10" t="n">
        <x:v>41</x:v>
      </x:c>
      <x:c r="Y163" s="3" t="n">
        <x:v>0</x:v>
      </x:c>
      <x:c r="Z163" s="3" t="str">
        <x:v>新增</x:v>
      </x:c>
      <x:c r="AA163" s="3" t="str">
        <x:v>在售</x:v>
      </x:c>
      <x:c r="AB163" s="12" t="str">
        <x:f>IF(AND(Z163="共同",ISNUMBER(G163),ISNUMBER(AD163)),G163-AD163,"")</x:f>
      </x:c>
      <x:c r="AC163" s="3" t="str"/>
      <x:c r="AD163" s="12"/>
      <x:c r="AE163" s="3" t="str">
        <x:v>[6574,"8392-BK-37"]</x:v>
      </x:c>
      <x:c r="AF163" t="n">
        <x:f>IF(ISNUMBER(H163),1,0)</x:f>
        <x:v>1</x:v>
      </x:c>
      <x:c r="AG163" t="n">
        <x:f>IF(ISNUMBER(I163),1,0)</x:f>
        <x:v>0</x:v>
      </x:c>
      <x:c r="AH163" t="str">
        <x:v>["8392","8392-BK","BK","黑色"]</x:v>
      </x:c>
      <x:c r="AI163" t="n">
        <x:f>IF(ISNUMBER(G163),1,0)</x:f>
        <x:v>1</x:v>
      </x:c>
      <x:c r="AJ163" t="n">
        <x:f>IF(ISNUMBER(AD163),1,0)</x:f>
        <x:v>0</x:v>
      </x:c>
    </x:row>
    <x:row r="164" ht="30" customHeight="1">
      <x:c r="A164" s="3" t="str">
        <x:v>8392-LP-37</x:v>
      </x:c>
      <x:c r="B164" s="3" t="str">
        <x:v>3店-SANDIEX-US</x:v>
      </x:c>
      <x:c r="C164" s="3" t="str">
        <x:v>徐新怡</x:v>
      </x:c>
      <x:c r="D164" s="3" t="str">
        <x:v>8392</x:v>
      </x:c>
      <x:c r="E164" s="3" t="str">
        <x:f>IF(Z164="移出","已移出",IF(NOT(ISNUMBER(H164)),"数据待核",IF(H164=0,"断货",IF(NOT(ISNUMBER(G164)),"数据待核",IF(G164=0,"零日销待复核",IF(F164&lt;60,"补货提醒",IF(F164&lt;=90,"正常库存",IF(F164&lt;180,"促销",IF(F164&lt;=365,"红线促销","考虑清仓")))))))))</x:f>
        <x:v>促销</x:v>
      </x:c>
      <x:c r="F164" s="11" t="n">
        <x:f>IF(AND(ISNUMBER(H164),ISNUMBER(G164),G164&gt;0),H164/G164,"")</x:f>
        <x:v>117.53731343283583</x:v>
      </x:c>
      <x:c r="G164" s="12" t="n">
        <x:f>IF(AND(COUNT(P164:R164)=3,MIN(P164:R164)&gt;=0,P164&lt;=Q164,Q164&lt;=R164),P164/7*0.5+Q164/14*0.3+R164/30*0.2,"")</x:f>
        <x:v>0.1276190476190476</x:v>
      </x:c>
      <x:c r="H164" s="10" t="n">
        <x:f>IF(ISNUMBER(U164),U164,"")</x:f>
        <x:v>15</x:v>
      </x:c>
      <x:c r="I164" s="10"/>
      <x:c r="J164" s="11" t="str">
        <x:f>IF(AND(Z164="共同",ISNUMBER(F164),ISNUMBER(M164)),F164-M164,"")</x:f>
      </x:c>
      <x:c r="K164" s="13" t="str">
        <x:f>IF(AND(ISNUMBER(J164),M164&lt;&gt;0),J164/M164,"")</x:f>
      </x:c>
      <x:c r="L164" s="10"/>
      <x:c r="M164" s="11"/>
      <x:c r="N164" s="10" t="str">
        <x:f>IF(AND(Z164="共同",COUNT(H164:I164)=2),H164-I164,"")</x:f>
      </x:c>
      <x:c r="O164" s="10" t="n">
        <x:v>37</x:v>
      </x:c>
      <x:c r="P164" s="10" t="n">
        <x:v>1</x:v>
      </x:c>
      <x:c r="Q164" s="10" t="n">
        <x:v>2</x:v>
      </x:c>
      <x:c r="R164" s="10" t="n">
        <x:v>2</x:v>
      </x:c>
      <x:c r="S164" s="10" t="n">
        <x:v>15</x:v>
      </x:c>
      <x:c r="T164" s="10" t="n">
        <x:v>0</x:v>
      </x:c>
      <x:c r="U164" s="10" t="n">
        <x:f>IF(AND(ISNUMBER(X164),X164&gt;=0,Y164&lt;&gt;1),X164,"")</x:f>
        <x:v>15</x:v>
      </x:c>
      <x:c r="V164" s="10" t="n">
        <x:v>0</x:v>
      </x:c>
      <x:c r="W164" s="10" t="n">
        <x:v>0</x:v>
      </x:c>
      <x:c r="X164" s="10" t="n">
        <x:v>15</x:v>
      </x:c>
      <x:c r="Y164" s="3" t="n">
        <x:v>0</x:v>
      </x:c>
      <x:c r="Z164" s="3" t="str">
        <x:v>新增</x:v>
      </x:c>
      <x:c r="AA164" s="3" t="str">
        <x:v>在售</x:v>
      </x:c>
      <x:c r="AB164" s="12" t="str">
        <x:f>IF(AND(Z164="共同",ISNUMBER(G164),ISNUMBER(AD164)),G164-AD164,"")</x:f>
      </x:c>
      <x:c r="AC164" s="3" t="str"/>
      <x:c r="AD164" s="12"/>
      <x:c r="AE164" s="3" t="str">
        <x:v>[6574,"8392-LP-37"]</x:v>
      </x:c>
      <x:c r="AF164" t="n">
        <x:f>IF(ISNUMBER(H164),1,0)</x:f>
        <x:v>1</x:v>
      </x:c>
      <x:c r="AG164" t="n">
        <x:f>IF(ISNUMBER(I164),1,0)</x:f>
        <x:v>0</x:v>
      </x:c>
      <x:c r="AH164" t="str">
        <x:v>["8392","8392-LP","LP","豹纹"]</x:v>
      </x:c>
      <x:c r="AI164" t="n">
        <x:f>IF(ISNUMBER(G164),1,0)</x:f>
        <x:v>1</x:v>
      </x:c>
      <x:c r="AJ164" t="n">
        <x:f>IF(ISNUMBER(AD164),1,0)</x:f>
        <x:v>0</x:v>
      </x:c>
    </x:row>
    <x:row r="165" ht="30" customHeight="1">
      <x:c r="A165" s="3" t="str">
        <x:v>9967-CT-38B</x:v>
      </x:c>
      <x:c r="B165" s="3" t="str">
        <x:v>1店-MUSSHOE-US</x:v>
      </x:c>
      <x:c r="C165" s="3" t="str">
        <x:v>徐新怡</x:v>
      </x:c>
      <x:c r="D165" s="3" t="str">
        <x:v>9967</x:v>
      </x:c>
      <x:c r="E165" s="3" t="str">
        <x:f>IF(Z165="移出","已移出",IF(NOT(ISNUMBER(H165)),"数据待核",IF(H165=0,"断货",IF(NOT(ISNUMBER(G165)),"数据待核",IF(G165=0,"零日销待复核",IF(F165&lt;60,"补货提醒",IF(F165&lt;=90,"正常库存",IF(F165&lt;180,"促销",IF(F165&lt;=365,"红线促销","考虑清仓")))))))))</x:f>
        <x:v>促销</x:v>
      </x:c>
      <x:c r="F165" s="11" t="n">
        <x:f>IF(AND(ISNUMBER(H165),ISNUMBER(G165),G165&gt;0),H165/G165,"")</x:f>
        <x:v>177.96610169491527</x:v>
      </x:c>
      <x:c r="G165" s="12" t="n">
        <x:f>IF(AND(COUNT(P165:R165)=3,MIN(P165:R165)&gt;=0,P165&lt;=Q165,Q165&lt;=R165),P165/7*0.5+Q165/14*0.3+R165/30*0.2,"")</x:f>
        <x:v>0.028095238095238093</x:v>
      </x:c>
      <x:c r="H165" s="10" t="n">
        <x:f>IF(ISNUMBER(U165),U165,"")</x:f>
        <x:v>5</x:v>
      </x:c>
      <x:c r="I165" s="10"/>
      <x:c r="J165" s="11" t="str">
        <x:f>IF(AND(Z165="共同",ISNUMBER(F165),ISNUMBER(M165)),F165-M165,"")</x:f>
      </x:c>
      <x:c r="K165" s="13" t="str">
        <x:f>IF(AND(ISNUMBER(J165),M165&lt;&gt;0),J165/M165,"")</x:f>
      </x:c>
      <x:c r="L165" s="10"/>
      <x:c r="M165" s="11"/>
      <x:c r="N165" s="10" t="str">
        <x:f>IF(AND(Z165="共同",COUNT(H165:I165)=2),H165-I165,"")</x:f>
      </x:c>
      <x:c r="O165" s="10" t="n">
        <x:v>0</x:v>
      </x:c>
      <x:c r="P165" s="10" t="n">
        <x:v>0</x:v>
      </x:c>
      <x:c r="Q165" s="10" t="n">
        <x:v>1</x:v>
      </x:c>
      <x:c r="R165" s="10" t="n">
        <x:v>1</x:v>
      </x:c>
      <x:c r="S165" s="10" t="n">
        <x:v>10</x:v>
      </x:c>
      <x:c r="T165" s="10" t="n">
        <x:v>0</x:v>
      </x:c>
      <x:c r="U165" s="10" t="n">
        <x:f>IF(AND(ISNUMBER(X165),X165&gt;=0,Y165&lt;&gt;1),X165,"")</x:f>
        <x:v>5</x:v>
      </x:c>
      <x:c r="V165" s="10" t="n">
        <x:v>0</x:v>
      </x:c>
      <x:c r="W165" s="10" t="n">
        <x:v>37</x:v>
      </x:c>
      <x:c r="X165" s="10" t="n">
        <x:v>5</x:v>
      </x:c>
      <x:c r="Y165" s="3" t="n">
        <x:v>0</x:v>
      </x:c>
      <x:c r="Z165" s="3" t="str">
        <x:v>新增</x:v>
      </x:c>
      <x:c r="AA165" s="3" t="str">
        <x:v>在售</x:v>
      </x:c>
      <x:c r="AB165" s="12" t="str">
        <x:f>IF(AND(Z165="共同",ISNUMBER(G165),ISNUMBER(AD165)),G165-AD165,"")</x:f>
      </x:c>
      <x:c r="AC165" s="3" t="str"/>
      <x:c r="AD165" s="12"/>
      <x:c r="AE165" s="3" t="str">
        <x:v>[13120,"9967-CT-38B"]</x:v>
      </x:c>
      <x:c r="AF165" t="n">
        <x:f>IF(ISNUMBER(H165),1,0)</x:f>
        <x:v>1</x:v>
      </x:c>
      <x:c r="AG165" t="n">
        <x:f>IF(ISNUMBER(I165),1,0)</x:f>
        <x:v>0</x:v>
      </x:c>
      <x:c r="AH165" t="str">
        <x:v>["9967","9967-CT-38B","CT-38B","棕色"]</x:v>
      </x:c>
      <x:c r="AI165" t="n">
        <x:f>IF(ISNUMBER(G165),1,0)</x:f>
        <x:v>1</x:v>
      </x:c>
      <x:c r="AJ165" t="n">
        <x:f>IF(ISNUMBER(AD165),1,0)</x:f>
        <x:v>0</x:v>
      </x:c>
    </x:row>
    <x:row r="166" ht="30" customHeight="1">
      <x:c r="A166" s="3" t="str">
        <x:v>9967-GY-38B</x:v>
      </x:c>
      <x:c r="B166" s="3" t="str">
        <x:v>1店-MUSSHOE-US</x:v>
      </x:c>
      <x:c r="C166" s="3" t="str">
        <x:v>徐新怡</x:v>
      </x:c>
      <x:c r="D166" s="3" t="str">
        <x:v>9967</x:v>
      </x:c>
      <x:c r="E166" s="3" t="str">
        <x:f>IF(Z166="移出","已移出",IF(NOT(ISNUMBER(H166)),"数据待核",IF(H166=0,"断货",IF(NOT(ISNUMBER(G166)),"数据待核",IF(G166=0,"零日销待复核",IF(F166&lt;60,"补货提醒",IF(F166&lt;=90,"正常库存",IF(F166&lt;180,"促销",IF(F166&lt;=365,"红线促销","考虑清仓")))))))))</x:f>
        <x:v>促销</x:v>
      </x:c>
      <x:c r="F166" s="11" t="n">
        <x:f>IF(AND(ISNUMBER(H166),ISNUMBER(G166),G166&gt;0),H166/G166,"")</x:f>
        <x:v>150</x:v>
      </x:c>
      <x:c r="G166" s="12" t="n">
        <x:f>IF(AND(COUNT(P166:R166)=3,MIN(P166:R166)&gt;=0,P166&lt;=Q166,Q166&lt;=R166),P166/7*0.5+Q166/14*0.3+R166/30*0.2,"")</x:f>
        <x:v>0.006666666666666667</x:v>
      </x:c>
      <x:c r="H166" s="10" t="n">
        <x:f>IF(ISNUMBER(U166),U166,"")</x:f>
        <x:v>1</x:v>
      </x:c>
      <x:c r="I166" s="10"/>
      <x:c r="J166" s="11" t="str">
        <x:f>IF(AND(Z166="共同",ISNUMBER(F166),ISNUMBER(M166)),F166-M166,"")</x:f>
      </x:c>
      <x:c r="K166" s="13" t="str">
        <x:f>IF(AND(ISNUMBER(J166),M166&lt;&gt;0),J166/M166,"")</x:f>
      </x:c>
      <x:c r="L166" s="10"/>
      <x:c r="M166" s="11"/>
      <x:c r="N166" s="10" t="str">
        <x:f>IF(AND(Z166="共同",COUNT(H166:I166)=2),H166-I166,"")</x:f>
      </x:c>
      <x:c r="O166" s="10" t="n">
        <x:v>4</x:v>
      </x:c>
      <x:c r="P166" s="10" t="n">
        <x:v>0</x:v>
      </x:c>
      <x:c r="Q166" s="10" t="n">
        <x:v>0</x:v>
      </x:c>
      <x:c r="R166" s="10" t="n">
        <x:v>1</x:v>
      </x:c>
      <x:c r="S166" s="10" t="n">
        <x:v>1</x:v>
      </x:c>
      <x:c r="T166" s="10" t="n">
        <x:v>0</x:v>
      </x:c>
      <x:c r="U166" s="10" t="n">
        <x:f>IF(AND(ISNUMBER(X166),X166&gt;=0,Y166&lt;&gt;1),X166,"")</x:f>
        <x:v>1</x:v>
      </x:c>
      <x:c r="V166" s="10" t="n">
        <x:v>0</x:v>
      </x:c>
      <x:c r="W166" s="10" t="n">
        <x:v>0</x:v>
      </x:c>
      <x:c r="X166" s="10" t="n">
        <x:v>1</x:v>
      </x:c>
      <x:c r="Y166" s="3" t="n">
        <x:v>0</x:v>
      </x:c>
      <x:c r="Z166" s="3" t="str">
        <x:v>新增</x:v>
      </x:c>
      <x:c r="AA166" s="3" t="str">
        <x:v>在售</x:v>
      </x:c>
      <x:c r="AB166" s="12" t="str">
        <x:f>IF(AND(Z166="共同",ISNUMBER(G166),ISNUMBER(AD166)),G166-AD166,"")</x:f>
      </x:c>
      <x:c r="AC166" s="3" t="str"/>
      <x:c r="AD166" s="12"/>
      <x:c r="AE166" s="3" t="str">
        <x:v>[13120,"9967-GY-38B"]</x:v>
      </x:c>
      <x:c r="AF166" t="n">
        <x:f>IF(ISNUMBER(H166),1,0)</x:f>
        <x:v>1</x:v>
      </x:c>
      <x:c r="AG166" t="n">
        <x:f>IF(ISNUMBER(I166),1,0)</x:f>
        <x:v>0</x:v>
      </x:c>
      <x:c r="AH166" t="str">
        <x:v>["9967","9967-GY-38B","GY-38B","灰色"]</x:v>
      </x:c>
      <x:c r="AI166" t="n">
        <x:f>IF(ISNUMBER(G166),1,0)</x:f>
        <x:v>1</x:v>
      </x:c>
      <x:c r="AJ166" t="n">
        <x:f>IF(ISNUMBER(AD166),1,0)</x:f>
        <x:v>0</x:v>
      </x:c>
    </x:row>
    <x:row r="167" ht="30" customHeight="1">
      <x:c r="A167" s="3" t="str">
        <x:v>B06-BGP-40.5</x:v>
      </x:c>
      <x:c r="B167" s="3" t="str">
        <x:v>1店-MUSSHOE-US</x:v>
      </x:c>
      <x:c r="C167" s="3" t="str">
        <x:v>艾年</x:v>
      </x:c>
      <x:c r="D167" s="3" t="str">
        <x:v>B06</x:v>
      </x:c>
      <x:c r="E167" s="3" t="str">
        <x:f>IF(Z167="移出","已移出",IF(NOT(ISNUMBER(H167)),"数据待核",IF(H167=0,"断货",IF(NOT(ISNUMBER(G167)),"数据待核",IF(G167=0,"零日销待复核",IF(F167&lt;60,"补货提醒",IF(F167&lt;=90,"正常库存",IF(F167&lt;180,"促销",IF(F167&lt;=365,"红线促销","考虑清仓")))))))))</x:f>
        <x:v>促销</x:v>
      </x:c>
      <x:c r="F167" s="11" t="n">
        <x:f>IF(AND(ISNUMBER(H167),ISNUMBER(G167),G167&gt;0),H167/G167,"")</x:f>
        <x:v>149.4915254237288</x:v>
      </x:c>
      <x:c r="G167" s="12" t="n">
        <x:f>IF(AND(COUNT(P167:R167)=3,MIN(P167:R167)&gt;=0,P167&lt;=Q167,Q167&lt;=R167),P167/7*0.5+Q167/14*0.3+R167/30*0.2,"")</x:f>
        <x:v>0.14047619047619048</x:v>
      </x:c>
      <x:c r="H167" s="10" t="n">
        <x:f>IF(ISNUMBER(U167),U167,"")</x:f>
        <x:v>21</x:v>
      </x:c>
      <x:c r="I167" s="10" t="n">
        <x:v>25</x:v>
      </x:c>
      <x:c r="J167" s="11" t="n">
        <x:f>IF(AND(Z167="共同",ISNUMBER(F167),ISNUMBER(M167)),F167-M167,"")</x:f>
        <x:v>-1100.5084745762713</x:v>
      </x:c>
      <x:c r="K167" s="13" t="n">
        <x:f>IF(AND(ISNUMBER(J167),M167&lt;&gt;0),J167/M167,"")</x:f>
        <x:v>-0.880406779661017</x:v>
      </x:c>
      <x:c r="L167" s="10" t="str">
        <x:v>考虑清仓</x:v>
      </x:c>
      <x:c r="M167" s="11" t="n">
        <x:v>1250</x:v>
      </x:c>
      <x:c r="N167" s="10" t="n">
        <x:f>IF(AND(Z167="共同",COUNT(H167:I167)=2),H167-I167,"")</x:f>
        <x:v>-4</x:v>
      </x:c>
      <x:c r="O167" s="10" t="n">
        <x:v>79</x:v>
      </x:c>
      <x:c r="P167" s="10" t="n">
        <x:v>0</x:v>
      </x:c>
      <x:c r="Q167" s="10" t="n">
        <x:v>5</x:v>
      </x:c>
      <x:c r="R167" s="10" t="n">
        <x:v>5</x:v>
      </x:c>
      <x:c r="S167" s="10" t="n">
        <x:v>21</x:v>
      </x:c>
      <x:c r="T167" s="10" t="n">
        <x:v>0</x:v>
      </x:c>
      <x:c r="U167" s="10" t="n">
        <x:f>IF(AND(ISNUMBER(X167),X167&gt;=0,Y167&lt;&gt;1),X167,"")</x:f>
        <x:v>21</x:v>
      </x:c>
      <x:c r="V167" s="10" t="n">
        <x:v>0</x:v>
      </x:c>
      <x:c r="W167" s="10" t="n">
        <x:v>20</x:v>
      </x:c>
      <x:c r="X167" s="10" t="n">
        <x:v>21</x:v>
      </x:c>
      <x:c r="Y167" s="3" t="n">
        <x:v>0</x:v>
      </x:c>
      <x:c r="Z167" s="3" t="str">
        <x:v>共同</x:v>
      </x:c>
      <x:c r="AA167" s="3" t="str">
        <x:v>在售</x:v>
      </x:c>
      <x:c r="AB167" s="12" t="n">
        <x:f>IF(AND(Z167="共同",ISNUMBER(G167),ISNUMBER(AD167)),G167-AD167,"")</x:f>
        <x:v>0.12047619047619047</x:v>
      </x:c>
      <x:c r="AC167" s="3" t="str"/>
      <x:c r="AD167" s="12" t="n">
        <x:v>0.02</x:v>
      </x:c>
      <x:c r="AE167" s="3" t="str">
        <x:v>[13120,"B06-BGP-40.5"]</x:v>
      </x:c>
      <x:c r="AF167" t="n">
        <x:f>IF(ISNUMBER(H167),1,0)</x:f>
        <x:v>1</x:v>
      </x:c>
      <x:c r="AG167" t="n">
        <x:f>IF(ISNUMBER(I167),1,0)</x:f>
        <x:v>1</x:v>
      </x:c>
      <x:c r="AH167" t="str">
        <x:v>["B06","B06-BGP","BGP","米色PU"]</x:v>
      </x:c>
      <x:c r="AI167" t="n">
        <x:f>IF(ISNUMBER(G167),1,0)</x:f>
        <x:v>1</x:v>
      </x:c>
      <x:c r="AJ167" t="n">
        <x:f>IF(ISNUMBER(AD167),1,0)</x:f>
        <x:v>1</x:v>
      </x:c>
    </x:row>
    <x:row r="168" ht="30" customHeight="1">
      <x:c r="A168" s="3" t="str">
        <x:v>B06-BKP-37.5</x:v>
      </x:c>
      <x:c r="B168" s="3" t="str">
        <x:v>1店-MUSSHOE-US</x:v>
      </x:c>
      <x:c r="C168" s="3" t="str">
        <x:v>艾年</x:v>
      </x:c>
      <x:c r="D168" s="3" t="str">
        <x:v>B06</x:v>
      </x:c>
      <x:c r="E168" s="3" t="str">
        <x:f>IF(Z168="移出","已移出",IF(NOT(ISNUMBER(H168)),"数据待核",IF(H168=0,"断货",IF(NOT(ISNUMBER(G168)),"数据待核",IF(G168=0,"零日销待复核",IF(F168&lt;60,"补货提醒",IF(F168&lt;=90,"正常库存",IF(F168&lt;180,"促销",IF(F168&lt;=365,"红线促销","考虑清仓")))))))))</x:f>
        <x:v>促销</x:v>
      </x:c>
      <x:c r="F168" s="11" t="n">
        <x:f>IF(AND(ISNUMBER(H168),ISNUMBER(G168),G168&gt;0),H168/G168,"")</x:f>
        <x:v>133.0188679245283</x:v>
      </x:c>
      <x:c r="G168" s="12" t="n">
        <x:f>IF(AND(COUNT(P168:R168)=3,MIN(P168:R168)&gt;=0,P168&lt;=Q168,Q168&lt;=R168),P168/7*0.5+Q168/14*0.3+R168/30*0.2,"")</x:f>
        <x:v>0.35333333333333333</x:v>
      </x:c>
      <x:c r="H168" s="10" t="n">
        <x:f>IF(ISNUMBER(U168),U168,"")</x:f>
        <x:v>47</x:v>
      </x:c>
      <x:c r="I168" s="10" t="n">
        <x:v>41</x:v>
      </x:c>
      <x:c r="J168" s="11" t="n">
        <x:f>IF(AND(Z168="共同",ISNUMBER(F168),ISNUMBER(M168)),F168-M168,"")</x:f>
        <x:v>-39.87269834053197</x:v>
      </x:c>
      <x:c r="K168" s="13" t="n">
        <x:f>IF(AND(ISNUMBER(J168),M168&lt;&gt;0),J168/M168,"")</x:f>
        <x:v>-0.23062257576753678</x:v>
      </x:c>
      <x:c r="L168" s="10" t="str">
        <x:v>促销</x:v>
      </x:c>
      <x:c r="M168" s="11" t="n">
        <x:v>172.89156626506028</x:v>
      </x:c>
      <x:c r="N168" s="10" t="n">
        <x:f>IF(AND(Z168="共同",COUNT(H168:I168)=2),H168-I168,"")</x:f>
        <x:v>6</x:v>
      </x:c>
      <x:c r="O168" s="10" t="n">
        <x:v>0</x:v>
      </x:c>
      <x:c r="P168" s="10" t="n">
        <x:v>3</x:v>
      </x:c>
      <x:c r="Q168" s="10" t="n">
        <x:v>4</x:v>
      </x:c>
      <x:c r="R168" s="10" t="n">
        <x:v>8</x:v>
      </x:c>
      <x:c r="S168" s="10" t="n">
        <x:v>49</x:v>
      </x:c>
      <x:c r="T168" s="10" t="n">
        <x:v>0</x:v>
      </x:c>
      <x:c r="U168" s="10" t="n">
        <x:f>IF(AND(ISNUMBER(X168),X168&gt;=0,Y168&lt;&gt;1),X168,"")</x:f>
        <x:v>47</x:v>
      </x:c>
      <x:c r="V168" s="10" t="n">
        <x:v>0</x:v>
      </x:c>
      <x:c r="W168" s="10" t="n">
        <x:v>35</x:v>
      </x:c>
      <x:c r="X168" s="10" t="n">
        <x:v>47</x:v>
      </x:c>
      <x:c r="Y168" s="3" t="n">
        <x:v>0</x:v>
      </x:c>
      <x:c r="Z168" s="3" t="str">
        <x:v>共同</x:v>
      </x:c>
      <x:c r="AA168" s="3" t="str">
        <x:v>在售</x:v>
      </x:c>
      <x:c r="AB168" s="12" t="n">
        <x:f>IF(AND(Z168="共同",ISNUMBER(G168),ISNUMBER(AD168)),G168-AD168,"")</x:f>
        <x:v>0.11619047619047623</x:v>
      </x:c>
      <x:c r="AC168" s="3" t="str"/>
      <x:c r="AD168" s="12" t="n">
        <x:v>0.2371428571428571</x:v>
      </x:c>
      <x:c r="AE168" s="3" t="str">
        <x:v>[13120,"B06-BKP-37.5"]</x:v>
      </x:c>
      <x:c r="AF168" t="n">
        <x:f>IF(ISNUMBER(H168),1,0)</x:f>
        <x:v>1</x:v>
      </x:c>
      <x:c r="AG168" t="n">
        <x:f>IF(ISNUMBER(I168),1,0)</x:f>
        <x:v>1</x:v>
      </x:c>
      <x:c r="AH168" t="str">
        <x:v>["B06","B06-BKP","BKP","黑色PU"]</x:v>
      </x:c>
      <x:c r="AI168" t="n">
        <x:f>IF(ISNUMBER(G168),1,0)</x:f>
        <x:v>1</x:v>
      </x:c>
      <x:c r="AJ168" t="n">
        <x:f>IF(ISNUMBER(AD168),1,0)</x:f>
        <x:v>1</x:v>
      </x:c>
    </x:row>
    <x:row r="169" ht="30" customHeight="1">
      <x:c r="A169" s="3" t="str">
        <x:v>B06-CFP-38.5</x:v>
      </x:c>
      <x:c r="B169" s="3" t="str">
        <x:v>1店-MUSSHOE-US</x:v>
      </x:c>
      <x:c r="C169" s="3" t="str">
        <x:v>艾年</x:v>
      </x:c>
      <x:c r="D169" s="3" t="str">
        <x:v>B06</x:v>
      </x:c>
      <x:c r="E169" s="3" t="str">
        <x:f>IF(Z169="移出","已移出",IF(NOT(ISNUMBER(H169)),"数据待核",IF(H169=0,"断货",IF(NOT(ISNUMBER(G169)),"数据待核",IF(G169=0,"零日销待复核",IF(F169&lt;60,"补货提醒",IF(F169&lt;=90,"正常库存",IF(F169&lt;180,"促销",IF(F169&lt;=365,"红线促销","考虑清仓")))))))))</x:f>
        <x:v>促销</x:v>
      </x:c>
      <x:c r="F169" s="11" t="n">
        <x:f>IF(AND(ISNUMBER(H169),ISNUMBER(G169),G169&gt;0),H169/G169,"")</x:f>
        <x:v>153.1764705882353</x:v>
      </x:c>
      <x:c r="G169" s="12" t="n">
        <x:f>IF(AND(COUNT(P169:R169)=3,MIN(P169:R169)&gt;=0,P169&lt;=Q169,Q169&lt;=R169),P169/7*0.5+Q169/14*0.3+R169/30*0.2,"")</x:f>
        <x:v>0.20238095238095238</x:v>
      </x:c>
      <x:c r="H169" s="10" t="n">
        <x:f>IF(ISNUMBER(U169),U169,"")</x:f>
        <x:v>31</x:v>
      </x:c>
      <x:c r="I169" s="10" t="n">
        <x:v>10</x:v>
      </x:c>
      <x:c r="J169" s="11" t="n">
        <x:f>IF(AND(Z169="共同",ISNUMBER(F169),ISNUMBER(M169)),F169-M169,"")</x:f>
        <x:v>132.0921332388377</x:v>
      </x:c>
      <x:c r="K169" s="13" t="n">
        <x:f>IF(AND(ISNUMBER(J169),M169&lt;&gt;0),J169/M169,"")</x:f>
        <x:v>6.264941176470588</x:v>
      </x:c>
      <x:c r="L169" s="10" t="str">
        <x:v>补货提醒</x:v>
      </x:c>
      <x:c r="M169" s="11" t="n">
        <x:v>21.084337349397593</x:v>
      </x:c>
      <x:c r="N169" s="10" t="n">
        <x:f>IF(AND(Z169="共同",COUNT(H169:I169)=2),H169-I169,"")</x:f>
        <x:v>21</x:v>
      </x:c>
      <x:c r="O169" s="10" t="n">
        <x:v>0</x:v>
      </x:c>
      <x:c r="P169" s="10" t="n">
        <x:v>1</x:v>
      </x:c>
      <x:c r="Q169" s="10" t="n">
        <x:v>3</x:v>
      </x:c>
      <x:c r="R169" s="10" t="n">
        <x:v>10</x:v>
      </x:c>
      <x:c r="S169" s="10" t="n">
        <x:v>34</x:v>
      </x:c>
      <x:c r="T169" s="10" t="n">
        <x:v>0</x:v>
      </x:c>
      <x:c r="U169" s="10" t="n">
        <x:f>IF(AND(ISNUMBER(X169),X169&gt;=0,Y169&lt;&gt;1),X169,"")</x:f>
        <x:v>31</x:v>
      </x:c>
      <x:c r="V169" s="10" t="n">
        <x:v>0</x:v>
      </x:c>
      <x:c r="W169" s="10" t="n">
        <x:v>6</x:v>
      </x:c>
      <x:c r="X169" s="10" t="n">
        <x:v>31</x:v>
      </x:c>
      <x:c r="Y169" s="3" t="n">
        <x:v>0</x:v>
      </x:c>
      <x:c r="Z169" s="3" t="str">
        <x:v>共同</x:v>
      </x:c>
      <x:c r="AA169" s="3" t="str">
        <x:v>在售</x:v>
      </x:c>
      <x:c r="AB169" s="12" t="n">
        <x:f>IF(AND(Z169="共同",ISNUMBER(G169),ISNUMBER(AD169)),G169-AD169,"")</x:f>
        <x:v>-0.2719047619047618</x:v>
      </x:c>
      <x:c r="AC169" s="3" t="str"/>
      <x:c r="AD169" s="12" t="n">
        <x:v>0.4742857142857142</x:v>
      </x:c>
      <x:c r="AE169" s="3" t="str">
        <x:v>[13120,"B06-CFP-38.5"]</x:v>
      </x:c>
      <x:c r="AF169" t="n">
        <x:f>IF(ISNUMBER(H169),1,0)</x:f>
        <x:v>1</x:v>
      </x:c>
      <x:c r="AG169" t="n">
        <x:f>IF(ISNUMBER(I169),1,0)</x:f>
        <x:v>1</x:v>
      </x:c>
      <x:c r="AH169" t="str">
        <x:v>["B06","B06-CFP","CFP","咖色PU"]</x:v>
      </x:c>
      <x:c r="AI169" t="n">
        <x:f>IF(ISNUMBER(G169),1,0)</x:f>
        <x:v>1</x:v>
      </x:c>
      <x:c r="AJ169" t="n">
        <x:f>IF(ISNUMBER(AD169),1,0)</x:f>
        <x:v>1</x:v>
      </x:c>
    </x:row>
    <x:row r="170" ht="30" customHeight="1">
      <x:c r="A170" s="3" t="str">
        <x:v>B06-CFP-41.5</x:v>
      </x:c>
      <x:c r="B170" s="3" t="str">
        <x:v>1店-MUSSHOE-US</x:v>
      </x:c>
      <x:c r="C170" s="3" t="str">
        <x:v>艾年</x:v>
      </x:c>
      <x:c r="D170" s="3" t="str">
        <x:v>B06</x:v>
      </x:c>
      <x:c r="E170" s="3" t="str">
        <x:f>IF(Z170="移出","已移出",IF(NOT(ISNUMBER(H170)),"数据待核",IF(H170=0,"断货",IF(NOT(ISNUMBER(G170)),"数据待核",IF(G170=0,"零日销待复核",IF(F170&lt;60,"补货提醒",IF(F170&lt;=90,"正常库存",IF(F170&lt;180,"促销",IF(F170&lt;=365,"红线促销","考虑清仓")))))))))</x:f>
        <x:v>促销</x:v>
      </x:c>
      <x:c r="F170" s="11" t="n">
        <x:f>IF(AND(ISNUMBER(H170),ISNUMBER(G170),G170&gt;0),H170/G170,"")</x:f>
        <x:v>135.64593301435409</x:v>
      </x:c>
      <x:c r="G170" s="12" t="n">
        <x:f>IF(AND(COUNT(P170:R170)=3,MIN(P170:R170)&gt;=0,P170&lt;=Q170,Q170&lt;=R170),P170/7*0.5+Q170/14*0.3+R170/30*0.2,"")</x:f>
        <x:v>0.19904761904761903</x:v>
      </x:c>
      <x:c r="H170" s="10" t="n">
        <x:f>IF(ISNUMBER(U170),U170,"")</x:f>
        <x:v>27</x:v>
      </x:c>
      <x:c r="I170" s="10" t="n">
        <x:v>14</x:v>
      </x:c>
      <x:c r="J170" s="11" t="str">
        <x:f>IF(AND(Z170="共同",ISNUMBER(F170),ISNUMBER(M170)),F170-M170,"")</x:f>
      </x:c>
      <x:c r="K170" s="13" t="str">
        <x:f>IF(AND(ISNUMBER(J170),M170&lt;&gt;0),J170/M170,"")</x:f>
      </x:c>
      <x:c r="L170" s="10" t="str">
        <x:v>零日销待复核</x:v>
      </x:c>
      <x:c r="M170" s="11"/>
      <x:c r="N170" s="10" t="n">
        <x:f>IF(AND(Z170="共同",COUNT(H170:I170)=2),H170-I170,"")</x:f>
        <x:v>13</x:v>
      </x:c>
      <x:c r="O170" s="10" t="n">
        <x:v>0</x:v>
      </x:c>
      <x:c r="P170" s="10" t="n">
        <x:v>2</x:v>
      </x:c>
      <x:c r="Q170" s="10" t="n">
        <x:v>2</x:v>
      </x:c>
      <x:c r="R170" s="10" t="n">
        <x:v>2</x:v>
      </x:c>
      <x:c r="S170" s="10" t="n">
        <x:v>27</x:v>
      </x:c>
      <x:c r="T170" s="10" t="n">
        <x:v>0</x:v>
      </x:c>
      <x:c r="U170" s="10" t="n">
        <x:f>IF(AND(ISNUMBER(X170),X170&gt;=0,Y170&lt;&gt;1),X170,"")</x:f>
        <x:v>27</x:v>
      </x:c>
      <x:c r="V170" s="10" t="n">
        <x:v>5</x:v>
      </x:c>
      <x:c r="W170" s="10" t="n">
        <x:v>5</x:v>
      </x:c>
      <x:c r="X170" s="10" t="n">
        <x:v>27</x:v>
      </x:c>
      <x:c r="Y170" s="3" t="n">
        <x:v>0</x:v>
      </x:c>
      <x:c r="Z170" s="3" t="str">
        <x:v>共同</x:v>
      </x:c>
      <x:c r="AA170" s="3" t="str">
        <x:v>在售</x:v>
      </x:c>
      <x:c r="AB170" s="12" t="n">
        <x:f>IF(AND(Z170="共同",ISNUMBER(G170),ISNUMBER(AD170)),G170-AD170,"")</x:f>
        <x:v>0.19904761904761903</x:v>
      </x:c>
      <x:c r="AC170" s="3" t="str"/>
      <x:c r="AD170" s="12" t="n">
        <x:v>0</x:v>
      </x:c>
      <x:c r="AE170" s="3" t="str">
        <x:v>[13120,"B06-CFP-41.5"]</x:v>
      </x:c>
      <x:c r="AF170" t="n">
        <x:f>IF(ISNUMBER(H170),1,0)</x:f>
        <x:v>1</x:v>
      </x:c>
      <x:c r="AG170" t="n">
        <x:f>IF(ISNUMBER(I170),1,0)</x:f>
        <x:v>1</x:v>
      </x:c>
      <x:c r="AH170" t="str">
        <x:v>["B06","B06-CFP","CFP","咖色PU"]</x:v>
      </x:c>
      <x:c r="AI170" t="n">
        <x:f>IF(ISNUMBER(G170),1,0)</x:f>
        <x:v>1</x:v>
      </x:c>
      <x:c r="AJ170" t="n">
        <x:f>IF(ISNUMBER(AD170),1,0)</x:f>
        <x:v>1</x:v>
      </x:c>
    </x:row>
    <x:row r="171" ht="30" customHeight="1">
      <x:c r="A171" s="3" t="str">
        <x:v>B06-NY-37-N</x:v>
      </x:c>
      <x:c r="B171" s="3" t="str">
        <x:v>1店-MUSSHOE-US</x:v>
      </x:c>
      <x:c r="C171" s="3" t="str">
        <x:v>艾年</x:v>
      </x:c>
      <x:c r="D171" s="3" t="str">
        <x:v>B06</x:v>
      </x:c>
      <x:c r="E171" s="3" t="str">
        <x:f>IF(Z171="移出","已移出",IF(NOT(ISNUMBER(H171)),"数据待核",IF(H171=0,"断货",IF(NOT(ISNUMBER(G171)),"数据待核",IF(G171=0,"零日销待复核",IF(F171&lt;60,"补货提醒",IF(F171&lt;=90,"正常库存",IF(F171&lt;180,"促销",IF(F171&lt;=365,"红线促销","考虑清仓")))))))))</x:f>
        <x:v>促销</x:v>
      </x:c>
      <x:c r="F171" s="11" t="n">
        <x:f>IF(AND(ISNUMBER(H171),ISNUMBER(G171),G171&gt;0),H171/G171,"")</x:f>
        <x:v>106.77966101694916</x:v>
      </x:c>
      <x:c r="G171" s="12" t="n">
        <x:f>IF(AND(COUNT(P171:R171)=3,MIN(P171:R171)&gt;=0,P171&lt;=Q171,Q171&lt;=R171),P171/7*0.5+Q171/14*0.3+R171/30*0.2,"")</x:f>
        <x:v>0.056190476190476187</x:v>
      </x:c>
      <x:c r="H171" s="10" t="n">
        <x:f>IF(ISNUMBER(U171),U171,"")</x:f>
        <x:v>6</x:v>
      </x:c>
      <x:c r="I171" s="10" t="n">
        <x:v>8</x:v>
      </x:c>
      <x:c r="J171" s="11" t="n">
        <x:f>IF(AND(Z171="共同",ISNUMBER(F171),ISNUMBER(M171)),F171-M171,"")</x:f>
        <x:v>-493.22033898305085</x:v>
      </x:c>
      <x:c r="K171" s="13" t="n">
        <x:f>IF(AND(ISNUMBER(J171),M171&lt;&gt;0),J171/M171,"")</x:f>
        <x:v>-0.8220338983050848</x:v>
      </x:c>
      <x:c r="L171" s="10" t="str">
        <x:v>考虑清仓</x:v>
      </x:c>
      <x:c r="M171" s="11" t="n">
        <x:v>600</x:v>
      </x:c>
      <x:c r="N171" s="10" t="n">
        <x:f>IF(AND(Z171="共同",COUNT(H171:I171)=2),H171-I171,"")</x:f>
        <x:v>-2</x:v>
      </x:c>
      <x:c r="O171" s="10" t="n">
        <x:v>0</x:v>
      </x:c>
      <x:c r="P171" s="10" t="n">
        <x:v>0</x:v>
      </x:c>
      <x:c r="Q171" s="10" t="n">
        <x:v>2</x:v>
      </x:c>
      <x:c r="R171" s="10" t="n">
        <x:v>2</x:v>
      </x:c>
      <x:c r="S171" s="10" t="n">
        <x:v>6</x:v>
      </x:c>
      <x:c r="T171" s="10" t="n">
        <x:v>0</x:v>
      </x:c>
      <x:c r="U171" s="10" t="n">
        <x:f>IF(AND(ISNUMBER(X171),X171&gt;=0,Y171&lt;&gt;1),X171,"")</x:f>
        <x:v>6</x:v>
      </x:c>
      <x:c r="V171" s="10" t="n">
        <x:v>0</x:v>
      </x:c>
      <x:c r="W171" s="10" t="n">
        <x:v>0</x:v>
      </x:c>
      <x:c r="X171" s="10" t="n">
        <x:v>6</x:v>
      </x:c>
      <x:c r="Y171" s="3" t="n">
        <x:v>0</x:v>
      </x:c>
      <x:c r="Z171" s="3" t="str">
        <x:v>共同</x:v>
      </x:c>
      <x:c r="AA171" s="3" t="str">
        <x:v>在售</x:v>
      </x:c>
      <x:c r="AB171" s="12" t="n">
        <x:f>IF(AND(Z171="共同",ISNUMBER(G171),ISNUMBER(AD171)),G171-AD171,"")</x:f>
        <x:v>0.04285714285714286</x:v>
      </x:c>
      <x:c r="AC171" s="3" t="str"/>
      <x:c r="AD171" s="12" t="n">
        <x:v>0.013333333333333332</x:v>
      </x:c>
      <x:c r="AE171" s="3" t="str">
        <x:v>[13120,"B06-NY-37-N"]</x:v>
      </x:c>
      <x:c r="AF171" t="n">
        <x:f>IF(ISNUMBER(H171),1,0)</x:f>
        <x:v>1</x:v>
      </x:c>
      <x:c r="AG171" t="n">
        <x:f>IF(ISNUMBER(I171),1,0)</x:f>
        <x:v>1</x:v>
      </x:c>
      <x:c r="AH171" t="str">
        <x:v>["B06","B06-NY","NY","藏青色羊京绒"]</x:v>
      </x:c>
      <x:c r="AI171" t="n">
        <x:f>IF(ISNUMBER(G171),1,0)</x:f>
        <x:v>1</x:v>
      </x:c>
      <x:c r="AJ171" t="n">
        <x:f>IF(ISNUMBER(AD171),1,0)</x:f>
        <x:v>1</x:v>
      </x:c>
    </x:row>
    <x:row r="172" ht="30" customHeight="1">
      <x:c r="A172" s="3" t="str">
        <x:v>B06-PK-40.5</x:v>
      </x:c>
      <x:c r="B172" s="3" t="str">
        <x:v>1店-MUSSHOE-US</x:v>
      </x:c>
      <x:c r="C172" s="3" t="str">
        <x:v>艾年</x:v>
      </x:c>
      <x:c r="D172" s="3" t="str">
        <x:v>B06</x:v>
      </x:c>
      <x:c r="E172" s="3" t="str">
        <x:f>IF(Z172="移出","已移出",IF(NOT(ISNUMBER(H172)),"数据待核",IF(H172=0,"断货",IF(NOT(ISNUMBER(G172)),"数据待核",IF(G172=0,"零日销待复核",IF(F172&lt;60,"补货提醒",IF(F172&lt;=90,"正常库存",IF(F172&lt;180,"促销",IF(F172&lt;=365,"红线促销","考虑清仓")))))))))</x:f>
        <x:v>促销</x:v>
      </x:c>
      <x:c r="F172" s="11" t="n">
        <x:f>IF(AND(ISNUMBER(H172),ISNUMBER(G172),G172&gt;0),H172/G172,"")</x:f>
        <x:v>177.96610169491527</x:v>
      </x:c>
      <x:c r="G172" s="12" t="n">
        <x:f>IF(AND(COUNT(P172:R172)=3,MIN(P172:R172)&gt;=0,P172&lt;=Q172,Q172&lt;=R172),P172/7*0.5+Q172/14*0.3+R172/30*0.2,"")</x:f>
        <x:v>0.028095238095238093</x:v>
      </x:c>
      <x:c r="H172" s="10" t="n">
        <x:f>IF(ISNUMBER(U172),U172,"")</x:f>
        <x:v>5</x:v>
      </x:c>
      <x:c r="I172" s="10" t="n">
        <x:v>7</x:v>
      </x:c>
      <x:c r="J172" s="11" t="str">
        <x:f>IF(AND(Z172="共同",ISNUMBER(F172),ISNUMBER(M172)),F172-M172,"")</x:f>
      </x:c>
      <x:c r="K172" s="13" t="str">
        <x:f>IF(AND(ISNUMBER(J172),M172&lt;&gt;0),J172/M172,"")</x:f>
      </x:c>
      <x:c r="L172" s="10" t="str">
        <x:v>零日销待复核</x:v>
      </x:c>
      <x:c r="M172" s="11"/>
      <x:c r="N172" s="10" t="n">
        <x:f>IF(AND(Z172="共同",COUNT(H172:I172)=2),H172-I172,"")</x:f>
        <x:v>-2</x:v>
      </x:c>
      <x:c r="O172" s="10"/>
      <x:c r="P172" s="10" t="n">
        <x:v>0</x:v>
      </x:c>
      <x:c r="Q172" s="10" t="n">
        <x:v>1</x:v>
      </x:c>
      <x:c r="R172" s="10" t="n">
        <x:v>1</x:v>
      </x:c>
      <x:c r="S172" s="10" t="n">
        <x:v>5</x:v>
      </x:c>
      <x:c r="T172" s="10" t="n">
        <x:v>0</x:v>
      </x:c>
      <x:c r="U172" s="10" t="n">
        <x:f>IF(AND(ISNUMBER(X172),X172&gt;=0,Y172&lt;&gt;1),X172,"")</x:f>
        <x:v>5</x:v>
      </x:c>
      <x:c r="V172" s="10" t="n">
        <x:v>0</x:v>
      </x:c>
      <x:c r="W172" s="10" t="n">
        <x:v>0</x:v>
      </x:c>
      <x:c r="X172" s="10" t="n">
        <x:v>5</x:v>
      </x:c>
      <x:c r="Y172" s="3" t="n">
        <x:v>0</x:v>
      </x:c>
      <x:c r="Z172" s="3" t="str">
        <x:v>共同</x:v>
      </x:c>
      <x:c r="AA172" s="3" t="str">
        <x:v>在售</x:v>
      </x:c>
      <x:c r="AB172" s="12" t="n">
        <x:f>IF(AND(Z172="共同",ISNUMBER(G172),ISNUMBER(AD172)),G172-AD172,"")</x:f>
        <x:v>0.028095238095238093</x:v>
      </x:c>
      <x:c r="AC172" s="3" t="str"/>
      <x:c r="AD172" s="12" t="n">
        <x:v>0</x:v>
      </x:c>
      <x:c r="AE172" s="3" t="str">
        <x:v>[13120,"B06-PK-40.5"]</x:v>
      </x:c>
      <x:c r="AF172" t="n">
        <x:f>IF(ISNUMBER(H172),1,0)</x:f>
        <x:v>1</x:v>
      </x:c>
      <x:c r="AG172" t="n">
        <x:f>IF(ISNUMBER(I172),1,0)</x:f>
        <x:v>1</x:v>
      </x:c>
      <x:c r="AH172" t="str">
        <x:v>["B06","B06-PK","PK","粉色羊京绒"]</x:v>
      </x:c>
      <x:c r="AI172" t="n">
        <x:f>IF(ISNUMBER(G172),1,0)</x:f>
        <x:v>1</x:v>
      </x:c>
      <x:c r="AJ172" t="n">
        <x:f>IF(ISNUMBER(AD172),1,0)</x:f>
        <x:v>1</x:v>
      </x:c>
    </x:row>
    <x:row r="173" ht="30" customHeight="1">
      <x:c r="A173" s="3" t="str">
        <x:v>B06-RD-40.5</x:v>
      </x:c>
      <x:c r="B173" s="3" t="str">
        <x:v>1店-MUSSHOE-US</x:v>
      </x:c>
      <x:c r="C173" s="3" t="str">
        <x:v>艾年</x:v>
      </x:c>
      <x:c r="D173" s="3" t="str">
        <x:v>B06</x:v>
      </x:c>
      <x:c r="E173" s="3" t="str">
        <x:f>IF(Z173="移出","已移出",IF(NOT(ISNUMBER(H173)),"数据待核",IF(H173=0,"断货",IF(NOT(ISNUMBER(G173)),"数据待核",IF(G173=0,"零日销待复核",IF(F173&lt;60,"补货提醒",IF(F173&lt;=90,"正常库存",IF(F173&lt;180,"促销",IF(F173&lt;=365,"红线促销","考虑清仓")))))))))</x:f>
        <x:v>促销</x:v>
      </x:c>
      <x:c r="F173" s="11" t="n">
        <x:f>IF(AND(ISNUMBER(H173),ISNUMBER(G173),G173&gt;0),H173/G173,"")</x:f>
        <x:v>150</x:v>
      </x:c>
      <x:c r="G173" s="12" t="n">
        <x:f>IF(AND(COUNT(P173:R173)=3,MIN(P173:R173)&gt;=0,P173&lt;=Q173,Q173&lt;=R173),P173/7*0.5+Q173/14*0.3+R173/30*0.2,"")</x:f>
        <x:v>0.006666666666666667</x:v>
      </x:c>
      <x:c r="H173" s="10" t="n">
        <x:f>IF(ISNUMBER(U173),U173,"")</x:f>
        <x:v>1</x:v>
      </x:c>
      <x:c r="I173" s="10" t="n">
        <x:v>0</x:v>
      </x:c>
      <x:c r="J173" s="11" t="n">
        <x:f>IF(AND(Z173="共同",ISNUMBER(F173),ISNUMBER(M173)),F173-M173,"")</x:f>
        <x:v>150</x:v>
      </x:c>
      <x:c r="K173" s="13" t="str">
        <x:f>IF(AND(ISNUMBER(J173),M173&lt;&gt;0),J173/M173,"")</x:f>
      </x:c>
      <x:c r="L173" s="10" t="str">
        <x:v>断货</x:v>
      </x:c>
      <x:c r="M173" s="11" t="n">
        <x:v>0</x:v>
      </x:c>
      <x:c r="N173" s="10" t="n">
        <x:f>IF(AND(Z173="共同",COUNT(H173:I173)=2),H173-I173,"")</x:f>
        <x:v>1</x:v>
      </x:c>
      <x:c r="O173" s="10" t="n">
        <x:v>11</x:v>
      </x:c>
      <x:c r="P173" s="10" t="n">
        <x:v>0</x:v>
      </x:c>
      <x:c r="Q173" s="10" t="n">
        <x:v>0</x:v>
      </x:c>
      <x:c r="R173" s="10" t="n">
        <x:v>1</x:v>
      </x:c>
      <x:c r="S173" s="10" t="n">
        <x:v>2</x:v>
      </x:c>
      <x:c r="T173" s="10" t="n">
        <x:v>0</x:v>
      </x:c>
      <x:c r="U173" s="10" t="n">
        <x:f>IF(AND(ISNUMBER(X173),X173&gt;=0,Y173&lt;&gt;1),X173,"")</x:f>
        <x:v>1</x:v>
      </x:c>
      <x:c r="V173" s="10" t="n">
        <x:v>0</x:v>
      </x:c>
      <x:c r="W173" s="10" t="n">
        <x:v>0</x:v>
      </x:c>
      <x:c r="X173" s="10" t="n">
        <x:v>1</x:v>
      </x:c>
      <x:c r="Y173" s="3" t="n">
        <x:v>0</x:v>
      </x:c>
      <x:c r="Z173" s="3" t="str">
        <x:v>共同</x:v>
      </x:c>
      <x:c r="AA173" s="3" t="str">
        <x:v>在售</x:v>
      </x:c>
      <x:c r="AB173" s="12" t="n">
        <x:f>IF(AND(Z173="共同",ISNUMBER(G173),ISNUMBER(AD173)),G173-AD173,"")</x:f>
        <x:v>-0.02142857142857143</x:v>
      </x:c>
      <x:c r="AC173" s="3" t="str"/>
      <x:c r="AD173" s="12" t="n">
        <x:v>0.028095238095238097</x:v>
      </x:c>
      <x:c r="AE173" s="3" t="str">
        <x:v>[13120,"B06-RD-40.5"]</x:v>
      </x:c>
      <x:c r="AF173" t="n">
        <x:f>IF(ISNUMBER(H173),1,0)</x:f>
        <x:v>1</x:v>
      </x:c>
      <x:c r="AG173" t="n">
        <x:f>IF(ISNUMBER(I173),1,0)</x:f>
        <x:v>1</x:v>
      </x:c>
      <x:c r="AH173" t="str">
        <x:v>["B06","B06-RD","RD","红色羊京绒"]</x:v>
      </x:c>
      <x:c r="AI173" t="n">
        <x:f>IF(ISNUMBER(G173),1,0)</x:f>
        <x:v>1</x:v>
      </x:c>
      <x:c r="AJ173" t="n">
        <x:f>IF(ISNUMBER(AD173),1,0)</x:f>
        <x:v>1</x:v>
      </x:c>
    </x:row>
    <x:row r="174" ht="30" customHeight="1">
      <x:c r="A174" s="3" t="str">
        <x:v>B06-SP-37.5</x:v>
      </x:c>
      <x:c r="B174" s="3" t="str">
        <x:v>1店-MUSSHOE-US</x:v>
      </x:c>
      <x:c r="C174" s="3" t="str">
        <x:v>艾年</x:v>
      </x:c>
      <x:c r="D174" s="3" t="str">
        <x:v>B06</x:v>
      </x:c>
      <x:c r="E174" s="3" t="str">
        <x:f>IF(Z174="移出","已移出",IF(NOT(ISNUMBER(H174)),"数据待核",IF(H174=0,"断货",IF(NOT(ISNUMBER(G174)),"数据待核",IF(G174=0,"零日销待复核",IF(F174&lt;60,"补货提醒",IF(F174&lt;=90,"正常库存",IF(F174&lt;180,"促销",IF(F174&lt;=365,"红线促销","考虑清仓")))))))))</x:f>
        <x:v>促销</x:v>
      </x:c>
      <x:c r="F174" s="11" t="n">
        <x:f>IF(AND(ISNUMBER(H174),ISNUMBER(G174),G174&gt;0),H174/G174,"")</x:f>
        <x:v>150</x:v>
      </x:c>
      <x:c r="G174" s="12" t="n">
        <x:f>IF(AND(COUNT(P174:R174)=3,MIN(P174:R174)&gt;=0,P174&lt;=Q174,Q174&lt;=R174),P174/7*0.5+Q174/14*0.3+R174/30*0.2,"")</x:f>
        <x:v>0.006666666666666667</x:v>
      </x:c>
      <x:c r="H174" s="10" t="n">
        <x:f>IF(ISNUMBER(U174),U174,"")</x:f>
        <x:v>1</x:v>
      </x:c>
      <x:c r="I174" s="10" t="n">
        <x:v>1</x:v>
      </x:c>
      <x:c r="J174" s="11" t="n">
        <x:f>IF(AND(Z174="共同",ISNUMBER(F174),ISNUMBER(M174)),F174-M174,"")</x:f>
        <x:v>131.7391304347826</x:v>
      </x:c>
      <x:c r="K174" s="13" t="n">
        <x:f>IF(AND(ISNUMBER(J174),M174&lt;&gt;0),J174/M174,"")</x:f>
        <x:v>7.214285714285713</x:v>
      </x:c>
      <x:c r="L174" s="10" t="str">
        <x:v>补货提醒</x:v>
      </x:c>
      <x:c r="M174" s="11" t="n">
        <x:v>18.260869565217394</x:v>
      </x:c>
      <x:c r="N174" s="10" t="n">
        <x:f>IF(AND(Z174="共同",COUNT(H174:I174)=2),H174-I174,"")</x:f>
        <x:v>0</x:v>
      </x:c>
      <x:c r="O174" s="10" t="n">
        <x:v>17</x:v>
      </x:c>
      <x:c r="P174" s="10" t="n">
        <x:v>0</x:v>
      </x:c>
      <x:c r="Q174" s="10" t="n">
        <x:v>0</x:v>
      </x:c>
      <x:c r="R174" s="10" t="n">
        <x:v>1</x:v>
      </x:c>
      <x:c r="S174" s="10" t="n">
        <x:v>2</x:v>
      </x:c>
      <x:c r="T174" s="10" t="n">
        <x:v>0</x:v>
      </x:c>
      <x:c r="U174" s="10" t="n">
        <x:f>IF(AND(ISNUMBER(X174),X174&gt;=0,Y174&lt;&gt;1),X174,"")</x:f>
        <x:v>1</x:v>
      </x:c>
      <x:c r="V174" s="10" t="n">
        <x:v>0</x:v>
      </x:c>
      <x:c r="W174" s="10" t="n">
        <x:v>0</x:v>
      </x:c>
      <x:c r="X174" s="10" t="n">
        <x:v>1</x:v>
      </x:c>
      <x:c r="Y174" s="3" t="n">
        <x:v>0</x:v>
      </x:c>
      <x:c r="Z174" s="3" t="str">
        <x:v>共同</x:v>
      </x:c>
      <x:c r="AA174" s="3" t="str">
        <x:v>在售</x:v>
      </x:c>
      <x:c r="AB174" s="12" t="n">
        <x:f>IF(AND(Z174="共同",ISNUMBER(G174),ISNUMBER(AD174)),G174-AD174,"")</x:f>
        <x:v>-0.04809523809523809</x:v>
      </x:c>
      <x:c r="AC174" s="3" t="str"/>
      <x:c r="AD174" s="12" t="n">
        <x:v>0.054761904761904755</x:v>
      </x:c>
      <x:c r="AE174" s="3" t="str">
        <x:v>[13120,"B06-SP-37.5"]</x:v>
      </x:c>
      <x:c r="AF174" t="n">
        <x:f>IF(ISNUMBER(H174),1,0)</x:f>
        <x:v>1</x:v>
      </x:c>
      <x:c r="AG174" t="n">
        <x:f>IF(ISNUMBER(I174),1,0)</x:f>
        <x:v>1</x:v>
      </x:c>
      <x:c r="AH174" t="str">
        <x:v>["B06","B06-SP","SP","蛇纹PU"]</x:v>
      </x:c>
      <x:c r="AI174" t="n">
        <x:f>IF(ISNUMBER(G174),1,0)</x:f>
        <x:v>1</x:v>
      </x:c>
      <x:c r="AJ174" t="n">
        <x:f>IF(ISNUMBER(AD174),1,0)</x:f>
        <x:v>1</x:v>
      </x:c>
    </x:row>
    <x:row r="175" ht="30" customHeight="1">
      <x:c r="A175" s="3" t="str">
        <x:v>B06-TN-40-N</x:v>
      </x:c>
      <x:c r="B175" s="3" t="str">
        <x:v>1店-MUSSHOE-US</x:v>
      </x:c>
      <x:c r="C175" s="3" t="str">
        <x:v>艾年</x:v>
      </x:c>
      <x:c r="D175" s="3" t="str">
        <x:v>B06</x:v>
      </x:c>
      <x:c r="E175" s="3" t="str">
        <x:f>IF(Z175="移出","已移出",IF(NOT(ISNUMBER(H175)),"数据待核",IF(H175=0,"断货",IF(NOT(ISNUMBER(G175)),"数据待核",IF(G175=0,"零日销待复核",IF(F175&lt;60,"补货提醒",IF(F175&lt;=90,"正常库存",IF(F175&lt;180,"促销",IF(F175&lt;=365,"红线促销","考虑清仓")))))))))</x:f>
        <x:v>促销</x:v>
      </x:c>
      <x:c r="F175" s="11" t="n">
        <x:f>IF(AND(ISNUMBER(H175),ISNUMBER(G175),G175&gt;0),H175/G175,"")</x:f>
        <x:v>105.80152671755725</x:v>
      </x:c>
      <x:c r="G175" s="12" t="n">
        <x:f>IF(AND(COUNT(P175:R175)=3,MIN(P175:R175)&gt;=0,P175&lt;=Q175,Q175&lt;=R175),P175/7*0.5+Q175/14*0.3+R175/30*0.2,"")</x:f>
        <x:v>0.3119047619047619</x:v>
      </x:c>
      <x:c r="H175" s="10" t="n">
        <x:f>IF(ISNUMBER(U175),U175,"")</x:f>
        <x:v>33</x:v>
      </x:c>
      <x:c r="I175" s="10" t="n">
        <x:v>25</x:v>
      </x:c>
      <x:c r="J175" s="11" t="n">
        <x:f>IF(AND(Z175="共同",ISNUMBER(F175),ISNUMBER(M175)),F175-M175,"")</x:f>
        <x:v>-71.56333814730762</x:v>
      </x:c>
      <x:c r="K175" s="13" t="n">
        <x:f>IF(AND(ISNUMBER(J175),M175&lt;&gt;0),J175/M175,"")</x:f>
        <x:v>-0.4034809160305344</x:v>
      </x:c>
      <x:c r="L175" s="10" t="str">
        <x:v>促销</x:v>
      </x:c>
      <x:c r="M175" s="11" t="n">
        <x:v>177.36486486486487</x:v>
      </x:c>
      <x:c r="N175" s="10" t="n">
        <x:f>IF(AND(Z175="共同",COUNT(H175:I175)=2),H175-I175,"")</x:f>
        <x:v>8</x:v>
      </x:c>
      <x:c r="O175" s="10" t="n">
        <x:v>12</x:v>
      </x:c>
      <x:c r="P175" s="10" t="n">
        <x:v>3</x:v>
      </x:c>
      <x:c r="Q175" s="10" t="n">
        <x:v>3</x:v>
      </x:c>
      <x:c r="R175" s="10" t="n">
        <x:v>5</x:v>
      </x:c>
      <x:c r="S175" s="10" t="n">
        <x:v>34</x:v>
      </x:c>
      <x:c r="T175" s="10" t="n">
        <x:v>0</x:v>
      </x:c>
      <x:c r="U175" s="10" t="n">
        <x:f>IF(AND(ISNUMBER(X175),X175&gt;=0,Y175&lt;&gt;1),X175,"")</x:f>
        <x:v>33</x:v>
      </x:c>
      <x:c r="V175" s="10" t="n">
        <x:v>6</x:v>
      </x:c>
      <x:c r="W175" s="10" t="n">
        <x:v>6</x:v>
      </x:c>
      <x:c r="X175" s="10" t="n">
        <x:v>33</x:v>
      </x:c>
      <x:c r="Y175" s="3" t="n">
        <x:v>0</x:v>
      </x:c>
      <x:c r="Z175" s="3" t="str">
        <x:v>共同</x:v>
      </x:c>
      <x:c r="AA175" s="3" t="str">
        <x:v>在售</x:v>
      </x:c>
      <x:c r="AB175" s="12" t="n">
        <x:f>IF(AND(Z175="共同",ISNUMBER(G175),ISNUMBER(AD175)),G175-AD175,"")</x:f>
        <x:v>0.17095238095238097</x:v>
      </x:c>
      <x:c r="AC175" s="3" t="str"/>
      <x:c r="AD175" s="12" t="n">
        <x:v>0.14095238095238094</x:v>
      </x:c>
      <x:c r="AE175" s="3" t="str">
        <x:v>[13120,"B06-TN-40-N"]</x:v>
      </x:c>
      <x:c r="AF175" t="n">
        <x:f>IF(ISNUMBER(H175),1,0)</x:f>
        <x:v>1</x:v>
      </x:c>
      <x:c r="AG175" t="n">
        <x:f>IF(ISNUMBER(I175),1,0)</x:f>
        <x:v>1</x:v>
      </x:c>
      <x:c r="AH175" t="str">
        <x:v>["B06","B06-TN","TN","驼色羊京绒"]</x:v>
      </x:c>
      <x:c r="AI175" t="n">
        <x:f>IF(ISNUMBER(G175),1,0)</x:f>
        <x:v>1</x:v>
      </x:c>
      <x:c r="AJ175" t="n">
        <x:f>IF(ISNUMBER(AD175),1,0)</x:f>
        <x:v>1</x:v>
      </x:c>
    </x:row>
    <x:row r="176" ht="30" customHeight="1">
      <x:c r="A176" s="3" t="str">
        <x:v>B06-TN-41.5</x:v>
      </x:c>
      <x:c r="B176" s="3" t="str">
        <x:v>1店-MUSSHOE-US</x:v>
      </x:c>
      <x:c r="C176" s="3" t="str">
        <x:v>艾年</x:v>
      </x:c>
      <x:c r="D176" s="3" t="str">
        <x:v>B06</x:v>
      </x:c>
      <x:c r="E176" s="3" t="str">
        <x:f>IF(Z176="移出","已移出",IF(NOT(ISNUMBER(H176)),"数据待核",IF(H176=0,"断货",IF(NOT(ISNUMBER(G176)),"数据待核",IF(G176=0,"零日销待复核",IF(F176&lt;60,"补货提醒",IF(F176&lt;=90,"正常库存",IF(F176&lt;180,"促销",IF(F176&lt;=365,"红线促销","考虑清仓")))))))))</x:f>
        <x:v>促销</x:v>
      </x:c>
      <x:c r="F176" s="11" t="n">
        <x:f>IF(AND(ISNUMBER(H176),ISNUMBER(G176),G176&gt;0),H176/G176,"")</x:f>
        <x:v>113.00448430493275</x:v>
      </x:c>
      <x:c r="G176" s="12" t="n">
        <x:f>IF(AND(COUNT(P176:R176)=3,MIN(P176:R176)&gt;=0,P176&lt;=Q176,Q176&lt;=R176),P176/7*0.5+Q176/14*0.3+R176/30*0.2,"")</x:f>
        <x:v>0.10619047619047618</x:v>
      </x:c>
      <x:c r="H176" s="10" t="n">
        <x:f>IF(ISNUMBER(U176),U176,"")</x:f>
        <x:v>12</x:v>
      </x:c>
      <x:c r="I176" s="10" t="n">
        <x:v>13</x:v>
      </x:c>
      <x:c r="J176" s="11" t="n">
        <x:f>IF(AND(Z176="共同",ISNUMBER(F176),ISNUMBER(M176)),F176-M176,"")</x:f>
        <x:v>-2.1853891127887835</x:v>
      </x:c>
      <x:c r="K176" s="13" t="n">
        <x:f>IF(AND(ISNUMBER(J176),M176&lt;&gt;0),J176/M176,"")</x:f>
        <x:v>-0.018972059330803724</x:v>
      </x:c>
      <x:c r="L176" s="10" t="str">
        <x:v>促销</x:v>
      </x:c>
      <x:c r="M176" s="11" t="n">
        <x:v>115.18987341772153</x:v>
      </x:c>
      <x:c r="N176" s="10" t="n">
        <x:f>IF(AND(Z176="共同",COUNT(H176:I176)=2),H176-I176,"")</x:f>
        <x:v>-1</x:v>
      </x:c>
      <x:c r="O176" s="10" t="n">
        <x:v>10</x:v>
      </x:c>
      <x:c r="P176" s="10" t="n">
        <x:v>1</x:v>
      </x:c>
      <x:c r="Q176" s="10" t="n">
        <x:v>1</x:v>
      </x:c>
      <x:c r="R176" s="10" t="n">
        <x:v>2</x:v>
      </x:c>
      <x:c r="S176" s="10" t="n">
        <x:v>13</x:v>
      </x:c>
      <x:c r="T176" s="10" t="n">
        <x:v>0</x:v>
      </x:c>
      <x:c r="U176" s="10" t="n">
        <x:f>IF(AND(ISNUMBER(X176),X176&gt;=0,Y176&lt;&gt;1),X176,"")</x:f>
        <x:v>12</x:v>
      </x:c>
      <x:c r="V176" s="10" t="n">
        <x:v>0</x:v>
      </x:c>
      <x:c r="W176" s="10" t="n">
        <x:v>0</x:v>
      </x:c>
      <x:c r="X176" s="10" t="n">
        <x:v>12</x:v>
      </x:c>
      <x:c r="Y176" s="3" t="n">
        <x:v>0</x:v>
      </x:c>
      <x:c r="Z176" s="3" t="str">
        <x:v>共同</x:v>
      </x:c>
      <x:c r="AA176" s="3" t="str">
        <x:v>在售</x:v>
      </x:c>
      <x:c r="AB176" s="12" t="n">
        <x:f>IF(AND(Z176="共同",ISNUMBER(G176),ISNUMBER(AD176)),G176-AD176,"")</x:f>
        <x:v>-0.006666666666666668</x:v>
      </x:c>
      <x:c r="AC176" s="3" t="str"/>
      <x:c r="AD176" s="12" t="n">
        <x:v>0.11285714285714285</x:v>
      </x:c>
      <x:c r="AE176" s="3" t="str">
        <x:v>[13120,"B06-TN-41.5"]</x:v>
      </x:c>
      <x:c r="AF176" t="n">
        <x:f>IF(ISNUMBER(H176),1,0)</x:f>
        <x:v>1</x:v>
      </x:c>
      <x:c r="AG176" t="n">
        <x:f>IF(ISNUMBER(I176),1,0)</x:f>
        <x:v>1</x:v>
      </x:c>
      <x:c r="AH176" t="str">
        <x:v>["B06","B06-TN","TN","驼色羊京绒"]</x:v>
      </x:c>
      <x:c r="AI176" t="n">
        <x:f>IF(ISNUMBER(G176),1,0)</x:f>
        <x:v>1</x:v>
      </x:c>
      <x:c r="AJ176" t="n">
        <x:f>IF(ISNUMBER(AD176),1,0)</x:f>
        <x:v>1</x:v>
      </x:c>
    </x:row>
    <x:row r="177" ht="30" customHeight="1">
      <x:c r="A177" s="3" t="str">
        <x:v>B06-TN-42-N</x:v>
      </x:c>
      <x:c r="B177" s="3" t="str">
        <x:v>1店-MUSSHOE-US</x:v>
      </x:c>
      <x:c r="C177" s="3" t="str">
        <x:v>艾年</x:v>
      </x:c>
      <x:c r="D177" s="3" t="str">
        <x:v>B06</x:v>
      </x:c>
      <x:c r="E177" s="3" t="str">
        <x:f>IF(Z177="移出","已移出",IF(NOT(ISNUMBER(H177)),"数据待核",IF(H177=0,"断货",IF(NOT(ISNUMBER(G177)),"数据待核",IF(G177=0,"零日销待复核",IF(F177&lt;60,"补货提醒",IF(F177&lt;=90,"正常库存",IF(F177&lt;180,"促销",IF(F177&lt;=365,"红线促销","考虑清仓")))))))))</x:f>
        <x:v>促销</x:v>
      </x:c>
      <x:c r="F177" s="11" t="n">
        <x:f>IF(AND(ISNUMBER(H177),ISNUMBER(G177),G177&gt;0),H177/G177,"")</x:f>
        <x:v>92.19512195121952</x:v>
      </x:c>
      <x:c r="G177" s="12" t="n">
        <x:f>IF(AND(COUNT(P177:R177)=3,MIN(P177:R177)&gt;=0,P177&lt;=Q177,Q177&lt;=R177),P177/7*0.5+Q177/14*0.3+R177/30*0.2,"")</x:f>
        <x:v>0.0976190476190476</x:v>
      </x:c>
      <x:c r="H177" s="10" t="n">
        <x:f>IF(ISNUMBER(U177),U177,"")</x:f>
        <x:v>9</x:v>
      </x:c>
      <x:c r="I177" s="10" t="n">
        <x:v>10</x:v>
      </x:c>
      <x:c r="J177" s="11" t="n">
        <x:f>IF(AND(Z177="共同",ISNUMBER(F177),ISNUMBER(M177)),F177-M177,"")</x:f>
        <x:v>17.727036844836547</x:v>
      </x:c>
      <x:c r="K177" s="13" t="n">
        <x:f>IF(AND(ISNUMBER(J177),M177&lt;&gt;0),J177/M177,"")</x:f>
        <x:v>0.2380487804878051</x:v>
      </x:c>
      <x:c r="L177" s="10" t="str">
        <x:v>正常库存</x:v>
      </x:c>
      <x:c r="M177" s="11" t="n">
        <x:v>74.46808510638297</x:v>
      </x:c>
      <x:c r="N177" s="10" t="n">
        <x:f>IF(AND(Z177="共同",COUNT(H177:I177)=2),H177-I177,"")</x:f>
        <x:v>-1</x:v>
      </x:c>
      <x:c r="O177" s="10" t="n">
        <x:v>8</x:v>
      </x:c>
      <x:c r="P177" s="10" t="n">
        <x:v>0</x:v>
      </x:c>
      <x:c r="Q177" s="10" t="n">
        <x:v>3</x:v>
      </x:c>
      <x:c r="R177" s="10" t="n">
        <x:v>5</x:v>
      </x:c>
      <x:c r="S177" s="10" t="n">
        <x:v>9</x:v>
      </x:c>
      <x:c r="T177" s="10" t="n">
        <x:v>0</x:v>
      </x:c>
      <x:c r="U177" s="10" t="n">
        <x:f>IF(AND(ISNUMBER(X177),X177&gt;=0,Y177&lt;&gt;1),X177,"")</x:f>
        <x:v>9</x:v>
      </x:c>
      <x:c r="V177" s="10" t="n">
        <x:v>0</x:v>
      </x:c>
      <x:c r="W177" s="10" t="n">
        <x:v>0</x:v>
      </x:c>
      <x:c r="X177" s="10" t="n">
        <x:v>9</x:v>
      </x:c>
      <x:c r="Y177" s="3" t="n">
        <x:v>0</x:v>
      </x:c>
      <x:c r="Z177" s="3" t="str">
        <x:v>共同</x:v>
      </x:c>
      <x:c r="AA177" s="3" t="str">
        <x:v>在售</x:v>
      </x:c>
      <x:c r="AB177" s="12" t="n">
        <x:f>IF(AND(Z177="共同",ISNUMBER(G177),ISNUMBER(AD177)),G177-AD177,"")</x:f>
        <x:v>-0.03666666666666668</x:v>
      </x:c>
      <x:c r="AC177" s="3" t="str"/>
      <x:c r="AD177" s="12" t="n">
        <x:v>0.13428571428571429</x:v>
      </x:c>
      <x:c r="AE177" s="3" t="str">
        <x:v>[13120,"B06-TN-42-N"]</x:v>
      </x:c>
      <x:c r="AF177" t="n">
        <x:f>IF(ISNUMBER(H177),1,0)</x:f>
        <x:v>1</x:v>
      </x:c>
      <x:c r="AG177" t="n">
        <x:f>IF(ISNUMBER(I177),1,0)</x:f>
        <x:v>1</x:v>
      </x:c>
      <x:c r="AH177" t="str">
        <x:v>["B06","B06-TN","TN","驼色羊京绒"]</x:v>
      </x:c>
      <x:c r="AI177" t="n">
        <x:f>IF(ISNUMBER(G177),1,0)</x:f>
        <x:v>1</x:v>
      </x:c>
      <x:c r="AJ177" t="n">
        <x:f>IF(ISNUMBER(AD177),1,0)</x:f>
        <x:v>1</x:v>
      </x:c>
    </x:row>
    <x:row r="178" ht="30" customHeight="1">
      <x:c r="A178" s="3" t="str">
        <x:v>B06-WT-39-N</x:v>
      </x:c>
      <x:c r="B178" s="3" t="str">
        <x:v>1店-MUSSHOE-US</x:v>
      </x:c>
      <x:c r="C178" s="3" t="str">
        <x:v>艾年</x:v>
      </x:c>
      <x:c r="D178" s="3" t="str">
        <x:v>B06</x:v>
      </x:c>
      <x:c r="E178" s="3" t="str">
        <x:f>IF(Z178="移出","已移出",IF(NOT(ISNUMBER(H178)),"数据待核",IF(H178=0,"断货",IF(NOT(ISNUMBER(G178)),"数据待核",IF(G178=0,"零日销待复核",IF(F178&lt;60,"补货提醒",IF(F178&lt;=90,"正常库存",IF(F178&lt;180,"促销",IF(F178&lt;=365,"红线促销","考虑清仓")))))))))</x:f>
        <x:v>促销</x:v>
      </x:c>
      <x:c r="F178" s="11" t="n">
        <x:f>IF(AND(ISNUMBER(H178),ISNUMBER(G178),G178&gt;0),H178/G178,"")</x:f>
        <x:v>113.95348837209302</x:v>
      </x:c>
      <x:c r="G178" s="12" t="n">
        <x:f>IF(AND(COUNT(P178:R178)=3,MIN(P178:R178)&gt;=0,P178&lt;=Q178,Q178&lt;=R178),P178/7*0.5+Q178/14*0.3+R178/30*0.2,"")</x:f>
        <x:v>0.06142857142857143</x:v>
      </x:c>
      <x:c r="H178" s="10" t="n">
        <x:f>IF(ISNUMBER(U178),U178,"")</x:f>
        <x:v>7</x:v>
      </x:c>
      <x:c r="I178" s="10" t="n">
        <x:v>7</x:v>
      </x:c>
      <x:c r="J178" s="11" t="n">
        <x:f>IF(AND(Z178="共同",ISNUMBER(F178),ISNUMBER(M178)),F178-M178,"")</x:f>
        <x:v>89.5753789193567</x:v>
      </x:c>
      <x:c r="K178" s="13" t="n">
        <x:f>IF(AND(ISNUMBER(J178),M178&lt;&gt;0),J178/M178,"")</x:f>
        <x:v>3.6744186046511618</x:v>
      </x:c>
      <x:c r="L178" s="10" t="str">
        <x:v>补货提醒</x:v>
      </x:c>
      <x:c r="M178" s="11" t="n">
        <x:v>24.37810945273632</x:v>
      </x:c>
      <x:c r="N178" s="10" t="n">
        <x:f>IF(AND(Z178="共同",COUNT(H178:I178)=2),H178-I178,"")</x:f>
        <x:v>0</x:v>
      </x:c>
      <x:c r="O178" s="10" t="n">
        <x:v>68</x:v>
      </x:c>
      <x:c r="P178" s="10" t="n">
        <x:v>0</x:v>
      </x:c>
      <x:c r="Q178" s="10" t="n">
        <x:v>1</x:v>
      </x:c>
      <x:c r="R178" s="10" t="n">
        <x:v>6</x:v>
      </x:c>
      <x:c r="S178" s="10" t="n">
        <x:v>9</x:v>
      </x:c>
      <x:c r="T178" s="10" t="n">
        <x:v>0</x:v>
      </x:c>
      <x:c r="U178" s="10" t="n">
        <x:f>IF(AND(ISNUMBER(X178),X178&gt;=0,Y178&lt;&gt;1),X178,"")</x:f>
        <x:v>7</x:v>
      </x:c>
      <x:c r="V178" s="10" t="n">
        <x:v>0</x:v>
      </x:c>
      <x:c r="W178" s="10" t="n">
        <x:v>40</x:v>
      </x:c>
      <x:c r="X178" s="10" t="n">
        <x:v>7</x:v>
      </x:c>
      <x:c r="Y178" s="3" t="n">
        <x:v>0</x:v>
      </x:c>
      <x:c r="Z178" s="3" t="str">
        <x:v>共同</x:v>
      </x:c>
      <x:c r="AA178" s="3" t="str">
        <x:v>在售</x:v>
      </x:c>
      <x:c r="AB178" s="12" t="n">
        <x:f>IF(AND(Z178="共同",ISNUMBER(G178),ISNUMBER(AD178)),G178-AD178,"")</x:f>
        <x:v>-0.22571428571428565</x:v>
      </x:c>
      <x:c r="AC178" s="3" t="str"/>
      <x:c r="AD178" s="12" t="n">
        <x:v>0.2871428571428571</x:v>
      </x:c>
      <x:c r="AE178" s="3" t="str">
        <x:v>[13120,"B06-WT-39-N"]</x:v>
      </x:c>
      <x:c r="AF178" t="n">
        <x:f>IF(ISNUMBER(H178),1,0)</x:f>
        <x:v>1</x:v>
      </x:c>
      <x:c r="AG178" t="n">
        <x:f>IF(ISNUMBER(I178),1,0)</x:f>
        <x:v>1</x:v>
      </x:c>
      <x:c r="AH178" t="str">
        <x:v>["B06","B06-WT","WT","白色PU"]</x:v>
      </x:c>
      <x:c r="AI178" t="n">
        <x:f>IF(ISNUMBER(G178),1,0)</x:f>
        <x:v>1</x:v>
      </x:c>
      <x:c r="AJ178" t="n">
        <x:f>IF(ISNUMBER(AD178),1,0)</x:f>
        <x:v>1</x:v>
      </x:c>
    </x:row>
    <x:row r="179" ht="30" customHeight="1">
      <x:c r="A179" s="3" t="str">
        <x:v>B06b-NDP0-6</x:v>
      </x:c>
      <x:c r="B179" s="3" t="str">
        <x:v>1店-MUSSHOE-US</x:v>
      </x:c>
      <x:c r="C179" s="3" t="str">
        <x:v>艾年</x:v>
      </x:c>
      <x:c r="D179" s="3" t="str">
        <x:v>B06b</x:v>
      </x:c>
      <x:c r="E179" s="3" t="str">
        <x:f>IF(Z179="移出","已移出",IF(NOT(ISNUMBER(H179)),"数据待核",IF(H179=0,"断货",IF(NOT(ISNUMBER(G179)),"数据待核",IF(G179=0,"零日销待复核",IF(F179&lt;60,"补货提醒",IF(F179&lt;=90,"正常库存",IF(F179&lt;180,"促销",IF(F179&lt;=365,"红线促销","考虑清仓")))))))))</x:f>
        <x:v>促销</x:v>
      </x:c>
      <x:c r="F179" s="11" t="n">
        <x:f>IF(AND(ISNUMBER(H179),ISNUMBER(G179),G179&gt;0),H179/G179,"")</x:f>
        <x:v>150</x:v>
      </x:c>
      <x:c r="G179" s="12" t="n">
        <x:f>IF(AND(COUNT(P179:R179)=3,MIN(P179:R179)&gt;=0,P179&lt;=Q179,Q179&lt;=R179),P179/7*0.5+Q179/14*0.3+R179/30*0.2,"")</x:f>
        <x:v>0.006666666666666667</x:v>
      </x:c>
      <x:c r="H179" s="10" t="n">
        <x:f>IF(ISNUMBER(U179),U179,"")</x:f>
        <x:v>1</x:v>
      </x:c>
      <x:c r="I179" s="10" t="n">
        <x:v>0</x:v>
      </x:c>
      <x:c r="J179" s="11" t="n">
        <x:f>IF(AND(Z179="共同",ISNUMBER(F179),ISNUMBER(M179)),F179-M179,"")</x:f>
        <x:v>150</x:v>
      </x:c>
      <x:c r="K179" s="13" t="str">
        <x:f>IF(AND(ISNUMBER(J179),M179&lt;&gt;0),J179/M179,"")</x:f>
      </x:c>
      <x:c r="L179" s="10" t="str">
        <x:v>断货</x:v>
      </x:c>
      <x:c r="M179" s="11" t="n">
        <x:v>0</x:v>
      </x:c>
      <x:c r="N179" s="10" t="n">
        <x:f>IF(AND(Z179="共同",COUNT(H179:I179)=2),H179-I179,"")</x:f>
        <x:v>1</x:v>
      </x:c>
      <x:c r="O179" s="10" t="n">
        <x:v>0</x:v>
      </x:c>
      <x:c r="P179" s="10" t="n">
        <x:v>0</x:v>
      </x:c>
      <x:c r="Q179" s="10" t="n">
        <x:v>0</x:v>
      </x:c>
      <x:c r="R179" s="10" t="n">
        <x:v>1</x:v>
      </x:c>
      <x:c r="S179" s="10" t="n">
        <x:v>1</x:v>
      </x:c>
      <x:c r="T179" s="10" t="n">
        <x:v>0</x:v>
      </x:c>
      <x:c r="U179" s="10" t="n">
        <x:f>IF(AND(ISNUMBER(X179),X179&gt;=0,Y179&lt;&gt;1),X179,"")</x:f>
        <x:v>1</x:v>
      </x:c>
      <x:c r="V179" s="10" t="n">
        <x:v>0</x:v>
      </x:c>
      <x:c r="W179" s="10" t="n">
        <x:v>0</x:v>
      </x:c>
      <x:c r="X179" s="10" t="n">
        <x:v>1</x:v>
      </x:c>
      <x:c r="Y179" s="3" t="n">
        <x:v>0</x:v>
      </x:c>
      <x:c r="Z179" s="3" t="str">
        <x:v>共同</x:v>
      </x:c>
      <x:c r="AA179" s="3" t="str">
        <x:v>在售</x:v>
      </x:c>
      <x:c r="AB179" s="12" t="n">
        <x:f>IF(AND(Z179="共同",ISNUMBER(G179),ISNUMBER(AD179)),G179-AD179,"")</x:f>
        <x:v>-0.11285714285714285</x:v>
      </x:c>
      <x:c r="AC179" s="3" t="str"/>
      <x:c r="AD179" s="12" t="n">
        <x:v>0.11952380952380952</x:v>
      </x:c>
      <x:c r="AE179" s="3" t="str">
        <x:v>[13120,"B06b-NDP0-6"]</x:v>
      </x:c>
      <x:c r="AF179" t="n">
        <x:f>IF(ISNUMBER(H179),1,0)</x:f>
        <x:v>1</x:v>
      </x:c>
      <x:c r="AG179" t="n">
        <x:f>IF(ISNUMBER(I179),1,0)</x:f>
        <x:v>1</x:v>
      </x:c>
      <x:c r="AH179" t="str">
        <x:v>["B06b","B06b-NDP0","NDP0","裸色PU"]</x:v>
      </x:c>
      <x:c r="AI179" t="n">
        <x:f>IF(ISNUMBER(G179),1,0)</x:f>
        <x:v>1</x:v>
      </x:c>
      <x:c r="AJ179" t="n">
        <x:f>IF(ISNUMBER(AD179),1,0)</x:f>
        <x:v>1</x:v>
      </x:c>
    </x:row>
    <x:row r="180" ht="30" customHeight="1">
      <x:c r="A180" s="3" t="str">
        <x:v>B06b-NU-38-N</x:v>
      </x:c>
      <x:c r="B180" s="3" t="str">
        <x:v>1店-MUSSHOE-US</x:v>
      </x:c>
      <x:c r="C180" s="3" t="str">
        <x:v>艾年</x:v>
      </x:c>
      <x:c r="D180" s="3" t="str">
        <x:v>B06b</x:v>
      </x:c>
      <x:c r="E180" s="3" t="str">
        <x:f>IF(Z180="移出","已移出",IF(NOT(ISNUMBER(H180)),"数据待核",IF(H180=0,"断货",IF(NOT(ISNUMBER(G180)),"数据待核",IF(G180=0,"零日销待复核",IF(F180&lt;60,"补货提醒",IF(F180&lt;=90,"正常库存",IF(F180&lt;180,"促销",IF(F180&lt;=365,"红线促销","考虑清仓")))))))))</x:f>
        <x:v>促销</x:v>
      </x:c>
      <x:c r="F180" s="11" t="n">
        <x:f>IF(AND(ISNUMBER(H180),ISNUMBER(G180),G180&gt;0),H180/G180,"")</x:f>
        <x:v>90.3225806451613</x:v>
      </x:c>
      <x:c r="G180" s="12" t="n">
        <x:f>IF(AND(COUNT(P180:R180)=3,MIN(P180:R180)&gt;=0,P180&lt;=Q180,Q180&lt;=R180),P180/7*0.5+Q180/14*0.3+R180/30*0.2,"")</x:f>
        <x:v>0.44285714285714284</x:v>
      </x:c>
      <x:c r="H180" s="10" t="n">
        <x:f>IF(ISNUMBER(U180),U180,"")</x:f>
        <x:v>40</x:v>
      </x:c>
      <x:c r="I180" s="10" t="n">
        <x:v>42</x:v>
      </x:c>
      <x:c r="J180" s="11" t="n">
        <x:f>IF(AND(Z180="共同",ISNUMBER(F180),ISNUMBER(M180)),F180-M180,"")</x:f>
        <x:v>-50.57198804493457</x:v>
      </x:c>
      <x:c r="K180" s="13" t="n">
        <x:f>IF(AND(ISNUMBER(J180),M180&lt;&gt;0),J180/M180,"")</x:f>
        <x:v>-0.3589349718381977</x:v>
      </x:c>
      <x:c r="L180" s="10" t="str">
        <x:v>促销</x:v>
      </x:c>
      <x:c r="M180" s="11" t="n">
        <x:v>140.89456869009587</x:v>
      </x:c>
      <x:c r="N180" s="10" t="n">
        <x:f>IF(AND(Z180="共同",COUNT(H180:I180)=2),H180-I180,"")</x:f>
        <x:v>-2</x:v>
      </x:c>
      <x:c r="O180" s="10" t="n">
        <x:v>79</x:v>
      </x:c>
      <x:c r="P180" s="10" t="n">
        <x:v>3</x:v>
      </x:c>
      <x:c r="Q180" s="10" t="n">
        <x:v>6</x:v>
      </x:c>
      <x:c r="R180" s="10" t="n">
        <x:v>15</x:v>
      </x:c>
      <x:c r="S180" s="10" t="n">
        <x:v>42</x:v>
      </x:c>
      <x:c r="T180" s="10" t="n">
        <x:v>0</x:v>
      </x:c>
      <x:c r="U180" s="10" t="n">
        <x:f>IF(AND(ISNUMBER(X180),X180&gt;=0,Y180&lt;&gt;1),X180,"")</x:f>
        <x:v>40</x:v>
      </x:c>
      <x:c r="V180" s="10" t="n">
        <x:v>0</x:v>
      </x:c>
      <x:c r="W180" s="10" t="n">
        <x:v>42</x:v>
      </x:c>
      <x:c r="X180" s="10" t="n">
        <x:v>40</x:v>
      </x:c>
      <x:c r="Y180" s="3" t="n">
        <x:v>0</x:v>
      </x:c>
      <x:c r="Z180" s="3" t="str">
        <x:v>共同</x:v>
      </x:c>
      <x:c r="AA180" s="3" t="str">
        <x:v>在售</x:v>
      </x:c>
      <x:c r="AB180" s="12" t="n">
        <x:f>IF(AND(Z180="共同",ISNUMBER(G180),ISNUMBER(AD180)),G180-AD180,"")</x:f>
        <x:v>0.14476190476190476</x:v>
      </x:c>
      <x:c r="AC180" s="3" t="str"/>
      <x:c r="AD180" s="12" t="n">
        <x:v>0.2980952380952381</x:v>
      </x:c>
      <x:c r="AE180" s="3" t="str">
        <x:v>[13120,"B06b-NU-38-N"]</x:v>
      </x:c>
      <x:c r="AF180" t="n">
        <x:f>IF(ISNUMBER(H180),1,0)</x:f>
        <x:v>1</x:v>
      </x:c>
      <x:c r="AG180" t="n">
        <x:f>IF(ISNUMBER(I180),1,0)</x:f>
        <x:v>1</x:v>
      </x:c>
      <x:c r="AH180" t="str">
        <x:v>["B06b","B06b-NU","NU","裸色羊京绒"]</x:v>
      </x:c>
      <x:c r="AI180" t="n">
        <x:f>IF(ISNUMBER(G180),1,0)</x:f>
        <x:v>1</x:v>
      </x:c>
      <x:c r="AJ180" t="n">
        <x:f>IF(ISNUMBER(AD180),1,0)</x:f>
        <x:v>1</x:v>
      </x:c>
    </x:row>
    <x:row r="181" ht="30" customHeight="1">
      <x:c r="A181" s="3" t="str">
        <x:v>B06b-NU-39-N</x:v>
      </x:c>
      <x:c r="B181" s="3" t="str">
        <x:v>1店-MUSSHOE-US</x:v>
      </x:c>
      <x:c r="C181" s="3" t="str">
        <x:v>艾年</x:v>
      </x:c>
      <x:c r="D181" s="3" t="str">
        <x:v>B06b</x:v>
      </x:c>
      <x:c r="E181" s="3" t="str">
        <x:f>IF(Z181="移出","已移出",IF(NOT(ISNUMBER(H181)),"数据待核",IF(H181=0,"断货",IF(NOT(ISNUMBER(G181)),"数据待核",IF(G181=0,"零日销待复核",IF(F181&lt;60,"补货提醒",IF(F181&lt;=90,"正常库存",IF(F181&lt;180,"促销",IF(F181&lt;=365,"红线促销","考虑清仓")))))))))</x:f>
        <x:v>促销</x:v>
      </x:c>
      <x:c r="F181" s="11" t="n">
        <x:f>IF(AND(ISNUMBER(H181),ISNUMBER(G181),G181&gt;0),H181/G181,"")</x:f>
        <x:v>138.42150910667823</x:v>
      </x:c>
      <x:c r="G181" s="12" t="n">
        <x:f>IF(AND(COUNT(P181:R181)=3,MIN(P181:R181)&gt;=0,P181&lt;=Q181,Q181&lt;=R181),P181/7*0.5+Q181/14*0.3+R181/30*0.2,"")</x:f>
        <x:v>0.549047619047619</x:v>
      </x:c>
      <x:c r="H181" s="10" t="n">
        <x:f>IF(ISNUMBER(U181),U181,"")</x:f>
        <x:v>76</x:v>
      </x:c>
      <x:c r="I181" s="10" t="n">
        <x:v>63</x:v>
      </x:c>
      <x:c r="J181" s="11" t="n">
        <x:f>IF(AND(Z181="共同",ISNUMBER(F181),ISNUMBER(M181)),F181-M181,"")</x:f>
        <x:v>54.58120492416873</x:v>
      </x:c>
      <x:c r="K181" s="13" t="n">
        <x:f>IF(AND(ISNUMBER(J181),M181&lt;&gt;0),J181/M181,"")</x:f>
        <x:v>0.6510139181431464</x:v>
      </x:c>
      <x:c r="L181" s="10" t="str">
        <x:v>正常库存</x:v>
      </x:c>
      <x:c r="M181" s="11" t="n">
        <x:v>83.8403041825095</x:v>
      </x:c>
      <x:c r="N181" s="10" t="n">
        <x:f>IF(AND(Z181="共同",COUNT(H181:I181)=2),H181-I181,"")</x:f>
        <x:v>13</x:v>
      </x:c>
      <x:c r="O181" s="10" t="n">
        <x:v>13</x:v>
      </x:c>
      <x:c r="P181" s="10" t="n">
        <x:v>4</x:v>
      </x:c>
      <x:c r="Q181" s="10" t="n">
        <x:v>7</x:v>
      </x:c>
      <x:c r="R181" s="10" t="n">
        <x:v>17</x:v>
      </x:c>
      <x:c r="S181" s="10" t="n">
        <x:v>80</x:v>
      </x:c>
      <x:c r="T181" s="10" t="n">
        <x:v>0</x:v>
      </x:c>
      <x:c r="U181" s="10" t="n">
        <x:f>IF(AND(ISNUMBER(X181),X181&gt;=0,Y181&lt;&gt;1),X181,"")</x:f>
        <x:v>76</x:v>
      </x:c>
      <x:c r="V181" s="10" t="n">
        <x:v>0</x:v>
      </x:c>
      <x:c r="W181" s="10" t="n">
        <x:v>38</x:v>
      </x:c>
      <x:c r="X181" s="10" t="n">
        <x:v>76</x:v>
      </x:c>
      <x:c r="Y181" s="3" t="n">
        <x:v>0</x:v>
      </x:c>
      <x:c r="Z181" s="3" t="str">
        <x:v>共同</x:v>
      </x:c>
      <x:c r="AA181" s="3" t="str">
        <x:v>在售</x:v>
      </x:c>
      <x:c r="AB181" s="12" t="n">
        <x:f>IF(AND(Z181="共同",ISNUMBER(G181),ISNUMBER(AD181)),G181-AD181,"")</x:f>
        <x:v>-0.20238095238095244</x:v>
      </x:c>
      <x:c r="AC181" s="3" t="str"/>
      <x:c r="AD181" s="12" t="n">
        <x:v>0.7514285714285714</x:v>
      </x:c>
      <x:c r="AE181" s="3" t="str">
        <x:v>[13120,"B06b-NU-39-N"]</x:v>
      </x:c>
      <x:c r="AF181" t="n">
        <x:f>IF(ISNUMBER(H181),1,0)</x:f>
        <x:v>1</x:v>
      </x:c>
      <x:c r="AG181" t="n">
        <x:f>IF(ISNUMBER(I181),1,0)</x:f>
        <x:v>1</x:v>
      </x:c>
      <x:c r="AH181" t="str">
        <x:v>["B06b","B06b-NU","NU","裸色羊京绒"]</x:v>
      </x:c>
      <x:c r="AI181" t="n">
        <x:f>IF(ISNUMBER(G181),1,0)</x:f>
        <x:v>1</x:v>
      </x:c>
      <x:c r="AJ181" t="n">
        <x:f>IF(ISNUMBER(AD181),1,0)</x:f>
        <x:v>1</x:v>
      </x:c>
    </x:row>
    <x:row r="182" ht="30" customHeight="1">
      <x:c r="A182" s="3" t="str">
        <x:v>B07-BG-37.5</x:v>
      </x:c>
      <x:c r="B182" s="3" t="str">
        <x:v>4店-彬郁-US</x:v>
      </x:c>
      <x:c r="C182" s="3" t="str">
        <x:v>艾年</x:v>
      </x:c>
      <x:c r="D182" s="3" t="str">
        <x:v>B07</x:v>
      </x:c>
      <x:c r="E182" s="3" t="str">
        <x:f>IF(Z182="移出","已移出",IF(NOT(ISNUMBER(H182)),"数据待核",IF(H182=0,"断货",IF(NOT(ISNUMBER(G182)),"数据待核",IF(G182=0,"零日销待复核",IF(F182&lt;60,"补货提醒",IF(F182&lt;=90,"正常库存",IF(F182&lt;180,"促销",IF(F182&lt;=365,"红线促销","考虑清仓")))))))))</x:f>
        <x:v>促销</x:v>
      </x:c>
      <x:c r="F182" s="11" t="n">
        <x:f>IF(AND(ISNUMBER(H182),ISNUMBER(G182),G182&gt;0),H182/G182,"")</x:f>
        <x:v>96.80851063829788</x:v>
      </x:c>
      <x:c r="G182" s="12" t="n">
        <x:f>IF(AND(COUNT(P182:R182)=3,MIN(P182:R182)&gt;=0,P182&lt;=Q182,Q182&lt;=R182),P182/7*0.5+Q182/14*0.3+R182/30*0.2,"")</x:f>
        <x:v>0.13428571428571429</x:v>
      </x:c>
      <x:c r="H182" s="10" t="n">
        <x:f>IF(ISNUMBER(U182),U182,"")</x:f>
        <x:v>13</x:v>
      </x:c>
      <x:c r="I182" s="10" t="n">
        <x:v>7</x:v>
      </x:c>
      <x:c r="J182" s="11" t="n">
        <x:f>IF(AND(Z182="共同",ISNUMBER(F182),ISNUMBER(M182)),F182-M182,"")</x:f>
        <x:v>26.473582408632794</x:v>
      </x:c>
      <x:c r="K182" s="13" t="n">
        <x:f>IF(AND(ISNUMBER(J182),M182&lt;&gt;0),J182/M182,"")</x:f>
        <x:v>0.3763931104356635</x:v>
      </x:c>
      <x:c r="L182" s="10" t="str">
        <x:v>正常库存</x:v>
      </x:c>
      <x:c r="M182" s="11" t="n">
        <x:v>70.33492822966508</x:v>
      </x:c>
      <x:c r="N182" s="10" t="n">
        <x:f>IF(AND(Z182="共同",COUNT(H182:I182)=2),H182-I182,"")</x:f>
        <x:v>6</x:v>
      </x:c>
      <x:c r="O182" s="10" t="n">
        <x:v>0</x:v>
      </x:c>
      <x:c r="P182" s="10" t="n">
        <x:v>1</x:v>
      </x:c>
      <x:c r="Q182" s="10" t="n">
        <x:v>2</x:v>
      </x:c>
      <x:c r="R182" s="10" t="n">
        <x:v>3</x:v>
      </x:c>
      <x:c r="S182" s="10" t="n">
        <x:v>31</x:v>
      </x:c>
      <x:c r="T182" s="10" t="n">
        <x:v>0</x:v>
      </x:c>
      <x:c r="U182" s="10" t="n">
        <x:f>IF(AND(ISNUMBER(X182),X182&gt;=0,Y182&lt;&gt;1),X182,"")</x:f>
        <x:v>13</x:v>
      </x:c>
      <x:c r="V182" s="10" t="n">
        <x:v>0</x:v>
      </x:c>
      <x:c r="W182" s="10" t="n">
        <x:v>10</x:v>
      </x:c>
      <x:c r="X182" s="10" t="n">
        <x:v>13</x:v>
      </x:c>
      <x:c r="Y182" s="3" t="n">
        <x:v>0</x:v>
      </x:c>
      <x:c r="Z182" s="3" t="str">
        <x:v>共同</x:v>
      </x:c>
      <x:c r="AA182" s="3" t="str">
        <x:v>在售</x:v>
      </x:c>
      <x:c r="AB182" s="12" t="n">
        <x:f>IF(AND(Z182="共同",ISNUMBER(G182),ISNUMBER(AD182)),G182-AD182,"")</x:f>
        <x:v>0.03476190476190477</x:v>
      </x:c>
      <x:c r="AC182" s="3" t="str"/>
      <x:c r="AD182" s="12" t="n">
        <x:v>0.09952380952380951</x:v>
      </x:c>
      <x:c r="AE182" s="3" t="str">
        <x:v>[13306,"B07-BG-37.5"]</x:v>
      </x:c>
      <x:c r="AF182" t="n">
        <x:f>IF(ISNUMBER(H182),1,0)</x:f>
        <x:v>1</x:v>
      </x:c>
      <x:c r="AG182" t="n">
        <x:f>IF(ISNUMBER(I182),1,0)</x:f>
        <x:v>1</x:v>
      </x:c>
      <x:c r="AH182" t="str">
        <x:v>["B07","B07-BG","BG","米色羊京绒"]</x:v>
      </x:c>
      <x:c r="AI182" t="n">
        <x:f>IF(ISNUMBER(G182),1,0)</x:f>
        <x:v>1</x:v>
      </x:c>
      <x:c r="AJ182" t="n">
        <x:f>IF(ISNUMBER(AD182),1,0)</x:f>
        <x:v>1</x:v>
      </x:c>
    </x:row>
    <x:row r="183" ht="30" customHeight="1">
      <x:c r="A183" s="3" t="str">
        <x:v>B07-BGP-38-by</x:v>
      </x:c>
      <x:c r="B183" s="3" t="str">
        <x:v>4店-彬郁-US</x:v>
      </x:c>
      <x:c r="C183" s="3" t="str">
        <x:v>艾年</x:v>
      </x:c>
      <x:c r="D183" s="3" t="str">
        <x:v>B07</x:v>
      </x:c>
      <x:c r="E183" s="3" t="str">
        <x:f>IF(Z183="移出","已移出",IF(NOT(ISNUMBER(H183)),"数据待核",IF(H183=0,"断货",IF(NOT(ISNUMBER(G183)),"数据待核",IF(G183=0,"零日销待复核",IF(F183&lt;60,"补货提醒",IF(F183&lt;=90,"正常库存",IF(F183&lt;180,"促销",IF(F183&lt;=365,"红线促销","考虑清仓")))))))))</x:f>
        <x:v>促销</x:v>
      </x:c>
      <x:c r="F183" s="11" t="n">
        <x:f>IF(AND(ISNUMBER(H183),ISNUMBER(G183),G183&gt;0),H183/G183,"")</x:f>
        <x:v>103.96039603960396</x:v>
      </x:c>
      <x:c r="G183" s="12" t="n">
        <x:f>IF(AND(COUNT(P183:R183)=3,MIN(P183:R183)&gt;=0,P183&lt;=Q183,Q183&lt;=R183),P183/7*0.5+Q183/14*0.3+R183/30*0.2,"")</x:f>
        <x:v>0.048095238095238094</x:v>
      </x:c>
      <x:c r="H183" s="10" t="n">
        <x:f>IF(ISNUMBER(U183),U183,"")</x:f>
        <x:v>5</x:v>
      </x:c>
      <x:c r="I183" s="10" t="n">
        <x:v>5</x:v>
      </x:c>
      <x:c r="J183" s="11" t="n">
        <x:f>IF(AND(Z183="共同",ISNUMBER(F183),ISNUMBER(M183)),F183-M183,"")</x:f>
        <x:v>70.08942829766848</x:v>
      </x:c>
      <x:c r="K183" s="13" t="n">
        <x:f>IF(AND(ISNUMBER(J183),M183&lt;&gt;0),J183/M183,"")</x:f>
        <x:v>2.069306930693069</x:v>
      </x:c>
      <x:c r="L183" s="10" t="str">
        <x:v>补货提醒</x:v>
      </x:c>
      <x:c r="M183" s="11" t="n">
        <x:v>33.87096774193549</x:v>
      </x:c>
      <x:c r="N183" s="10" t="n">
        <x:f>IF(AND(Z183="共同",COUNT(H183:I183)=2),H183-I183,"")</x:f>
        <x:v>0</x:v>
      </x:c>
      <x:c r="O183" s="10" t="n">
        <x:v>0</x:v>
      </x:c>
      <x:c r="P183" s="10" t="n">
        <x:v>0</x:v>
      </x:c>
      <x:c r="Q183" s="10" t="n">
        <x:v>1</x:v>
      </x:c>
      <x:c r="R183" s="10" t="n">
        <x:v>4</x:v>
      </x:c>
      <x:c r="S183" s="10" t="n">
        <x:v>5</x:v>
      </x:c>
      <x:c r="T183" s="10" t="n">
        <x:v>0</x:v>
      </x:c>
      <x:c r="U183" s="10" t="n">
        <x:f>IF(AND(ISNUMBER(X183),X183&gt;=0,Y183&lt;&gt;1),X183,"")</x:f>
        <x:v>5</x:v>
      </x:c>
      <x:c r="V183" s="10" t="n">
        <x:v>0</x:v>
      </x:c>
      <x:c r="W183" s="10" t="n">
        <x:v>9</x:v>
      </x:c>
      <x:c r="X183" s="10" t="n">
        <x:v>5</x:v>
      </x:c>
      <x:c r="Y183" s="3" t="n">
        <x:v>0</x:v>
      </x:c>
      <x:c r="Z183" s="3" t="str">
        <x:v>共同</x:v>
      </x:c>
      <x:c r="AA183" s="3" t="str">
        <x:v>在售</x:v>
      </x:c>
      <x:c r="AB183" s="12" t="n">
        <x:f>IF(AND(Z183="共同",ISNUMBER(G183),ISNUMBER(AD183)),G183-AD183,"")</x:f>
        <x:v>-0.0995238095238095</x:v>
      </x:c>
      <x:c r="AC183" s="3" t="str"/>
      <x:c r="AD183" s="12" t="n">
        <x:v>0.1476190476190476</x:v>
      </x:c>
      <x:c r="AE183" s="3" t="str">
        <x:v>[13306,"B07-BGP-38-by"]</x:v>
      </x:c>
      <x:c r="AF183" t="n">
        <x:f>IF(ISNUMBER(H183),1,0)</x:f>
        <x:v>1</x:v>
      </x:c>
      <x:c r="AG183" t="n">
        <x:f>IF(ISNUMBER(I183),1,0)</x:f>
        <x:v>1</x:v>
      </x:c>
      <x:c r="AH183" t="str">
        <x:v>["B07","B07-BGP","BGP","米色PU"]</x:v>
      </x:c>
      <x:c r="AI183" t="n">
        <x:f>IF(ISNUMBER(G183),1,0)</x:f>
        <x:v>1</x:v>
      </x:c>
      <x:c r="AJ183" t="n">
        <x:f>IF(ISNUMBER(AD183),1,0)</x:f>
        <x:v>1</x:v>
      </x:c>
    </x:row>
    <x:row r="184" ht="30" customHeight="1">
      <x:c r="A184" s="3" t="str">
        <x:v>B07-BGP-39.5</x:v>
      </x:c>
      <x:c r="B184" s="3" t="str">
        <x:v>4店-彬郁-US</x:v>
      </x:c>
      <x:c r="C184" s="3" t="str">
        <x:v>艾年</x:v>
      </x:c>
      <x:c r="D184" s="3" t="str">
        <x:v>B07</x:v>
      </x:c>
      <x:c r="E184" s="3" t="str">
        <x:f>IF(Z184="移出","已移出",IF(NOT(ISNUMBER(H184)),"数据待核",IF(H184=0,"断货",IF(NOT(ISNUMBER(G184)),"数据待核",IF(G184=0,"零日销待复核",IF(F184&lt;60,"补货提醒",IF(F184&lt;=90,"正常库存",IF(F184&lt;180,"促销",IF(F184&lt;=365,"红线促销","考虑清仓")))))))))</x:f>
        <x:v>促销</x:v>
      </x:c>
      <x:c r="F184" s="11" t="n">
        <x:f>IF(AND(ISNUMBER(H184),ISNUMBER(G184),G184&gt;0),H184/G184,"")</x:f>
        <x:v>150</x:v>
      </x:c>
      <x:c r="G184" s="12" t="n">
        <x:f>IF(AND(COUNT(P184:R184)=3,MIN(P184:R184)&gt;=0,P184&lt;=Q184,Q184&lt;=R184),P184/7*0.5+Q184/14*0.3+R184/30*0.2,"")</x:f>
        <x:v>0.006666666666666667</x:v>
      </x:c>
      <x:c r="H184" s="10" t="n">
        <x:f>IF(ISNUMBER(U184),U184,"")</x:f>
        <x:v>1</x:v>
      </x:c>
      <x:c r="I184" s="10" t="n">
        <x:v>1</x:v>
      </x:c>
      <x:c r="J184" s="11" t="n">
        <x:f>IF(AND(Z184="共同",ISNUMBER(F184),ISNUMBER(M184)),F184-M184,"")</x:f>
        <x:v>139.95215311004785</x:v>
      </x:c>
      <x:c r="K184" s="13" t="n">
        <x:f>IF(AND(ISNUMBER(J184),M184&lt;&gt;0),J184/M184,"")</x:f>
        <x:v>13.928571428571427</x:v>
      </x:c>
      <x:c r="L184" s="10" t="str">
        <x:v>补货提醒</x:v>
      </x:c>
      <x:c r="M184" s="11" t="n">
        <x:v>10.047846889952154</x:v>
      </x:c>
      <x:c r="N184" s="10" t="n">
        <x:f>IF(AND(Z184="共同",COUNT(H184:I184)=2),H184-I184,"")</x:f>
        <x:v>0</x:v>
      </x:c>
      <x:c r="O184" s="10" t="n">
        <x:v>69</x:v>
      </x:c>
      <x:c r="P184" s="10" t="n">
        <x:v>0</x:v>
      </x:c>
      <x:c r="Q184" s="10" t="n">
        <x:v>0</x:v>
      </x:c>
      <x:c r="R184" s="10" t="n">
        <x:v>1</x:v>
      </x:c>
      <x:c r="S184" s="10" t="n">
        <x:v>1</x:v>
      </x:c>
      <x:c r="T184" s="10" t="n">
        <x:v>0</x:v>
      </x:c>
      <x:c r="U184" s="10" t="n">
        <x:f>IF(AND(ISNUMBER(X184),X184&gt;=0,Y184&lt;&gt;1),X184,"")</x:f>
        <x:v>1</x:v>
      </x:c>
      <x:c r="V184" s="10" t="n">
        <x:v>0</x:v>
      </x:c>
      <x:c r="W184" s="10" t="n">
        <x:v>20</x:v>
      </x:c>
      <x:c r="X184" s="10" t="n">
        <x:v>1</x:v>
      </x:c>
      <x:c r="Y184" s="3" t="n">
        <x:v>0</x:v>
      </x:c>
      <x:c r="Z184" s="3" t="str">
        <x:v>共同</x:v>
      </x:c>
      <x:c r="AA184" s="3" t="str">
        <x:v>在售</x:v>
      </x:c>
      <x:c r="AB184" s="12" t="n">
        <x:f>IF(AND(Z184="共同",ISNUMBER(G184),ISNUMBER(AD184)),G184-AD184,"")</x:f>
        <x:v>-0.09285714285714285</x:v>
      </x:c>
      <x:c r="AC184" s="3" t="str"/>
      <x:c r="AD184" s="12" t="n">
        <x:v>0.09952380952380951</x:v>
      </x:c>
      <x:c r="AE184" s="3" t="str">
        <x:v>[13306,"B07-BGP-39.5"]</x:v>
      </x:c>
      <x:c r="AF184" t="n">
        <x:f>IF(ISNUMBER(H184),1,0)</x:f>
        <x:v>1</x:v>
      </x:c>
      <x:c r="AG184" t="n">
        <x:f>IF(ISNUMBER(I184),1,0)</x:f>
        <x:v>1</x:v>
      </x:c>
      <x:c r="AH184" t="str">
        <x:v>["B07","B07-BGP","BGP","米色PU"]</x:v>
      </x:c>
      <x:c r="AI184" t="n">
        <x:f>IF(ISNUMBER(G184),1,0)</x:f>
        <x:v>1</x:v>
      </x:c>
      <x:c r="AJ184" t="n">
        <x:f>IF(ISNUMBER(AD184),1,0)</x:f>
        <x:v>1</x:v>
      </x:c>
    </x:row>
    <x:row r="185" ht="30" customHeight="1">
      <x:c r="A185" s="3" t="str">
        <x:v>B07-BK-38-New</x:v>
      </x:c>
      <x:c r="B185" s="3" t="str">
        <x:v>4店-彬郁-US</x:v>
      </x:c>
      <x:c r="C185" s="3" t="str">
        <x:v>艾年</x:v>
      </x:c>
      <x:c r="D185" s="3" t="str">
        <x:v>B07</x:v>
      </x:c>
      <x:c r="E185" s="3" t="str">
        <x:f>IF(Z185="移出","已移出",IF(NOT(ISNUMBER(H185)),"数据待核",IF(H185=0,"断货",IF(NOT(ISNUMBER(G185)),"数据待核",IF(G185=0,"零日销待复核",IF(F185&lt;60,"补货提醒",IF(F185&lt;=90,"正常库存",IF(F185&lt;180,"促销",IF(F185&lt;=365,"红线促销","考虑清仓")))))))))</x:f>
        <x:v>促销</x:v>
      </x:c>
      <x:c r="F185" s="11" t="n">
        <x:f>IF(AND(ISNUMBER(H185),ISNUMBER(G185),G185&gt;0),H185/G185,"")</x:f>
        <x:v>97.87798408488062</x:v>
      </x:c>
      <x:c r="G185" s="12" t="n">
        <x:f>IF(AND(COUNT(P185:R185)=3,MIN(P185:R185)&gt;=0,P185&lt;=Q185,Q185&lt;=R185),P185/7*0.5+Q185/14*0.3+R185/30*0.2,"")</x:f>
        <x:v>1.2566666666666668</x:v>
      </x:c>
      <x:c r="H185" s="10" t="n">
        <x:f>IF(ISNUMBER(U185),U185,"")</x:f>
        <x:v>123</x:v>
      </x:c>
      <x:c r="I185" s="10" t="n">
        <x:v>123</x:v>
      </x:c>
      <x:c r="J185" s="11" t="n">
        <x:f>IF(AND(Z185="共同",ISNUMBER(F185),ISNUMBER(M185)),F185-M185,"")</x:f>
        <x:v>-57.35038129973479</x:v>
      </x:c>
      <x:c r="K185" s="13" t="n">
        <x:f>IF(AND(ISNUMBER(J185),M185&lt;&gt;0),J185/M185,"")</x:f>
        <x:v>-0.36945812807881795</x:v>
      </x:c>
      <x:c r="L185" s="10" t="str">
        <x:v>促销</x:v>
      </x:c>
      <x:c r="M185" s="11" t="n">
        <x:v>155.22836538461542</x:v>
      </x:c>
      <x:c r="N185" s="10" t="n">
        <x:f>IF(AND(Z185="共同",COUNT(H185:I185)=2),H185-I185,"")</x:f>
        <x:v>0</x:v>
      </x:c>
      <x:c r="O185" s="10" t="n">
        <x:v>0</x:v>
      </x:c>
      <x:c r="P185" s="10" t="n">
        <x:v>9</x:v>
      </x:c>
      <x:c r="Q185" s="10" t="n">
        <x:v>19</x:v>
      </x:c>
      <x:c r="R185" s="10" t="n">
        <x:v>31</x:v>
      </x:c>
      <x:c r="S185" s="10" t="n">
        <x:v>136</x:v>
      </x:c>
      <x:c r="T185" s="10" t="n">
        <x:v>0</x:v>
      </x:c>
      <x:c r="U185" s="10" t="n">
        <x:f>IF(AND(ISNUMBER(X185),X185&gt;=0,Y185&lt;&gt;1),X185,"")</x:f>
        <x:v>123</x:v>
      </x:c>
      <x:c r="V185" s="10" t="n">
        <x:v>16</x:v>
      </x:c>
      <x:c r="W185" s="10" t="n">
        <x:v>0</x:v>
      </x:c>
      <x:c r="X185" s="10" t="n">
        <x:v>123</x:v>
      </x:c>
      <x:c r="Y185" s="3" t="n">
        <x:v>0</x:v>
      </x:c>
      <x:c r="Z185" s="3" t="str">
        <x:v>共同</x:v>
      </x:c>
      <x:c r="AA185" s="3" t="str">
        <x:v>在售</x:v>
      </x:c>
      <x:c r="AB185" s="12" t="n">
        <x:f>IF(AND(Z185="共同",ISNUMBER(G185),ISNUMBER(AD185)),G185-AD185,"")</x:f>
        <x:v>0.4642857142857145</x:v>
      </x:c>
      <x:c r="AC185" s="3" t="str"/>
      <x:c r="AD185" s="12" t="n">
        <x:v>0.7923809523809523</x:v>
      </x:c>
      <x:c r="AE185" s="3" t="str">
        <x:v>[13306,"B07-BK-38-New"]</x:v>
      </x:c>
      <x:c r="AF185" t="n">
        <x:f>IF(ISNUMBER(H185),1,0)</x:f>
        <x:v>1</x:v>
      </x:c>
      <x:c r="AG185" t="n">
        <x:f>IF(ISNUMBER(I185),1,0)</x:f>
        <x:v>1</x:v>
      </x:c>
      <x:c r="AH185" t="str">
        <x:v>["B07","B07-BK","BK","黑色羊京绒"]</x:v>
      </x:c>
      <x:c r="AI185" t="n">
        <x:f>IF(ISNUMBER(G185),1,0)</x:f>
        <x:v>1</x:v>
      </x:c>
      <x:c r="AJ185" t="n">
        <x:f>IF(ISNUMBER(AD185),1,0)</x:f>
        <x:v>1</x:v>
      </x:c>
    </x:row>
    <x:row r="186" ht="30" customHeight="1">
      <x:c r="A186" s="3" t="str">
        <x:v>B07-BK-39.5</x:v>
      </x:c>
      <x:c r="B186" s="3" t="str">
        <x:v>4店-彬郁-US</x:v>
      </x:c>
      <x:c r="C186" s="3" t="str">
        <x:v>艾年</x:v>
      </x:c>
      <x:c r="D186" s="3" t="str">
        <x:v>B07</x:v>
      </x:c>
      <x:c r="E186" s="3" t="str">
        <x:f>IF(Z186="移出","已移出",IF(NOT(ISNUMBER(H186)),"数据待核",IF(H186=0,"断货",IF(NOT(ISNUMBER(G186)),"数据待核",IF(G186=0,"零日销待复核",IF(F186&lt;60,"补货提醒",IF(F186&lt;=90,"正常库存",IF(F186&lt;180,"促销",IF(F186&lt;=365,"红线促销","考虑清仓")))))))))</x:f>
        <x:v>促销</x:v>
      </x:c>
      <x:c r="F186" s="11" t="n">
        <x:f>IF(AND(ISNUMBER(H186),ISNUMBER(G186),G186&gt;0),H186/G186,"")</x:f>
        <x:v>128.79240162822254</x:v>
      </x:c>
      <x:c r="G186" s="12" t="n">
        <x:f>IF(AND(COUNT(P186:R186)=3,MIN(P186:R186)&gt;=0,P186&lt;=Q186,Q186&lt;=R186),P186/7*0.5+Q186/14*0.3+R186/30*0.2,"")</x:f>
        <x:v>1.7547619047619047</x:v>
      </x:c>
      <x:c r="H186" s="10" t="n">
        <x:f>IF(ISNUMBER(U186),U186,"")</x:f>
        <x:v>226</x:v>
      </x:c>
      <x:c r="I186" s="10" t="n">
        <x:v>242</x:v>
      </x:c>
      <x:c r="J186" s="11" t="n">
        <x:f>IF(AND(Z186="共同",ISNUMBER(F186),ISNUMBER(M186)),F186-M186,"")</x:f>
        <x:v>-149.67335179643493</x:v>
      </x:c>
      <x:c r="K186" s="13" t="n">
        <x:f>IF(AND(ISNUMBER(J186),M186&lt;&gt;0),J186/M186,"")</x:f>
        <x:v>-0.5374928512957375</x:v>
      </x:c>
      <x:c r="L186" s="10" t="str">
        <x:v>红线促销</x:v>
      </x:c>
      <x:c r="M186" s="11" t="n">
        <x:v>278.46575342465746</x:v>
      </x:c>
      <x:c r="N186" s="10" t="n">
        <x:f>IF(AND(Z186="共同",COUNT(H186:I186)=2),H186-I186,"")</x:f>
        <x:v>-16</x:v>
      </x:c>
      <x:c r="O186" s="10" t="n">
        <x:v>38</x:v>
      </x:c>
      <x:c r="P186" s="10" t="n">
        <x:v>15</x:v>
      </x:c>
      <x:c r="Q186" s="10" t="n">
        <x:v>21</x:v>
      </x:c>
      <x:c r="R186" s="10" t="n">
        <x:v>35</x:v>
      </x:c>
      <x:c r="S186" s="10" t="n">
        <x:v>229</x:v>
      </x:c>
      <x:c r="T186" s="10" t="n">
        <x:v>1</x:v>
      </x:c>
      <x:c r="U186" s="10" t="n">
        <x:f>IF(AND(ISNUMBER(X186),X186&gt;=0,Y186&lt;&gt;1),X186,"")</x:f>
        <x:v>226</x:v>
      </x:c>
      <x:c r="V186" s="10" t="n">
        <x:v>0</x:v>
      </x:c>
      <x:c r="W186" s="10" t="n">
        <x:v>0</x:v>
      </x:c>
      <x:c r="X186" s="10" t="n">
        <x:v>226</x:v>
      </x:c>
      <x:c r="Y186" s="3" t="n">
        <x:v>0</x:v>
      </x:c>
      <x:c r="Z186" s="3" t="str">
        <x:v>共同</x:v>
      </x:c>
      <x:c r="AA186" s="3" t="str">
        <x:v>在售</x:v>
      </x:c>
      <x:c r="AB186" s="12" t="n">
        <x:f>IF(AND(Z186="共同",ISNUMBER(G186),ISNUMBER(AD186)),G186-AD186,"")</x:f>
        <x:v>0.8857142857142856</x:v>
      </x:c>
      <x:c r="AC186" s="3" t="str"/>
      <x:c r="AD186" s="12" t="n">
        <x:v>0.8690476190476192</x:v>
      </x:c>
      <x:c r="AE186" s="3" t="str">
        <x:v>[13306,"B07-BK-39.5"]</x:v>
      </x:c>
      <x:c r="AF186" t="n">
        <x:f>IF(ISNUMBER(H186),1,0)</x:f>
        <x:v>1</x:v>
      </x:c>
      <x:c r="AG186" t="n">
        <x:f>IF(ISNUMBER(I186),1,0)</x:f>
        <x:v>1</x:v>
      </x:c>
      <x:c r="AH186" t="str">
        <x:v>["B07","B07-BK","BK","黑色羊京绒"]</x:v>
      </x:c>
      <x:c r="AI186" t="n">
        <x:f>IF(ISNUMBER(G186),1,0)</x:f>
        <x:v>1</x:v>
      </x:c>
      <x:c r="AJ186" t="n">
        <x:f>IF(ISNUMBER(AD186),1,0)</x:f>
        <x:v>1</x:v>
      </x:c>
    </x:row>
    <x:row r="187" ht="30" customHeight="1">
      <x:c r="A187" s="3" t="str">
        <x:v>B07-BK-I-0-41</x:v>
      </x:c>
      <x:c r="B187" s="3" t="str">
        <x:v>4店-彬郁-US</x:v>
      </x:c>
      <x:c r="C187" s="3" t="str">
        <x:v>艾年</x:v>
      </x:c>
      <x:c r="D187" s="3" t="str">
        <x:v>B07</x:v>
      </x:c>
      <x:c r="E187" s="3" t="str">
        <x:f>IF(Z187="移出","已移出",IF(NOT(ISNUMBER(H187)),"数据待核",IF(H187=0,"断货",IF(NOT(ISNUMBER(G187)),"数据待核",IF(G187=0,"零日销待复核",IF(F187&lt;60,"补货提醒",IF(F187&lt;=90,"正常库存",IF(F187&lt;180,"促销",IF(F187&lt;=365,"红线促销","考虑清仓")))))))))</x:f>
        <x:v>促销</x:v>
      </x:c>
      <x:c r="F187" s="11" t="n">
        <x:f>IF(AND(ISNUMBER(H187),ISNUMBER(G187),G187&gt;0),H187/G187,"")</x:f>
        <x:v>106.77966101694916</x:v>
      </x:c>
      <x:c r="G187" s="12" t="n">
        <x:f>IF(AND(COUNT(P187:R187)=3,MIN(P187:R187)&gt;=0,P187&lt;=Q187,Q187&lt;=R187),P187/7*0.5+Q187/14*0.3+R187/30*0.2,"")</x:f>
        <x:v>0.028095238095238093</x:v>
      </x:c>
      <x:c r="H187" s="10" t="n">
        <x:f>IF(ISNUMBER(U187),U187,"")</x:f>
        <x:v>3</x:v>
      </x:c>
      <x:c r="I187" s="10" t="n">
        <x:v>4</x:v>
      </x:c>
      <x:c r="J187" s="11" t="str">
        <x:f>IF(AND(Z187="共同",ISNUMBER(F187),ISNUMBER(M187)),F187-M187,"")</x:f>
      </x:c>
      <x:c r="K187" s="13" t="str">
        <x:f>IF(AND(ISNUMBER(J187),M187&lt;&gt;0),J187/M187,"")</x:f>
      </x:c>
      <x:c r="L187" s="10" t="str">
        <x:v>零日销待复核</x:v>
      </x:c>
      <x:c r="M187" s="11"/>
      <x:c r="N187" s="10" t="n">
        <x:f>IF(AND(Z187="共同",COUNT(H187:I187)=2),H187-I187,"")</x:f>
        <x:v>-1</x:v>
      </x:c>
      <x:c r="O187" s="10" t="n">
        <x:v>0</x:v>
      </x:c>
      <x:c r="P187" s="10" t="n">
        <x:v>0</x:v>
      </x:c>
      <x:c r="Q187" s="10" t="n">
        <x:v>1</x:v>
      </x:c>
      <x:c r="R187" s="10" t="n">
        <x:v>1</x:v>
      </x:c>
      <x:c r="S187" s="10" t="n">
        <x:v>3</x:v>
      </x:c>
      <x:c r="T187" s="10" t="n">
        <x:v>0</x:v>
      </x:c>
      <x:c r="U187" s="10" t="n">
        <x:f>IF(AND(ISNUMBER(X187),X187&gt;=0,Y187&lt;&gt;1),X187,"")</x:f>
        <x:v>3</x:v>
      </x:c>
      <x:c r="V187" s="10" t="n">
        <x:v>0</x:v>
      </x:c>
      <x:c r="W187" s="10" t="n">
        <x:v>0</x:v>
      </x:c>
      <x:c r="X187" s="10" t="n">
        <x:v>3</x:v>
      </x:c>
      <x:c r="Y187" s="3" t="n">
        <x:v>0</x:v>
      </x:c>
      <x:c r="Z187" s="3" t="str">
        <x:v>共同</x:v>
      </x:c>
      <x:c r="AA187" s="3" t="str">
        <x:v>在售</x:v>
      </x:c>
      <x:c r="AB187" s="12" t="n">
        <x:f>IF(AND(Z187="共同",ISNUMBER(G187),ISNUMBER(AD187)),G187-AD187,"")</x:f>
        <x:v>0.028095238095238093</x:v>
      </x:c>
      <x:c r="AC187" s="3" t="str"/>
      <x:c r="AD187" s="12" t="n">
        <x:v>0</x:v>
      </x:c>
      <x:c r="AE187" s="3" t="str">
        <x:v>[13306,"B07-BK-I-0-41"]</x:v>
      </x:c>
      <x:c r="AF187" t="n">
        <x:f>IF(ISNUMBER(H187),1,0)</x:f>
        <x:v>1</x:v>
      </x:c>
      <x:c r="AG187" t="n">
        <x:f>IF(ISNUMBER(I187),1,0)</x:f>
        <x:v>1</x:v>
      </x:c>
      <x:c r="AH187" t="str">
        <x:v>["B07","B07-BK-I-0","BK-I","黑色色织提花"]</x:v>
      </x:c>
      <x:c r="AI187" t="n">
        <x:f>IF(ISNUMBER(G187),1,0)</x:f>
        <x:v>1</x:v>
      </x:c>
      <x:c r="AJ187" t="n">
        <x:f>IF(ISNUMBER(AD187),1,0)</x:f>
        <x:v>1</x:v>
      </x:c>
    </x:row>
    <x:row r="188" ht="30" customHeight="1">
      <x:c r="A188" s="3" t="str">
        <x:v>B07-BK-V-0-37.5</x:v>
      </x:c>
      <x:c r="B188" s="3" t="str">
        <x:v>4店-彬郁-US</x:v>
      </x:c>
      <x:c r="C188" s="3" t="str">
        <x:v>艾年</x:v>
      </x:c>
      <x:c r="D188" s="3" t="str">
        <x:v>B07</x:v>
      </x:c>
      <x:c r="E188" s="3" t="str">
        <x:f>IF(Z188="移出","已移出",IF(NOT(ISNUMBER(H188)),"数据待核",IF(H188=0,"断货",IF(NOT(ISNUMBER(G188)),"数据待核",IF(G188=0,"零日销待复核",IF(F188&lt;60,"补货提醒",IF(F188&lt;=90,"正常库存",IF(F188&lt;180,"促销",IF(F188&lt;=365,"红线促销","考虑清仓")))))))))</x:f>
        <x:v>促销</x:v>
      </x:c>
      <x:c r="F188" s="11" t="n">
        <x:f>IF(AND(ISNUMBER(H188),ISNUMBER(G188),G188&gt;0),H188/G188,"")</x:f>
        <x:v>156.71641791044777</x:v>
      </x:c>
      <x:c r="G188" s="12" t="n">
        <x:f>IF(AND(COUNT(P188:R188)=3,MIN(P188:R188)&gt;=0,P188&lt;=Q188,Q188&lt;=R188),P188/7*0.5+Q188/14*0.3+R188/30*0.2,"")</x:f>
        <x:v>0.1276190476190476</x:v>
      </x:c>
      <x:c r="H188" s="10" t="n">
        <x:f>IF(ISNUMBER(U188),U188,"")</x:f>
        <x:v>20</x:v>
      </x:c>
      <x:c r="I188" s="10" t="n">
        <x:v>21</x:v>
      </x:c>
      <x:c r="J188" s="11" t="str">
        <x:f>IF(AND(Z188="共同",ISNUMBER(F188),ISNUMBER(M188)),F188-M188,"")</x:f>
      </x:c>
      <x:c r="K188" s="13" t="str">
        <x:f>IF(AND(ISNUMBER(J188),M188&lt;&gt;0),J188/M188,"")</x:f>
      </x:c>
      <x:c r="L188" s="10" t="str">
        <x:v>零日销待复核</x:v>
      </x:c>
      <x:c r="M188" s="11"/>
      <x:c r="N188" s="10" t="n">
        <x:f>IF(AND(Z188="共同",COUNT(H188:I188)=2),H188-I188,"")</x:f>
        <x:v>-1</x:v>
      </x:c>
      <x:c r="O188" s="10" t="n">
        <x:v>0</x:v>
      </x:c>
      <x:c r="P188" s="10" t="n">
        <x:v>1</x:v>
      </x:c>
      <x:c r="Q188" s="10" t="n">
        <x:v>2</x:v>
      </x:c>
      <x:c r="R188" s="10" t="n">
        <x:v>2</x:v>
      </x:c>
      <x:c r="S188" s="10" t="n">
        <x:v>20</x:v>
      </x:c>
      <x:c r="T188" s="10" t="n">
        <x:v>0</x:v>
      </x:c>
      <x:c r="U188" s="10" t="n">
        <x:f>IF(AND(ISNUMBER(X188),X188&gt;=0,Y188&lt;&gt;1),X188,"")</x:f>
        <x:v>20</x:v>
      </x:c>
      <x:c r="V188" s="10" t="n">
        <x:v>0</x:v>
      </x:c>
      <x:c r="W188" s="10" t="n">
        <x:v>0</x:v>
      </x:c>
      <x:c r="X188" s="10" t="n">
        <x:v>20</x:v>
      </x:c>
      <x:c r="Y188" s="3" t="n">
        <x:v>0</x:v>
      </x:c>
      <x:c r="Z188" s="3" t="str">
        <x:v>共同</x:v>
      </x:c>
      <x:c r="AA188" s="3" t="str">
        <x:v>在售</x:v>
      </x:c>
      <x:c r="AB188" s="12" t="n">
        <x:f>IF(AND(Z188="共同",ISNUMBER(G188),ISNUMBER(AD188)),G188-AD188,"")</x:f>
        <x:v>0.1276190476190476</x:v>
      </x:c>
      <x:c r="AC188" s="3" t="str"/>
      <x:c r="AD188" s="12" t="n">
        <x:v>0</x:v>
      </x:c>
      <x:c r="AE188" s="3" t="str">
        <x:v>[13306,"B07-BK-V-0-37.5"]</x:v>
      </x:c>
      <x:c r="AF188" t="n">
        <x:f>IF(ISNUMBER(H188),1,0)</x:f>
        <x:v>1</x:v>
      </x:c>
      <x:c r="AG188" t="n">
        <x:f>IF(ISNUMBER(I188),1,0)</x:f>
        <x:v>1</x:v>
      </x:c>
      <x:c r="AH188" t="str">
        <x:v>["B07","B07-BK-V-0","BK-V","黑色天鹅绒"]</x:v>
      </x:c>
      <x:c r="AI188" t="n">
        <x:f>IF(ISNUMBER(G188),1,0)</x:f>
        <x:v>1</x:v>
      </x:c>
      <x:c r="AJ188" t="n">
        <x:f>IF(ISNUMBER(AD188),1,0)</x:f>
        <x:v>1</x:v>
      </x:c>
    </x:row>
    <x:row r="189" ht="30" customHeight="1">
      <x:c r="A189" s="3" t="str">
        <x:v>B07-BK-V-0-38</x:v>
      </x:c>
      <x:c r="B189" s="3" t="str">
        <x:v>4店-彬郁-US</x:v>
      </x:c>
      <x:c r="C189" s="3" t="str">
        <x:v>艾年</x:v>
      </x:c>
      <x:c r="D189" s="3" t="str">
        <x:v>B07</x:v>
      </x:c>
      <x:c r="E189" s="3" t="str">
        <x:f>IF(Z189="移出","已移出",IF(NOT(ISNUMBER(H189)),"数据待核",IF(H189=0,"断货",IF(NOT(ISNUMBER(G189)),"数据待核",IF(G189=0,"零日销待复核",IF(F189&lt;60,"补货提醒",IF(F189&lt;=90,"正常库存",IF(F189&lt;180,"促销",IF(F189&lt;=365,"红线促销","考虑清仓")))))))))</x:f>
        <x:v>促销</x:v>
      </x:c>
      <x:c r="F189" s="11" t="n">
        <x:f>IF(AND(ISNUMBER(H189),ISNUMBER(G189),G189&gt;0),H189/G189,"")</x:f>
        <x:v>99.32432432432434</x:v>
      </x:c>
      <x:c r="G189" s="12" t="n">
        <x:f>IF(AND(COUNT(P189:R189)=3,MIN(P189:R189)&gt;=0,P189&lt;=Q189,Q189&lt;=R189),P189/7*0.5+Q189/14*0.3+R189/30*0.2,"")</x:f>
        <x:v>0.14095238095238094</x:v>
      </x:c>
      <x:c r="H189" s="10" t="n">
        <x:f>IF(ISNUMBER(U189),U189,"")</x:f>
        <x:v>14</x:v>
      </x:c>
      <x:c r="I189" s="10" t="n">
        <x:v>15</x:v>
      </x:c>
      <x:c r="J189" s="11" t="n">
        <x:f>IF(AND(Z189="共同",ISNUMBER(F189),ISNUMBER(M189)),F189-M189,"")</x:f>
        <x:v>-26.17368364380316</x:v>
      </x:c>
      <x:c r="K189" s="13" t="n">
        <x:f>IF(AND(ISNUMBER(J189),M189&lt;&gt;0),J189/M189,"")</x:f>
        <x:v>-0.20855855855855848</x:v>
      </x:c>
      <x:c r="L189" s="10" t="str">
        <x:v>促销</x:v>
      </x:c>
      <x:c r="M189" s="11" t="n">
        <x:v>125.4980079681275</x:v>
      </x:c>
      <x:c r="N189" s="10" t="n">
        <x:f>IF(AND(Z189="共同",COUNT(H189:I189)=2),H189-I189,"")</x:f>
        <x:v>-1</x:v>
      </x:c>
      <x:c r="O189" s="10" t="n">
        <x:v>0</x:v>
      </x:c>
      <x:c r="P189" s="10" t="n">
        <x:v>1</x:v>
      </x:c>
      <x:c r="Q189" s="10" t="n">
        <x:v>2</x:v>
      </x:c>
      <x:c r="R189" s="10" t="n">
        <x:v>4</x:v>
      </x:c>
      <x:c r="S189" s="10" t="n">
        <x:v>15</x:v>
      </x:c>
      <x:c r="T189" s="10" t="n">
        <x:v>0</x:v>
      </x:c>
      <x:c r="U189" s="10" t="n">
        <x:f>IF(AND(ISNUMBER(X189),X189&gt;=0,Y189&lt;&gt;1),X189,"")</x:f>
        <x:v>14</x:v>
      </x:c>
      <x:c r="V189" s="10" t="n">
        <x:v>0</x:v>
      </x:c>
      <x:c r="W189" s="10" t="n">
        <x:v>0</x:v>
      </x:c>
      <x:c r="X189" s="10" t="n">
        <x:v>14</x:v>
      </x:c>
      <x:c r="Y189" s="3" t="n">
        <x:v>0</x:v>
      </x:c>
      <x:c r="Z189" s="3" t="str">
        <x:v>共同</x:v>
      </x:c>
      <x:c r="AA189" s="3" t="str">
        <x:v>在售</x:v>
      </x:c>
      <x:c r="AB189" s="12" t="n">
        <x:f>IF(AND(Z189="共同",ISNUMBER(G189),ISNUMBER(AD189)),G189-AD189,"")</x:f>
        <x:v>0.021428571428571422</x:v>
      </x:c>
      <x:c r="AC189" s="3" t="str"/>
      <x:c r="AD189" s="12" t="n">
        <x:v>0.11952380952380952</x:v>
      </x:c>
      <x:c r="AE189" s="3" t="str">
        <x:v>[13306,"B07-BK-V-0-38"]</x:v>
      </x:c>
      <x:c r="AF189" t="n">
        <x:f>IF(ISNUMBER(H189),1,0)</x:f>
        <x:v>1</x:v>
      </x:c>
      <x:c r="AG189" t="n">
        <x:f>IF(ISNUMBER(I189),1,0)</x:f>
        <x:v>1</x:v>
      </x:c>
      <x:c r="AH189" t="str">
        <x:v>["B07","B07-BK-V-0","BK-V","黑色天鹅绒"]</x:v>
      </x:c>
      <x:c r="AI189" t="n">
        <x:f>IF(ISNUMBER(G189),1,0)</x:f>
        <x:v>1</x:v>
      </x:c>
      <x:c r="AJ189" t="n">
        <x:f>IF(ISNUMBER(AD189),1,0)</x:f>
        <x:v>1</x:v>
      </x:c>
    </x:row>
    <x:row r="190" ht="30" customHeight="1">
      <x:c r="A190" s="3" t="str">
        <x:v>B07-BKP-37-New</x:v>
      </x:c>
      <x:c r="B190" s="3" t="str">
        <x:v>4店-彬郁-US</x:v>
      </x:c>
      <x:c r="C190" s="3" t="str">
        <x:v>艾年</x:v>
      </x:c>
      <x:c r="D190" s="3" t="str">
        <x:v>B07</x:v>
      </x:c>
      <x:c r="E190" s="3" t="str">
        <x:f>IF(Z190="移出","已移出",IF(NOT(ISNUMBER(H190)),"数据待核",IF(H190=0,"断货",IF(NOT(ISNUMBER(G190)),"数据待核",IF(G190=0,"零日销待复核",IF(F190&lt;60,"补货提醒",IF(F190&lt;=90,"正常库存",IF(F190&lt;180,"促销",IF(F190&lt;=365,"红线促销","考虑清仓")))))))))</x:f>
        <x:v>促销</x:v>
      </x:c>
      <x:c r="F190" s="11" t="n">
        <x:f>IF(AND(ISNUMBER(H190),ISNUMBER(G190),G190&gt;0),H190/G190,"")</x:f>
        <x:v>104.06607369758578</x:v>
      </x:c>
      <x:c r="G190" s="12" t="n">
        <x:f>IF(AND(COUNT(P190:R190)=3,MIN(P190:R190)&gt;=0,P190&lt;=Q190,Q190&lt;=R190),P190/7*0.5+Q190/14*0.3+R190/30*0.2,"")</x:f>
        <x:v>0.37476190476190474</x:v>
      </x:c>
      <x:c r="H190" s="10" t="n">
        <x:f>IF(ISNUMBER(U190),U190,"")</x:f>
        <x:v>39</x:v>
      </x:c>
      <x:c r="I190" s="10" t="n">
        <x:v>43</x:v>
      </x:c>
      <x:c r="J190" s="11" t="n">
        <x:f>IF(AND(Z190="共同",ISNUMBER(F190),ISNUMBER(M190)),F190-M190,"")</x:f>
        <x:v>-74.74580749053305</x:v>
      </x:c>
      <x:c r="K190" s="13" t="n">
        <x:f>IF(AND(ISNUMBER(J190),M190&lt;&gt;0),J190/M190,"")</x:f>
        <x:v>-0.4180136520788393</x:v>
      </x:c>
      <x:c r="L190" s="10" t="str">
        <x:v>促销</x:v>
      </x:c>
      <x:c r="M190" s="11" t="n">
        <x:v>178.81188118811883</x:v>
      </x:c>
      <x:c r="N190" s="10" t="n">
        <x:f>IF(AND(Z190="共同",COUNT(H190:I190)=2),H190-I190,"")</x:f>
        <x:v>-4</x:v>
      </x:c>
      <x:c r="O190" s="10" t="n">
        <x:v>17</x:v>
      </x:c>
      <x:c r="P190" s="10" t="n">
        <x:v>3</x:v>
      </x:c>
      <x:c r="Q190" s="10" t="n">
        <x:v>5</x:v>
      </x:c>
      <x:c r="R190" s="10" t="n">
        <x:v>8</x:v>
      </x:c>
      <x:c r="S190" s="10" t="n">
        <x:v>39</x:v>
      </x:c>
      <x:c r="T190" s="10" t="n">
        <x:v>0</x:v>
      </x:c>
      <x:c r="U190" s="10" t="n">
        <x:f>IF(AND(ISNUMBER(X190),X190&gt;=0,Y190&lt;&gt;1),X190,"")</x:f>
        <x:v>39</x:v>
      </x:c>
      <x:c r="V190" s="10" t="n">
        <x:v>18</x:v>
      </x:c>
      <x:c r="W190" s="10" t="n">
        <x:v>0</x:v>
      </x:c>
      <x:c r="X190" s="10" t="n">
        <x:v>39</x:v>
      </x:c>
      <x:c r="Y190" s="3" t="n">
        <x:v>0</x:v>
      </x:c>
      <x:c r="Z190" s="3" t="str">
        <x:v>共同</x:v>
      </x:c>
      <x:c r="AA190" s="3" t="str">
        <x:v>在售</x:v>
      </x:c>
      <x:c r="AB190" s="12" t="n">
        <x:f>IF(AND(Z190="共同",ISNUMBER(G190),ISNUMBER(AD190)),G190-AD190,"")</x:f>
        <x:v>0.13428571428571429</x:v>
      </x:c>
      <x:c r="AC190" s="3" t="str"/>
      <x:c r="AD190" s="12" t="n">
        <x:v>0.24047619047619045</x:v>
      </x:c>
      <x:c r="AE190" s="3" t="str">
        <x:v>[13306,"B07-BKP-37-New"]</x:v>
      </x:c>
      <x:c r="AF190" t="n">
        <x:f>IF(ISNUMBER(H190),1,0)</x:f>
        <x:v>1</x:v>
      </x:c>
      <x:c r="AG190" t="n">
        <x:f>IF(ISNUMBER(I190),1,0)</x:f>
        <x:v>1</x:v>
      </x:c>
      <x:c r="AH190" t="str">
        <x:v>["B07","B07-BKP","BKP","黑色PU"]</x:v>
      </x:c>
      <x:c r="AI190" t="n">
        <x:f>IF(ISNUMBER(G190),1,0)</x:f>
        <x:v>1</x:v>
      </x:c>
      <x:c r="AJ190" t="n">
        <x:f>IF(ISNUMBER(AD190),1,0)</x:f>
        <x:v>1</x:v>
      </x:c>
    </x:row>
    <x:row r="191" ht="30" customHeight="1">
      <x:c r="A191" s="3" t="str">
        <x:v>B07-CF-37.5</x:v>
      </x:c>
      <x:c r="B191" s="3" t="str">
        <x:v>4店-彬郁-US</x:v>
      </x:c>
      <x:c r="C191" s="3" t="str">
        <x:v>艾年</x:v>
      </x:c>
      <x:c r="D191" s="3" t="str">
        <x:v>B07</x:v>
      </x:c>
      <x:c r="E191" s="3" t="str">
        <x:f>IF(Z191="移出","已移出",IF(NOT(ISNUMBER(H191)),"数据待核",IF(H191=0,"断货",IF(NOT(ISNUMBER(G191)),"数据待核",IF(G191=0,"零日销待复核",IF(F191&lt;60,"补货提醒",IF(F191&lt;=90,"正常库存",IF(F191&lt;180,"促销",IF(F191&lt;=365,"红线促销","考虑清仓")))))))))</x:f>
        <x:v>促销</x:v>
      </x:c>
      <x:c r="F191" s="11" t="n">
        <x:f>IF(AND(ISNUMBER(H191),ISNUMBER(G191),G191&gt;0),H191/G191,"")</x:f>
        <x:v>150</x:v>
      </x:c>
      <x:c r="G191" s="12" t="n">
        <x:f>IF(AND(COUNT(P191:R191)=3,MIN(P191:R191)&gt;=0,P191&lt;=Q191,Q191&lt;=R191),P191/7*0.5+Q191/14*0.3+R191/30*0.2,"")</x:f>
        <x:v>0.006666666666666667</x:v>
      </x:c>
      <x:c r="H191" s="10" t="n">
        <x:f>IF(ISNUMBER(U191),U191,"")</x:f>
        <x:v>1</x:v>
      </x:c>
      <x:c r="I191" s="10" t="n">
        <x:v>1</x:v>
      </x:c>
      <x:c r="J191" s="11" t="n">
        <x:f>IF(AND(Z191="共同",ISNUMBER(F191),ISNUMBER(M191)),F191-M191,"")</x:f>
        <x:v>140.5829596412556</x:v>
      </x:c>
      <x:c r="K191" s="13" t="n">
        <x:f>IF(AND(ISNUMBER(J191),M191&lt;&gt;0),J191/M191,"")</x:f>
        <x:v>14.928571428571429</x:v>
      </x:c>
      <x:c r="L191" s="10" t="str">
        <x:v>补货提醒</x:v>
      </x:c>
      <x:c r="M191" s="11" t="n">
        <x:v>9.417040358744394</x:v>
      </x:c>
      <x:c r="N191" s="10" t="n">
        <x:f>IF(AND(Z191="共同",COUNT(H191:I191)=2),H191-I191,"")</x:f>
        <x:v>0</x:v>
      </x:c>
      <x:c r="O191" s="10" t="n">
        <x:v>0</x:v>
      </x:c>
      <x:c r="P191" s="10" t="n">
        <x:v>0</x:v>
      </x:c>
      <x:c r="Q191" s="10" t="n">
        <x:v>0</x:v>
      </x:c>
      <x:c r="R191" s="10" t="n">
        <x:v>1</x:v>
      </x:c>
      <x:c r="S191" s="10" t="n">
        <x:v>1</x:v>
      </x:c>
      <x:c r="T191" s="10" t="n">
        <x:v>0</x:v>
      </x:c>
      <x:c r="U191" s="10" t="n">
        <x:f>IF(AND(ISNUMBER(X191),X191&gt;=0,Y191&lt;&gt;1),X191,"")</x:f>
        <x:v>1</x:v>
      </x:c>
      <x:c r="V191" s="10" t="n">
        <x:v>0</x:v>
      </x:c>
      <x:c r="W191" s="10" t="n">
        <x:v>0</x:v>
      </x:c>
      <x:c r="X191" s="10" t="n">
        <x:v>1</x:v>
      </x:c>
      <x:c r="Y191" s="3" t="n">
        <x:v>0</x:v>
      </x:c>
      <x:c r="Z191" s="3" t="str">
        <x:v>共同</x:v>
      </x:c>
      <x:c r="AA191" s="3" t="str">
        <x:v>在售</x:v>
      </x:c>
      <x:c r="AB191" s="12" t="n">
        <x:f>IF(AND(Z191="共同",ISNUMBER(G191),ISNUMBER(AD191)),G191-AD191,"")</x:f>
        <x:v>-0.09952380952380953</x:v>
      </x:c>
      <x:c r="AC191" s="3" t="str"/>
      <x:c r="AD191" s="12" t="n">
        <x:v>0.1061904761904762</x:v>
      </x:c>
      <x:c r="AE191" s="3" t="str">
        <x:v>[13306,"B07-CF-37.5"]</x:v>
      </x:c>
      <x:c r="AF191" t="n">
        <x:f>IF(ISNUMBER(H191),1,0)</x:f>
        <x:v>1</x:v>
      </x:c>
      <x:c r="AG191" t="n">
        <x:f>IF(ISNUMBER(I191),1,0)</x:f>
        <x:v>1</x:v>
      </x:c>
      <x:c r="AH191" t="str">
        <x:v>["B07","B07-CF","CF","咖色PU"]</x:v>
      </x:c>
      <x:c r="AI191" t="n">
        <x:f>IF(ISNUMBER(G191),1,0)</x:f>
        <x:v>1</x:v>
      </x:c>
      <x:c r="AJ191" t="n">
        <x:f>IF(ISNUMBER(AD191),1,0)</x:f>
        <x:v>1</x:v>
      </x:c>
    </x:row>
    <x:row r="192" ht="30" customHeight="1">
      <x:c r="A192" s="3" t="str">
        <x:v>B07-IV-P-38</x:v>
      </x:c>
      <x:c r="B192" s="3" t="str">
        <x:v>4店-彬郁-US</x:v>
      </x:c>
      <x:c r="C192" s="3" t="str">
        <x:v>艾年</x:v>
      </x:c>
      <x:c r="D192" s="3" t="str">
        <x:v>B07</x:v>
      </x:c>
      <x:c r="E192" s="3" t="str">
        <x:f>IF(Z192="移出","已移出",IF(NOT(ISNUMBER(H192)),"数据待核",IF(H192=0,"断货",IF(NOT(ISNUMBER(G192)),"数据待核",IF(G192=0,"零日销待复核",IF(F192&lt;60,"补货提醒",IF(F192&lt;=90,"正常库存",IF(F192&lt;180,"促销",IF(F192&lt;=365,"红线促销","考虑清仓")))))))))</x:f>
        <x:v>促销</x:v>
      </x:c>
      <x:c r="F192" s="11" t="n">
        <x:f>IF(AND(ISNUMBER(H192),ISNUMBER(G192),G192&gt;0),H192/G192,"")</x:f>
        <x:v>150</x:v>
      </x:c>
      <x:c r="G192" s="12" t="n">
        <x:f>IF(AND(COUNT(P192:R192)=3,MIN(P192:R192)&gt;=0,P192&lt;=Q192,Q192&lt;=R192),P192/7*0.5+Q192/14*0.3+R192/30*0.2,"")</x:f>
        <x:v>0.006666666666666667</x:v>
      </x:c>
      <x:c r="H192" s="10" t="n">
        <x:f>IF(ISNUMBER(U192),U192,"")</x:f>
        <x:v>1</x:v>
      </x:c>
      <x:c r="I192" s="10" t="n">
        <x:v>1</x:v>
      </x:c>
      <x:c r="J192" s="11" t="n">
        <x:f>IF(AND(Z192="共同",ISNUMBER(F192),ISNUMBER(M192)),F192-M192,"")</x:f>
        <x:v>114.40677966101694</x:v>
      </x:c>
      <x:c r="K192" s="13" t="n">
        <x:f>IF(AND(ISNUMBER(J192),M192&lt;&gt;0),J192/M192,"")</x:f>
        <x:v>3.214285714285714</x:v>
      </x:c>
      <x:c r="L192" s="10" t="str">
        <x:v>补货提醒</x:v>
      </x:c>
      <x:c r="M192" s="11" t="n">
        <x:v>35.59322033898305</x:v>
      </x:c>
      <x:c r="N192" s="10" t="n">
        <x:f>IF(AND(Z192="共同",COUNT(H192:I192)=2),H192-I192,"")</x:f>
        <x:v>0</x:v>
      </x:c>
      <x:c r="O192" s="10" t="n">
        <x:v>0</x:v>
      </x:c>
      <x:c r="P192" s="10" t="n">
        <x:v>0</x:v>
      </x:c>
      <x:c r="Q192" s="10" t="n">
        <x:v>0</x:v>
      </x:c>
      <x:c r="R192" s="10" t="n">
        <x:v>1</x:v>
      </x:c>
      <x:c r="S192" s="10" t="n">
        <x:v>1</x:v>
      </x:c>
      <x:c r="T192" s="10" t="n">
        <x:v>0</x:v>
      </x:c>
      <x:c r="U192" s="10" t="n">
        <x:f>IF(AND(ISNUMBER(X192),X192&gt;=0,Y192&lt;&gt;1),X192,"")</x:f>
        <x:v>1</x:v>
      </x:c>
      <x:c r="V192" s="10" t="n">
        <x:v>0</x:v>
      </x:c>
      <x:c r="W192" s="10" t="n">
        <x:v>14</x:v>
      </x:c>
      <x:c r="X192" s="10" t="n">
        <x:v>1</x:v>
      </x:c>
      <x:c r="Y192" s="3" t="n">
        <x:v>0</x:v>
      </x:c>
      <x:c r="Z192" s="3" t="str">
        <x:v>共同</x:v>
      </x:c>
      <x:c r="AA192" s="3" t="str">
        <x:v>在售</x:v>
      </x:c>
      <x:c r="AB192" s="12" t="n">
        <x:f>IF(AND(Z192="共同",ISNUMBER(G192),ISNUMBER(AD192)),G192-AD192,"")</x:f>
        <x:v>-0.02142857142857143</x:v>
      </x:c>
      <x:c r="AC192" s="3" t="str"/>
      <x:c r="AD192" s="12" t="n">
        <x:v>0.028095238095238097</x:v>
      </x:c>
      <x:c r="AE192" s="3" t="str">
        <x:v>[13306,"B07-IV-P-38"]</x:v>
      </x:c>
      <x:c r="AF192" t="n">
        <x:f>IF(ISNUMBER(H192),1,0)</x:f>
        <x:v>1</x:v>
      </x:c>
      <x:c r="AG192" t="n">
        <x:f>IF(ISNUMBER(I192),1,0)</x:f>
        <x:v>1</x:v>
      </x:c>
      <x:c r="AH192" t="str">
        <x:v>["B07","B07-IV-P","IV-P","米白色PU"]</x:v>
      </x:c>
      <x:c r="AI192" t="n">
        <x:f>IF(ISNUMBER(G192),1,0)</x:f>
        <x:v>1</x:v>
      </x:c>
      <x:c r="AJ192" t="n">
        <x:f>IF(ISNUMBER(AD192),1,0)</x:f>
        <x:v>1</x:v>
      </x:c>
    </x:row>
    <x:row r="193" ht="30" customHeight="1">
      <x:c r="A193" s="3" t="str">
        <x:v>B07-IV-P-41</x:v>
      </x:c>
      <x:c r="B193" s="3" t="str">
        <x:v>4店-彬郁-US</x:v>
      </x:c>
      <x:c r="C193" s="3" t="str">
        <x:v>艾年</x:v>
      </x:c>
      <x:c r="D193" s="3" t="str">
        <x:v>B07</x:v>
      </x:c>
      <x:c r="E193" s="3" t="str">
        <x:f>IF(Z193="移出","已移出",IF(NOT(ISNUMBER(H193)),"数据待核",IF(H193=0,"断货",IF(NOT(ISNUMBER(G193)),"数据待核",IF(G193=0,"零日销待复核",IF(F193&lt;60,"补货提醒",IF(F193&lt;=90,"正常库存",IF(F193&lt;180,"促销",IF(F193&lt;=365,"红线促销","考虑清仓")))))))))</x:f>
        <x:v>促销</x:v>
      </x:c>
      <x:c r="F193" s="11" t="n">
        <x:f>IF(AND(ISNUMBER(H193),ISNUMBER(G193),G193&gt;0),H193/G193,"")</x:f>
        <x:v>150</x:v>
      </x:c>
      <x:c r="G193" s="12" t="n">
        <x:f>IF(AND(COUNT(P193:R193)=3,MIN(P193:R193)&gt;=0,P193&lt;=Q193,Q193&lt;=R193),P193/7*0.5+Q193/14*0.3+R193/30*0.2,"")</x:f>
        <x:v>0.006666666666666667</x:v>
      </x:c>
      <x:c r="H193" s="10" t="n">
        <x:f>IF(ISNUMBER(U193),U193,"")</x:f>
        <x:v>1</x:v>
      </x:c>
      <x:c r="I193" s="10" t="n">
        <x:v>1</x:v>
      </x:c>
      <x:c r="J193" s="11" t="n">
        <x:f>IF(AND(Z193="共同",ISNUMBER(F193),ISNUMBER(M193)),F193-M193,"")</x:f>
        <x:v>139.95215311004785</x:v>
      </x:c>
      <x:c r="K193" s="13" t="n">
        <x:f>IF(AND(ISNUMBER(J193),M193&lt;&gt;0),J193/M193,"")</x:f>
        <x:v>13.928571428571427</x:v>
      </x:c>
      <x:c r="L193" s="10" t="str">
        <x:v>补货提醒</x:v>
      </x:c>
      <x:c r="M193" s="11" t="n">
        <x:v>10.047846889952154</x:v>
      </x:c>
      <x:c r="N193" s="10" t="n">
        <x:f>IF(AND(Z193="共同",COUNT(H193:I193)=2),H193-I193,"")</x:f>
        <x:v>0</x:v>
      </x:c>
      <x:c r="O193" s="10" t="n">
        <x:v>4</x:v>
      </x:c>
      <x:c r="P193" s="10" t="n">
        <x:v>0</x:v>
      </x:c>
      <x:c r="Q193" s="10" t="n">
        <x:v>0</x:v>
      </x:c>
      <x:c r="R193" s="10" t="n">
        <x:v>1</x:v>
      </x:c>
      <x:c r="S193" s="10" t="n">
        <x:v>1</x:v>
      </x:c>
      <x:c r="T193" s="10" t="n">
        <x:v>0</x:v>
      </x:c>
      <x:c r="U193" s="10" t="n">
        <x:f>IF(AND(ISNUMBER(X193),X193&gt;=0,Y193&lt;&gt;1),X193,"")</x:f>
        <x:v>1</x:v>
      </x:c>
      <x:c r="V193" s="10" t="n">
        <x:v>0</x:v>
      </x:c>
      <x:c r="W193" s="10" t="n">
        <x:v>4</x:v>
      </x:c>
      <x:c r="X193" s="10" t="n">
        <x:v>1</x:v>
      </x:c>
      <x:c r="Y193" s="3" t="n">
        <x:v>0</x:v>
      </x:c>
      <x:c r="Z193" s="3" t="str">
        <x:v>共同</x:v>
      </x:c>
      <x:c r="AA193" s="3" t="str">
        <x:v>在售</x:v>
      </x:c>
      <x:c r="AB193" s="12" t="n">
        <x:f>IF(AND(Z193="共同",ISNUMBER(G193),ISNUMBER(AD193)),G193-AD193,"")</x:f>
        <x:v>-0.09285714285714285</x:v>
      </x:c>
      <x:c r="AC193" s="3" t="str"/>
      <x:c r="AD193" s="12" t="n">
        <x:v>0.09952380952380951</x:v>
      </x:c>
      <x:c r="AE193" s="3" t="str">
        <x:v>[13306,"B07-IV-P-41"]</x:v>
      </x:c>
      <x:c r="AF193" t="n">
        <x:f>IF(ISNUMBER(H193),1,0)</x:f>
        <x:v>1</x:v>
      </x:c>
      <x:c r="AG193" t="n">
        <x:f>IF(ISNUMBER(I193),1,0)</x:f>
        <x:v>1</x:v>
      </x:c>
      <x:c r="AH193" t="str">
        <x:v>["B07","B07-IV-P","IV-P","米白色PU"]</x:v>
      </x:c>
      <x:c r="AI193" t="n">
        <x:f>IF(ISNUMBER(G193),1,0)</x:f>
        <x:v>1</x:v>
      </x:c>
      <x:c r="AJ193" t="n">
        <x:f>IF(ISNUMBER(AD193),1,0)</x:f>
        <x:v>1</x:v>
      </x:c>
    </x:row>
    <x:row r="194" ht="30" customHeight="1">
      <x:c r="A194" s="3" t="str">
        <x:v>B07-NY-37-by</x:v>
      </x:c>
      <x:c r="B194" s="3" t="str">
        <x:v>4店-彬郁-US</x:v>
      </x:c>
      <x:c r="C194" s="3" t="str">
        <x:v>艾年</x:v>
      </x:c>
      <x:c r="D194" s="3" t="str">
        <x:v>B07</x:v>
      </x:c>
      <x:c r="E194" s="3" t="str">
        <x:f>IF(Z194="移出","已移出",IF(NOT(ISNUMBER(H194)),"数据待核",IF(H194=0,"断货",IF(NOT(ISNUMBER(G194)),"数据待核",IF(G194=0,"零日销待复核",IF(F194&lt;60,"补货提醒",IF(F194&lt;=90,"正常库存",IF(F194&lt;180,"促销",IF(F194&lt;=365,"红线促销","考虑清仓")))))))))</x:f>
        <x:v>促销</x:v>
      </x:c>
      <x:c r="F194" s="11" t="n">
        <x:f>IF(AND(ISNUMBER(H194),ISNUMBER(G194),G194&gt;0),H194/G194,"")</x:f>
        <x:v>100.47846889952154</x:v>
      </x:c>
      <x:c r="G194" s="12" t="n">
        <x:f>IF(AND(COUNT(P194:R194)=3,MIN(P194:R194)&gt;=0,P194&lt;=Q194,Q194&lt;=R194),P194/7*0.5+Q194/14*0.3+R194/30*0.2,"")</x:f>
        <x:v>0.19904761904761903</x:v>
      </x:c>
      <x:c r="H194" s="10" t="n">
        <x:f>IF(ISNUMBER(U194),U194,"")</x:f>
        <x:v>20</x:v>
      </x:c>
      <x:c r="I194" s="10" t="n">
        <x:v>12</x:v>
      </x:c>
      <x:c r="J194" s="11" t="n">
        <x:f>IF(AND(Z194="共同",ISNUMBER(F194),ISNUMBER(M194)),F194-M194,"")</x:f>
        <x:v>-1699.5215311004786</x:v>
      </x:c>
      <x:c r="K194" s="13" t="n">
        <x:f>IF(AND(ISNUMBER(J194),M194&lt;&gt;0),J194/M194,"")</x:f>
        <x:v>-0.9441786283891547</x:v>
      </x:c>
      <x:c r="L194" s="10" t="str">
        <x:v>考虑清仓</x:v>
      </x:c>
      <x:c r="M194" s="11" t="n">
        <x:v>1800.0000000000002</x:v>
      </x:c>
      <x:c r="N194" s="10" t="n">
        <x:f>IF(AND(Z194="共同",COUNT(H194:I194)=2),H194-I194,"")</x:f>
        <x:v>8</x:v>
      </x:c>
      <x:c r="O194" s="10" t="n">
        <x:v>0</x:v>
      </x:c>
      <x:c r="P194" s="10" t="n">
        <x:v>2</x:v>
      </x:c>
      <x:c r="Q194" s="10" t="n">
        <x:v>2</x:v>
      </x:c>
      <x:c r="R194" s="10" t="n">
        <x:v>2</x:v>
      </x:c>
      <x:c r="S194" s="10" t="n">
        <x:v>28</x:v>
      </x:c>
      <x:c r="T194" s="10" t="n">
        <x:v>0</x:v>
      </x:c>
      <x:c r="U194" s="10" t="n">
        <x:f>IF(AND(ISNUMBER(X194),X194&gt;=0,Y194&lt;&gt;1),X194,"")</x:f>
        <x:v>20</x:v>
      </x:c>
      <x:c r="V194" s="10" t="n">
        <x:v>0</x:v>
      </x:c>
      <x:c r="W194" s="10" t="n">
        <x:v>0</x:v>
      </x:c>
      <x:c r="X194" s="10" t="n">
        <x:v>20</x:v>
      </x:c>
      <x:c r="Y194" s="3" t="n">
        <x:v>0</x:v>
      </x:c>
      <x:c r="Z194" s="3" t="str">
        <x:v>共同</x:v>
      </x:c>
      <x:c r="AA194" s="3" t="str">
        <x:v>在售</x:v>
      </x:c>
      <x:c r="AB194" s="12" t="n">
        <x:f>IF(AND(Z194="共同",ISNUMBER(G194),ISNUMBER(AD194)),G194-AD194,"")</x:f>
        <x:v>0.19238095238095237</x:v>
      </x:c>
      <x:c r="AC194" s="3" t="str"/>
      <x:c r="AD194" s="12" t="n">
        <x:v>0.006666666666666666</x:v>
      </x:c>
      <x:c r="AE194" s="3" t="str">
        <x:v>[13306,"B07-NY-37-by"]</x:v>
      </x:c>
      <x:c r="AF194" t="n">
        <x:f>IF(ISNUMBER(H194),1,0)</x:f>
        <x:v>1</x:v>
      </x:c>
      <x:c r="AG194" t="n">
        <x:f>IF(ISNUMBER(I194),1,0)</x:f>
        <x:v>1</x:v>
      </x:c>
      <x:c r="AH194" t="str">
        <x:v>["B07","B07-NY","NY","藏青色羊京绒"]</x:v>
      </x:c>
      <x:c r="AI194" t="n">
        <x:f>IF(ISNUMBER(G194),1,0)</x:f>
        <x:v>1</x:v>
      </x:c>
      <x:c r="AJ194" t="n">
        <x:f>IF(ISNUMBER(AD194),1,0)</x:f>
        <x:v>1</x:v>
      </x:c>
    </x:row>
    <x:row r="195" ht="30" customHeight="1">
      <x:c r="A195" s="3" t="str">
        <x:v>B07-RD-Z-0-39</x:v>
      </x:c>
      <x:c r="B195" s="3" t="str">
        <x:v>4店-彬郁-US</x:v>
      </x:c>
      <x:c r="C195" s="3" t="str">
        <x:v>艾年</x:v>
      </x:c>
      <x:c r="D195" s="3" t="str">
        <x:v>B07</x:v>
      </x:c>
      <x:c r="E195" s="3" t="str">
        <x:f>IF(Z195="移出","已移出",IF(NOT(ISNUMBER(H195)),"数据待核",IF(H195=0,"断货",IF(NOT(ISNUMBER(G195)),"数据待核",IF(G195=0,"零日销待复核",IF(F195&lt;60,"补货提醒",IF(F195&lt;=90,"正常库存",IF(F195&lt;180,"促销",IF(F195&lt;=365,"红线促销","考虑清仓")))))))))</x:f>
        <x:v>促销</x:v>
      </x:c>
      <x:c r="F195" s="11" t="n">
        <x:f>IF(AND(ISNUMBER(H195),ISNUMBER(G195),G195&gt;0),H195/G195,"")</x:f>
        <x:v>168.96551724137933</x:v>
      </x:c>
      <x:c r="G195" s="12" t="n">
        <x:f>IF(AND(COUNT(P195:R195)=3,MIN(P195:R195)&gt;=0,P195&lt;=Q195,Q195&lt;=R195),P195/7*0.5+Q195/14*0.3+R195/30*0.2,"")</x:f>
        <x:v>0.041428571428571426</x:v>
      </x:c>
      <x:c r="H195" s="10" t="n">
        <x:f>IF(ISNUMBER(U195),U195,"")</x:f>
        <x:v>7</x:v>
      </x:c>
      <x:c r="I195" s="10" t="n">
        <x:v>8</x:v>
      </x:c>
      <x:c r="J195" s="11" t="n">
        <x:f>IF(AND(Z195="共同",ISNUMBER(F195),ISNUMBER(M195)),F195-M195,"")</x:f>
        <x:v>109.39104915627294</x:v>
      </x:c>
      <x:c r="K195" s="13" t="n">
        <x:f>IF(AND(ISNUMBER(J195),M195&lt;&gt;0),J195/M195,"")</x:f>
        <x:v>1.8362068965517244</x:v>
      </x:c>
      <x:c r="L195" s="10" t="str">
        <x:v>补货提醒</x:v>
      </x:c>
      <x:c r="M195" s="11" t="n">
        <x:v>59.57446808510638</x:v>
      </x:c>
      <x:c r="N195" s="10" t="n">
        <x:f>IF(AND(Z195="共同",COUNT(H195:I195)=2),H195-I195,"")</x:f>
        <x:v>-1</x:v>
      </x:c>
      <x:c r="O195" s="10" t="n">
        <x:v>0</x:v>
      </x:c>
      <x:c r="P195" s="10" t="n">
        <x:v>0</x:v>
      </x:c>
      <x:c r="Q195" s="10" t="n">
        <x:v>1</x:v>
      </x:c>
      <x:c r="R195" s="10" t="n">
        <x:v>3</x:v>
      </x:c>
      <x:c r="S195" s="10" t="n">
        <x:v>7</x:v>
      </x:c>
      <x:c r="T195" s="10" t="n">
        <x:v>0</x:v>
      </x:c>
      <x:c r="U195" s="10" t="n">
        <x:f>IF(AND(ISNUMBER(X195),X195&gt;=0,Y195&lt;&gt;1),X195,"")</x:f>
        <x:v>7</x:v>
      </x:c>
      <x:c r="V195" s="10" t="n">
        <x:v>0</x:v>
      </x:c>
      <x:c r="W195" s="10" t="n">
        <x:v>0</x:v>
      </x:c>
      <x:c r="X195" s="10" t="n">
        <x:v>7</x:v>
      </x:c>
      <x:c r="Y195" s="3" t="n">
        <x:v>0</x:v>
      </x:c>
      <x:c r="Z195" s="3" t="str">
        <x:v>共同</x:v>
      </x:c>
      <x:c r="AA195" s="3" t="str">
        <x:v>在售</x:v>
      </x:c>
      <x:c r="AB195" s="12" t="n">
        <x:f>IF(AND(Z195="共同",ISNUMBER(G195),ISNUMBER(AD195)),G195-AD195,"")</x:f>
        <x:v>-0.09285714285714286</x:v>
      </x:c>
      <x:c r="AC195" s="3" t="str"/>
      <x:c r="AD195" s="12" t="n">
        <x:v>0.13428571428571429</x:v>
      </x:c>
      <x:c r="AE195" s="3" t="str">
        <x:v>[13306,"B07-RD-Z-0-39"]</x:v>
      </x:c>
      <x:c r="AF195" t="n">
        <x:f>IF(ISNUMBER(H195),1,0)</x:f>
        <x:v>1</x:v>
      </x:c>
      <x:c r="AG195" t="n">
        <x:f>IF(ISNUMBER(I195),1,0)</x:f>
        <x:v>1</x:v>
      </x:c>
      <x:c r="AH195" t="str">
        <x:v>["B07","B07-RD-Z-0","RD-Z","红色镜面PU"]</x:v>
      </x:c>
      <x:c r="AI195" t="n">
        <x:f>IF(ISNUMBER(G195),1,0)</x:f>
        <x:v>1</x:v>
      </x:c>
      <x:c r="AJ195" t="n">
        <x:f>IF(ISNUMBER(AD195),1,0)</x:f>
        <x:v>1</x:v>
      </x:c>
    </x:row>
    <x:row r="196" ht="30" customHeight="1">
      <x:c r="A196" s="3" t="str">
        <x:v>B07-TN-39-by</x:v>
      </x:c>
      <x:c r="B196" s="3" t="str">
        <x:v>4店-彬郁-US</x:v>
      </x:c>
      <x:c r="C196" s="3" t="str">
        <x:v>艾年</x:v>
      </x:c>
      <x:c r="D196" s="3" t="str">
        <x:v>B07</x:v>
      </x:c>
      <x:c r="E196" s="3" t="str">
        <x:f>IF(Z196="移出","已移出",IF(NOT(ISNUMBER(H196)),"数据待核",IF(H196=0,"断货",IF(NOT(ISNUMBER(G196)),"数据待核",IF(G196=0,"零日销待复核",IF(F196&lt;60,"补货提醒",IF(F196&lt;=90,"正常库存",IF(F196&lt;180,"促销",IF(F196&lt;=365,"红线促销","考虑清仓")))))))))</x:f>
        <x:v>促销</x:v>
      </x:c>
      <x:c r="F196" s="11" t="n">
        <x:f>IF(AND(ISNUMBER(H196),ISNUMBER(G196),G196&gt;0),H196/G196,"")</x:f>
        <x:v>172.38805970149255</x:v>
      </x:c>
      <x:c r="G196" s="12" t="n">
        <x:f>IF(AND(COUNT(P196:R196)=3,MIN(P196:R196)&gt;=0,P196&lt;=Q196,Q196&lt;=R196),P196/7*0.5+Q196/14*0.3+R196/30*0.2,"")</x:f>
        <x:v>0.1276190476190476</x:v>
      </x:c>
      <x:c r="H196" s="10" t="n">
        <x:f>IF(ISNUMBER(U196),U196,"")</x:f>
        <x:v>22</x:v>
      </x:c>
      <x:c r="I196" s="10" t="n">
        <x:v>0</x:v>
      </x:c>
      <x:c r="J196" s="11" t="str">
        <x:f>IF(AND(Z196="共同",ISNUMBER(F196),ISNUMBER(M196)),F196-M196,"")</x:f>
      </x:c>
      <x:c r="K196" s="13" t="str">
        <x:f>IF(AND(ISNUMBER(J196),M196&lt;&gt;0),J196/M196,"")</x:f>
      </x:c>
      <x:c r="L196" s="10" t="str">
        <x:v>断货</x:v>
      </x:c>
      <x:c r="M196" s="11"/>
      <x:c r="N196" s="10" t="n">
        <x:f>IF(AND(Z196="共同",COUNT(H196:I196)=2),H196-I196,"")</x:f>
        <x:v>22</x:v>
      </x:c>
      <x:c r="O196" s="10" t="n">
        <x:v>0</x:v>
      </x:c>
      <x:c r="P196" s="10" t="n">
        <x:v>1</x:v>
      </x:c>
      <x:c r="Q196" s="10" t="n">
        <x:v>2</x:v>
      </x:c>
      <x:c r="R196" s="10" t="n">
        <x:v>2</x:v>
      </x:c>
      <x:c r="S196" s="10" t="n">
        <x:v>22</x:v>
      </x:c>
      <x:c r="T196" s="10" t="n">
        <x:v>0</x:v>
      </x:c>
      <x:c r="U196" s="10" t="n">
        <x:f>IF(AND(ISNUMBER(X196),X196&gt;=0,Y196&lt;&gt;1),X196,"")</x:f>
        <x:v>22</x:v>
      </x:c>
      <x:c r="V196" s="10" t="n">
        <x:v>0</x:v>
      </x:c>
      <x:c r="W196" s="10" t="n">
        <x:v>11</x:v>
      </x:c>
      <x:c r="X196" s="10" t="n">
        <x:v>22</x:v>
      </x:c>
      <x:c r="Y196" s="3" t="n">
        <x:v>0</x:v>
      </x:c>
      <x:c r="Z196" s="3" t="str">
        <x:v>共同</x:v>
      </x:c>
      <x:c r="AA196" s="3" t="str">
        <x:v>在售</x:v>
      </x:c>
      <x:c r="AB196" s="12" t="n">
        <x:f>IF(AND(Z196="共同",ISNUMBER(G196),ISNUMBER(AD196)),G196-AD196,"")</x:f>
        <x:v>0.1276190476190476</x:v>
      </x:c>
      <x:c r="AC196" s="3" t="str"/>
      <x:c r="AD196" s="12" t="n">
        <x:v>0</x:v>
      </x:c>
      <x:c r="AE196" s="3" t="str">
        <x:v>[13306,"B07-TN-39-by"]</x:v>
      </x:c>
      <x:c r="AF196" t="n">
        <x:f>IF(ISNUMBER(H196),1,0)</x:f>
        <x:v>1</x:v>
      </x:c>
      <x:c r="AG196" t="n">
        <x:f>IF(ISNUMBER(I196),1,0)</x:f>
        <x:v>1</x:v>
      </x:c>
      <x:c r="AH196" t="str">
        <x:v>["B07","B07-TN","TN","驼色羊京绒"]</x:v>
      </x:c>
      <x:c r="AI196" t="n">
        <x:f>IF(ISNUMBER(G196),1,0)</x:f>
        <x:v>1</x:v>
      </x:c>
      <x:c r="AJ196" t="n">
        <x:f>IF(ISNUMBER(AD196),1,0)</x:f>
        <x:v>1</x:v>
      </x:c>
    </x:row>
    <x:row r="197" ht="30" customHeight="1">
      <x:c r="A197" s="3" t="str">
        <x:v>B07-TN-39.5</x:v>
      </x:c>
      <x:c r="B197" s="3" t="str">
        <x:v>4店-彬郁-US</x:v>
      </x:c>
      <x:c r="C197" s="3" t="str">
        <x:v>艾年</x:v>
      </x:c>
      <x:c r="D197" s="3" t="str">
        <x:v>B07</x:v>
      </x:c>
      <x:c r="E197" s="3" t="str">
        <x:f>IF(Z197="移出","已移出",IF(NOT(ISNUMBER(H197)),"数据待核",IF(H197=0,"断货",IF(NOT(ISNUMBER(G197)),"数据待核",IF(G197=0,"零日销待复核",IF(F197&lt;60,"补货提醒",IF(F197&lt;=90,"正常库存",IF(F197&lt;180,"促销",IF(F197&lt;=365,"红线促销","考虑清仓")))))))))</x:f>
        <x:v>促销</x:v>
      </x:c>
      <x:c r="F197" s="11" t="n">
        <x:f>IF(AND(ISNUMBER(H197),ISNUMBER(G197),G197&gt;0),H197/G197,"")</x:f>
        <x:v>120.57416267942585</x:v>
      </x:c>
      <x:c r="G197" s="12" t="n">
        <x:f>IF(AND(COUNT(P197:R197)=3,MIN(P197:R197)&gt;=0,P197&lt;=Q197,Q197&lt;=R197),P197/7*0.5+Q197/14*0.3+R197/30*0.2,"")</x:f>
        <x:v>0.19904761904761903</x:v>
      </x:c>
      <x:c r="H197" s="10" t="n">
        <x:f>IF(ISNUMBER(U197),U197,"")</x:f>
        <x:v>24</x:v>
      </x:c>
      <x:c r="I197" s="10" t="n">
        <x:v>6</x:v>
      </x:c>
      <x:c r="J197" s="11" t="n">
        <x:f>IF(AND(Z197="共同",ISNUMBER(F197),ISNUMBER(M197)),F197-M197,"")</x:f>
        <x:v>-779.4258373205743</x:v>
      </x:c>
      <x:c r="K197" s="13" t="n">
        <x:f>IF(AND(ISNUMBER(J197),M197&lt;&gt;0),J197/M197,"")</x:f>
        <x:v>-0.8660287081339713</x:v>
      </x:c>
      <x:c r="L197" s="10" t="str">
        <x:v>考虑清仓</x:v>
      </x:c>
      <x:c r="M197" s="11" t="n">
        <x:v>900.0000000000001</x:v>
      </x:c>
      <x:c r="N197" s="10" t="n">
        <x:f>IF(AND(Z197="共同",COUNT(H197:I197)=2),H197-I197,"")</x:f>
        <x:v>18</x:v>
      </x:c>
      <x:c r="O197" s="10" t="n">
        <x:v>0</x:v>
      </x:c>
      <x:c r="P197" s="10" t="n">
        <x:v>2</x:v>
      </x:c>
      <x:c r="Q197" s="10" t="n">
        <x:v>2</x:v>
      </x:c>
      <x:c r="R197" s="10" t="n">
        <x:v>2</x:v>
      </x:c>
      <x:c r="S197" s="10" t="n">
        <x:v>24</x:v>
      </x:c>
      <x:c r="T197" s="10" t="n">
        <x:v>0</x:v>
      </x:c>
      <x:c r="U197" s="10" t="n">
        <x:f>IF(AND(ISNUMBER(X197),X197&gt;=0,Y197&lt;&gt;1),X197,"")</x:f>
        <x:v>24</x:v>
      </x:c>
      <x:c r="V197" s="10" t="n">
        <x:v>0</x:v>
      </x:c>
      <x:c r="W197" s="10" t="n">
        <x:v>0</x:v>
      </x:c>
      <x:c r="X197" s="10" t="n">
        <x:v>24</x:v>
      </x:c>
      <x:c r="Y197" s="3" t="n">
        <x:v>0</x:v>
      </x:c>
      <x:c r="Z197" s="3" t="str">
        <x:v>共同</x:v>
      </x:c>
      <x:c r="AA197" s="3" t="str">
        <x:v>在售</x:v>
      </x:c>
      <x:c r="AB197" s="12" t="n">
        <x:f>IF(AND(Z197="共同",ISNUMBER(G197),ISNUMBER(AD197)),G197-AD197,"")</x:f>
        <x:v>0.19238095238095237</x:v>
      </x:c>
      <x:c r="AC197" s="3" t="str"/>
      <x:c r="AD197" s="12" t="n">
        <x:v>0.006666666666666666</x:v>
      </x:c>
      <x:c r="AE197" s="3" t="str">
        <x:v>[13306,"B07-TN-39.5"]</x:v>
      </x:c>
      <x:c r="AF197" t="n">
        <x:f>IF(ISNUMBER(H197),1,0)</x:f>
        <x:v>1</x:v>
      </x:c>
      <x:c r="AG197" t="n">
        <x:f>IF(ISNUMBER(I197),1,0)</x:f>
        <x:v>1</x:v>
      </x:c>
      <x:c r="AH197" t="str">
        <x:v>["B07","B07-TN","TN","驼色羊京绒"]</x:v>
      </x:c>
      <x:c r="AI197" t="n">
        <x:f>IF(ISNUMBER(G197),1,0)</x:f>
        <x:v>1</x:v>
      </x:c>
      <x:c r="AJ197" t="n">
        <x:f>IF(ISNUMBER(AD197),1,0)</x:f>
        <x:v>1</x:v>
      </x:c>
    </x:row>
    <x:row r="198" ht="30" customHeight="1">
      <x:c r="A198" s="3" t="str">
        <x:v>B07-WT-38-New</x:v>
      </x:c>
      <x:c r="B198" s="3" t="str">
        <x:v>4店-彬郁-US</x:v>
      </x:c>
      <x:c r="C198" s="3" t="str">
        <x:v>艾年</x:v>
      </x:c>
      <x:c r="D198" s="3" t="str">
        <x:v>B07</x:v>
      </x:c>
      <x:c r="E198" s="3" t="str">
        <x:f>IF(Z198="移出","已移出",IF(NOT(ISNUMBER(H198)),"数据待核",IF(H198=0,"断货",IF(NOT(ISNUMBER(G198)),"数据待核",IF(G198=0,"零日销待复核",IF(F198&lt;60,"补货提醒",IF(F198&lt;=90,"正常库存",IF(F198&lt;180,"促销",IF(F198&lt;=365,"红线促销","考虑清仓")))))))))</x:f>
        <x:v>促销</x:v>
      </x:c>
      <x:c r="F198" s="11" t="n">
        <x:f>IF(AND(ISNUMBER(H198),ISNUMBER(G198),G198&gt;0),H198/G198,"")</x:f>
        <x:v>150</x:v>
      </x:c>
      <x:c r="G198" s="12" t="n">
        <x:f>IF(AND(COUNT(P198:R198)=3,MIN(P198:R198)&gt;=0,P198&lt;=Q198,Q198&lt;=R198),P198/7*0.5+Q198/14*0.3+R198/30*0.2,"")</x:f>
        <x:v>0.006666666666666667</x:v>
      </x:c>
      <x:c r="H198" s="10" t="n">
        <x:f>IF(ISNUMBER(U198),U198,"")</x:f>
        <x:v>1</x:v>
      </x:c>
      <x:c r="I198" s="10" t="n">
        <x:v>1</x:v>
      </x:c>
      <x:c r="J198" s="11" t="n">
        <x:f>IF(AND(Z198="共同",ISNUMBER(F198),ISNUMBER(M198)),F198-M198,"")</x:f>
        <x:v>0</x:v>
      </x:c>
      <x:c r="K198" s="13" t="n">
        <x:f>IF(AND(ISNUMBER(J198),M198&lt;&gt;0),J198/M198,"")</x:f>
        <x:v>0</x:v>
      </x:c>
      <x:c r="L198" s="10" t="str">
        <x:v>促销</x:v>
      </x:c>
      <x:c r="M198" s="11" t="n">
        <x:v>150</x:v>
      </x:c>
      <x:c r="N198" s="10" t="n">
        <x:f>IF(AND(Z198="共同",COUNT(H198:I198)=2),H198-I198,"")</x:f>
        <x:v>0</x:v>
      </x:c>
      <x:c r="O198" s="10" t="n">
        <x:v>0</x:v>
      </x:c>
      <x:c r="P198" s="10" t="n">
        <x:v>0</x:v>
      </x:c>
      <x:c r="Q198" s="10" t="n">
        <x:v>0</x:v>
      </x:c>
      <x:c r="R198" s="10" t="n">
        <x:v>1</x:v>
      </x:c>
      <x:c r="S198" s="10" t="n">
        <x:v>1</x:v>
      </x:c>
      <x:c r="T198" s="10" t="n">
        <x:v>0</x:v>
      </x:c>
      <x:c r="U198" s="10" t="n">
        <x:f>IF(AND(ISNUMBER(X198),X198&gt;=0,Y198&lt;&gt;1),X198,"")</x:f>
        <x:v>1</x:v>
      </x:c>
      <x:c r="V198" s="10" t="n">
        <x:v>0</x:v>
      </x:c>
      <x:c r="W198" s="10" t="n">
        <x:v>0</x:v>
      </x:c>
      <x:c r="X198" s="10" t="n">
        <x:v>1</x:v>
      </x:c>
      <x:c r="Y198" s="3" t="n">
        <x:v>0</x:v>
      </x:c>
      <x:c r="Z198" s="3" t="str">
        <x:v>共同</x:v>
      </x:c>
      <x:c r="AA198" s="3" t="str">
        <x:v>在售</x:v>
      </x:c>
      <x:c r="AB198" s="12" t="n">
        <x:f>IF(AND(Z198="共同",ISNUMBER(G198),ISNUMBER(AD198)),G198-AD198,"")</x:f>
        <x:v>8.673617379884035e-19</x:v>
      </x:c>
      <x:c r="AC198" s="3" t="str"/>
      <x:c r="AD198" s="12" t="n">
        <x:v>0.006666666666666666</x:v>
      </x:c>
      <x:c r="AE198" s="3" t="str">
        <x:v>[13306,"B07-WT-38-New"]</x:v>
      </x:c>
      <x:c r="AF198" t="n">
        <x:f>IF(ISNUMBER(H198),1,0)</x:f>
        <x:v>1</x:v>
      </x:c>
      <x:c r="AG198" t="n">
        <x:f>IF(ISNUMBER(I198),1,0)</x:f>
        <x:v>1</x:v>
      </x:c>
      <x:c r="AH198" t="str">
        <x:v>["B07","B07-WT","WT","白色PU"]</x:v>
      </x:c>
      <x:c r="AI198" t="n">
        <x:f>IF(ISNUMBER(G198),1,0)</x:f>
        <x:v>1</x:v>
      </x:c>
      <x:c r="AJ198" t="n">
        <x:f>IF(ISNUMBER(AD198),1,0)</x:f>
        <x:v>1</x:v>
      </x:c>
    </x:row>
    <x:row r="199" ht="30" customHeight="1">
      <x:c r="A199" s="3" t="str">
        <x:v>S02-BG-42</x:v>
      </x:c>
      <x:c r="B199" s="3" t="str">
        <x:v>3店-SANDIEX-US</x:v>
      </x:c>
      <x:c r="C199" s="3" t="str">
        <x:v>陈晨</x:v>
      </x:c>
      <x:c r="D199" s="3" t="str">
        <x:v>S02</x:v>
      </x:c>
      <x:c r="E199" s="3" t="str">
        <x:f>IF(Z199="移出","已移出",IF(NOT(ISNUMBER(H199)),"数据待核",IF(H199=0,"断货",IF(NOT(ISNUMBER(G199)),"数据待核",IF(G199=0,"零日销待复核",IF(F199&lt;60,"补货提醒",IF(F199&lt;=90,"正常库存",IF(F199&lt;180,"促销",IF(F199&lt;=365,"红线促销","考虑清仓")))))))))</x:f>
        <x:v>促销</x:v>
      </x:c>
      <x:c r="F199" s="11" t="n">
        <x:f>IF(AND(ISNUMBER(H199),ISNUMBER(G199),G199&gt;0),H199/G199,"")</x:f>
        <x:v>112.39964317573595</x:v>
      </x:c>
      <x:c r="G199" s="12" t="n">
        <x:f>IF(AND(COUNT(P199:R199)=3,MIN(P199:R199)&gt;=0,P199&lt;=Q199,Q199&lt;=R199),P199/7*0.5+Q199/14*0.3+R199/30*0.2,"")</x:f>
        <x:v>0.5338095238095238</x:v>
      </x:c>
      <x:c r="H199" s="10" t="n">
        <x:f>IF(ISNUMBER(U199),U199,"")</x:f>
        <x:v>60</x:v>
      </x:c>
      <x:c r="I199" s="10" t="n">
        <x:v>62</x:v>
      </x:c>
      <x:c r="J199" s="11" t="n">
        <x:f>IF(AND(Z199="共同",ISNUMBER(F199),ISNUMBER(M199)),F199-M199,"")</x:f>
        <x:v>18.932306492318858</x:v>
      </x:c>
      <x:c r="K199" s="13" t="n">
        <x:f>IF(AND(ISNUMBER(J199),M199&lt;&gt;0),J199/M199,"")</x:f>
        <x:v>0.20255532214900282</x:v>
      </x:c>
      <x:c r="L199" s="10" t="str">
        <x:v>促销</x:v>
      </x:c>
      <x:c r="M199" s="11" t="n">
        <x:v>93.46733668341709</x:v>
      </x:c>
      <x:c r="N199" s="10" t="n">
        <x:f>IF(AND(Z199="共同",COUNT(H199:I199)=2),H199-I199,"")</x:f>
        <x:v>-2</x:v>
      </x:c>
      <x:c r="O199" s="10" t="n">
        <x:v>77</x:v>
      </x:c>
      <x:c r="P199" s="10" t="n">
        <x:v>3</x:v>
      </x:c>
      <x:c r="Q199" s="10" t="n">
        <x:v>9</x:v>
      </x:c>
      <x:c r="R199" s="10" t="n">
        <x:v>19</x:v>
      </x:c>
      <x:c r="S199" s="10" t="n">
        <x:v>62</x:v>
      </x:c>
      <x:c r="T199" s="10" t="n">
        <x:v>0</x:v>
      </x:c>
      <x:c r="U199" s="10" t="n">
        <x:f>IF(AND(ISNUMBER(X199),X199&gt;=0,Y199&lt;&gt;1),X199,"")</x:f>
        <x:v>60</x:v>
      </x:c>
      <x:c r="V199" s="10" t="n">
        <x:v>0</x:v>
      </x:c>
      <x:c r="W199" s="10" t="n">
        <x:v>1</x:v>
      </x:c>
      <x:c r="X199" s="10" t="n">
        <x:v>60</x:v>
      </x:c>
      <x:c r="Y199" s="3" t="n">
        <x:v>0</x:v>
      </x:c>
      <x:c r="Z199" s="3" t="str">
        <x:v>共同</x:v>
      </x:c>
      <x:c r="AA199" s="3" t="str">
        <x:v>在售</x:v>
      </x:c>
      <x:c r="AB199" s="12" t="n">
        <x:f>IF(AND(Z199="共同",ISNUMBER(G199),ISNUMBER(AD199)),G199-AD199,"")</x:f>
        <x:v>-0.12952380952380949</x:v>
      </x:c>
      <x:c r="AC199" s="3" t="str"/>
      <x:c r="AD199" s="12" t="n">
        <x:v>0.6633333333333333</x:v>
      </x:c>
      <x:c r="AE199" s="3" t="str">
        <x:v>[6574,"S02-BG-42"]</x:v>
      </x:c>
      <x:c r="AF199" t="n">
        <x:f>IF(ISNUMBER(H199),1,0)</x:f>
        <x:v>1</x:v>
      </x:c>
      <x:c r="AG199" t="n">
        <x:f>IF(ISNUMBER(I199),1,0)</x:f>
        <x:v>1</x:v>
      </x:c>
      <x:c r="AH199" t="str">
        <x:v>["S02","S02-BG","BG","裸色"]</x:v>
      </x:c>
      <x:c r="AI199" t="n">
        <x:f>IF(ISNUMBER(G199),1,0)</x:f>
        <x:v>1</x:v>
      </x:c>
      <x:c r="AJ199" t="n">
        <x:f>IF(ISNUMBER(AD199),1,0)</x:f>
        <x:v>1</x:v>
      </x:c>
    </x:row>
    <x:row r="200" ht="30" customHeight="1">
      <x:c r="A200" s="3" t="str">
        <x:v>S02-BK-37</x:v>
      </x:c>
      <x:c r="B200" s="3" t="str">
        <x:v>3店-SANDIEX-US</x:v>
      </x:c>
      <x:c r="C200" s="3" t="str">
        <x:v>陈晨</x:v>
      </x:c>
      <x:c r="D200" s="3" t="str">
        <x:v>S02</x:v>
      </x:c>
      <x:c r="E200" s="3" t="str">
        <x:f>IF(Z200="移出","已移出",IF(NOT(ISNUMBER(H200)),"数据待核",IF(H200=0,"断货",IF(NOT(ISNUMBER(G200)),"数据待核",IF(G200=0,"零日销待复核",IF(F200&lt;60,"补货提醒",IF(F200&lt;=90,"正常库存",IF(F200&lt;180,"促销",IF(F200&lt;=365,"红线促销","考虑清仓")))))))))</x:f>
        <x:v>促销</x:v>
      </x:c>
      <x:c r="F200" s="11" t="n">
        <x:f>IF(AND(ISNUMBER(H200),ISNUMBER(G200),G200&gt;0),H200/G200,"")</x:f>
        <x:v>97.9665071770335</x:v>
      </x:c>
      <x:c r="G200" s="12" t="n">
        <x:f>IF(AND(COUNT(P200:R200)=3,MIN(P200:R200)&gt;=0,P200&lt;=Q200,Q200&lt;=R200),P200/7*0.5+Q200/14*0.3+R200/30*0.2,"")</x:f>
        <x:v>0.7961904761904761</x:v>
      </x:c>
      <x:c r="H200" s="10" t="n">
        <x:f>IF(ISNUMBER(U200),U200,"")</x:f>
        <x:v>78</x:v>
      </x:c>
      <x:c r="I200" s="10" t="n">
        <x:v>86</x:v>
      </x:c>
      <x:c r="J200" s="11" t="n">
        <x:f>IF(AND(Z200="共同",ISNUMBER(F200),ISNUMBER(M200)),F200-M200,"")</x:f>
        <x:v>31.83688432826017</x:v>
      </x:c>
      <x:c r="K200" s="13" t="n">
        <x:f>IF(AND(ISNUMBER(J200),M200&lt;&gt;0),J200/M200,"")</x:f>
        <x:v>0.4814315121842665</x:v>
      </x:c>
      <x:c r="L200" s="10" t="str">
        <x:v>正常库存</x:v>
      </x:c>
      <x:c r="M200" s="11" t="n">
        <x:v>66.12962284877334</x:v>
      </x:c>
      <x:c r="N200" s="10" t="n">
        <x:f>IF(AND(Z200="共同",COUNT(H200:I200)=2),H200-I200,"")</x:f>
        <x:v>-8</x:v>
      </x:c>
      <x:c r="O200" s="10" t="n">
        <x:v>120</x:v>
      </x:c>
      <x:c r="P200" s="10" t="n">
        <x:v>6</x:v>
      </x:c>
      <x:c r="Q200" s="10" t="n">
        <x:v>10</x:v>
      </x:c>
      <x:c r="R200" s="10" t="n">
        <x:v>23</x:v>
      </x:c>
      <x:c r="S200" s="10" t="n">
        <x:v>79</x:v>
      </x:c>
      <x:c r="T200" s="10" t="n">
        <x:v>1</x:v>
      </x:c>
      <x:c r="U200" s="10" t="n">
        <x:f>IF(AND(ISNUMBER(X200),X200&gt;=0,Y200&lt;&gt;1),X200,"")</x:f>
        <x:v>78</x:v>
      </x:c>
      <x:c r="V200" s="10" t="n">
        <x:v>0</x:v>
      </x:c>
      <x:c r="W200" s="10" t="n">
        <x:v>40</x:v>
      </x:c>
      <x:c r="X200" s="10" t="n">
        <x:v>78</x:v>
      </x:c>
      <x:c r="Y200" s="3" t="n">
        <x:v>0</x:v>
      </x:c>
      <x:c r="Z200" s="3" t="str">
        <x:v>共同</x:v>
      </x:c>
      <x:c r="AA200" s="3" t="str">
        <x:v>在售</x:v>
      </x:c>
      <x:c r="AB200" s="12" t="n">
        <x:f>IF(AND(Z200="共同",ISNUMBER(G200),ISNUMBER(AD200)),G200-AD200,"")</x:f>
        <x:v>-0.5042857142857144</x:v>
      </x:c>
      <x:c r="AC200" s="3" t="str"/>
      <x:c r="AD200" s="12" t="n">
        <x:v>1.3004761904761906</x:v>
      </x:c>
      <x:c r="AE200" s="3" t="str">
        <x:v>[6574,"S02-BK-37"]</x:v>
      </x:c>
      <x:c r="AF200" t="n">
        <x:f>IF(ISNUMBER(H200),1,0)</x:f>
        <x:v>1</x:v>
      </x:c>
      <x:c r="AG200" t="n">
        <x:f>IF(ISNUMBER(I200),1,0)</x:f>
        <x:v>1</x:v>
      </x:c>
      <x:c r="AH200" t="str">
        <x:v>["S02","S02-BK","BK","黑色"]</x:v>
      </x:c>
      <x:c r="AI200" t="n">
        <x:f>IF(ISNUMBER(G200),1,0)</x:f>
        <x:v>1</x:v>
      </x:c>
      <x:c r="AJ200" t="n">
        <x:f>IF(ISNUMBER(AD200),1,0)</x:f>
        <x:v>1</x:v>
      </x:c>
    </x:row>
    <x:row r="201" ht="30" customHeight="1">
      <x:c r="A201" s="3" t="str">
        <x:v>S02-RG1-42</x:v>
      </x:c>
      <x:c r="B201" s="3" t="str">
        <x:v>3店-SANDIEX-US</x:v>
      </x:c>
      <x:c r="C201" s="3" t="str">
        <x:v>陈晨</x:v>
      </x:c>
      <x:c r="D201" s="3" t="str">
        <x:v>S02</x:v>
      </x:c>
      <x:c r="E201" s="3" t="str">
        <x:f>IF(Z201="移出","已移出",IF(NOT(ISNUMBER(H201)),"数据待核",IF(H201=0,"断货",IF(NOT(ISNUMBER(G201)),"数据待核",IF(G201=0,"零日销待复核",IF(F201&lt;60,"补货提醒",IF(F201&lt;=90,"正常库存",IF(F201&lt;180,"促销",IF(F201&lt;=365,"红线促销","考虑清仓")))))))))</x:f>
        <x:v>促销</x:v>
      </x:c>
      <x:c r="F201" s="11" t="n">
        <x:f>IF(AND(ISNUMBER(H201),ISNUMBER(G201),G201&gt;0),H201/G201,"")</x:f>
        <x:v>144.82758620689657</x:v>
      </x:c>
      <x:c r="G201" s="12" t="n">
        <x:f>IF(AND(COUNT(P201:R201)=3,MIN(P201:R201)&gt;=0,P201&lt;=Q201,Q201&lt;=R201),P201/7*0.5+Q201/14*0.3+R201/30*0.2,"")</x:f>
        <x:v>0.041428571428571426</x:v>
      </x:c>
      <x:c r="H201" s="10" t="n">
        <x:f>IF(ISNUMBER(U201),U201,"")</x:f>
        <x:v>6</x:v>
      </x:c>
      <x:c r="I201" s="10" t="n">
        <x:v>7</x:v>
      </x:c>
      <x:c r="J201" s="11" t="n">
        <x:f>IF(AND(Z201="共同",ISNUMBER(F201),ISNUMBER(M201)),F201-M201,"")</x:f>
        <x:v>-56.54227680680208</x:v>
      </x:c>
      <x:c r="K201" s="13" t="n">
        <x:f>IF(AND(ISNUMBER(J201),M201&lt;&gt;0),J201/M201,"")</x:f>
        <x:v>-0.28078817733990147</x:v>
      </x:c>
      <x:c r="L201" s="10" t="str">
        <x:v>红线促销</x:v>
      </x:c>
      <x:c r="M201" s="11" t="n">
        <x:v>201.36986301369865</x:v>
      </x:c>
      <x:c r="N201" s="10" t="n">
        <x:f>IF(AND(Z201="共同",COUNT(H201:I201)=2),H201-I201,"")</x:f>
        <x:v>-1</x:v>
      </x:c>
      <x:c r="O201" s="10" t="n">
        <x:v>0</x:v>
      </x:c>
      <x:c r="P201" s="10" t="n">
        <x:v>0</x:v>
      </x:c>
      <x:c r="Q201" s="10" t="n">
        <x:v>1</x:v>
      </x:c>
      <x:c r="R201" s="10" t="n">
        <x:v>3</x:v>
      </x:c>
      <x:c r="S201" s="10" t="n">
        <x:v>6</x:v>
      </x:c>
      <x:c r="T201" s="10" t="n">
        <x:v>0</x:v>
      </x:c>
      <x:c r="U201" s="10" t="n">
        <x:f>IF(AND(ISNUMBER(X201),X201&gt;=0,Y201&lt;&gt;1),X201,"")</x:f>
        <x:v>6</x:v>
      </x:c>
      <x:c r="V201" s="10" t="n">
        <x:v>0</x:v>
      </x:c>
      <x:c r="W201" s="10" t="n">
        <x:v>0</x:v>
      </x:c>
      <x:c r="X201" s="10" t="n">
        <x:v>6</x:v>
      </x:c>
      <x:c r="Y201" s="3" t="n">
        <x:v>0</x:v>
      </x:c>
      <x:c r="Z201" s="3" t="str">
        <x:v>共同</x:v>
      </x:c>
      <x:c r="AA201" s="3" t="str">
        <x:v>在售</x:v>
      </x:c>
      <x:c r="AB201" s="12" t="n">
        <x:f>IF(AND(Z201="共同",ISNUMBER(G201),ISNUMBER(AD201)),G201-AD201,"")</x:f>
        <x:v>0.006666666666666668</x:v>
      </x:c>
      <x:c r="AC201" s="3" t="str"/>
      <x:c r="AD201" s="12" t="n">
        <x:v>0.03476190476190476</x:v>
      </x:c>
      <x:c r="AE201" s="3" t="str">
        <x:v>[6574,"S02-RG1-42"]</x:v>
      </x:c>
      <x:c r="AF201" t="n">
        <x:f>IF(ISNUMBER(H201),1,0)</x:f>
        <x:v>1</x:v>
      </x:c>
      <x:c r="AG201" t="n">
        <x:f>IF(ISNUMBER(I201),1,0)</x:f>
        <x:v>1</x:v>
      </x:c>
      <x:c r="AH201" t="str">
        <x:v>["S02","S02-RG1","RG1","玫瑰金"]</x:v>
      </x:c>
      <x:c r="AI201" t="n">
        <x:f>IF(ISNUMBER(G201),1,0)</x:f>
        <x:v>1</x:v>
      </x:c>
      <x:c r="AJ201" t="n">
        <x:f>IF(ISNUMBER(AD201),1,0)</x:f>
        <x:v>1</x:v>
      </x:c>
    </x:row>
    <x:row r="202" ht="30" customHeight="1">
      <x:c r="A202" s="3" t="str">
        <x:v>S02-TN-38</x:v>
      </x:c>
      <x:c r="B202" s="3" t="str">
        <x:v>3店-SANDIEX-US</x:v>
      </x:c>
      <x:c r="C202" s="3" t="str">
        <x:v>陈晨</x:v>
      </x:c>
      <x:c r="D202" s="3" t="str">
        <x:v>S02</x:v>
      </x:c>
      <x:c r="E202" s="3" t="str">
        <x:f>IF(Z202="移出","已移出",IF(NOT(ISNUMBER(H202)),"数据待核",IF(H202=0,"断货",IF(NOT(ISNUMBER(G202)),"数据待核",IF(G202=0,"零日销待复核",IF(F202&lt;60,"补货提醒",IF(F202&lt;=90,"正常库存",IF(F202&lt;180,"促销",IF(F202&lt;=365,"红线促销","考虑清仓")))))))))</x:f>
        <x:v>促销</x:v>
      </x:c>
      <x:c r="F202" s="11" t="n">
        <x:f>IF(AND(ISNUMBER(H202),ISNUMBER(G202),G202&gt;0),H202/G202,"")</x:f>
        <x:v>117.48251748251748</x:v>
      </x:c>
      <x:c r="G202" s="12" t="n">
        <x:f>IF(AND(COUNT(P202:R202)=3,MIN(P202:R202)&gt;=0,P202&lt;=Q202,Q202&lt;=R202),P202/7*0.5+Q202/14*0.3+R202/30*0.2,"")</x:f>
        <x:v>0.0680952380952381</x:v>
      </x:c>
      <x:c r="H202" s="10" t="n">
        <x:f>IF(ISNUMBER(U202),U202,"")</x:f>
        <x:v>8</x:v>
      </x:c>
      <x:c r="I202" s="10" t="n">
        <x:v>10</x:v>
      </x:c>
      <x:c r="J202" s="11" t="n">
        <x:f>IF(AND(Z202="共同",ISNUMBER(F202),ISNUMBER(M202)),F202-M202,"")</x:f>
        <x:v>96.3981801331199</x:v>
      </x:c>
      <x:c r="K202" s="13" t="n">
        <x:f>IF(AND(ISNUMBER(J202),M202&lt;&gt;0),J202/M202,"")</x:f>
        <x:v>4.572027972027971</x:v>
      </x:c>
      <x:c r="L202" s="10" t="str">
        <x:v>补货提醒</x:v>
      </x:c>
      <x:c r="M202" s="11" t="n">
        <x:v>21.084337349397593</x:v>
      </x:c>
      <x:c r="N202" s="10" t="n">
        <x:f>IF(AND(Z202="共同",COUNT(H202:I202)=2),H202-I202,"")</x:f>
        <x:v>-2</x:v>
      </x:c>
      <x:c r="O202" s="10" t="n">
        <x:v>0</x:v>
      </x:c>
      <x:c r="P202" s="10" t="n">
        <x:v>0</x:v>
      </x:c>
      <x:c r="Q202" s="10" t="n">
        <x:v>1</x:v>
      </x:c>
      <x:c r="R202" s="10" t="n">
        <x:v>7</x:v>
      </x:c>
      <x:c r="S202" s="10" t="n">
        <x:v>9</x:v>
      </x:c>
      <x:c r="T202" s="10" t="n">
        <x:v>0</x:v>
      </x:c>
      <x:c r="U202" s="10" t="n">
        <x:f>IF(AND(ISNUMBER(X202),X202&gt;=0,Y202&lt;&gt;1),X202,"")</x:f>
        <x:v>8</x:v>
      </x:c>
      <x:c r="V202" s="10" t="n">
        <x:v>0</x:v>
      </x:c>
      <x:c r="W202" s="10" t="n">
        <x:v>0</x:v>
      </x:c>
      <x:c r="X202" s="10" t="n">
        <x:v>8</x:v>
      </x:c>
      <x:c r="Y202" s="3" t="n">
        <x:v>0</x:v>
      </x:c>
      <x:c r="Z202" s="3" t="str">
        <x:v>共同</x:v>
      </x:c>
      <x:c r="AA202" s="3" t="str">
        <x:v>在售</x:v>
      </x:c>
      <x:c r="AB202" s="12" t="n">
        <x:f>IF(AND(Z202="共同",ISNUMBER(G202),ISNUMBER(AD202)),G202-AD202,"")</x:f>
        <x:v>-0.4061904761904761</x:v>
      </x:c>
      <x:c r="AC202" s="3" t="str"/>
      <x:c r="AD202" s="12" t="n">
        <x:v>0.4742857142857142</x:v>
      </x:c>
      <x:c r="AE202" s="3" t="str">
        <x:v>[6574,"S02-TN-38"]</x:v>
      </x:c>
      <x:c r="AF202" t="n">
        <x:f>IF(ISNUMBER(H202),1,0)</x:f>
        <x:v>1</x:v>
      </x:c>
      <x:c r="AG202" t="n">
        <x:f>IF(ISNUMBER(I202),1,0)</x:f>
        <x:v>1</x:v>
      </x:c>
      <x:c r="AH202" t="str">
        <x:v>["S02","S02-TN","TN","驼色"]</x:v>
      </x:c>
      <x:c r="AI202" t="n">
        <x:f>IF(ISNUMBER(G202),1,0)</x:f>
        <x:v>1</x:v>
      </x:c>
      <x:c r="AJ202" t="n">
        <x:f>IF(ISNUMBER(AD202),1,0)</x:f>
        <x:v>1</x:v>
      </x:c>
    </x:row>
    <x:row r="203" ht="30" customHeight="1">
      <x:c r="A203" s="3" t="str">
        <x:v>S02-TN-42</x:v>
      </x:c>
      <x:c r="B203" s="3" t="str">
        <x:v>3店-SANDIEX-US</x:v>
      </x:c>
      <x:c r="C203" s="3" t="str">
        <x:v>陈晨</x:v>
      </x:c>
      <x:c r="D203" s="3" t="str">
        <x:v>S02</x:v>
      </x:c>
      <x:c r="E203" s="3" t="str">
        <x:f>IF(Z203="移出","已移出",IF(NOT(ISNUMBER(H203)),"数据待核",IF(H203=0,"断货",IF(NOT(ISNUMBER(G203)),"数据待核",IF(G203=0,"零日销待复核",IF(F203&lt;60,"补货提醒",IF(F203&lt;=90,"正常库存",IF(F203&lt;180,"促销",IF(F203&lt;=365,"红线促销","考虑清仓")))))))))</x:f>
        <x:v>促销</x:v>
      </x:c>
      <x:c r="F203" s="11" t="n">
        <x:f>IF(AND(ISNUMBER(H203),ISNUMBER(G203),G203&gt;0),H203/G203,"")</x:f>
        <x:v>117.48251748251748</x:v>
      </x:c>
      <x:c r="G203" s="12" t="n">
        <x:f>IF(AND(COUNT(P203:R203)=3,MIN(P203:R203)&gt;=0,P203&lt;=Q203,Q203&lt;=R203),P203/7*0.5+Q203/14*0.3+R203/30*0.2,"")</x:f>
        <x:v>0.0680952380952381</x:v>
      </x:c>
      <x:c r="H203" s="10" t="n">
        <x:f>IF(ISNUMBER(U203),U203,"")</x:f>
        <x:v>8</x:v>
      </x:c>
      <x:c r="I203" s="10" t="n">
        <x:v>9</x:v>
      </x:c>
      <x:c r="J203" s="11" t="n">
        <x:f>IF(AND(Z203="共同",ISNUMBER(F203),ISNUMBER(M203)),F203-M203,"")</x:f>
        <x:v>100.36295226512618</x:v>
      </x:c>
      <x:c r="K203" s="13" t="n">
        <x:f>IF(AND(ISNUMBER(J203),M203&lt;&gt;0),J203/M203,"")</x:f>
        <x:v>5.862470862470864</x:v>
      </x:c>
      <x:c r="L203" s="10" t="str">
        <x:v>补货提醒</x:v>
      </x:c>
      <x:c r="M203" s="11" t="n">
        <x:v>17.1195652173913</x:v>
      </x:c>
      <x:c r="N203" s="10" t="n">
        <x:f>IF(AND(Z203="共同",COUNT(H203:I203)=2),H203-I203,"")</x:f>
        <x:v>-1</x:v>
      </x:c>
      <x:c r="O203" s="10" t="n">
        <x:v>0</x:v>
      </x:c>
      <x:c r="P203" s="10" t="n">
        <x:v>0</x:v>
      </x:c>
      <x:c r="Q203" s="10" t="n">
        <x:v>1</x:v>
      </x:c>
      <x:c r="R203" s="10" t="n">
        <x:v>7</x:v>
      </x:c>
      <x:c r="S203" s="10" t="n">
        <x:v>9</x:v>
      </x:c>
      <x:c r="T203" s="10" t="n">
        <x:v>0</x:v>
      </x:c>
      <x:c r="U203" s="10" t="n">
        <x:f>IF(AND(ISNUMBER(X203),X203&gt;=0,Y203&lt;&gt;1),X203,"")</x:f>
        <x:v>8</x:v>
      </x:c>
      <x:c r="V203" s="10" t="n">
        <x:v>0</x:v>
      </x:c>
      <x:c r="W203" s="10" t="n">
        <x:v>0</x:v>
      </x:c>
      <x:c r="X203" s="10" t="n">
        <x:v>8</x:v>
      </x:c>
      <x:c r="Y203" s="3" t="n">
        <x:v>0</x:v>
      </x:c>
      <x:c r="Z203" s="3" t="str">
        <x:v>共同</x:v>
      </x:c>
      <x:c r="AA203" s="3" t="str">
        <x:v>在售</x:v>
      </x:c>
      <x:c r="AB203" s="12" t="n">
        <x:f>IF(AND(Z203="共同",ISNUMBER(G203),ISNUMBER(AD203)),G203-AD203,"")</x:f>
        <x:v>-0.4576190476190477</x:v>
      </x:c>
      <x:c r="AC203" s="3" t="str"/>
      <x:c r="AD203" s="12" t="n">
        <x:v>0.5257142857142858</x:v>
      </x:c>
      <x:c r="AE203" s="3" t="str">
        <x:v>[6574,"S02-TN-42"]</x:v>
      </x:c>
      <x:c r="AF203" t="n">
        <x:f>IF(ISNUMBER(H203),1,0)</x:f>
        <x:v>1</x:v>
      </x:c>
      <x:c r="AG203" t="n">
        <x:f>IF(ISNUMBER(I203),1,0)</x:f>
        <x:v>1</x:v>
      </x:c>
      <x:c r="AH203" t="str">
        <x:v>["S02","S02-TN","TN","驼色"]</x:v>
      </x:c>
      <x:c r="AI203" t="n">
        <x:f>IF(ISNUMBER(G203),1,0)</x:f>
        <x:v>1</x:v>
      </x:c>
      <x:c r="AJ203" t="n">
        <x:f>IF(ISNUMBER(AD203),1,0)</x:f>
        <x:v>1</x:v>
      </x:c>
    </x:row>
    <x:row r="204" ht="30" customHeight="1">
      <x:c r="A204" s="3" t="str">
        <x:v>S02-TNP-37</x:v>
      </x:c>
      <x:c r="B204" s="3" t="str">
        <x:v>3店-SANDIEX-US</x:v>
      </x:c>
      <x:c r="C204" s="3" t="str">
        <x:v>陈晨</x:v>
      </x:c>
      <x:c r="D204" s="3" t="str">
        <x:v>S02</x:v>
      </x:c>
      <x:c r="E204" s="3" t="str">
        <x:f>IF(Z204="移出","已移出",IF(NOT(ISNUMBER(H204)),"数据待核",IF(H204=0,"断货",IF(NOT(ISNUMBER(G204)),"数据待核",IF(G204=0,"零日销待复核",IF(F204&lt;60,"补货提醒",IF(F204&lt;=90,"正常库存",IF(F204&lt;180,"促销",IF(F204&lt;=365,"红线促销","考虑清仓")))))))))</x:f>
        <x:v>促销</x:v>
      </x:c>
      <x:c r="F204" s="11" t="n">
        <x:f>IF(AND(ISNUMBER(H204),ISNUMBER(G204),G204&gt;0),H204/G204,"")</x:f>
        <x:v>99.83022071307302</x:v>
      </x:c>
      <x:c r="G204" s="12" t="n">
        <x:f>IF(AND(COUNT(P204:R204)=3,MIN(P204:R204)&gt;=0,P204&lt;=Q204,Q204&lt;=R204),P204/7*0.5+Q204/14*0.3+R204/30*0.2,"")</x:f>
        <x:v>0.28047619047619043</x:v>
      </x:c>
      <x:c r="H204" s="10" t="n">
        <x:f>IF(ISNUMBER(U204),U204,"")</x:f>
        <x:v>28</x:v>
      </x:c>
      <x:c r="I204" s="10" t="n">
        <x:v>31</x:v>
      </x:c>
      <x:c r="J204" s="11" t="n">
        <x:f>IF(AND(Z204="共同",ISNUMBER(F204),ISNUMBER(M204)),F204-M204,"")</x:f>
        <x:v>36.44171048911975</x:v>
      </x:c>
      <x:c r="K204" s="13" t="n">
        <x:f>IF(AND(ISNUMBER(J204),M204&lt;&gt;0),J204/M204,"")</x:f>
        <x:v>0.5748945725395695</x:v>
      </x:c>
      <x:c r="L204" s="10" t="str">
        <x:v>正常库存</x:v>
      </x:c>
      <x:c r="M204" s="11" t="n">
        <x:v>63.38851022395327</x:v>
      </x:c>
      <x:c r="N204" s="10" t="n">
        <x:f>IF(AND(Z204="共同",COUNT(H204:I204)=2),H204-I204,"")</x:f>
        <x:v>-3</x:v>
      </x:c>
      <x:c r="O204" s="10" t="n">
        <x:v>0</x:v>
      </x:c>
      <x:c r="P204" s="10" t="n">
        <x:v>2</x:v>
      </x:c>
      <x:c r="Q204" s="10" t="n">
        <x:v>3</x:v>
      </x:c>
      <x:c r="R204" s="10" t="n">
        <x:v>11</x:v>
      </x:c>
      <x:c r="S204" s="10" t="n">
        <x:v>30</x:v>
      </x:c>
      <x:c r="T204" s="10" t="n">
        <x:v>0</x:v>
      </x:c>
      <x:c r="U204" s="10" t="n">
        <x:f>IF(AND(ISNUMBER(X204),X204&gt;=0,Y204&lt;&gt;1),X204,"")</x:f>
        <x:v>28</x:v>
      </x:c>
      <x:c r="V204" s="10" t="n">
        <x:v>0</x:v>
      </x:c>
      <x:c r="W204" s="10" t="n">
        <x:v>0</x:v>
      </x:c>
      <x:c r="X204" s="10" t="n">
        <x:v>28</x:v>
      </x:c>
      <x:c r="Y204" s="3" t="n">
        <x:v>0</x:v>
      </x:c>
      <x:c r="Z204" s="3" t="str">
        <x:v>共同</x:v>
      </x:c>
      <x:c r="AA204" s="3" t="str">
        <x:v>在售</x:v>
      </x:c>
      <x:c r="AB204" s="12" t="n">
        <x:f>IF(AND(Z204="共同",ISNUMBER(G204),ISNUMBER(AD204)),G204-AD204,"")</x:f>
        <x:v>-0.20857142857142857</x:v>
      </x:c>
      <x:c r="AC204" s="3" t="str"/>
      <x:c r="AD204" s="12" t="n">
        <x:v>0.489047619047619</x:v>
      </x:c>
      <x:c r="AE204" s="3" t="str">
        <x:v>[6574,"S02-TNP-37"]</x:v>
      </x:c>
      <x:c r="AF204" t="n">
        <x:f>IF(ISNUMBER(H204),1,0)</x:f>
        <x:v>1</x:v>
      </x:c>
      <x:c r="AG204" t="n">
        <x:f>IF(ISNUMBER(I204),1,0)</x:f>
        <x:v>1</x:v>
      </x:c>
      <x:c r="AH204" t="str">
        <x:v>["S02","S02-TNP","TNP","驼色PU"]</x:v>
      </x:c>
      <x:c r="AI204" t="n">
        <x:f>IF(ISNUMBER(G204),1,0)</x:f>
        <x:v>1</x:v>
      </x:c>
      <x:c r="AJ204" t="n">
        <x:f>IF(ISNUMBER(AD204),1,0)</x:f>
        <x:v>1</x:v>
      </x:c>
    </x:row>
    <x:row r="205" ht="30" customHeight="1">
      <x:c r="A205" s="3" t="str">
        <x:v>S02a-BK-38</x:v>
      </x:c>
      <x:c r="B205" s="3" t="str">
        <x:v>3店-SANDIEX-US</x:v>
      </x:c>
      <x:c r="C205" s="3" t="str">
        <x:v>陈晨</x:v>
      </x:c>
      <x:c r="D205" s="3" t="str">
        <x:v>S02a</x:v>
      </x:c>
      <x:c r="E205" s="3" t="str">
        <x:f>IF(Z205="移出","已移出",IF(NOT(ISNUMBER(H205)),"数据待核",IF(H205=0,"断货",IF(NOT(ISNUMBER(G205)),"数据待核",IF(G205=0,"零日销待复核",IF(F205&lt;60,"补货提醒",IF(F205&lt;=90,"正常库存",IF(F205&lt;180,"促销",IF(F205&lt;=365,"红线促销","考虑清仓")))))))))</x:f>
        <x:v>促销</x:v>
      </x:c>
      <x:c r="F205" s="11" t="n">
        <x:f>IF(AND(ISNUMBER(H205),ISNUMBER(G205),G205&gt;0),H205/G205,"")</x:f>
        <x:v>141.7004048582996</x:v>
      </x:c>
      <x:c r="G205" s="12" t="n">
        <x:f>IF(AND(COUNT(P205:R205)=3,MIN(P205:R205)&gt;=0,P205&lt;=Q205,Q205&lt;=R205),P205/7*0.5+Q205/14*0.3+R205/30*0.2,"")</x:f>
        <x:v>0.3528571428571428</x:v>
      </x:c>
      <x:c r="H205" s="10" t="n">
        <x:f>IF(ISNUMBER(U205),U205,"")</x:f>
        <x:v>50</x:v>
      </x:c>
      <x:c r="I205" s="10" t="n">
        <x:v>54</x:v>
      </x:c>
      <x:c r="J205" s="11" t="n">
        <x:f>IF(AND(Z205="共同",ISNUMBER(F205),ISNUMBER(M205)),F205-M205,"")</x:f>
        <x:v>-981.0718723694231</x:v>
      </x:c>
      <x:c r="K205" s="13" t="n">
        <x:f>IF(AND(ISNUMBER(J205),M205&lt;&gt;0),J205/M205,"")</x:f>
        <x:v>-0.873794172039786</x:v>
      </x:c>
      <x:c r="L205" s="10" t="str">
        <x:v>考虑清仓</x:v>
      </x:c>
      <x:c r="M205" s="11" t="n">
        <x:v>1122.7722772277227</x:v>
      </x:c>
      <x:c r="N205" s="10" t="n">
        <x:f>IF(AND(Z205="共同",COUNT(H205:I205)=2),H205-I205,"")</x:f>
        <x:v>-4</x:v>
      </x:c>
      <x:c r="O205" s="10" t="n">
        <x:v>114</x:v>
      </x:c>
      <x:c r="P205" s="10" t="n">
        <x:v>2</x:v>
      </x:c>
      <x:c r="Q205" s="10" t="n">
        <x:v>7</x:v>
      </x:c>
      <x:c r="R205" s="10" t="n">
        <x:v>9</x:v>
      </x:c>
      <x:c r="S205" s="10" t="n">
        <x:v>50</x:v>
      </x:c>
      <x:c r="T205" s="10" t="n">
        <x:v>0</x:v>
      </x:c>
      <x:c r="U205" s="10" t="n">
        <x:f>IF(AND(ISNUMBER(X205),X205&gt;=0,Y205&lt;&gt;1),X205,"")</x:f>
        <x:v>50</x:v>
      </x:c>
      <x:c r="V205" s="10" t="n">
        <x:v>0</x:v>
      </x:c>
      <x:c r="W205" s="10" t="n">
        <x:v>0</x:v>
      </x:c>
      <x:c r="X205" s="10" t="n">
        <x:v>50</x:v>
      </x:c>
      <x:c r="Y205" s="3" t="n">
        <x:v>0</x:v>
      </x:c>
      <x:c r="Z205" s="3" t="str">
        <x:v>共同</x:v>
      </x:c>
      <x:c r="AA205" s="3" t="str">
        <x:v>在售</x:v>
      </x:c>
      <x:c r="AB205" s="12" t="n">
        <x:f>IF(AND(Z205="共同",ISNUMBER(G205),ISNUMBER(AD205)),G205-AD205,"")</x:f>
        <x:v>0.30476190476190473</x:v>
      </x:c>
      <x:c r="AC205" s="3" t="str"/>
      <x:c r="AD205" s="12" t="n">
        <x:v>0.048095238095238094</x:v>
      </x:c>
      <x:c r="AE205" s="3" t="str">
        <x:v>[6574,"S02a-BK-38"]</x:v>
      </x:c>
      <x:c r="AF205" t="n">
        <x:f>IF(ISNUMBER(H205),1,0)</x:f>
        <x:v>1</x:v>
      </x:c>
      <x:c r="AG205" t="n">
        <x:f>IF(ISNUMBER(I205),1,0)</x:f>
        <x:v>1</x:v>
      </x:c>
      <x:c r="AH205" t="str">
        <x:v>["S02a","S02a-BK","BK","黑色"]</x:v>
      </x:c>
      <x:c r="AI205" t="n">
        <x:f>IF(ISNUMBER(G205),1,0)</x:f>
        <x:v>1</x:v>
      </x:c>
      <x:c r="AJ205" t="n">
        <x:f>IF(ISNUMBER(AD205),1,0)</x:f>
        <x:v>1</x:v>
      </x:c>
    </x:row>
    <x:row r="206" ht="30" customHeight="1">
      <x:c r="A206" s="3" t="str">
        <x:v>S02a-BK-39</x:v>
      </x:c>
      <x:c r="B206" s="3" t="str">
        <x:v>3店-SANDIEX-US</x:v>
      </x:c>
      <x:c r="C206" s="3" t="str">
        <x:v>陈晨</x:v>
      </x:c>
      <x:c r="D206" s="3" t="str">
        <x:v>S02a</x:v>
      </x:c>
      <x:c r="E206" s="3" t="str">
        <x:f>IF(Z206="移出","已移出",IF(NOT(ISNUMBER(H206)),"数据待核",IF(H206=0,"断货",IF(NOT(ISNUMBER(G206)),"数据待核",IF(G206=0,"零日销待复核",IF(F206&lt;60,"补货提醒",IF(F206&lt;=90,"正常库存",IF(F206&lt;180,"促销",IF(F206&lt;=365,"红线促销","考虑清仓")))))))))</x:f>
        <x:v>促销</x:v>
      </x:c>
      <x:c r="F206" s="11" t="n">
        <x:f>IF(AND(ISNUMBER(H206),ISNUMBER(G206),G206&gt;0),H206/G206,"")</x:f>
        <x:v>93.02013422818793</x:v>
      </x:c>
      <x:c r="G206" s="12" t="n">
        <x:f>IF(AND(COUNT(P206:R206)=3,MIN(P206:R206)&gt;=0,P206&lt;=Q206,Q206&lt;=R206),P206/7*0.5+Q206/14*0.3+R206/30*0.2,"")</x:f>
        <x:v>0.3547619047619047</x:v>
      </x:c>
      <x:c r="H206" s="10" t="n">
        <x:f>IF(ISNUMBER(U206),U206,"")</x:f>
        <x:v>33</x:v>
      </x:c>
      <x:c r="I206" s="10" t="n">
        <x:v>38</x:v>
      </x:c>
      <x:c r="J206" s="11" t="str">
        <x:f>IF(AND(Z206="共同",ISNUMBER(F206),ISNUMBER(M206)),F206-M206,"")</x:f>
      </x:c>
      <x:c r="K206" s="13" t="str">
        <x:f>IF(AND(ISNUMBER(J206),M206&lt;&gt;0),J206/M206,"")</x:f>
      </x:c>
      <x:c r="L206" s="10" t="str">
        <x:v>零日销待复核</x:v>
      </x:c>
      <x:c r="M206" s="11"/>
      <x:c r="N206" s="10" t="n">
        <x:f>IF(AND(Z206="共同",COUNT(H206:I206)=2),H206-I206,"")</x:f>
        <x:v>-5</x:v>
      </x:c>
      <x:c r="O206" s="10" t="n">
        <x:v>1</x:v>
      </x:c>
      <x:c r="P206" s="10" t="n">
        <x:v>3</x:v>
      </x:c>
      <x:c r="Q206" s="10" t="n">
        <x:v>5</x:v>
      </x:c>
      <x:c r="R206" s="10" t="n">
        <x:v>5</x:v>
      </x:c>
      <x:c r="S206" s="10" t="n">
        <x:v>33</x:v>
      </x:c>
      <x:c r="T206" s="10" t="n">
        <x:v>0</x:v>
      </x:c>
      <x:c r="U206" s="10" t="n">
        <x:f>IF(AND(ISNUMBER(X206),X206&gt;=0,Y206&lt;&gt;1),X206,"")</x:f>
        <x:v>33</x:v>
      </x:c>
      <x:c r="V206" s="10" t="n">
        <x:v>0</x:v>
      </x:c>
      <x:c r="W206" s="10" t="n">
        <x:v>0</x:v>
      </x:c>
      <x:c r="X206" s="10" t="n">
        <x:v>33</x:v>
      </x:c>
      <x:c r="Y206" s="3" t="n">
        <x:v>0</x:v>
      </x:c>
      <x:c r="Z206" s="3" t="str">
        <x:v>共同</x:v>
      </x:c>
      <x:c r="AA206" s="3" t="str">
        <x:v>在售</x:v>
      </x:c>
      <x:c r="AB206" s="12" t="n">
        <x:f>IF(AND(Z206="共同",ISNUMBER(G206),ISNUMBER(AD206)),G206-AD206,"")</x:f>
        <x:v>0.3547619047619047</x:v>
      </x:c>
      <x:c r="AC206" s="3" t="str"/>
      <x:c r="AD206" s="12" t="n">
        <x:v>0</x:v>
      </x:c>
      <x:c r="AE206" s="3" t="str">
        <x:v>[6574,"S02a-BK-39"]</x:v>
      </x:c>
      <x:c r="AF206" t="n">
        <x:f>IF(ISNUMBER(H206),1,0)</x:f>
        <x:v>1</x:v>
      </x:c>
      <x:c r="AG206" t="n">
        <x:f>IF(ISNUMBER(I206),1,0)</x:f>
        <x:v>1</x:v>
      </x:c>
      <x:c r="AH206" t="str">
        <x:v>["S02a","S02a-BK","BK","黑色"]</x:v>
      </x:c>
      <x:c r="AI206" t="n">
        <x:f>IF(ISNUMBER(G206),1,0)</x:f>
        <x:v>1</x:v>
      </x:c>
      <x:c r="AJ206" t="n">
        <x:f>IF(ISNUMBER(AD206),1,0)</x:f>
        <x:v>1</x:v>
      </x:c>
    </x:row>
    <x:row r="207" ht="30" customHeight="1">
      <x:c r="A207" s="3" t="str">
        <x:v>S02a-BK-40</x:v>
      </x:c>
      <x:c r="B207" s="3" t="str">
        <x:v>3店-SANDIEX-US</x:v>
      </x:c>
      <x:c r="C207" s="3" t="str">
        <x:v>陈晨</x:v>
      </x:c>
      <x:c r="D207" s="3" t="str">
        <x:v>S02a</x:v>
      </x:c>
      <x:c r="E207" s="3" t="str">
        <x:f>IF(Z207="移出","已移出",IF(NOT(ISNUMBER(H207)),"数据待核",IF(H207=0,"断货",IF(NOT(ISNUMBER(G207)),"数据待核",IF(G207=0,"零日销待复核",IF(F207&lt;60,"补货提醒",IF(F207&lt;=90,"正常库存",IF(F207&lt;180,"促销",IF(F207&lt;=365,"红线促销","考虑清仓")))))))))</x:f>
        <x:v>促销</x:v>
      </x:c>
      <x:c r="F207" s="11" t="n">
        <x:f>IF(AND(ISNUMBER(H207),ISNUMBER(G207),G207&gt;0),H207/G207,"")</x:f>
        <x:v>100.53191489361703</x:v>
      </x:c>
      <x:c r="G207" s="12" t="n">
        <x:f>IF(AND(COUNT(P207:R207)=3,MIN(P207:R207)&gt;=0,P207&lt;=Q207,Q207&lt;=R207),P207/7*0.5+Q207/14*0.3+R207/30*0.2,"")</x:f>
        <x:v>0.26857142857142857</x:v>
      </x:c>
      <x:c r="H207" s="10" t="n">
        <x:f>IF(ISNUMBER(U207),U207,"")</x:f>
        <x:v>27</x:v>
      </x:c>
      <x:c r="I207" s="10" t="n">
        <x:v>31</x:v>
      </x:c>
      <x:c r="J207" s="11" t="n">
        <x:f>IF(AND(Z207="共同",ISNUMBER(F207),ISNUMBER(M207)),F207-M207,"")</x:f>
        <x:v>-451.16300036062023</x:v>
      </x:c>
      <x:c r="K207" s="13" t="n">
        <x:f>IF(AND(ISNUMBER(J207),M207&lt;&gt;0),J207/M207,"")</x:f>
        <x:v>-0.8177762525737817</x:v>
      </x:c>
      <x:c r="L207" s="10" t="str">
        <x:v>考虑清仓</x:v>
      </x:c>
      <x:c r="M207" s="11" t="n">
        <x:v>551.6949152542372</x:v>
      </x:c>
      <x:c r="N207" s="10" t="n">
        <x:f>IF(AND(Z207="共同",COUNT(H207:I207)=2),H207-I207,"")</x:f>
        <x:v>-4</x:v>
      </x:c>
      <x:c r="O207" s="10" t="n">
        <x:v>0</x:v>
      </x:c>
      <x:c r="P207" s="10" t="n">
        <x:v>2</x:v>
      </x:c>
      <x:c r="Q207" s="10" t="n">
        <x:v>4</x:v>
      </x:c>
      <x:c r="R207" s="10" t="n">
        <x:v>6</x:v>
      </x:c>
      <x:c r="S207" s="10" t="n">
        <x:v>48</x:v>
      </x:c>
      <x:c r="T207" s="10" t="n">
        <x:v>0</x:v>
      </x:c>
      <x:c r="U207" s="10" t="n">
        <x:f>IF(AND(ISNUMBER(X207),X207&gt;=0,Y207&lt;&gt;1),X207,"")</x:f>
        <x:v>27</x:v>
      </x:c>
      <x:c r="V207" s="10" t="n">
        <x:v>0</x:v>
      </x:c>
      <x:c r="W207" s="10" t="n">
        <x:v>13</x:v>
      </x:c>
      <x:c r="X207" s="10" t="n">
        <x:v>27</x:v>
      </x:c>
      <x:c r="Y207" s="3" t="n">
        <x:v>0</x:v>
      </x:c>
      <x:c r="Z207" s="3" t="str">
        <x:v>共同</x:v>
      </x:c>
      <x:c r="AA207" s="3" t="str">
        <x:v>在售</x:v>
      </x:c>
      <x:c r="AB207" s="12" t="n">
        <x:f>IF(AND(Z207="共同",ISNUMBER(G207),ISNUMBER(AD207)),G207-AD207,"")</x:f>
        <x:v>0.2123809523809524</x:v>
      </x:c>
      <x:c r="AC207" s="3" t="str"/>
      <x:c r="AD207" s="12" t="n">
        <x:v>0.05619047619047619</x:v>
      </x:c>
      <x:c r="AE207" s="3" t="str">
        <x:v>[6574,"S02a-BK-40"]</x:v>
      </x:c>
      <x:c r="AF207" t="n">
        <x:f>IF(ISNUMBER(H207),1,0)</x:f>
        <x:v>1</x:v>
      </x:c>
      <x:c r="AG207" t="n">
        <x:f>IF(ISNUMBER(I207),1,0)</x:f>
        <x:v>1</x:v>
      </x:c>
      <x:c r="AH207" t="str">
        <x:v>["S02a","S02a-BK","BK","黑色"]</x:v>
      </x:c>
      <x:c r="AI207" t="n">
        <x:f>IF(ISNUMBER(G207),1,0)</x:f>
        <x:v>1</x:v>
      </x:c>
      <x:c r="AJ207" t="n">
        <x:f>IF(ISNUMBER(AD207),1,0)</x:f>
        <x:v>1</x:v>
      </x:c>
    </x:row>
    <x:row r="208" ht="30" customHeight="1">
      <x:c r="A208" s="3" t="str">
        <x:v>S02a-ND-39</x:v>
      </x:c>
      <x:c r="B208" s="3" t="str">
        <x:v>3店-SANDIEX-US</x:v>
      </x:c>
      <x:c r="C208" s="3" t="str">
        <x:v>陈晨</x:v>
      </x:c>
      <x:c r="D208" s="3" t="str">
        <x:v>S02a</x:v>
      </x:c>
      <x:c r="E208" s="3" t="str">
        <x:f>IF(Z208="移出","已移出",IF(NOT(ISNUMBER(H208)),"数据待核",IF(H208=0,"断货",IF(NOT(ISNUMBER(G208)),"数据待核",IF(G208=0,"零日销待复核",IF(F208&lt;60,"补货提醒",IF(F208&lt;=90,"正常库存",IF(F208&lt;180,"促销",IF(F208&lt;=365,"红线促销","考虑清仓")))))))))</x:f>
        <x:v>促销</x:v>
      </x:c>
      <x:c r="F208" s="11" t="n">
        <x:f>IF(AND(ISNUMBER(H208),ISNUMBER(G208),G208&gt;0),H208/G208,"")</x:f>
        <x:v>162.54681647940077</x:v>
      </x:c>
      <x:c r="G208" s="12" t="n">
        <x:f>IF(AND(COUNT(P208:R208)=3,MIN(P208:R208)&gt;=0,P208&lt;=Q208,Q208&lt;=R208),P208/7*0.5+Q208/14*0.3+R208/30*0.2,"")</x:f>
        <x:v>0.3814285714285714</x:v>
      </x:c>
      <x:c r="H208" s="10" t="n">
        <x:f>IF(ISNUMBER(U208),U208,"")</x:f>
        <x:v>62</x:v>
      </x:c>
      <x:c r="I208" s="10" t="n">
        <x:v>67</x:v>
      </x:c>
      <x:c r="J208" s="11" t="n">
        <x:f>IF(AND(Z208="共同",ISNUMBER(F208),ISNUMBER(M208)),F208-M208,"")</x:f>
        <x:v>-2.982595285305109</x:v>
      </x:c>
      <x:c r="K208" s="13" t="n">
        <x:f>IF(AND(ISNUMBER(J208),M208&lt;&gt;0),J208/M208,"")</x:f>
        <x:v>-0.018018521624089144</x:v>
      </x:c>
      <x:c r="L208" s="10" t="str">
        <x:v>促销</x:v>
      </x:c>
      <x:c r="M208" s="11" t="n">
        <x:v>165.52941176470588</x:v>
      </x:c>
      <x:c r="N208" s="10" t="n">
        <x:f>IF(AND(Z208="共同",COUNT(H208:I208)=2),H208-I208,"")</x:f>
        <x:v>-5</x:v>
      </x:c>
      <x:c r="O208" s="10" t="n">
        <x:v>14</x:v>
      </x:c>
      <x:c r="P208" s="10" t="n">
        <x:v>3</x:v>
      </x:c>
      <x:c r="Q208" s="10" t="n">
        <x:v>5</x:v>
      </x:c>
      <x:c r="R208" s="10" t="n">
        <x:v>9</x:v>
      </x:c>
      <x:c r="S208" s="10" t="n">
        <x:v>63</x:v>
      </x:c>
      <x:c r="T208" s="10" t="n">
        <x:v>0</x:v>
      </x:c>
      <x:c r="U208" s="10" t="n">
        <x:f>IF(AND(ISNUMBER(X208),X208&gt;=0,Y208&lt;&gt;1),X208,"")</x:f>
        <x:v>62</x:v>
      </x:c>
      <x:c r="V208" s="10" t="n">
        <x:v>0</x:v>
      </x:c>
      <x:c r="W208" s="10" t="n">
        <x:v>0</x:v>
      </x:c>
      <x:c r="X208" s="10" t="n">
        <x:v>62</x:v>
      </x:c>
      <x:c r="Y208" s="3" t="n">
        <x:v>0</x:v>
      </x:c>
      <x:c r="Z208" s="3" t="str">
        <x:v>共同</x:v>
      </x:c>
      <x:c r="AA208" s="3" t="str">
        <x:v>在售</x:v>
      </x:c>
      <x:c r="AB208" s="12" t="n">
        <x:f>IF(AND(Z208="共同",ISNUMBER(G208),ISNUMBER(AD208)),G208-AD208,"")</x:f>
        <x:v>-0.023333333333333373</x:v>
      </x:c>
      <x:c r="AC208" s="3" t="str"/>
      <x:c r="AD208" s="12" t="n">
        <x:v>0.40476190476190477</x:v>
      </x:c>
      <x:c r="AE208" s="3" t="str">
        <x:v>[6574,"S02a-ND-39"]</x:v>
      </x:c>
      <x:c r="AF208" t="n">
        <x:f>IF(ISNUMBER(H208),1,0)</x:f>
        <x:v>1</x:v>
      </x:c>
      <x:c r="AG208" t="n">
        <x:f>IF(ISNUMBER(I208),1,0)</x:f>
        <x:v>1</x:v>
      </x:c>
      <x:c r="AH208" t="str">
        <x:v>["S02a","S02a-ND","ND","裸色"]</x:v>
      </x:c>
      <x:c r="AI208" t="n">
        <x:f>IF(ISNUMBER(G208),1,0)</x:f>
        <x:v>1</x:v>
      </x:c>
      <x:c r="AJ208" t="n">
        <x:f>IF(ISNUMBER(AD208),1,0)</x:f>
        <x:v>1</x:v>
      </x:c>
    </x:row>
    <x:row r="209" ht="30" customHeight="1">
      <x:c r="A209" s="3" t="str">
        <x:v>S02a-TN-37</x:v>
      </x:c>
      <x:c r="B209" s="3" t="str">
        <x:v>3店-SANDIEX-US</x:v>
      </x:c>
      <x:c r="C209" s="3" t="str">
        <x:v>陈晨</x:v>
      </x:c>
      <x:c r="D209" s="3" t="str">
        <x:v>S02a</x:v>
      </x:c>
      <x:c r="E209" s="3" t="str">
        <x:f>IF(Z209="移出","已移出",IF(NOT(ISNUMBER(H209)),"数据待核",IF(H209=0,"断货",IF(NOT(ISNUMBER(G209)),"数据待核",IF(G209=0,"零日销待复核",IF(F209&lt;60,"补货提醒",IF(F209&lt;=90,"正常库存",IF(F209&lt;180,"促销",IF(F209&lt;=365,"红线促销","考虑清仓")))))))))</x:f>
        <x:v>促销</x:v>
      </x:c>
      <x:c r="F209" s="11" t="n">
        <x:f>IF(AND(ISNUMBER(H209),ISNUMBER(G209),G209&gt;0),H209/G209,"")</x:f>
        <x:v>102.64765784114053</x:v>
      </x:c>
      <x:c r="G209" s="12" t="n">
        <x:f>IF(AND(COUNT(P209:R209)=3,MIN(P209:R209)&gt;=0,P209&lt;=Q209,Q209&lt;=R209),P209/7*0.5+Q209/14*0.3+R209/30*0.2,"")</x:f>
        <x:v>0.2338095238095238</x:v>
      </x:c>
      <x:c r="H209" s="10" t="n">
        <x:f>IF(ISNUMBER(U209),U209,"")</x:f>
        <x:v>24</x:v>
      </x:c>
      <x:c r="I209" s="10" t="n">
        <x:v>27</x:v>
      </x:c>
      <x:c r="J209" s="11" t="n">
        <x:f>IF(AND(Z209="共同",ISNUMBER(F209),ISNUMBER(M209)),F209-M209,"")</x:f>
        <x:v>-168.64420818756764</x:v>
      </x:c>
      <x:c r="K209" s="13" t="n">
        <x:f>IF(AND(ISNUMBER(J209),M209&lt;&gt;0),J209/M209,"")</x:f>
        <x:v>-0.6216338538130799</x:v>
      </x:c>
      <x:c r="L209" s="10" t="str">
        <x:v>红线促销</x:v>
      </x:c>
      <x:c r="M209" s="11" t="n">
        <x:v>271.29186602870817</x:v>
      </x:c>
      <x:c r="N209" s="10" t="n">
        <x:f>IF(AND(Z209="共同",COUNT(H209:I209)=2),H209-I209,"")</x:f>
        <x:v>-3</x:v>
      </x:c>
      <x:c r="O209" s="10" t="n">
        <x:v>0</x:v>
      </x:c>
      <x:c r="P209" s="10" t="n">
        <x:v>2</x:v>
      </x:c>
      <x:c r="Q209" s="10" t="n">
        <x:v>3</x:v>
      </x:c>
      <x:c r="R209" s="10" t="n">
        <x:v>4</x:v>
      </x:c>
      <x:c r="S209" s="10" t="n">
        <x:v>24</x:v>
      </x:c>
      <x:c r="T209" s="10" t="n">
        <x:v>0</x:v>
      </x:c>
      <x:c r="U209" s="10" t="n">
        <x:f>IF(AND(ISNUMBER(X209),X209&gt;=0,Y209&lt;&gt;1),X209,"")</x:f>
        <x:v>24</x:v>
      </x:c>
      <x:c r="V209" s="10" t="n">
        <x:v>0</x:v>
      </x:c>
      <x:c r="W209" s="10" t="n">
        <x:v>0</x:v>
      </x:c>
      <x:c r="X209" s="10" t="n">
        <x:v>24</x:v>
      </x:c>
      <x:c r="Y209" s="3" t="n">
        <x:v>0</x:v>
      </x:c>
      <x:c r="Z209" s="3" t="str">
        <x:v>共同</x:v>
      </x:c>
      <x:c r="AA209" s="3" t="str">
        <x:v>在售</x:v>
      </x:c>
      <x:c r="AB209" s="12" t="n">
        <x:f>IF(AND(Z209="共同",ISNUMBER(G209),ISNUMBER(AD209)),G209-AD209,"")</x:f>
        <x:v>0.13428571428571429</x:v>
      </x:c>
      <x:c r="AC209" s="3" t="str"/>
      <x:c r="AD209" s="12" t="n">
        <x:v>0.09952380952380951</x:v>
      </x:c>
      <x:c r="AE209" s="3" t="str">
        <x:v>[6574,"S02a-TN-37"]</x:v>
      </x:c>
      <x:c r="AF209" t="n">
        <x:f>IF(ISNUMBER(H209),1,0)</x:f>
        <x:v>1</x:v>
      </x:c>
      <x:c r="AG209" t="n">
        <x:f>IF(ISNUMBER(I209),1,0)</x:f>
        <x:v>1</x:v>
      </x:c>
      <x:c r="AH209" t="str">
        <x:v>["S02a","S02a-TN","TN","驼色"]</x:v>
      </x:c>
      <x:c r="AI209" t="n">
        <x:f>IF(ISNUMBER(G209),1,0)</x:f>
        <x:v>1</x:v>
      </x:c>
      <x:c r="AJ209" t="n">
        <x:f>IF(ISNUMBER(AD209),1,0)</x:f>
        <x:v>1</x:v>
      </x:c>
    </x:row>
    <x:row r="210" ht="30" customHeight="1">
      <x:c r="A210" s="3" t="str">
        <x:v>S02a-WT-38</x:v>
      </x:c>
      <x:c r="B210" s="3" t="str">
        <x:v>3店-SANDIEX-US</x:v>
      </x:c>
      <x:c r="C210" s="3" t="str">
        <x:v>陈晨</x:v>
      </x:c>
      <x:c r="D210" s="3" t="str">
        <x:v>S02a</x:v>
      </x:c>
      <x:c r="E210" s="3" t="str">
        <x:f>IF(Z210="移出","已移出",IF(NOT(ISNUMBER(H210)),"数据待核",IF(H210=0,"断货",IF(NOT(ISNUMBER(G210)),"数据待核",IF(G210=0,"零日销待复核",IF(F210&lt;60,"补货提醒",IF(F210&lt;=90,"正常库存",IF(F210&lt;180,"促销",IF(F210&lt;=365,"红线促销","考虑清仓")))))))))</x:f>
        <x:v>促销</x:v>
      </x:c>
      <x:c r="F210" s="11" t="n">
        <x:f>IF(AND(ISNUMBER(H210),ISNUMBER(G210),G210&gt;0),H210/G210,"")</x:f>
        <x:v>90.43062200956939</x:v>
      </x:c>
      <x:c r="G210" s="12" t="n">
        <x:f>IF(AND(COUNT(P210:R210)=3,MIN(P210:R210)&gt;=0,P210&lt;=Q210,Q210&lt;=R210),P210/7*0.5+Q210/14*0.3+R210/30*0.2,"")</x:f>
        <x:v>0.09952380952380951</x:v>
      </x:c>
      <x:c r="H210" s="10" t="n">
        <x:f>IF(ISNUMBER(U210),U210,"")</x:f>
        <x:v>9</x:v>
      </x:c>
      <x:c r="I210" s="10" t="n">
        <x:v>10</x:v>
      </x:c>
      <x:c r="J210" s="11" t="str">
        <x:f>IF(AND(Z210="共同",ISNUMBER(F210),ISNUMBER(M210)),F210-M210,"")</x:f>
      </x:c>
      <x:c r="K210" s="13" t="str">
        <x:f>IF(AND(ISNUMBER(J210),M210&lt;&gt;0),J210/M210,"")</x:f>
      </x:c>
      <x:c r="L210" s="10" t="str">
        <x:v>零日销待复核</x:v>
      </x:c>
      <x:c r="M210" s="11"/>
      <x:c r="N210" s="10" t="n">
        <x:f>IF(AND(Z210="共同",COUNT(H210:I210)=2),H210-I210,"")</x:f>
        <x:v>-1</x:v>
      </x:c>
      <x:c r="O210" s="10" t="n">
        <x:v>0</x:v>
      </x:c>
      <x:c r="P210" s="10" t="n">
        <x:v>1</x:v>
      </x:c>
      <x:c r="Q210" s="10" t="n">
        <x:v>1</x:v>
      </x:c>
      <x:c r="R210" s="10" t="n">
        <x:v>1</x:v>
      </x:c>
      <x:c r="S210" s="10" t="n">
        <x:v>10</x:v>
      </x:c>
      <x:c r="T210" s="10" t="n">
        <x:v>0</x:v>
      </x:c>
      <x:c r="U210" s="10" t="n">
        <x:f>IF(AND(ISNUMBER(X210),X210&gt;=0,Y210&lt;&gt;1),X210,"")</x:f>
        <x:v>9</x:v>
      </x:c>
      <x:c r="V210" s="10" t="n">
        <x:v>0</x:v>
      </x:c>
      <x:c r="W210" s="10" t="n">
        <x:v>15</x:v>
      </x:c>
      <x:c r="X210" s="10" t="n">
        <x:v>9</x:v>
      </x:c>
      <x:c r="Y210" s="3" t="n">
        <x:v>0</x:v>
      </x:c>
      <x:c r="Z210" s="3" t="str">
        <x:v>共同</x:v>
      </x:c>
      <x:c r="AA210" s="3" t="str">
        <x:v>在售</x:v>
      </x:c>
      <x:c r="AB210" s="12" t="n">
        <x:f>IF(AND(Z210="共同",ISNUMBER(G210),ISNUMBER(AD210)),G210-AD210,"")</x:f>
        <x:v>0.09952380952380951</x:v>
      </x:c>
      <x:c r="AC210" s="3" t="str"/>
      <x:c r="AD210" s="12" t="n">
        <x:v>0</x:v>
      </x:c>
      <x:c r="AE210" s="3" t="str">
        <x:v>[6574,"S02a-WT-38"]</x:v>
      </x:c>
      <x:c r="AF210" t="n">
        <x:f>IF(ISNUMBER(H210),1,0)</x:f>
        <x:v>1</x:v>
      </x:c>
      <x:c r="AG210" t="n">
        <x:f>IF(ISNUMBER(I210),1,0)</x:f>
        <x:v>1</x:v>
      </x:c>
      <x:c r="AH210" t="str">
        <x:v>["S02a","S02a-WT","WT","白色PU"]</x:v>
      </x:c>
      <x:c r="AI210" t="n">
        <x:f>IF(ISNUMBER(G210),1,0)</x:f>
        <x:v>1</x:v>
      </x:c>
      <x:c r="AJ210" t="n">
        <x:f>IF(ISNUMBER(AD210),1,0)</x:f>
        <x:v>1</x:v>
      </x:c>
    </x:row>
    <x:row r="211" ht="30" customHeight="1">
      <x:c r="A211" s="3" t="str">
        <x:v>S02b-ND-38</x:v>
      </x:c>
      <x:c r="B211" s="3" t="str">
        <x:v>3店-SANDIEX-US</x:v>
      </x:c>
      <x:c r="C211" s="3" t="str">
        <x:v>陈晨</x:v>
      </x:c>
      <x:c r="D211" s="3" t="str">
        <x:v>S02b</x:v>
      </x:c>
      <x:c r="E211" s="3" t="str">
        <x:f>IF(Z211="移出","已移出",IF(NOT(ISNUMBER(H211)),"数据待核",IF(H211=0,"断货",IF(NOT(ISNUMBER(G211)),"数据待核",IF(G211=0,"零日销待复核",IF(F211&lt;60,"补货提醒",IF(F211&lt;=90,"正常库存",IF(F211&lt;180,"促销",IF(F211&lt;=365,"红线促销","考虑清仓")))))))))</x:f>
        <x:v>促销</x:v>
      </x:c>
      <x:c r="F211" s="11" t="n">
        <x:f>IF(AND(ISNUMBER(H211),ISNUMBER(G211),G211&gt;0),H211/G211,"")</x:f>
        <x:v>111.08312342569269</x:v>
      </x:c>
      <x:c r="G211" s="12" t="n">
        <x:f>IF(AND(COUNT(P211:R211)=3,MIN(P211:R211)&gt;=0,P211&lt;=Q211,Q211&lt;=R211),P211/7*0.5+Q211/14*0.3+R211/30*0.2,"")</x:f>
        <x:v>0.18904761904761905</x:v>
      </x:c>
      <x:c r="H211" s="10" t="n">
        <x:f>IF(ISNUMBER(U211),U211,"")</x:f>
        <x:v>21</x:v>
      </x:c>
      <x:c r="I211" s="10" t="n">
        <x:v>22</x:v>
      </x:c>
      <x:c r="J211" s="11" t="n">
        <x:f>IF(AND(Z211="共同",ISNUMBER(F211),ISNUMBER(M211)),F211-M211,"")</x:f>
        <x:v>50.213558208301386</x:v>
      </x:c>
      <x:c r="K211" s="13" t="n">
        <x:f>IF(AND(ISNUMBER(J211),M211&lt;&gt;0),J211/M211,"")</x:f>
        <x:v>0.8249370277078085</x:v>
      </x:c>
      <x:c r="L211" s="10" t="str">
        <x:v>正常库存</x:v>
      </x:c>
      <x:c r="M211" s="11" t="n">
        <x:v>60.869565217391305</x:v>
      </x:c>
      <x:c r="N211" s="10" t="n">
        <x:f>IF(AND(Z211="共同",COUNT(H211:I211)=2),H211-I211,"")</x:f>
        <x:v>-1</x:v>
      </x:c>
      <x:c r="O211" s="10" t="n">
        <x:v>46</x:v>
      </x:c>
      <x:c r="P211" s="10" t="n">
        <x:v>1</x:v>
      </x:c>
      <x:c r="Q211" s="10" t="n">
        <x:v>3</x:v>
      </x:c>
      <x:c r="R211" s="10" t="n">
        <x:v>8</x:v>
      </x:c>
      <x:c r="S211" s="10" t="n">
        <x:v>61</x:v>
      </x:c>
      <x:c r="T211" s="10" t="n">
        <x:v>0</x:v>
      </x:c>
      <x:c r="U211" s="10" t="n">
        <x:f>IF(AND(ISNUMBER(X211),X211&gt;=0,Y211&lt;&gt;1),X211,"")</x:f>
        <x:v>21</x:v>
      </x:c>
      <x:c r="V211" s="10" t="n">
        <x:v>0</x:v>
      </x:c>
      <x:c r="W211" s="10" t="n">
        <x:v>0</x:v>
      </x:c>
      <x:c r="X211" s="10" t="n">
        <x:v>21</x:v>
      </x:c>
      <x:c r="Y211" s="3" t="n">
        <x:v>0</x:v>
      </x:c>
      <x:c r="Z211" s="3" t="str">
        <x:v>共同</x:v>
      </x:c>
      <x:c r="AA211" s="3" t="str">
        <x:v>在售</x:v>
      </x:c>
      <x:c r="AB211" s="12" t="n">
        <x:f>IF(AND(Z211="共同",ISNUMBER(G211),ISNUMBER(AD211)),G211-AD211,"")</x:f>
        <x:v>-0.17238095238095238</x:v>
      </x:c>
      <x:c r="AC211" s="3" t="str"/>
      <x:c r="AD211" s="12" t="n">
        <x:v>0.36142857142857143</x:v>
      </x:c>
      <x:c r="AE211" s="3" t="str">
        <x:v>[6574,"S02b-ND-38"]</x:v>
      </x:c>
      <x:c r="AF211" t="n">
        <x:f>IF(ISNUMBER(H211),1,0)</x:f>
        <x:v>1</x:v>
      </x:c>
      <x:c r="AG211" t="n">
        <x:f>IF(ISNUMBER(I211),1,0)</x:f>
        <x:v>1</x:v>
      </x:c>
      <x:c r="AH211" t="str">
        <x:v>["S02b","S02b-ND","ND","裸色"]</x:v>
      </x:c>
      <x:c r="AI211" t="n">
        <x:f>IF(ISNUMBER(G211),1,0)</x:f>
        <x:v>1</x:v>
      </x:c>
      <x:c r="AJ211" t="n">
        <x:f>IF(ISNUMBER(AD211),1,0)</x:f>
        <x:v>1</x:v>
      </x:c>
    </x:row>
    <x:row r="212" ht="30" customHeight="1">
      <x:c r="A212" s="3" t="str">
        <x:v>S02b-ND-41</x:v>
      </x:c>
      <x:c r="B212" s="3" t="str">
        <x:v>3店-SANDIEX-US</x:v>
      </x:c>
      <x:c r="C212" s="3" t="str">
        <x:v>陈晨</x:v>
      </x:c>
      <x:c r="D212" s="3" t="str">
        <x:v>S02b</x:v>
      </x:c>
      <x:c r="E212" s="3" t="str">
        <x:f>IF(Z212="移出","已移出",IF(NOT(ISNUMBER(H212)),"数据待核",IF(H212=0,"断货",IF(NOT(ISNUMBER(G212)),"数据待核",IF(G212=0,"零日销待复核",IF(F212&lt;60,"补货提醒",IF(F212&lt;=90,"正常库存",IF(F212&lt;180,"促销",IF(F212&lt;=365,"红线促销","考虑清仓")))))))))</x:f>
        <x:v>促销</x:v>
      </x:c>
      <x:c r="F212" s="11" t="n">
        <x:f>IF(AND(ISNUMBER(H212),ISNUMBER(G212),G212&gt;0),H212/G212,"")</x:f>
        <x:v>126.59574468085107</x:v>
      </x:c>
      <x:c r="G212" s="12" t="n">
        <x:f>IF(AND(COUNT(P212:R212)=3,MIN(P212:R212)&gt;=0,P212&lt;=Q212,Q212&lt;=R212),P212/7*0.5+Q212/14*0.3+R212/30*0.2,"")</x:f>
        <x:v>0.13428571428571429</x:v>
      </x:c>
      <x:c r="H212" s="10" t="n">
        <x:f>IF(ISNUMBER(U212),U212,"")</x:f>
        <x:v>17</x:v>
      </x:c>
      <x:c r="I212" s="10" t="n">
        <x:v>17</x:v>
      </x:c>
      <x:c r="J212" s="11" t="n">
        <x:f>IF(AND(Z212="共同",ISNUMBER(F212),ISNUMBER(M212)),F212-M212,"")</x:f>
        <x:v>-1148.404255319149</x:v>
      </x:c>
      <x:c r="K212" s="13" t="n">
        <x:f>IF(AND(ISNUMBER(J212),M212&lt;&gt;0),J212/M212,"")</x:f>
        <x:v>-0.900709219858156</x:v>
      </x:c>
      <x:c r="L212" s="10" t="str">
        <x:v>考虑清仓</x:v>
      </x:c>
      <x:c r="M212" s="11" t="n">
        <x:v>1275</x:v>
      </x:c>
      <x:c r="N212" s="10" t="n">
        <x:f>IF(AND(Z212="共同",COUNT(H212:I212)=2),H212-I212,"")</x:f>
        <x:v>0</x:v>
      </x:c>
      <x:c r="O212" s="10" t="n">
        <x:v>55</x:v>
      </x:c>
      <x:c r="P212" s="10" t="n">
        <x:v>1</x:v>
      </x:c>
      <x:c r="Q212" s="10" t="n">
        <x:v>2</x:v>
      </x:c>
      <x:c r="R212" s="10" t="n">
        <x:v>3</x:v>
      </x:c>
      <x:c r="S212" s="10" t="n">
        <x:v>37</x:v>
      </x:c>
      <x:c r="T212" s="10" t="n">
        <x:v>3</x:v>
      </x:c>
      <x:c r="U212" s="10" t="n">
        <x:f>IF(AND(ISNUMBER(X212),X212&gt;=0,Y212&lt;&gt;1),X212,"")</x:f>
        <x:v>17</x:v>
      </x:c>
      <x:c r="V212" s="10" t="n">
        <x:v>0</x:v>
      </x:c>
      <x:c r="W212" s="10" t="n">
        <x:v>0</x:v>
      </x:c>
      <x:c r="X212" s="10" t="n">
        <x:v>17</x:v>
      </x:c>
      <x:c r="Y212" s="3" t="n">
        <x:v>0</x:v>
      </x:c>
      <x:c r="Z212" s="3" t="str">
        <x:v>共同</x:v>
      </x:c>
      <x:c r="AA212" s="3" t="str">
        <x:v>在售</x:v>
      </x:c>
      <x:c r="AB212" s="12" t="n">
        <x:f>IF(AND(Z212="共同",ISNUMBER(G212),ISNUMBER(AD212)),G212-AD212,"")</x:f>
        <x:v>0.12095238095238095</x:v>
      </x:c>
      <x:c r="AC212" s="3" t="str"/>
      <x:c r="AD212" s="12" t="n">
        <x:v>0.013333333333333332</x:v>
      </x:c>
      <x:c r="AE212" s="3" t="str">
        <x:v>[6574,"S02b-ND-41"]</x:v>
      </x:c>
      <x:c r="AF212" t="n">
        <x:f>IF(ISNUMBER(H212),1,0)</x:f>
        <x:v>1</x:v>
      </x:c>
      <x:c r="AG212" t="n">
        <x:f>IF(ISNUMBER(I212),1,0)</x:f>
        <x:v>1</x:v>
      </x:c>
      <x:c r="AH212" t="str">
        <x:v>["S02b","S02b-ND","ND","裸色"]</x:v>
      </x:c>
      <x:c r="AI212" t="n">
        <x:f>IF(ISNUMBER(G212),1,0)</x:f>
        <x:v>1</x:v>
      </x:c>
      <x:c r="AJ212" t="n">
        <x:f>IF(ISNUMBER(AD212),1,0)</x:f>
        <x:v>1</x:v>
      </x:c>
    </x:row>
    <x:row r="213" ht="30" customHeight="1">
      <x:c r="A213" s="3" t="str">
        <x:v>S02b-NY-40</x:v>
      </x:c>
      <x:c r="B213" s="3" t="str">
        <x:v>3店-SANDIEX-US</x:v>
      </x:c>
      <x:c r="C213" s="3" t="str">
        <x:v>陈晨</x:v>
      </x:c>
      <x:c r="D213" s="3" t="str">
        <x:v>S02b</x:v>
      </x:c>
      <x:c r="E213" s="3" t="str">
        <x:f>IF(Z213="移出","已移出",IF(NOT(ISNUMBER(H213)),"数据待核",IF(H213=0,"断货",IF(NOT(ISNUMBER(G213)),"数据待核",IF(G213=0,"零日销待复核",IF(F213&lt;60,"补货提醒",IF(F213&lt;=90,"正常库存",IF(F213&lt;180,"促销",IF(F213&lt;=365,"红线促销","考虑清仓")))))))))</x:f>
        <x:v>促销</x:v>
      </x:c>
      <x:c r="F213" s="11" t="n">
        <x:f>IF(AND(ISNUMBER(H213),ISNUMBER(G213),G213&gt;0),H213/G213,"")</x:f>
        <x:v>108.11232449297974</x:v>
      </x:c>
      <x:c r="G213" s="12" t="n">
        <x:f>IF(AND(COUNT(P213:R213)=3,MIN(P213:R213)&gt;=0,P213&lt;=Q213,Q213&lt;=R213),P213/7*0.5+Q213/14*0.3+R213/30*0.2,"")</x:f>
        <x:v>0.6104761904761904</x:v>
      </x:c>
      <x:c r="H213" s="10" t="n">
        <x:f>IF(ISNUMBER(U213),U213,"")</x:f>
        <x:v>66</x:v>
      </x:c>
      <x:c r="I213" s="10" t="n">
        <x:v>42</x:v>
      </x:c>
      <x:c r="J213" s="11" t="n">
        <x:f>IF(AND(Z213="共同",ISNUMBER(F213),ISNUMBER(M213)),F213-M213,"")</x:f>
        <x:v>57.53892999756689</x:v>
      </x:c>
      <x:c r="K213" s="13" t="n">
        <x:f>IF(AND(ISNUMBER(J213),M213&lt;&gt;0),J213/M213,"")</x:f>
        <x:v>1.137731223534656</x:v>
      </x:c>
      <x:c r="L213" s="10" t="str">
        <x:v>补货提醒</x:v>
      </x:c>
      <x:c r="M213" s="11" t="n">
        <x:v>50.57339449541285</x:v>
      </x:c>
      <x:c r="N213" s="10" t="n">
        <x:f>IF(AND(Z213="共同",COUNT(H213:I213)=2),H213-I213,"")</x:f>
        <x:v>24</x:v>
      </x:c>
      <x:c r="O213" s="10" t="n">
        <x:v>37</x:v>
      </x:c>
      <x:c r="P213" s="10" t="n">
        <x:v>4</x:v>
      </x:c>
      <x:c r="Q213" s="10" t="n">
        <x:v>8</x:v>
      </x:c>
      <x:c r="R213" s="10" t="n">
        <x:v>23</x:v>
      </x:c>
      <x:c r="S213" s="10" t="n">
        <x:v>68</x:v>
      </x:c>
      <x:c r="T213" s="10" t="n">
        <x:v>0</x:v>
      </x:c>
      <x:c r="U213" s="10" t="n">
        <x:f>IF(AND(ISNUMBER(X213),X213&gt;=0,Y213&lt;&gt;1),X213,"")</x:f>
        <x:v>66</x:v>
      </x:c>
      <x:c r="V213" s="10" t="n">
        <x:v>0</x:v>
      </x:c>
      <x:c r="W213" s="10" t="n">
        <x:v>40</x:v>
      </x:c>
      <x:c r="X213" s="10" t="n">
        <x:v>66</x:v>
      </x:c>
      <x:c r="Y213" s="3" t="n">
        <x:v>0</x:v>
      </x:c>
      <x:c r="Z213" s="3" t="str">
        <x:v>共同</x:v>
      </x:c>
      <x:c r="AA213" s="3" t="str">
        <x:v>在售</x:v>
      </x:c>
      <x:c r="AB213" s="12" t="n">
        <x:f>IF(AND(Z213="共同",ISNUMBER(G213),ISNUMBER(AD213)),G213-AD213,"")</x:f>
        <x:v>-0.21999999999999997</x:v>
      </x:c>
      <x:c r="AC213" s="3" t="str"/>
      <x:c r="AD213" s="12" t="n">
        <x:v>0.8304761904761904</x:v>
      </x:c>
      <x:c r="AE213" s="3" t="str">
        <x:v>[6574,"S02b-NY-40"]</x:v>
      </x:c>
      <x:c r="AF213" t="n">
        <x:f>IF(ISNUMBER(H213),1,0)</x:f>
        <x:v>1</x:v>
      </x:c>
      <x:c r="AG213" t="n">
        <x:f>IF(ISNUMBER(I213),1,0)</x:f>
        <x:v>1</x:v>
      </x:c>
      <x:c r="AH213" t="str">
        <x:v>["S02b","S02b-NY","NY","藏青色"]</x:v>
      </x:c>
      <x:c r="AI213" t="n">
        <x:f>IF(ISNUMBER(G213),1,0)</x:f>
        <x:v>1</x:v>
      </x:c>
      <x:c r="AJ213" t="n">
        <x:f>IF(ISNUMBER(AD213),1,0)</x:f>
        <x:v>1</x:v>
      </x:c>
    </x:row>
    <x:row r="214" ht="30" customHeight="1">
      <x:c r="A214" s="3" t="str">
        <x:v>1S01-BEP-37</x:v>
      </x:c>
      <x:c r="B214" s="3" t="str">
        <x:v>3店-SANDIEX-US</x:v>
      </x:c>
      <x:c r="C214" s="3" t="str">
        <x:v>徐新怡</x:v>
      </x:c>
      <x:c r="D214" s="3" t="str">
        <x:v>1S01</x:v>
      </x:c>
      <x:c r="E214" s="3" t="str">
        <x:f>IF(Z214="移出","已移出",IF(NOT(ISNUMBER(H214)),"数据待核",IF(H214=0,"断货",IF(NOT(ISNUMBER(G214)),"数据待核",IF(G214=0,"零日销待复核",IF(F214&lt;60,"补货提醒",IF(F214&lt;=90,"正常库存",IF(F214&lt;180,"促销",IF(F214&lt;=365,"红线促销","考虑清仓")))))))))</x:f>
        <x:v>断货</x:v>
      </x:c>
      <x:c r="F214" s="11" t="str">
        <x:f>IF(AND(ISNUMBER(H214),ISNUMBER(G214),G214&gt;0),H214/G214,"")</x:f>
      </x:c>
      <x:c r="G214" s="12" t="n">
        <x:f>IF(AND(COUNT(P214:R214)=3,MIN(P214:R214)&gt;=0,P214&lt;=Q214,Q214&lt;=R214),P214/7*0.5+Q214/14*0.3+R214/30*0.2,"")</x:f>
        <x:v>0</x:v>
      </x:c>
      <x:c r="H214" s="10" t="n">
        <x:f>IF(ISNUMBER(U214),U214,"")</x:f>
        <x:v>0</x:v>
      </x:c>
      <x:c r="I214" s="10" t="n">
        <x:v>0</x:v>
      </x:c>
      <x:c r="J214" s="11" t="str">
        <x:f>IF(AND(Z214="共同",ISNUMBER(F214),ISNUMBER(M214)),F214-M214,"")</x:f>
      </x:c>
      <x:c r="K214" s="13" t="str">
        <x:f>IF(AND(ISNUMBER(J214),M214&lt;&gt;0),J214/M214,"")</x:f>
      </x:c>
      <x:c r="L214" s="10" t="str">
        <x:v>断货</x:v>
      </x:c>
      <x:c r="M214" s="11"/>
      <x:c r="N214" s="10" t="n">
        <x:f>IF(AND(Z214="共同",COUNT(H214:I214)=2),H214-I214,"")</x:f>
        <x:v>0</x:v>
      </x:c>
      <x:c r="O214" s="10" t="n">
        <x:v>20</x:v>
      </x:c>
      <x:c r="P214" s="10" t="n">
        <x:v>0</x:v>
      </x:c>
      <x:c r="Q214" s="10" t="n">
        <x:v>0</x:v>
      </x:c>
      <x:c r="R214" s="10" t="n">
        <x:v>0</x:v>
      </x:c>
      <x:c r="S214" s="10" t="n">
        <x:v>0</x:v>
      </x:c>
      <x:c r="T214" s="10" t="n">
        <x:v>0</x:v>
      </x:c>
      <x:c r="U214" s="10" t="n">
        <x:f>IF(AND(ISNUMBER(X214),X214&gt;=0,Y214&lt;&gt;1),X214,"")</x:f>
        <x:v>0</x:v>
      </x:c>
      <x:c r="V214" s="10" t="n">
        <x:v>0</x:v>
      </x:c>
      <x:c r="W214" s="10" t="n">
        <x:v>30</x:v>
      </x:c>
      <x:c r="X214" s="10" t="n">
        <x:v>0</x:v>
      </x:c>
      <x:c r="Y214" s="3" t="n">
        <x:v>0</x:v>
      </x:c>
      <x:c r="Z214" s="3" t="str">
        <x:v>共同</x:v>
      </x:c>
      <x:c r="AA214" s="3" t="str">
        <x:v>在售</x:v>
      </x:c>
      <x:c r="AB214" s="12" t="n">
        <x:f>IF(AND(Z214="共同",ISNUMBER(G214),ISNUMBER(AD214)),G214-AD214,"")</x:f>
        <x:v>0</x:v>
      </x:c>
      <x:c r="AC214" s="3" t="str"/>
      <x:c r="AD214" s="12" t="n">
        <x:v>0</x:v>
      </x:c>
      <x:c r="AE214" s="3" t="str">
        <x:v>[6574,"1S01-BEP-37"]</x:v>
      </x:c>
      <x:c r="AF214" t="n">
        <x:f>IF(ISNUMBER(H214),1,0)</x:f>
        <x:v>1</x:v>
      </x:c>
      <x:c r="AG214" t="n">
        <x:f>IF(ISNUMBER(I214),1,0)</x:f>
        <x:v>1</x:v>
      </x:c>
      <x:c r="AH214" t="str">
        <x:v>["1S01","1S01-BEP","BEP","牛仔蓝"]</x:v>
      </x:c>
      <x:c r="AI214" t="n">
        <x:f>IF(ISNUMBER(G214),1,0)</x:f>
        <x:v>1</x:v>
      </x:c>
      <x:c r="AJ214" t="n">
        <x:f>IF(ISNUMBER(AD214),1,0)</x:f>
        <x:v>1</x:v>
      </x:c>
    </x:row>
    <x:row r="215" ht="30" customHeight="1">
      <x:c r="A215" s="3" t="str">
        <x:v>1S01-BEP-37.5</x:v>
      </x:c>
      <x:c r="B215" s="3" t="str">
        <x:v>3店-SANDIEX-US</x:v>
      </x:c>
      <x:c r="C215" s="3" t="str">
        <x:v>徐新怡</x:v>
      </x:c>
      <x:c r="D215" s="3" t="str">
        <x:v>1S01</x:v>
      </x:c>
      <x:c r="E215" s="3" t="str">
        <x:f>IF(Z215="移出","已移出",IF(NOT(ISNUMBER(H215)),"数据待核",IF(H215=0,"断货",IF(NOT(ISNUMBER(G215)),"数据待核",IF(G215=0,"零日销待复核",IF(F215&lt;60,"补货提醒",IF(F215&lt;=90,"正常库存",IF(F215&lt;180,"促销",IF(F215&lt;=365,"红线促销","考虑清仓")))))))))</x:f>
        <x:v>断货</x:v>
      </x:c>
      <x:c r="F215" s="11" t="str">
        <x:f>IF(AND(ISNUMBER(H215),ISNUMBER(G215),G215&gt;0),H215/G215,"")</x:f>
      </x:c>
      <x:c r="G215" s="12" t="n">
        <x:f>IF(AND(COUNT(P215:R215)=3,MIN(P215:R215)&gt;=0,P215&lt;=Q215,Q215&lt;=R215),P215/7*0.5+Q215/14*0.3+R215/30*0.2,"")</x:f>
        <x:v>0</x:v>
      </x:c>
      <x:c r="H215" s="10" t="n">
        <x:f>IF(ISNUMBER(U215),U215,"")</x:f>
        <x:v>0</x:v>
      </x:c>
      <x:c r="I215" s="10"/>
      <x:c r="J215" s="11" t="str">
        <x:f>IF(AND(Z215="共同",ISNUMBER(F215),ISNUMBER(M215)),F215-M215,"")</x:f>
      </x:c>
      <x:c r="K215" s="13" t="str">
        <x:f>IF(AND(ISNUMBER(J215),M215&lt;&gt;0),J215/M215,"")</x:f>
      </x:c>
      <x:c r="L215" s="10"/>
      <x:c r="M215" s="11"/>
      <x:c r="N215" s="10" t="str">
        <x:f>IF(AND(Z215="共同",COUNT(H215:I215)=2),H215-I215,"")</x:f>
      </x:c>
      <x:c r="O215" s="10"/>
      <x:c r="P215" s="10" t="n">
        <x:v>0</x:v>
      </x:c>
      <x:c r="Q215" s="10" t="n">
        <x:v>0</x:v>
      </x:c>
      <x:c r="R215" s="10" t="n">
        <x:v>0</x:v>
      </x:c>
      <x:c r="S215" s="10" t="n">
        <x:v>0</x:v>
      </x:c>
      <x:c r="T215" s="10" t="n">
        <x:v>0</x:v>
      </x:c>
      <x:c r="U215" s="10" t="n">
        <x:f>IF(AND(ISNUMBER(X215),X215&gt;=0,Y215&lt;&gt;1),X215,"")</x:f>
        <x:v>0</x:v>
      </x:c>
      <x:c r="V215" s="10" t="n">
        <x:v>0</x:v>
      </x:c>
      <x:c r="W215" s="10" t="n">
        <x:v>0</x:v>
      </x:c>
      <x:c r="X215" s="10" t="n">
        <x:v>0</x:v>
      </x:c>
      <x:c r="Y215" s="3" t="n">
        <x:v>0</x:v>
      </x:c>
      <x:c r="Z215" s="3" t="str">
        <x:v>新增</x:v>
      </x:c>
      <x:c r="AA215" s="3" t="str">
        <x:v>停售</x:v>
      </x:c>
      <x:c r="AB215" s="12" t="str">
        <x:f>IF(AND(Z215="共同",ISNUMBER(G215),ISNUMBER(AD215)),G215-AD215,"")</x:f>
      </x:c>
      <x:c r="AC215" s="3" t="str">
        <x:v>近90天SKU销量未匹配，未按0处理</x:v>
      </x:c>
      <x:c r="AD215" s="12"/>
      <x:c r="AE215" s="3" t="str">
        <x:v>[6574,"1S01-BEP-37.5"]</x:v>
      </x:c>
      <x:c r="AF215" t="n">
        <x:f>IF(ISNUMBER(H215),1,0)</x:f>
        <x:v>1</x:v>
      </x:c>
      <x:c r="AG215" t="n">
        <x:f>IF(ISNUMBER(I215),1,0)</x:f>
        <x:v>0</x:v>
      </x:c>
      <x:c r="AH215" t="str">
        <x:v>["1S01","1S01-BEP","BEP","牛仔蓝"]</x:v>
      </x:c>
      <x:c r="AI215" t="n">
        <x:f>IF(ISNUMBER(G215),1,0)</x:f>
        <x:v>1</x:v>
      </x:c>
      <x:c r="AJ215" t="n">
        <x:f>IF(ISNUMBER(AD215),1,0)</x:f>
        <x:v>0</x:v>
      </x:c>
    </x:row>
    <x:row r="216" ht="30" customHeight="1">
      <x:c r="A216" s="3" t="str">
        <x:v>1S01-BEP-38</x:v>
      </x:c>
      <x:c r="B216" s="3" t="str">
        <x:v>3店-SANDIEX-US</x:v>
      </x:c>
      <x:c r="C216" s="3" t="str">
        <x:v>徐新怡</x:v>
      </x:c>
      <x:c r="D216" s="3" t="str">
        <x:v>1S01</x:v>
      </x:c>
      <x:c r="E216" s="3" t="str">
        <x:f>IF(Z216="移出","已移出",IF(NOT(ISNUMBER(H216)),"数据待核",IF(H216=0,"断货",IF(NOT(ISNUMBER(G216)),"数据待核",IF(G216=0,"零日销待复核",IF(F216&lt;60,"补货提醒",IF(F216&lt;=90,"正常库存",IF(F216&lt;180,"促销",IF(F216&lt;=365,"红线促销","考虑清仓")))))))))</x:f>
        <x:v>断货</x:v>
      </x:c>
      <x:c r="F216" s="11" t="n">
        <x:f>IF(AND(ISNUMBER(H216),ISNUMBER(G216),G216&gt;0),H216/G216,"")</x:f>
        <x:v>0</x:v>
      </x:c>
      <x:c r="G216" s="12" t="n">
        <x:f>IF(AND(COUNT(P216:R216)=3,MIN(P216:R216)&gt;=0,P216&lt;=Q216,Q216&lt;=R216),P216/7*0.5+Q216/14*0.3+R216/30*0.2,"")</x:f>
        <x:v>0.006666666666666667</x:v>
      </x:c>
      <x:c r="H216" s="10" t="n">
        <x:f>IF(ISNUMBER(U216),U216,"")</x:f>
        <x:v>0</x:v>
      </x:c>
      <x:c r="I216" s="10" t="n">
        <x:v>0</x:v>
      </x:c>
      <x:c r="J216" s="11" t="n">
        <x:f>IF(AND(Z216="共同",ISNUMBER(F216),ISNUMBER(M216)),F216-M216,"")</x:f>
        <x:v>0</x:v>
      </x:c>
      <x:c r="K216" s="13" t="str">
        <x:f>IF(AND(ISNUMBER(J216),M216&lt;&gt;0),J216/M216,"")</x:f>
      </x:c>
      <x:c r="L216" s="10" t="str">
        <x:v>断货</x:v>
      </x:c>
      <x:c r="M216" s="11" t="n">
        <x:v>0</x:v>
      </x:c>
      <x:c r="N216" s="10" t="n">
        <x:f>IF(AND(Z216="共同",COUNT(H216:I216)=2),H216-I216,"")</x:f>
        <x:v>0</x:v>
      </x:c>
      <x:c r="O216" s="10" t="n">
        <x:v>41</x:v>
      </x:c>
      <x:c r="P216" s="10" t="n">
        <x:v>0</x:v>
      </x:c>
      <x:c r="Q216" s="10" t="n">
        <x:v>0</x:v>
      </x:c>
      <x:c r="R216" s="10" t="n">
        <x:v>1</x:v>
      </x:c>
      <x:c r="S216" s="10" t="n">
        <x:v>0</x:v>
      </x:c>
      <x:c r="T216" s="10" t="n">
        <x:v>0</x:v>
      </x:c>
      <x:c r="U216" s="10" t="n">
        <x:f>IF(AND(ISNUMBER(X216),X216&gt;=0,Y216&lt;&gt;1),X216,"")</x:f>
        <x:v>0</x:v>
      </x:c>
      <x:c r="V216" s="10" t="n">
        <x:v>0</x:v>
      </x:c>
      <x:c r="W216" s="10" t="n">
        <x:v>40</x:v>
      </x:c>
      <x:c r="X216" s="10" t="n">
        <x:v>0</x:v>
      </x:c>
      <x:c r="Y216" s="3" t="n">
        <x:v>0</x:v>
      </x:c>
      <x:c r="Z216" s="3" t="str">
        <x:v>共同</x:v>
      </x:c>
      <x:c r="AA216" s="3" t="str">
        <x:v>在售</x:v>
      </x:c>
      <x:c r="AB216" s="12" t="n">
        <x:f>IF(AND(Z216="共同",ISNUMBER(G216),ISNUMBER(AD216)),G216-AD216,"")</x:f>
        <x:v>-0.09285714285714285</x:v>
      </x:c>
      <x:c r="AC216" s="3" t="str"/>
      <x:c r="AD216" s="12" t="n">
        <x:v>0.09952380952380951</x:v>
      </x:c>
      <x:c r="AE216" s="3" t="str">
        <x:v>[6574,"1S01-BEP-38"]</x:v>
      </x:c>
      <x:c r="AF216" t="n">
        <x:f>IF(ISNUMBER(H216),1,0)</x:f>
        <x:v>1</x:v>
      </x:c>
      <x:c r="AG216" t="n">
        <x:f>IF(ISNUMBER(I216),1,0)</x:f>
        <x:v>1</x:v>
      </x:c>
      <x:c r="AH216" t="str">
        <x:v>["1S01","1S01-BEP","BEP","牛仔蓝"]</x:v>
      </x:c>
      <x:c r="AI216" t="n">
        <x:f>IF(ISNUMBER(G216),1,0)</x:f>
        <x:v>1</x:v>
      </x:c>
      <x:c r="AJ216" t="n">
        <x:f>IF(ISNUMBER(AD216),1,0)</x:f>
        <x:v>1</x:v>
      </x:c>
    </x:row>
    <x:row r="217" ht="30" customHeight="1">
      <x:c r="A217" s="3" t="str">
        <x:v>1S01-BEP-38.5</x:v>
      </x:c>
      <x:c r="B217" s="3" t="str">
        <x:v>3店-SANDIEX-US</x:v>
      </x:c>
      <x:c r="C217" s="3" t="str">
        <x:v>徐新怡</x:v>
      </x:c>
      <x:c r="D217" s="3" t="str">
        <x:v>1S01</x:v>
      </x:c>
      <x:c r="E217" s="3" t="str">
        <x:f>IF(Z217="移出","已移出",IF(NOT(ISNUMBER(H217)),"数据待核",IF(H217=0,"断货",IF(NOT(ISNUMBER(G217)),"数据待核",IF(G217=0,"零日销待复核",IF(F217&lt;60,"补货提醒",IF(F217&lt;=90,"正常库存",IF(F217&lt;180,"促销",IF(F217&lt;=365,"红线促销","考虑清仓")))))))))</x:f>
        <x:v>断货</x:v>
      </x:c>
      <x:c r="F217" s="11" t="str">
        <x:f>IF(AND(ISNUMBER(H217),ISNUMBER(G217),G217&gt;0),H217/G217,"")</x:f>
      </x:c>
      <x:c r="G217" s="12" t="n">
        <x:f>IF(AND(COUNT(P217:R217)=3,MIN(P217:R217)&gt;=0,P217&lt;=Q217,Q217&lt;=R217),P217/7*0.5+Q217/14*0.3+R217/30*0.2,"")</x:f>
        <x:v>0</x:v>
      </x:c>
      <x:c r="H217" s="10" t="n">
        <x:f>IF(ISNUMBER(U217),U217,"")</x:f>
        <x:v>0</x:v>
      </x:c>
      <x:c r="I217" s="10"/>
      <x:c r="J217" s="11" t="str">
        <x:f>IF(AND(Z217="共同",ISNUMBER(F217),ISNUMBER(M217)),F217-M217,"")</x:f>
      </x:c>
      <x:c r="K217" s="13" t="str">
        <x:f>IF(AND(ISNUMBER(J217),M217&lt;&gt;0),J217/M217,"")</x:f>
      </x:c>
      <x:c r="L217" s="10"/>
      <x:c r="M217" s="11"/>
      <x:c r="N217" s="10" t="str">
        <x:f>IF(AND(Z217="共同",COUNT(H217:I217)=2),H217-I217,"")</x:f>
      </x:c>
      <x:c r="O217" s="10"/>
      <x:c r="P217" s="10" t="n">
        <x:v>0</x:v>
      </x:c>
      <x:c r="Q217" s="10" t="n">
        <x:v>0</x:v>
      </x:c>
      <x:c r="R217" s="10" t="n">
        <x:v>0</x:v>
      </x:c>
      <x:c r="S217" s="10" t="n">
        <x:v>0</x:v>
      </x:c>
      <x:c r="T217" s="10" t="n">
        <x:v>0</x:v>
      </x:c>
      <x:c r="U217" s="10" t="n">
        <x:f>IF(AND(ISNUMBER(X217),X217&gt;=0,Y217&lt;&gt;1),X217,"")</x:f>
        <x:v>0</x:v>
      </x:c>
      <x:c r="V217" s="10" t="n">
        <x:v>0</x:v>
      </x:c>
      <x:c r="W217" s="10" t="n">
        <x:v>0</x:v>
      </x:c>
      <x:c r="X217" s="10" t="n">
        <x:v>0</x:v>
      </x:c>
      <x:c r="Y217" s="3" t="n">
        <x:v>0</x:v>
      </x:c>
      <x:c r="Z217" s="3" t="str">
        <x:v>新增</x:v>
      </x:c>
      <x:c r="AA217" s="3" t="str">
        <x:v>停售</x:v>
      </x:c>
      <x:c r="AB217" s="12" t="str">
        <x:f>IF(AND(Z217="共同",ISNUMBER(G217),ISNUMBER(AD217)),G217-AD217,"")</x:f>
      </x:c>
      <x:c r="AC217" s="3" t="str">
        <x:v>近90天SKU销量未匹配，未按0处理</x:v>
      </x:c>
      <x:c r="AD217" s="12"/>
      <x:c r="AE217" s="3" t="str">
        <x:v>[6574,"1S01-BEP-38.5"]</x:v>
      </x:c>
      <x:c r="AF217" t="n">
        <x:f>IF(ISNUMBER(H217),1,0)</x:f>
        <x:v>1</x:v>
      </x:c>
      <x:c r="AG217" t="n">
        <x:f>IF(ISNUMBER(I217),1,0)</x:f>
        <x:v>0</x:v>
      </x:c>
      <x:c r="AH217" t="str">
        <x:v>["1S01","1S01-BEP","BEP","牛仔蓝"]</x:v>
      </x:c>
      <x:c r="AI217" t="n">
        <x:f>IF(ISNUMBER(G217),1,0)</x:f>
        <x:v>1</x:v>
      </x:c>
      <x:c r="AJ217" t="n">
        <x:f>IF(ISNUMBER(AD217),1,0)</x:f>
        <x:v>0</x:v>
      </x:c>
    </x:row>
    <x:row r="218" ht="30" customHeight="1">
      <x:c r="A218" s="3" t="str">
        <x:v>1S01-BEP-39.5</x:v>
      </x:c>
      <x:c r="B218" s="3" t="str">
        <x:v>3店-SANDIEX-US</x:v>
      </x:c>
      <x:c r="C218" s="3" t="str">
        <x:v>徐新怡</x:v>
      </x:c>
      <x:c r="D218" s="3" t="str">
        <x:v>1S01</x:v>
      </x:c>
      <x:c r="E218" s="3" t="str">
        <x:f>IF(Z218="移出","已移出",IF(NOT(ISNUMBER(H218)),"数据待核",IF(H218=0,"断货",IF(NOT(ISNUMBER(G218)),"数据待核",IF(G218=0,"零日销待复核",IF(F218&lt;60,"补货提醒",IF(F218&lt;=90,"正常库存",IF(F218&lt;180,"促销",IF(F218&lt;=365,"红线促销","考虑清仓")))))))))</x:f>
        <x:v>断货</x:v>
      </x:c>
      <x:c r="F218" s="11" t="str">
        <x:f>IF(AND(ISNUMBER(H218),ISNUMBER(G218),G218&gt;0),H218/G218,"")</x:f>
      </x:c>
      <x:c r="G218" s="12" t="n">
        <x:f>IF(AND(COUNT(P218:R218)=3,MIN(P218:R218)&gt;=0,P218&lt;=Q218,Q218&lt;=R218),P218/7*0.5+Q218/14*0.3+R218/30*0.2,"")</x:f>
        <x:v>0</x:v>
      </x:c>
      <x:c r="H218" s="10" t="n">
        <x:f>IF(ISNUMBER(U218),U218,"")</x:f>
        <x:v>0</x:v>
      </x:c>
      <x:c r="I218" s="10"/>
      <x:c r="J218" s="11" t="str">
        <x:f>IF(AND(Z218="共同",ISNUMBER(F218),ISNUMBER(M218)),F218-M218,"")</x:f>
      </x:c>
      <x:c r="K218" s="13" t="str">
        <x:f>IF(AND(ISNUMBER(J218),M218&lt;&gt;0),J218/M218,"")</x:f>
      </x:c>
      <x:c r="L218" s="10"/>
      <x:c r="M218" s="11"/>
      <x:c r="N218" s="10" t="str">
        <x:f>IF(AND(Z218="共同",COUNT(H218:I218)=2),H218-I218,"")</x:f>
      </x:c>
      <x:c r="O218" s="10"/>
      <x:c r="P218" s="10" t="n">
        <x:v>0</x:v>
      </x:c>
      <x:c r="Q218" s="10" t="n">
        <x:v>0</x:v>
      </x:c>
      <x:c r="R218" s="10" t="n">
        <x:v>0</x:v>
      </x:c>
      <x:c r="S218" s="10" t="n">
        <x:v>0</x:v>
      </x:c>
      <x:c r="T218" s="10" t="n">
        <x:v>0</x:v>
      </x:c>
      <x:c r="U218" s="10" t="n">
        <x:f>IF(AND(ISNUMBER(X218),X218&gt;=0,Y218&lt;&gt;1),X218,"")</x:f>
        <x:v>0</x:v>
      </x:c>
      <x:c r="V218" s="10" t="n">
        <x:v>0</x:v>
      </x:c>
      <x:c r="W218" s="10" t="n">
        <x:v>0</x:v>
      </x:c>
      <x:c r="X218" s="10" t="n">
        <x:v>0</x:v>
      </x:c>
      <x:c r="Y218" s="3" t="n">
        <x:v>0</x:v>
      </x:c>
      <x:c r="Z218" s="3" t="str">
        <x:v>新增</x:v>
      </x:c>
      <x:c r="AA218" s="3" t="str">
        <x:v>停售</x:v>
      </x:c>
      <x:c r="AB218" s="12" t="str">
        <x:f>IF(AND(Z218="共同",ISNUMBER(G218),ISNUMBER(AD218)),G218-AD218,"")</x:f>
      </x:c>
      <x:c r="AC218" s="3" t="str">
        <x:v>近90天SKU销量未匹配，未按0处理</x:v>
      </x:c>
      <x:c r="AD218" s="12"/>
      <x:c r="AE218" s="3" t="str">
        <x:v>[6574,"1S01-BEP-39.5"]</x:v>
      </x:c>
      <x:c r="AF218" t="n">
        <x:f>IF(ISNUMBER(H218),1,0)</x:f>
        <x:v>1</x:v>
      </x:c>
      <x:c r="AG218" t="n">
        <x:f>IF(ISNUMBER(I218),1,0)</x:f>
        <x:v>0</x:v>
      </x:c>
      <x:c r="AH218" t="str">
        <x:v>["1S01","1S01-BEP","BEP","牛仔蓝"]</x:v>
      </x:c>
      <x:c r="AI218" t="n">
        <x:f>IF(ISNUMBER(G218),1,0)</x:f>
        <x:v>1</x:v>
      </x:c>
      <x:c r="AJ218" t="n">
        <x:f>IF(ISNUMBER(AD218),1,0)</x:f>
        <x:v>0</x:v>
      </x:c>
    </x:row>
    <x:row r="219" ht="30" customHeight="1">
      <x:c r="A219" s="3" t="str">
        <x:v>1S01-BEP-40</x:v>
      </x:c>
      <x:c r="B219" s="3" t="str">
        <x:v>3店-SANDIEX-US</x:v>
      </x:c>
      <x:c r="C219" s="3" t="str">
        <x:v>徐新怡</x:v>
      </x:c>
      <x:c r="D219" s="3" t="str">
        <x:v>1S01</x:v>
      </x:c>
      <x:c r="E219" s="3" t="str">
        <x:f>IF(Z219="移出","已移出",IF(NOT(ISNUMBER(H219)),"数据待核",IF(H219=0,"断货",IF(NOT(ISNUMBER(G219)),"数据待核",IF(G219=0,"零日销待复核",IF(F219&lt;60,"补货提醒",IF(F219&lt;=90,"正常库存",IF(F219&lt;180,"促销",IF(F219&lt;=365,"红线促销","考虑清仓")))))))))</x:f>
        <x:v>断货</x:v>
      </x:c>
      <x:c r="F219" s="11" t="n">
        <x:f>IF(AND(ISNUMBER(H219),ISNUMBER(G219),G219&gt;0),H219/G219,"")</x:f>
        <x:v>0</x:v>
      </x:c>
      <x:c r="G219" s="12" t="n">
        <x:f>IF(AND(COUNT(P219:R219)=3,MIN(P219:R219)&gt;=0,P219&lt;=Q219,Q219&lt;=R219),P219/7*0.5+Q219/14*0.3+R219/30*0.2,"")</x:f>
        <x:v>0.013333333333333334</x:v>
      </x:c>
      <x:c r="H219" s="10" t="n">
        <x:f>IF(ISNUMBER(U219),U219,"")</x:f>
        <x:v>0</x:v>
      </x:c>
      <x:c r="I219" s="10" t="n">
        <x:v>0</x:v>
      </x:c>
      <x:c r="J219" s="11" t="n">
        <x:f>IF(AND(Z219="共同",ISNUMBER(F219),ISNUMBER(M219)),F219-M219,"")</x:f>
        <x:v>0</x:v>
      </x:c>
      <x:c r="K219" s="13" t="str">
        <x:f>IF(AND(ISNUMBER(J219),M219&lt;&gt;0),J219/M219,"")</x:f>
      </x:c>
      <x:c r="L219" s="10" t="str">
        <x:v>断货</x:v>
      </x:c>
      <x:c r="M219" s="11" t="n">
        <x:v>0</x:v>
      </x:c>
      <x:c r="N219" s="10" t="n">
        <x:f>IF(AND(Z219="共同",COUNT(H219:I219)=2),H219-I219,"")</x:f>
        <x:v>0</x:v>
      </x:c>
      <x:c r="O219" s="10" t="n">
        <x:v>77</x:v>
      </x:c>
      <x:c r="P219" s="10" t="n">
        <x:v>0</x:v>
      </x:c>
      <x:c r="Q219" s="10" t="n">
        <x:v>0</x:v>
      </x:c>
      <x:c r="R219" s="10" t="n">
        <x:v>2</x:v>
      </x:c>
      <x:c r="S219" s="10" t="n">
        <x:v>0</x:v>
      </x:c>
      <x:c r="T219" s="10" t="n">
        <x:v>0</x:v>
      </x:c>
      <x:c r="U219" s="10" t="n">
        <x:f>IF(AND(ISNUMBER(X219),X219&gt;=0,Y219&lt;&gt;1),X219,"")</x:f>
        <x:v>0</x:v>
      </x:c>
      <x:c r="V219" s="10" t="n">
        <x:v>0</x:v>
      </x:c>
      <x:c r="W219" s="10" t="n">
        <x:v>60</x:v>
      </x:c>
      <x:c r="X219" s="10" t="n">
        <x:v>0</x:v>
      </x:c>
      <x:c r="Y219" s="3" t="n">
        <x:v>0</x:v>
      </x:c>
      <x:c r="Z219" s="3" t="str">
        <x:v>共同</x:v>
      </x:c>
      <x:c r="AA219" s="3" t="str">
        <x:v>在售</x:v>
      </x:c>
      <x:c r="AB219" s="12" t="n">
        <x:f>IF(AND(Z219="共同",ISNUMBER(G219),ISNUMBER(AD219)),G219-AD219,"")</x:f>
        <x:v>-0.1857142857142857</x:v>
      </x:c>
      <x:c r="AC219" s="3" t="str"/>
      <x:c r="AD219" s="12" t="n">
        <x:v>0.19904761904761903</x:v>
      </x:c>
      <x:c r="AE219" s="3" t="str">
        <x:v>[6574,"1S01-BEP-40"]</x:v>
      </x:c>
      <x:c r="AF219" t="n">
        <x:f>IF(ISNUMBER(H219),1,0)</x:f>
        <x:v>1</x:v>
      </x:c>
      <x:c r="AG219" t="n">
        <x:f>IF(ISNUMBER(I219),1,0)</x:f>
        <x:v>1</x:v>
      </x:c>
      <x:c r="AH219" t="str">
        <x:v>["1S01","1S01-BEP","BEP","牛仔蓝"]</x:v>
      </x:c>
      <x:c r="AI219" t="n">
        <x:f>IF(ISNUMBER(G219),1,0)</x:f>
        <x:v>1</x:v>
      </x:c>
      <x:c r="AJ219" t="n">
        <x:f>IF(ISNUMBER(AD219),1,0)</x:f>
        <x:v>1</x:v>
      </x:c>
    </x:row>
    <x:row r="220" ht="30" customHeight="1">
      <x:c r="A220" s="3" t="str">
        <x:v>1S01-BEP-40.5</x:v>
      </x:c>
      <x:c r="B220" s="3" t="str">
        <x:v>3店-SANDIEX-US</x:v>
      </x:c>
      <x:c r="C220" s="3" t="str">
        <x:v>徐新怡</x:v>
      </x:c>
      <x:c r="D220" s="3" t="str">
        <x:v>1S01</x:v>
      </x:c>
      <x:c r="E220" s="3" t="str">
        <x:f>IF(Z220="移出","已移出",IF(NOT(ISNUMBER(H220)),"数据待核",IF(H220=0,"断货",IF(NOT(ISNUMBER(G220)),"数据待核",IF(G220=0,"零日销待复核",IF(F220&lt;60,"补货提醒",IF(F220&lt;=90,"正常库存",IF(F220&lt;180,"促销",IF(F220&lt;=365,"红线促销","考虑清仓")))))))))</x:f>
        <x:v>断货</x:v>
      </x:c>
      <x:c r="F220" s="11" t="str">
        <x:f>IF(AND(ISNUMBER(H220),ISNUMBER(G220),G220&gt;0),H220/G220,"")</x:f>
      </x:c>
      <x:c r="G220" s="12" t="n">
        <x:f>IF(AND(COUNT(P220:R220)=3,MIN(P220:R220)&gt;=0,P220&lt;=Q220,Q220&lt;=R220),P220/7*0.5+Q220/14*0.3+R220/30*0.2,"")</x:f>
        <x:v>0</x:v>
      </x:c>
      <x:c r="H220" s="10" t="n">
        <x:f>IF(ISNUMBER(U220),U220,"")</x:f>
        <x:v>0</x:v>
      </x:c>
      <x:c r="I220" s="10"/>
      <x:c r="J220" s="11" t="str">
        <x:f>IF(AND(Z220="共同",ISNUMBER(F220),ISNUMBER(M220)),F220-M220,"")</x:f>
      </x:c>
      <x:c r="K220" s="13" t="str">
        <x:f>IF(AND(ISNUMBER(J220),M220&lt;&gt;0),J220/M220,"")</x:f>
      </x:c>
      <x:c r="L220" s="10"/>
      <x:c r="M220" s="11"/>
      <x:c r="N220" s="10" t="str">
        <x:f>IF(AND(Z220="共同",COUNT(H220:I220)=2),H220-I220,"")</x:f>
      </x:c>
      <x:c r="O220" s="10" t="n">
        <x:v>0</x:v>
      </x:c>
      <x:c r="P220" s="10" t="n">
        <x:v>0</x:v>
      </x:c>
      <x:c r="Q220" s="10" t="n">
        <x:v>0</x:v>
      </x:c>
      <x:c r="R220" s="10" t="n">
        <x:v>0</x:v>
      </x:c>
      <x:c r="S220" s="10" t="n">
        <x:v>0</x:v>
      </x:c>
      <x:c r="T220" s="10" t="n">
        <x:v>0</x:v>
      </x:c>
      <x:c r="U220" s="10" t="n">
        <x:f>IF(AND(ISNUMBER(X220),X220&gt;=0,Y220&lt;&gt;1),X220,"")</x:f>
        <x:v>0</x:v>
      </x:c>
      <x:c r="V220" s="10" t="n">
        <x:v>0</x:v>
      </x:c>
      <x:c r="W220" s="10" t="n">
        <x:v>0</x:v>
      </x:c>
      <x:c r="X220" s="10" t="n">
        <x:v>0</x:v>
      </x:c>
      <x:c r="Y220" s="3" t="n">
        <x:v>0</x:v>
      </x:c>
      <x:c r="Z220" s="3" t="str">
        <x:v>新增</x:v>
      </x:c>
      <x:c r="AA220" s="3" t="str">
        <x:v>停售</x:v>
      </x:c>
      <x:c r="AB220" s="12" t="str">
        <x:f>IF(AND(Z220="共同",ISNUMBER(G220),ISNUMBER(AD220)),G220-AD220,"")</x:f>
      </x:c>
      <x:c r="AC220" s="3" t="str">
        <x:v>近90天SKU销量未匹配，未按0处理</x:v>
      </x:c>
      <x:c r="AD220" s="12"/>
      <x:c r="AE220" s="3" t="str">
        <x:v>[6574,"1S01-BEP-40.5"]</x:v>
      </x:c>
      <x:c r="AF220" t="n">
        <x:f>IF(ISNUMBER(H220),1,0)</x:f>
        <x:v>1</x:v>
      </x:c>
      <x:c r="AG220" t="n">
        <x:f>IF(ISNUMBER(I220),1,0)</x:f>
        <x:v>0</x:v>
      </x:c>
      <x:c r="AH220" t="str">
        <x:v>["1S01","1S01-BEP","BEP","牛仔蓝"]</x:v>
      </x:c>
      <x:c r="AI220" t="n">
        <x:f>IF(ISNUMBER(G220),1,0)</x:f>
        <x:v>1</x:v>
      </x:c>
      <x:c r="AJ220" t="n">
        <x:f>IF(ISNUMBER(AD220),1,0)</x:f>
        <x:v>0</x:v>
      </x:c>
    </x:row>
    <x:row r="221" ht="30" customHeight="1">
      <x:c r="A221" s="3" t="str">
        <x:v>1S01-BEP-41.5</x:v>
      </x:c>
      <x:c r="B221" s="3" t="str">
        <x:v>3店-SANDIEX-US</x:v>
      </x:c>
      <x:c r="C221" s="3" t="str">
        <x:v>徐新怡</x:v>
      </x:c>
      <x:c r="D221" s="3" t="str">
        <x:v>1S01</x:v>
      </x:c>
      <x:c r="E221" s="3" t="str">
        <x:f>IF(Z221="移出","已移出",IF(NOT(ISNUMBER(H221)),"数据待核",IF(H221=0,"断货",IF(NOT(ISNUMBER(G221)),"数据待核",IF(G221=0,"零日销待复核",IF(F221&lt;60,"补货提醒",IF(F221&lt;=90,"正常库存",IF(F221&lt;180,"促销",IF(F221&lt;=365,"红线促销","考虑清仓")))))))))</x:f>
        <x:v>断货</x:v>
      </x:c>
      <x:c r="F221" s="11" t="str">
        <x:f>IF(AND(ISNUMBER(H221),ISNUMBER(G221),G221&gt;0),H221/G221,"")</x:f>
      </x:c>
      <x:c r="G221" s="12" t="n">
        <x:f>IF(AND(COUNT(P221:R221)=3,MIN(P221:R221)&gt;=0,P221&lt;=Q221,Q221&lt;=R221),P221/7*0.5+Q221/14*0.3+R221/30*0.2,"")</x:f>
        <x:v>0</x:v>
      </x:c>
      <x:c r="H221" s="10" t="n">
        <x:f>IF(ISNUMBER(U221),U221,"")</x:f>
        <x:v>0</x:v>
      </x:c>
      <x:c r="I221" s="10"/>
      <x:c r="J221" s="11" t="str">
        <x:f>IF(AND(Z221="共同",ISNUMBER(F221),ISNUMBER(M221)),F221-M221,"")</x:f>
      </x:c>
      <x:c r="K221" s="13" t="str">
        <x:f>IF(AND(ISNUMBER(J221),M221&lt;&gt;0),J221/M221,"")</x:f>
      </x:c>
      <x:c r="L221" s="10"/>
      <x:c r="M221" s="11"/>
      <x:c r="N221" s="10" t="str">
        <x:f>IF(AND(Z221="共同",COUNT(H221:I221)=2),H221-I221,"")</x:f>
      </x:c>
      <x:c r="O221" s="10"/>
      <x:c r="P221" s="10" t="n">
        <x:v>0</x:v>
      </x:c>
      <x:c r="Q221" s="10" t="n">
        <x:v>0</x:v>
      </x:c>
      <x:c r="R221" s="10" t="n">
        <x:v>0</x:v>
      </x:c>
      <x:c r="S221" s="10" t="n">
        <x:v>0</x:v>
      </x:c>
      <x:c r="T221" s="10" t="n">
        <x:v>0</x:v>
      </x:c>
      <x:c r="U221" s="10" t="n">
        <x:f>IF(AND(ISNUMBER(X221),X221&gt;=0,Y221&lt;&gt;1),X221,"")</x:f>
        <x:v>0</x:v>
      </x:c>
      <x:c r="V221" s="10" t="n">
        <x:v>0</x:v>
      </x:c>
      <x:c r="W221" s="10" t="n">
        <x:v>0</x:v>
      </x:c>
      <x:c r="X221" s="10" t="n">
        <x:v>0</x:v>
      </x:c>
      <x:c r="Y221" s="3" t="n">
        <x:v>0</x:v>
      </x:c>
      <x:c r="Z221" s="3" t="str">
        <x:v>新增</x:v>
      </x:c>
      <x:c r="AA221" s="3" t="str">
        <x:v>停售</x:v>
      </x:c>
      <x:c r="AB221" s="12" t="str">
        <x:f>IF(AND(Z221="共同",ISNUMBER(G221),ISNUMBER(AD221)),G221-AD221,"")</x:f>
      </x:c>
      <x:c r="AC221" s="3" t="str">
        <x:v>近90天SKU销量未匹配，未按0处理</x:v>
      </x:c>
      <x:c r="AD221" s="12"/>
      <x:c r="AE221" s="3" t="str">
        <x:v>[6574,"1S01-BEP-41.5"]</x:v>
      </x:c>
      <x:c r="AF221" t="n">
        <x:f>IF(ISNUMBER(H221),1,0)</x:f>
        <x:v>1</x:v>
      </x:c>
      <x:c r="AG221" t="n">
        <x:f>IF(ISNUMBER(I221),1,0)</x:f>
        <x:v>0</x:v>
      </x:c>
      <x:c r="AH221" t="str">
        <x:v>["1S01","1S01-BEP","BEP","牛仔蓝"]</x:v>
      </x:c>
      <x:c r="AI221" t="n">
        <x:f>IF(ISNUMBER(G221),1,0)</x:f>
        <x:v>1</x:v>
      </x:c>
      <x:c r="AJ221" t="n">
        <x:f>IF(ISNUMBER(AD221),1,0)</x:f>
        <x:v>0</x:v>
      </x:c>
    </x:row>
    <x:row r="222" ht="30" customHeight="1">
      <x:c r="A222" s="3" t="str">
        <x:v>1S01-BEP-42</x:v>
      </x:c>
      <x:c r="B222" s="3" t="str">
        <x:v>3店-SANDIEX-US</x:v>
      </x:c>
      <x:c r="C222" s="3" t="str">
        <x:v>徐新怡</x:v>
      </x:c>
      <x:c r="D222" s="3" t="str">
        <x:v>1S01</x:v>
      </x:c>
      <x:c r="E222" s="3" t="str">
        <x:f>IF(Z222="移出","已移出",IF(NOT(ISNUMBER(H222)),"数据待核",IF(H222=0,"断货",IF(NOT(ISNUMBER(G222)),"数据待核",IF(G222=0,"零日销待复核",IF(F222&lt;60,"补货提醒",IF(F222&lt;=90,"正常库存",IF(F222&lt;180,"促销",IF(F222&lt;=365,"红线促销","考虑清仓")))))))))</x:f>
        <x:v>断货</x:v>
      </x:c>
      <x:c r="F222" s="11" t="str">
        <x:f>IF(AND(ISNUMBER(H222),ISNUMBER(G222),G222&gt;0),H222/G222,"")</x:f>
      </x:c>
      <x:c r="G222" s="12" t="n">
        <x:f>IF(AND(COUNT(P222:R222)=3,MIN(P222:R222)&gt;=0,P222&lt;=Q222,Q222&lt;=R222),P222/7*0.5+Q222/14*0.3+R222/30*0.2,"")</x:f>
        <x:v>0</x:v>
      </x:c>
      <x:c r="H222" s="10" t="n">
        <x:f>IF(ISNUMBER(U222),U222,"")</x:f>
        <x:v>0</x:v>
      </x:c>
      <x:c r="I222" s="10" t="n">
        <x:v>0</x:v>
      </x:c>
      <x:c r="J222" s="11" t="str">
        <x:f>IF(AND(Z222="共同",ISNUMBER(F222),ISNUMBER(M222)),F222-M222,"")</x:f>
      </x:c>
      <x:c r="K222" s="13" t="str">
        <x:f>IF(AND(ISNUMBER(J222),M222&lt;&gt;0),J222/M222,"")</x:f>
      </x:c>
      <x:c r="L222" s="10" t="str">
        <x:v>断货</x:v>
      </x:c>
      <x:c r="M222" s="11"/>
      <x:c r="N222" s="10" t="n">
        <x:f>IF(AND(Z222="共同",COUNT(H222:I222)=2),H222-I222,"")</x:f>
        <x:v>0</x:v>
      </x:c>
      <x:c r="O222" s="10" t="n">
        <x:v>1</x:v>
      </x:c>
      <x:c r="P222" s="10" t="n">
        <x:v>0</x:v>
      </x:c>
      <x:c r="Q222" s="10" t="n">
        <x:v>0</x:v>
      </x:c>
      <x:c r="R222" s="10" t="n">
        <x:v>0</x:v>
      </x:c>
      <x:c r="S222" s="10" t="n">
        <x:v>0</x:v>
      </x:c>
      <x:c r="T222" s="10" t="n">
        <x:v>0</x:v>
      </x:c>
      <x:c r="U222" s="10" t="n">
        <x:f>IF(AND(ISNUMBER(X222),X222&gt;=0,Y222&lt;&gt;1),X222,"")</x:f>
        <x:v>0</x:v>
      </x:c>
      <x:c r="V222" s="10" t="n">
        <x:v>0</x:v>
      </x:c>
      <x:c r="W222" s="10" t="n">
        <x:v>0</x:v>
      </x:c>
      <x:c r="X222" s="10" t="n">
        <x:v>0</x:v>
      </x:c>
      <x:c r="Y222" s="3" t="n">
        <x:v>0</x:v>
      </x:c>
      <x:c r="Z222" s="3" t="str">
        <x:v>共同</x:v>
      </x:c>
      <x:c r="AA222" s="3" t="str">
        <x:v>停售</x:v>
      </x:c>
      <x:c r="AB222" s="12" t="str">
        <x:f>IF(AND(Z222="共同",ISNUMBER(G222),ISNUMBER(AD222)),G222-AD222,"")</x:f>
      </x:c>
      <x:c r="AC222" s="3" t="str">
        <x:v>近90天SKU销量未匹配，未按0处理</x:v>
      </x:c>
      <x:c r="AD222" s="12"/>
      <x:c r="AE222" s="3" t="str">
        <x:v>[6574,"1S01-BEP-42"]</x:v>
      </x:c>
      <x:c r="AF222" t="n">
        <x:f>IF(ISNUMBER(H222),1,0)</x:f>
        <x:v>1</x:v>
      </x:c>
      <x:c r="AG222" t="n">
        <x:f>IF(ISNUMBER(I222),1,0)</x:f>
        <x:v>1</x:v>
      </x:c>
      <x:c r="AH222" t="str">
        <x:v>["1S01","1S01-BEP","BEP","牛仔蓝"]</x:v>
      </x:c>
      <x:c r="AI222" t="n">
        <x:f>IF(ISNUMBER(G222),1,0)</x:f>
        <x:v>1</x:v>
      </x:c>
      <x:c r="AJ222" t="n">
        <x:f>IF(ISNUMBER(AD222),1,0)</x:f>
        <x:v>0</x:v>
      </x:c>
    </x:row>
    <x:row r="223" ht="30" customHeight="1">
      <x:c r="A223" s="3" t="str">
        <x:v>1S01-BG-36</x:v>
      </x:c>
      <x:c r="B223" s="3" t="str">
        <x:v>3店-SANDIEX-US</x:v>
      </x:c>
      <x:c r="C223" s="3" t="str">
        <x:v>徐新怡</x:v>
      </x:c>
      <x:c r="D223" s="3" t="str">
        <x:v>1S01</x:v>
      </x:c>
      <x:c r="E223" s="3" t="str">
        <x:f>IF(Z223="移出","已移出",IF(NOT(ISNUMBER(H223)),"数据待核",IF(H223=0,"断货",IF(NOT(ISNUMBER(G223)),"数据待核",IF(G223=0,"零日销待复核",IF(F223&lt;60,"补货提醒",IF(F223&lt;=90,"正常库存",IF(F223&lt;180,"促销",IF(F223&lt;=365,"红线促销","考虑清仓")))))))))</x:f>
        <x:v>断货</x:v>
      </x:c>
      <x:c r="F223" s="11" t="str">
        <x:f>IF(AND(ISNUMBER(H223),ISNUMBER(G223),G223&gt;0),H223/G223,"")</x:f>
      </x:c>
      <x:c r="G223" s="12" t="n">
        <x:f>IF(AND(COUNT(P223:R223)=3,MIN(P223:R223)&gt;=0,P223&lt;=Q223,Q223&lt;=R223),P223/7*0.5+Q223/14*0.3+R223/30*0.2,"")</x:f>
        <x:v>0</x:v>
      </x:c>
      <x:c r="H223" s="10" t="n">
        <x:f>IF(ISNUMBER(U223),U223,"")</x:f>
        <x:v>0</x:v>
      </x:c>
      <x:c r="I223" s="10"/>
      <x:c r="J223" s="11" t="str">
        <x:f>IF(AND(Z223="共同",ISNUMBER(F223),ISNUMBER(M223)),F223-M223,"")</x:f>
      </x:c>
      <x:c r="K223" s="13" t="str">
        <x:f>IF(AND(ISNUMBER(J223),M223&lt;&gt;0),J223/M223,"")</x:f>
      </x:c>
      <x:c r="L223" s="10"/>
      <x:c r="M223" s="11"/>
      <x:c r="N223" s="10" t="str">
        <x:f>IF(AND(Z223="共同",COUNT(H223:I223)=2),H223-I223,"")</x:f>
      </x:c>
      <x:c r="O223" s="10"/>
      <x:c r="P223" s="10" t="n">
        <x:v>0</x:v>
      </x:c>
      <x:c r="Q223" s="10" t="n">
        <x:v>0</x:v>
      </x:c>
      <x:c r="R223" s="10" t="n">
        <x:v>0</x:v>
      </x:c>
      <x:c r="S223" s="10" t="n">
        <x:v>0</x:v>
      </x:c>
      <x:c r="T223" s="10" t="n">
        <x:v>0</x:v>
      </x:c>
      <x:c r="U223" s="10" t="n">
        <x:f>IF(AND(ISNUMBER(X223),X223&gt;=0,Y223&lt;&gt;1),X223,"")</x:f>
        <x:v>0</x:v>
      </x:c>
      <x:c r="V223" s="10" t="n">
        <x:v>0</x:v>
      </x:c>
      <x:c r="W223" s="10" t="n">
        <x:v>0</x:v>
      </x:c>
      <x:c r="X223" s="10" t="n">
        <x:v>0</x:v>
      </x:c>
      <x:c r="Y223" s="3" t="n">
        <x:v>0</x:v>
      </x:c>
      <x:c r="Z223" s="3" t="str">
        <x:v>新增</x:v>
      </x:c>
      <x:c r="AA223" s="3" t="str">
        <x:v>停售</x:v>
      </x:c>
      <x:c r="AB223" s="12" t="str">
        <x:f>IF(AND(Z223="共同",ISNUMBER(G223),ISNUMBER(AD223)),G223-AD223,"")</x:f>
      </x:c>
      <x:c r="AC223" s="3" t="str">
        <x:v>近90天SKU销量未匹配，未按0处理</x:v>
      </x:c>
      <x:c r="AD223" s="12"/>
      <x:c r="AE223" s="3" t="str">
        <x:v>[6574,"1S01-BG-36"]</x:v>
      </x:c>
      <x:c r="AF223" t="n">
        <x:f>IF(ISNUMBER(H223),1,0)</x:f>
        <x:v>1</x:v>
      </x:c>
      <x:c r="AG223" t="n">
        <x:f>IF(ISNUMBER(I223),1,0)</x:f>
        <x:v>0</x:v>
      </x:c>
      <x:c r="AH223" t="str">
        <x:v>["1S01","1S01-BG","BG","米色"]</x:v>
      </x:c>
      <x:c r="AI223" t="n">
        <x:f>IF(ISNUMBER(G223),1,0)</x:f>
        <x:v>1</x:v>
      </x:c>
      <x:c r="AJ223" t="n">
        <x:f>IF(ISNUMBER(AD223),1,0)</x:f>
        <x:v>0</x:v>
      </x:c>
    </x:row>
    <x:row r="224" ht="30" customHeight="1">
      <x:c r="A224" s="3" t="str">
        <x:v>1S01-BG-37.5</x:v>
      </x:c>
      <x:c r="B224" s="3" t="str">
        <x:v>3店-SANDIEX-US</x:v>
      </x:c>
      <x:c r="C224" s="3" t="str">
        <x:v>徐新怡</x:v>
      </x:c>
      <x:c r="D224" s="3" t="str">
        <x:v>1S01</x:v>
      </x:c>
      <x:c r="E224" s="3" t="str">
        <x:f>IF(Z224="移出","已移出",IF(NOT(ISNUMBER(H224)),"数据待核",IF(H224=0,"断货",IF(NOT(ISNUMBER(G224)),"数据待核",IF(G224=0,"零日销待复核",IF(F224&lt;60,"补货提醒",IF(F224&lt;=90,"正常库存",IF(F224&lt;180,"促销",IF(F224&lt;=365,"红线促销","考虑清仓")))))))))</x:f>
        <x:v>断货</x:v>
      </x:c>
      <x:c r="F224" s="11" t="str">
        <x:f>IF(AND(ISNUMBER(H224),ISNUMBER(G224),G224&gt;0),H224/G224,"")</x:f>
      </x:c>
      <x:c r="G224" s="12" t="n">
        <x:f>IF(AND(COUNT(P224:R224)=3,MIN(P224:R224)&gt;=0,P224&lt;=Q224,Q224&lt;=R224),P224/7*0.5+Q224/14*0.3+R224/30*0.2,"")</x:f>
        <x:v>0</x:v>
      </x:c>
      <x:c r="H224" s="10" t="n">
        <x:f>IF(ISNUMBER(U224),U224,"")</x:f>
        <x:v>0</x:v>
      </x:c>
      <x:c r="I224" s="10"/>
      <x:c r="J224" s="11" t="str">
        <x:f>IF(AND(Z224="共同",ISNUMBER(F224),ISNUMBER(M224)),F224-M224,"")</x:f>
      </x:c>
      <x:c r="K224" s="13" t="str">
        <x:f>IF(AND(ISNUMBER(J224),M224&lt;&gt;0),J224/M224,"")</x:f>
      </x:c>
      <x:c r="L224" s="10"/>
      <x:c r="M224" s="11"/>
      <x:c r="N224" s="10" t="str">
        <x:f>IF(AND(Z224="共同",COUNT(H224:I224)=2),H224-I224,"")</x:f>
      </x:c>
      <x:c r="O224" s="10"/>
      <x:c r="P224" s="10" t="n">
        <x:v>0</x:v>
      </x:c>
      <x:c r="Q224" s="10" t="n">
        <x:v>0</x:v>
      </x:c>
      <x:c r="R224" s="10" t="n">
        <x:v>0</x:v>
      </x:c>
      <x:c r="S224" s="10" t="n">
        <x:v>0</x:v>
      </x:c>
      <x:c r="T224" s="10" t="n">
        <x:v>0</x:v>
      </x:c>
      <x:c r="U224" s="10" t="n">
        <x:f>IF(AND(ISNUMBER(X224),X224&gt;=0,Y224&lt;&gt;1),X224,"")</x:f>
        <x:v>0</x:v>
      </x:c>
      <x:c r="V224" s="10" t="n">
        <x:v>0</x:v>
      </x:c>
      <x:c r="W224" s="10" t="n">
        <x:v>0</x:v>
      </x:c>
      <x:c r="X224" s="10" t="n">
        <x:v>0</x:v>
      </x:c>
      <x:c r="Y224" s="3" t="n">
        <x:v>0</x:v>
      </x:c>
      <x:c r="Z224" s="3" t="str">
        <x:v>新增</x:v>
      </x:c>
      <x:c r="AA224" s="3" t="str">
        <x:v>停售</x:v>
      </x:c>
      <x:c r="AB224" s="12" t="str">
        <x:f>IF(AND(Z224="共同",ISNUMBER(G224),ISNUMBER(AD224)),G224-AD224,"")</x:f>
      </x:c>
      <x:c r="AC224" s="3" t="str">
        <x:v>近90天SKU销量未匹配，未按0处理</x:v>
      </x:c>
      <x:c r="AD224" s="12"/>
      <x:c r="AE224" s="3" t="str">
        <x:v>[6574,"1S01-BG-37.5"]</x:v>
      </x:c>
      <x:c r="AF224" t="n">
        <x:f>IF(ISNUMBER(H224),1,0)</x:f>
        <x:v>1</x:v>
      </x:c>
      <x:c r="AG224" t="n">
        <x:f>IF(ISNUMBER(I224),1,0)</x:f>
        <x:v>0</x:v>
      </x:c>
      <x:c r="AH224" t="str">
        <x:v>["1S01","1S01-BG","BG","米色"]</x:v>
      </x:c>
      <x:c r="AI224" t="n">
        <x:f>IF(ISNUMBER(G224),1,0)</x:f>
        <x:v>1</x:v>
      </x:c>
      <x:c r="AJ224" t="n">
        <x:f>IF(ISNUMBER(AD224),1,0)</x:f>
        <x:v>0</x:v>
      </x:c>
    </x:row>
    <x:row r="225" ht="30" customHeight="1">
      <x:c r="A225" s="3" t="str">
        <x:v>1S01-BG-38.5</x:v>
      </x:c>
      <x:c r="B225" s="3" t="str">
        <x:v>3店-SANDIEX-US</x:v>
      </x:c>
      <x:c r="C225" s="3" t="str">
        <x:v>徐新怡</x:v>
      </x:c>
      <x:c r="D225" s="3" t="str">
        <x:v>1S01</x:v>
      </x:c>
      <x:c r="E225" s="3" t="str">
        <x:f>IF(Z225="移出","已移出",IF(NOT(ISNUMBER(H225)),"数据待核",IF(H225=0,"断货",IF(NOT(ISNUMBER(G225)),"数据待核",IF(G225=0,"零日销待复核",IF(F225&lt;60,"补货提醒",IF(F225&lt;=90,"正常库存",IF(F225&lt;180,"促销",IF(F225&lt;=365,"红线促销","考虑清仓")))))))))</x:f>
        <x:v>断货</x:v>
      </x:c>
      <x:c r="F225" s="11" t="str">
        <x:f>IF(AND(ISNUMBER(H225),ISNUMBER(G225),G225&gt;0),H225/G225,"")</x:f>
      </x:c>
      <x:c r="G225" s="12" t="n">
        <x:f>IF(AND(COUNT(P225:R225)=3,MIN(P225:R225)&gt;=0,P225&lt;=Q225,Q225&lt;=R225),P225/7*0.5+Q225/14*0.3+R225/30*0.2,"")</x:f>
        <x:v>0</x:v>
      </x:c>
      <x:c r="H225" s="10" t="n">
        <x:f>IF(ISNUMBER(U225),U225,"")</x:f>
        <x:v>0</x:v>
      </x:c>
      <x:c r="I225" s="10"/>
      <x:c r="J225" s="11" t="str">
        <x:f>IF(AND(Z225="共同",ISNUMBER(F225),ISNUMBER(M225)),F225-M225,"")</x:f>
      </x:c>
      <x:c r="K225" s="13" t="str">
        <x:f>IF(AND(ISNUMBER(J225),M225&lt;&gt;0),J225/M225,"")</x:f>
      </x:c>
      <x:c r="L225" s="10"/>
      <x:c r="M225" s="11"/>
      <x:c r="N225" s="10" t="str">
        <x:f>IF(AND(Z225="共同",COUNT(H225:I225)=2),H225-I225,"")</x:f>
      </x:c>
      <x:c r="O225" s="10" t="n">
        <x:v>1</x:v>
      </x:c>
      <x:c r="P225" s="10" t="n">
        <x:v>0</x:v>
      </x:c>
      <x:c r="Q225" s="10" t="n">
        <x:v>0</x:v>
      </x:c>
      <x:c r="R225" s="10" t="n">
        <x:v>0</x:v>
      </x:c>
      <x:c r="S225" s="10" t="n">
        <x:v>0</x:v>
      </x:c>
      <x:c r="T225" s="10" t="n">
        <x:v>0</x:v>
      </x:c>
      <x:c r="U225" s="10" t="n">
        <x:f>IF(AND(ISNUMBER(X225),X225&gt;=0,Y225&lt;&gt;1),X225,"")</x:f>
        <x:v>0</x:v>
      </x:c>
      <x:c r="V225" s="10" t="n">
        <x:v>0</x:v>
      </x:c>
      <x:c r="W225" s="10" t="n">
        <x:v>0</x:v>
      </x:c>
      <x:c r="X225" s="10" t="n">
        <x:v>0</x:v>
      </x:c>
      <x:c r="Y225" s="3" t="n">
        <x:v>0</x:v>
      </x:c>
      <x:c r="Z225" s="3" t="str">
        <x:v>新增</x:v>
      </x:c>
      <x:c r="AA225" s="3" t="str">
        <x:v>停售</x:v>
      </x:c>
      <x:c r="AB225" s="12" t="str">
        <x:f>IF(AND(Z225="共同",ISNUMBER(G225),ISNUMBER(AD225)),G225-AD225,"")</x:f>
      </x:c>
      <x:c r="AC225" s="3" t="str">
        <x:v>近90天SKU销量未匹配，未按0处理</x:v>
      </x:c>
      <x:c r="AD225" s="12"/>
      <x:c r="AE225" s="3" t="str">
        <x:v>[6574,"1S01-BG-38.5"]</x:v>
      </x:c>
      <x:c r="AF225" t="n">
        <x:f>IF(ISNUMBER(H225),1,0)</x:f>
        <x:v>1</x:v>
      </x:c>
      <x:c r="AG225" t="n">
        <x:f>IF(ISNUMBER(I225),1,0)</x:f>
        <x:v>0</x:v>
      </x:c>
      <x:c r="AH225" t="str">
        <x:v>["1S01","1S01-BG","BG","米色"]</x:v>
      </x:c>
      <x:c r="AI225" t="n">
        <x:f>IF(ISNUMBER(G225),1,0)</x:f>
        <x:v>1</x:v>
      </x:c>
      <x:c r="AJ225" t="n">
        <x:f>IF(ISNUMBER(AD225),1,0)</x:f>
        <x:v>0</x:v>
      </x:c>
    </x:row>
    <x:row r="226" ht="30" customHeight="1">
      <x:c r="A226" s="3" t="str">
        <x:v>1S01-BG-39</x:v>
      </x:c>
      <x:c r="B226" s="3" t="str">
        <x:v>3店-SANDIEX-US</x:v>
      </x:c>
      <x:c r="C226" s="3" t="str">
        <x:v>徐新怡</x:v>
      </x:c>
      <x:c r="D226" s="3" t="str">
        <x:v>1S01</x:v>
      </x:c>
      <x:c r="E226" s="3" t="str">
        <x:f>IF(Z226="移出","已移出",IF(NOT(ISNUMBER(H226)),"数据待核",IF(H226=0,"断货",IF(NOT(ISNUMBER(G226)),"数据待核",IF(G226=0,"零日销待复核",IF(F226&lt;60,"补货提醒",IF(F226&lt;=90,"正常库存",IF(F226&lt;180,"促销",IF(F226&lt;=365,"红线促销","考虑清仓")))))))))</x:f>
        <x:v>断货</x:v>
      </x:c>
      <x:c r="F226" s="11" t="n">
        <x:f>IF(AND(ISNUMBER(H226),ISNUMBER(G226),G226&gt;0),H226/G226,"")</x:f>
        <x:v>0</x:v>
      </x:c>
      <x:c r="G226" s="12" t="n">
        <x:f>IF(AND(COUNT(P226:R226)=3,MIN(P226:R226)&gt;=0,P226&lt;=Q226,Q226&lt;=R226),P226/7*0.5+Q226/14*0.3+R226/30*0.2,"")</x:f>
        <x:v>0.980952380952381</x:v>
      </x:c>
      <x:c r="H226" s="10" t="n">
        <x:f>IF(ISNUMBER(U226),U226,"")</x:f>
        <x:v>0</x:v>
      </x:c>
      <x:c r="I226" s="10" t="n">
        <x:v>0</x:v>
      </x:c>
      <x:c r="J226" s="11" t="n">
        <x:f>IF(AND(Z226="共同",ISNUMBER(F226),ISNUMBER(M226)),F226-M226,"")</x:f>
        <x:v>0</x:v>
      </x:c>
      <x:c r="K226" s="13" t="str">
        <x:f>IF(AND(ISNUMBER(J226),M226&lt;&gt;0),J226/M226,"")</x:f>
      </x:c>
      <x:c r="L226" s="10" t="str">
        <x:v>断货</x:v>
      </x:c>
      <x:c r="M226" s="11" t="n">
        <x:v>0</x:v>
      </x:c>
      <x:c r="N226" s="10" t="n">
        <x:f>IF(AND(Z226="共同",COUNT(H226:I226)=2),H226-I226,"")</x:f>
        <x:v>0</x:v>
      </x:c>
      <x:c r="O226" s="10" t="n">
        <x:v>115</x:v>
      </x:c>
      <x:c r="P226" s="10" t="n">
        <x:v>5</x:v>
      </x:c>
      <x:c r="Q226" s="10" t="n">
        <x:v>12</x:v>
      </x:c>
      <x:c r="R226" s="10" t="n">
        <x:v>55</x:v>
      </x:c>
      <x:c r="S226" s="10" t="n">
        <x:v>33</x:v>
      </x:c>
      <x:c r="T226" s="10" t="n">
        <x:v>4</x:v>
      </x:c>
      <x:c r="U226" s="10" t="n">
        <x:f>IF(AND(ISNUMBER(X226),X226&gt;=0,Y226&lt;&gt;1),X226,"")</x:f>
        <x:v>0</x:v>
      </x:c>
      <x:c r="V226" s="10" t="n">
        <x:v>0</x:v>
      </x:c>
      <x:c r="W226" s="10" t="n">
        <x:v>247</x:v>
      </x:c>
      <x:c r="X226" s="10" t="n">
        <x:v>0</x:v>
      </x:c>
      <x:c r="Y226" s="3" t="n">
        <x:v>0</x:v>
      </x:c>
      <x:c r="Z226" s="3" t="str">
        <x:v>共同</x:v>
      </x:c>
      <x:c r="AA226" s="3" t="str">
        <x:v>在售</x:v>
      </x:c>
      <x:c r="AB226" s="12" t="n">
        <x:f>IF(AND(Z226="共同",ISNUMBER(G226),ISNUMBER(AD226)),G226-AD226,"")</x:f>
        <x:v>-1.2623809523809522</x:v>
      </x:c>
      <x:c r="AC226" s="3" t="str"/>
      <x:c r="AD226" s="12" t="n">
        <x:v>2.243333333333333</x:v>
      </x:c>
      <x:c r="AE226" s="3" t="str">
        <x:v>[6574,"1S01-BG-39"]</x:v>
      </x:c>
      <x:c r="AF226" t="n">
        <x:f>IF(ISNUMBER(H226),1,0)</x:f>
        <x:v>1</x:v>
      </x:c>
      <x:c r="AG226" t="n">
        <x:f>IF(ISNUMBER(I226),1,0)</x:f>
        <x:v>1</x:v>
      </x:c>
      <x:c r="AH226" t="str">
        <x:v>["1S01","1S01-BG","BG","米色"]</x:v>
      </x:c>
      <x:c r="AI226" t="n">
        <x:f>IF(ISNUMBER(G226),1,0)</x:f>
        <x:v>1</x:v>
      </x:c>
      <x:c r="AJ226" t="n">
        <x:f>IF(ISNUMBER(AD226),1,0)</x:f>
        <x:v>1</x:v>
      </x:c>
    </x:row>
    <x:row r="227" ht="30" customHeight="1">
      <x:c r="A227" s="3" t="str">
        <x:v>1S01-BG-39.5</x:v>
      </x:c>
      <x:c r="B227" s="3" t="str">
        <x:v>3店-SANDIEX-US</x:v>
      </x:c>
      <x:c r="C227" s="3" t="str">
        <x:v>徐新怡</x:v>
      </x:c>
      <x:c r="D227" s="3" t="str">
        <x:v>1S01</x:v>
      </x:c>
      <x:c r="E227" s="3" t="str">
        <x:f>IF(Z227="移出","已移出",IF(NOT(ISNUMBER(H227)),"数据待核",IF(H227=0,"断货",IF(NOT(ISNUMBER(G227)),"数据待核",IF(G227=0,"零日销待复核",IF(F227&lt;60,"补货提醒",IF(F227&lt;=90,"正常库存",IF(F227&lt;180,"促销",IF(F227&lt;=365,"红线促销","考虑清仓")))))))))</x:f>
        <x:v>断货</x:v>
      </x:c>
      <x:c r="F227" s="11" t="str">
        <x:f>IF(AND(ISNUMBER(H227),ISNUMBER(G227),G227&gt;0),H227/G227,"")</x:f>
      </x:c>
      <x:c r="G227" s="12" t="n">
        <x:f>IF(AND(COUNT(P227:R227)=3,MIN(P227:R227)&gt;=0,P227&lt;=Q227,Q227&lt;=R227),P227/7*0.5+Q227/14*0.3+R227/30*0.2,"")</x:f>
        <x:v>0</x:v>
      </x:c>
      <x:c r="H227" s="10" t="n">
        <x:f>IF(ISNUMBER(U227),U227,"")</x:f>
        <x:v>0</x:v>
      </x:c>
      <x:c r="I227" s="10"/>
      <x:c r="J227" s="11" t="str">
        <x:f>IF(AND(Z227="共同",ISNUMBER(F227),ISNUMBER(M227)),F227-M227,"")</x:f>
      </x:c>
      <x:c r="K227" s="13" t="str">
        <x:f>IF(AND(ISNUMBER(J227),M227&lt;&gt;0),J227/M227,"")</x:f>
      </x:c>
      <x:c r="L227" s="10"/>
      <x:c r="M227" s="11"/>
      <x:c r="N227" s="10" t="str">
        <x:f>IF(AND(Z227="共同",COUNT(H227:I227)=2),H227-I227,"")</x:f>
      </x:c>
      <x:c r="O227" s="10" t="n">
        <x:v>0</x:v>
      </x:c>
      <x:c r="P227" s="10" t="n">
        <x:v>0</x:v>
      </x:c>
      <x:c r="Q227" s="10" t="n">
        <x:v>0</x:v>
      </x:c>
      <x:c r="R227" s="10" t="n">
        <x:v>0</x:v>
      </x:c>
      <x:c r="S227" s="10" t="n">
        <x:v>0</x:v>
      </x:c>
      <x:c r="T227" s="10" t="n">
        <x:v>0</x:v>
      </x:c>
      <x:c r="U227" s="10" t="n">
        <x:f>IF(AND(ISNUMBER(X227),X227&gt;=0,Y227&lt;&gt;1),X227,"")</x:f>
        <x:v>0</x:v>
      </x:c>
      <x:c r="V227" s="10" t="n">
        <x:v>0</x:v>
      </x:c>
      <x:c r="W227" s="10" t="n">
        <x:v>0</x:v>
      </x:c>
      <x:c r="X227" s="10" t="n">
        <x:v>0</x:v>
      </x:c>
      <x:c r="Y227" s="3" t="n">
        <x:v>0</x:v>
      </x:c>
      <x:c r="Z227" s="3" t="str">
        <x:v>新增</x:v>
      </x:c>
      <x:c r="AA227" s="3" t="str">
        <x:v>停售</x:v>
      </x:c>
      <x:c r="AB227" s="12" t="str">
        <x:f>IF(AND(Z227="共同",ISNUMBER(G227),ISNUMBER(AD227)),G227-AD227,"")</x:f>
      </x:c>
      <x:c r="AC227" s="3" t="str">
        <x:v>近90天SKU销量未匹配，未按0处理</x:v>
      </x:c>
      <x:c r="AD227" s="12"/>
      <x:c r="AE227" s="3" t="str">
        <x:v>[6574,"1S01-BG-39.5"]</x:v>
      </x:c>
      <x:c r="AF227" t="n">
        <x:f>IF(ISNUMBER(H227),1,0)</x:f>
        <x:v>1</x:v>
      </x:c>
      <x:c r="AG227" t="n">
        <x:f>IF(ISNUMBER(I227),1,0)</x:f>
        <x:v>0</x:v>
      </x:c>
      <x:c r="AH227" t="str">
        <x:v>["1S01","1S01-BG","BG","米色"]</x:v>
      </x:c>
      <x:c r="AI227" t="n">
        <x:f>IF(ISNUMBER(G227),1,0)</x:f>
        <x:v>1</x:v>
      </x:c>
      <x:c r="AJ227" t="n">
        <x:f>IF(ISNUMBER(AD227),1,0)</x:f>
        <x:v>0</x:v>
      </x:c>
    </x:row>
    <x:row r="228" ht="30" customHeight="1">
      <x:c r="A228" s="3" t="str">
        <x:v>1S01-BG-40.5</x:v>
      </x:c>
      <x:c r="B228" s="3" t="str">
        <x:v>3店-SANDIEX-US</x:v>
      </x:c>
      <x:c r="C228" s="3" t="str">
        <x:v>徐新怡</x:v>
      </x:c>
      <x:c r="D228" s="3" t="str">
        <x:v>1S01</x:v>
      </x:c>
      <x:c r="E228" s="3" t="str">
        <x:f>IF(Z228="移出","已移出",IF(NOT(ISNUMBER(H228)),"数据待核",IF(H228=0,"断货",IF(NOT(ISNUMBER(G228)),"数据待核",IF(G228=0,"零日销待复核",IF(F228&lt;60,"补货提醒",IF(F228&lt;=90,"正常库存",IF(F228&lt;180,"促销",IF(F228&lt;=365,"红线促销","考虑清仓")))))))))</x:f>
        <x:v>断货</x:v>
      </x:c>
      <x:c r="F228" s="11" t="str">
        <x:f>IF(AND(ISNUMBER(H228),ISNUMBER(G228),G228&gt;0),H228/G228,"")</x:f>
      </x:c>
      <x:c r="G228" s="12" t="n">
        <x:f>IF(AND(COUNT(P228:R228)=3,MIN(P228:R228)&gt;=0,P228&lt;=Q228,Q228&lt;=R228),P228/7*0.5+Q228/14*0.3+R228/30*0.2,"")</x:f>
        <x:v>0</x:v>
      </x:c>
      <x:c r="H228" s="10" t="n">
        <x:f>IF(ISNUMBER(U228),U228,"")</x:f>
        <x:v>0</x:v>
      </x:c>
      <x:c r="I228" s="10"/>
      <x:c r="J228" s="11" t="str">
        <x:f>IF(AND(Z228="共同",ISNUMBER(F228),ISNUMBER(M228)),F228-M228,"")</x:f>
      </x:c>
      <x:c r="K228" s="13" t="str">
        <x:f>IF(AND(ISNUMBER(J228),M228&lt;&gt;0),J228/M228,"")</x:f>
      </x:c>
      <x:c r="L228" s="10"/>
      <x:c r="M228" s="11"/>
      <x:c r="N228" s="10" t="str">
        <x:f>IF(AND(Z228="共同",COUNT(H228:I228)=2),H228-I228,"")</x:f>
      </x:c>
      <x:c r="O228" s="10" t="n">
        <x:v>0</x:v>
      </x:c>
      <x:c r="P228" s="10" t="n">
        <x:v>0</x:v>
      </x:c>
      <x:c r="Q228" s="10" t="n">
        <x:v>0</x:v>
      </x:c>
      <x:c r="R228" s="10" t="n">
        <x:v>0</x:v>
      </x:c>
      <x:c r="S228" s="10" t="n">
        <x:v>0</x:v>
      </x:c>
      <x:c r="T228" s="10" t="n">
        <x:v>0</x:v>
      </x:c>
      <x:c r="U228" s="10" t="n">
        <x:f>IF(AND(ISNUMBER(X228),X228&gt;=0,Y228&lt;&gt;1),X228,"")</x:f>
        <x:v>0</x:v>
      </x:c>
      <x:c r="V228" s="10" t="n">
        <x:v>0</x:v>
      </x:c>
      <x:c r="W228" s="10" t="n">
        <x:v>0</x:v>
      </x:c>
      <x:c r="X228" s="10" t="n">
        <x:v>0</x:v>
      </x:c>
      <x:c r="Y228" s="3" t="n">
        <x:v>0</x:v>
      </x:c>
      <x:c r="Z228" s="3" t="str">
        <x:v>新增</x:v>
      </x:c>
      <x:c r="AA228" s="3" t="str">
        <x:v>停售</x:v>
      </x:c>
      <x:c r="AB228" s="12" t="str">
        <x:f>IF(AND(Z228="共同",ISNUMBER(G228),ISNUMBER(AD228)),G228-AD228,"")</x:f>
      </x:c>
      <x:c r="AC228" s="3" t="str">
        <x:v>近90天SKU销量未匹配，未按0处理</x:v>
      </x:c>
      <x:c r="AD228" s="12"/>
      <x:c r="AE228" s="3" t="str">
        <x:v>[6574,"1S01-BG-40.5"]</x:v>
      </x:c>
      <x:c r="AF228" t="n">
        <x:f>IF(ISNUMBER(H228),1,0)</x:f>
        <x:v>1</x:v>
      </x:c>
      <x:c r="AG228" t="n">
        <x:f>IF(ISNUMBER(I228),1,0)</x:f>
        <x:v>0</x:v>
      </x:c>
      <x:c r="AH228" t="str">
        <x:v>["1S01","1S01-BG","BG","米色"]</x:v>
      </x:c>
      <x:c r="AI228" t="n">
        <x:f>IF(ISNUMBER(G228),1,0)</x:f>
        <x:v>1</x:v>
      </x:c>
      <x:c r="AJ228" t="n">
        <x:f>IF(ISNUMBER(AD228),1,0)</x:f>
        <x:v>0</x:v>
      </x:c>
    </x:row>
    <x:row r="229" ht="30" customHeight="1">
      <x:c r="A229" s="3" t="str">
        <x:v>1S01-BG-41.5</x:v>
      </x:c>
      <x:c r="B229" s="3" t="str">
        <x:v>3店-SANDIEX-US</x:v>
      </x:c>
      <x:c r="C229" s="3" t="str">
        <x:v>徐新怡</x:v>
      </x:c>
      <x:c r="D229" s="3" t="str">
        <x:v>1S01</x:v>
      </x:c>
      <x:c r="E229" s="3" t="str">
        <x:f>IF(Z229="移出","已移出",IF(NOT(ISNUMBER(H229)),"数据待核",IF(H229=0,"断货",IF(NOT(ISNUMBER(G229)),"数据待核",IF(G229=0,"零日销待复核",IF(F229&lt;60,"补货提醒",IF(F229&lt;=90,"正常库存",IF(F229&lt;180,"促销",IF(F229&lt;=365,"红线促销","考虑清仓")))))))))</x:f>
        <x:v>断货</x:v>
      </x:c>
      <x:c r="F229" s="11" t="str">
        <x:f>IF(AND(ISNUMBER(H229),ISNUMBER(G229),G229&gt;0),H229/G229,"")</x:f>
      </x:c>
      <x:c r="G229" s="12" t="n">
        <x:f>IF(AND(COUNT(P229:R229)=3,MIN(P229:R229)&gt;=0,P229&lt;=Q229,Q229&lt;=R229),P229/7*0.5+Q229/14*0.3+R229/30*0.2,"")</x:f>
        <x:v>0</x:v>
      </x:c>
      <x:c r="H229" s="10" t="n">
        <x:f>IF(ISNUMBER(U229),U229,"")</x:f>
        <x:v>0</x:v>
      </x:c>
      <x:c r="I229" s="10"/>
      <x:c r="J229" s="11" t="str">
        <x:f>IF(AND(Z229="共同",ISNUMBER(F229),ISNUMBER(M229)),F229-M229,"")</x:f>
      </x:c>
      <x:c r="K229" s="13" t="str">
        <x:f>IF(AND(ISNUMBER(J229),M229&lt;&gt;0),J229/M229,"")</x:f>
      </x:c>
      <x:c r="L229" s="10"/>
      <x:c r="M229" s="11"/>
      <x:c r="N229" s="10" t="str">
        <x:f>IF(AND(Z229="共同",COUNT(H229:I229)=2),H229-I229,"")</x:f>
      </x:c>
      <x:c r="O229" s="10" t="n">
        <x:v>0</x:v>
      </x:c>
      <x:c r="P229" s="10" t="n">
        <x:v>0</x:v>
      </x:c>
      <x:c r="Q229" s="10" t="n">
        <x:v>0</x:v>
      </x:c>
      <x:c r="R229" s="10" t="n">
        <x:v>0</x:v>
      </x:c>
      <x:c r="S229" s="10" t="n">
        <x:v>0</x:v>
      </x:c>
      <x:c r="T229" s="10" t="n">
        <x:v>0</x:v>
      </x:c>
      <x:c r="U229" s="10" t="n">
        <x:f>IF(AND(ISNUMBER(X229),X229&gt;=0,Y229&lt;&gt;1),X229,"")</x:f>
        <x:v>0</x:v>
      </x:c>
      <x:c r="V229" s="10" t="n">
        <x:v>0</x:v>
      </x:c>
      <x:c r="W229" s="10" t="n">
        <x:v>0</x:v>
      </x:c>
      <x:c r="X229" s="10" t="n">
        <x:v>0</x:v>
      </x:c>
      <x:c r="Y229" s="3" t="n">
        <x:v>0</x:v>
      </x:c>
      <x:c r="Z229" s="3" t="str">
        <x:v>新增</x:v>
      </x:c>
      <x:c r="AA229" s="3" t="str">
        <x:v>停售</x:v>
      </x:c>
      <x:c r="AB229" s="12" t="str">
        <x:f>IF(AND(Z229="共同",ISNUMBER(G229),ISNUMBER(AD229)),G229-AD229,"")</x:f>
      </x:c>
      <x:c r="AC229" s="3" t="str">
        <x:v>近90天SKU销量未匹配，未按0处理</x:v>
      </x:c>
      <x:c r="AD229" s="12"/>
      <x:c r="AE229" s="3" t="str">
        <x:v>[6574,"1S01-BG-41.5"]</x:v>
      </x:c>
      <x:c r="AF229" t="n">
        <x:f>IF(ISNUMBER(H229),1,0)</x:f>
        <x:v>1</x:v>
      </x:c>
      <x:c r="AG229" t="n">
        <x:f>IF(ISNUMBER(I229),1,0)</x:f>
        <x:v>0</x:v>
      </x:c>
      <x:c r="AH229" t="str">
        <x:v>["1S01","1S01-BG","BG","米色"]</x:v>
      </x:c>
      <x:c r="AI229" t="n">
        <x:f>IF(ISNUMBER(G229),1,0)</x:f>
        <x:v>1</x:v>
      </x:c>
      <x:c r="AJ229" t="n">
        <x:f>IF(ISNUMBER(AD229),1,0)</x:f>
        <x:v>0</x:v>
      </x:c>
    </x:row>
    <x:row r="230" ht="30" customHeight="1">
      <x:c r="A230" s="3" t="str">
        <x:v>1S01-BKP-36</x:v>
      </x:c>
      <x:c r="B230" s="3" t="str">
        <x:v>3店-SANDIEX-US</x:v>
      </x:c>
      <x:c r="C230" s="3" t="str">
        <x:v>徐新怡</x:v>
      </x:c>
      <x:c r="D230" s="3" t="str">
        <x:v>1S01</x:v>
      </x:c>
      <x:c r="E230" s="3" t="str">
        <x:f>IF(Z230="移出","已移出",IF(NOT(ISNUMBER(H230)),"数据待核",IF(H230=0,"断货",IF(NOT(ISNUMBER(G230)),"数据待核",IF(G230=0,"零日销待复核",IF(F230&lt;60,"补货提醒",IF(F230&lt;=90,"正常库存",IF(F230&lt;180,"促销",IF(F230&lt;=365,"红线促销","考虑清仓")))))))))</x:f>
        <x:v>断货</x:v>
      </x:c>
      <x:c r="F230" s="11" t="str">
        <x:f>IF(AND(ISNUMBER(H230),ISNUMBER(G230),G230&gt;0),H230/G230,"")</x:f>
      </x:c>
      <x:c r="G230" s="12" t="n">
        <x:f>IF(AND(COUNT(P230:R230)=3,MIN(P230:R230)&gt;=0,P230&lt;=Q230,Q230&lt;=R230),P230/7*0.5+Q230/14*0.3+R230/30*0.2,"")</x:f>
        <x:v>0</x:v>
      </x:c>
      <x:c r="H230" s="10" t="n">
        <x:f>IF(ISNUMBER(U230),U230,"")</x:f>
        <x:v>0</x:v>
      </x:c>
      <x:c r="I230" s="10"/>
      <x:c r="J230" s="11" t="str">
        <x:f>IF(AND(Z230="共同",ISNUMBER(F230),ISNUMBER(M230)),F230-M230,"")</x:f>
      </x:c>
      <x:c r="K230" s="13" t="str">
        <x:f>IF(AND(ISNUMBER(J230),M230&lt;&gt;0),J230/M230,"")</x:f>
      </x:c>
      <x:c r="L230" s="10"/>
      <x:c r="M230" s="11"/>
      <x:c r="N230" s="10" t="str">
        <x:f>IF(AND(Z230="共同",COUNT(H230:I230)=2),H230-I230,"")</x:f>
      </x:c>
      <x:c r="O230" s="10"/>
      <x:c r="P230" s="10" t="n">
        <x:v>0</x:v>
      </x:c>
      <x:c r="Q230" s="10" t="n">
        <x:v>0</x:v>
      </x:c>
      <x:c r="R230" s="10" t="n">
        <x:v>0</x:v>
      </x:c>
      <x:c r="S230" s="10" t="n">
        <x:v>0</x:v>
      </x:c>
      <x:c r="T230" s="10" t="n">
        <x:v>0</x:v>
      </x:c>
      <x:c r="U230" s="10" t="n">
        <x:f>IF(AND(ISNUMBER(X230),X230&gt;=0,Y230&lt;&gt;1),X230,"")</x:f>
        <x:v>0</x:v>
      </x:c>
      <x:c r="V230" s="10" t="n">
        <x:v>0</x:v>
      </x:c>
      <x:c r="W230" s="10" t="n">
        <x:v>0</x:v>
      </x:c>
      <x:c r="X230" s="10" t="n">
        <x:v>0</x:v>
      </x:c>
      <x:c r="Y230" s="3" t="n">
        <x:v>0</x:v>
      </x:c>
      <x:c r="Z230" s="3" t="str">
        <x:v>新增</x:v>
      </x:c>
      <x:c r="AA230" s="3" t="str">
        <x:v>停售</x:v>
      </x:c>
      <x:c r="AB230" s="12" t="str">
        <x:f>IF(AND(Z230="共同",ISNUMBER(G230),ISNUMBER(AD230)),G230-AD230,"")</x:f>
      </x:c>
      <x:c r="AC230" s="3" t="str">
        <x:v>近90天SKU销量未匹配，未按0处理</x:v>
      </x:c>
      <x:c r="AD230" s="12"/>
      <x:c r="AE230" s="3" t="str">
        <x:v>[6574,"1S01-BKP-36"]</x:v>
      </x:c>
      <x:c r="AF230" t="n">
        <x:f>IF(ISNUMBER(H230),1,0)</x:f>
        <x:v>1</x:v>
      </x:c>
      <x:c r="AG230" t="n">
        <x:f>IF(ISNUMBER(I230),1,0)</x:f>
        <x:v>0</x:v>
      </x:c>
      <x:c r="AH230" t="str">
        <x:v>["1S01","1S01-BKP","BKP","黑色"]</x:v>
      </x:c>
      <x:c r="AI230" t="n">
        <x:f>IF(ISNUMBER(G230),1,0)</x:f>
        <x:v>1</x:v>
      </x:c>
      <x:c r="AJ230" t="n">
        <x:f>IF(ISNUMBER(AD230),1,0)</x:f>
        <x:v>0</x:v>
      </x:c>
    </x:row>
    <x:row r="231" ht="30" customHeight="1">
      <x:c r="A231" s="3" t="str">
        <x:v>1S01-BKP-37.5</x:v>
      </x:c>
      <x:c r="B231" s="3" t="str">
        <x:v>3店-SANDIEX-US</x:v>
      </x:c>
      <x:c r="C231" s="3" t="str">
        <x:v>徐新怡</x:v>
      </x:c>
      <x:c r="D231" s="3" t="str">
        <x:v>1S01</x:v>
      </x:c>
      <x:c r="E231" s="3" t="str">
        <x:f>IF(Z231="移出","已移出",IF(NOT(ISNUMBER(H231)),"数据待核",IF(H231=0,"断货",IF(NOT(ISNUMBER(G231)),"数据待核",IF(G231=0,"零日销待复核",IF(F231&lt;60,"补货提醒",IF(F231&lt;=90,"正常库存",IF(F231&lt;180,"促销",IF(F231&lt;=365,"红线促销","考虑清仓")))))))))</x:f>
        <x:v>断货</x:v>
      </x:c>
      <x:c r="F231" s="11" t="str">
        <x:f>IF(AND(ISNUMBER(H231),ISNUMBER(G231),G231&gt;0),H231/G231,"")</x:f>
      </x:c>
      <x:c r="G231" s="12" t="n">
        <x:f>IF(AND(COUNT(P231:R231)=3,MIN(P231:R231)&gt;=0,P231&lt;=Q231,Q231&lt;=R231),P231/7*0.5+Q231/14*0.3+R231/30*0.2,"")</x:f>
        <x:v>0</x:v>
      </x:c>
      <x:c r="H231" s="10" t="n">
        <x:f>IF(ISNUMBER(U231),U231,"")</x:f>
        <x:v>0</x:v>
      </x:c>
      <x:c r="I231" s="10"/>
      <x:c r="J231" s="11" t="str">
        <x:f>IF(AND(Z231="共同",ISNUMBER(F231),ISNUMBER(M231)),F231-M231,"")</x:f>
      </x:c>
      <x:c r="K231" s="13" t="str">
        <x:f>IF(AND(ISNUMBER(J231),M231&lt;&gt;0),J231/M231,"")</x:f>
      </x:c>
      <x:c r="L231" s="10"/>
      <x:c r="M231" s="11"/>
      <x:c r="N231" s="10" t="str">
        <x:f>IF(AND(Z231="共同",COUNT(H231:I231)=2),H231-I231,"")</x:f>
      </x:c>
      <x:c r="O231" s="10" t="n">
        <x:v>0</x:v>
      </x:c>
      <x:c r="P231" s="10" t="n">
        <x:v>0</x:v>
      </x:c>
      <x:c r="Q231" s="10" t="n">
        <x:v>0</x:v>
      </x:c>
      <x:c r="R231" s="10" t="n">
        <x:v>0</x:v>
      </x:c>
      <x:c r="S231" s="10" t="n">
        <x:v>0</x:v>
      </x:c>
      <x:c r="T231" s="10" t="n">
        <x:v>0</x:v>
      </x:c>
      <x:c r="U231" s="10" t="n">
        <x:f>IF(AND(ISNUMBER(X231),X231&gt;=0,Y231&lt;&gt;1),X231,"")</x:f>
        <x:v>0</x:v>
      </x:c>
      <x:c r="V231" s="10" t="n">
        <x:v>0</x:v>
      </x:c>
      <x:c r="W231" s="10" t="n">
        <x:v>0</x:v>
      </x:c>
      <x:c r="X231" s="10" t="n">
        <x:v>0</x:v>
      </x:c>
      <x:c r="Y231" s="3" t="n">
        <x:v>0</x:v>
      </x:c>
      <x:c r="Z231" s="3" t="str">
        <x:v>新增</x:v>
      </x:c>
      <x:c r="AA231" s="3" t="str">
        <x:v>停售</x:v>
      </x:c>
      <x:c r="AB231" s="12" t="str">
        <x:f>IF(AND(Z231="共同",ISNUMBER(G231),ISNUMBER(AD231)),G231-AD231,"")</x:f>
      </x:c>
      <x:c r="AC231" s="3" t="str">
        <x:v>近90天SKU销量未匹配，未按0处理</x:v>
      </x:c>
      <x:c r="AD231" s="12"/>
      <x:c r="AE231" s="3" t="str">
        <x:v>[6574,"1S01-BKP-37.5"]</x:v>
      </x:c>
      <x:c r="AF231" t="n">
        <x:f>IF(ISNUMBER(H231),1,0)</x:f>
        <x:v>1</x:v>
      </x:c>
      <x:c r="AG231" t="n">
        <x:f>IF(ISNUMBER(I231),1,0)</x:f>
        <x:v>0</x:v>
      </x:c>
      <x:c r="AH231" t="str">
        <x:v>["1S01","1S01-BKP","BKP","黑色"]</x:v>
      </x:c>
      <x:c r="AI231" t="n">
        <x:f>IF(ISNUMBER(G231),1,0)</x:f>
        <x:v>1</x:v>
      </x:c>
      <x:c r="AJ231" t="n">
        <x:f>IF(ISNUMBER(AD231),1,0)</x:f>
        <x:v>0</x:v>
      </x:c>
    </x:row>
    <x:row r="232" ht="30" customHeight="1">
      <x:c r="A232" s="3" t="str">
        <x:v>1S01-BKP-38</x:v>
      </x:c>
      <x:c r="B232" s="3" t="str">
        <x:v>3店-SANDIEX-US</x:v>
      </x:c>
      <x:c r="C232" s="3" t="str">
        <x:v>徐新怡</x:v>
      </x:c>
      <x:c r="D232" s="3" t="str">
        <x:v>1S01</x:v>
      </x:c>
      <x:c r="E232" s="3" t="str">
        <x:f>IF(Z232="移出","已移出",IF(NOT(ISNUMBER(H232)),"数据待核",IF(H232=0,"断货",IF(NOT(ISNUMBER(G232)),"数据待核",IF(G232=0,"零日销待复核",IF(F232&lt;60,"补货提醒",IF(F232&lt;=90,"正常库存",IF(F232&lt;180,"促销",IF(F232&lt;=365,"红线促销","考虑清仓")))))))))</x:f>
        <x:v>断货</x:v>
      </x:c>
      <x:c r="F232" s="11" t="str">
        <x:f>IF(AND(ISNUMBER(H232),ISNUMBER(G232),G232&gt;0),H232/G232,"")</x:f>
      </x:c>
      <x:c r="G232" s="12" t="n">
        <x:f>IF(AND(COUNT(P232:R232)=3,MIN(P232:R232)&gt;=0,P232&lt;=Q232,Q232&lt;=R232),P232/7*0.5+Q232/14*0.3+R232/30*0.2,"")</x:f>
        <x:v>0</x:v>
      </x:c>
      <x:c r="H232" s="10" t="n">
        <x:f>IF(ISNUMBER(U232),U232,"")</x:f>
        <x:v>0</x:v>
      </x:c>
      <x:c r="I232" s="10" t="n">
        <x:v>0</x:v>
      </x:c>
      <x:c r="J232" s="11" t="str">
        <x:f>IF(AND(Z232="共同",ISNUMBER(F232),ISNUMBER(M232)),F232-M232,"")</x:f>
      </x:c>
      <x:c r="K232" s="13" t="str">
        <x:f>IF(AND(ISNUMBER(J232),M232&lt;&gt;0),J232/M232,"")</x:f>
      </x:c>
      <x:c r="L232" s="10" t="str">
        <x:v>断货</x:v>
      </x:c>
      <x:c r="M232" s="11"/>
      <x:c r="N232" s="10" t="n">
        <x:f>IF(AND(Z232="共同",COUNT(H232:I232)=2),H232-I232,"")</x:f>
        <x:v>0</x:v>
      </x:c>
      <x:c r="O232" s="10" t="n">
        <x:v>20</x:v>
      </x:c>
      <x:c r="P232" s="10" t="n">
        <x:v>0</x:v>
      </x:c>
      <x:c r="Q232" s="10" t="n">
        <x:v>0</x:v>
      </x:c>
      <x:c r="R232" s="10" t="n">
        <x:v>0</x:v>
      </x:c>
      <x:c r="S232" s="10" t="n">
        <x:v>0</x:v>
      </x:c>
      <x:c r="T232" s="10" t="n">
        <x:v>0</x:v>
      </x:c>
      <x:c r="U232" s="10" t="n">
        <x:f>IF(AND(ISNUMBER(X232),X232&gt;=0,Y232&lt;&gt;1),X232,"")</x:f>
        <x:v>0</x:v>
      </x:c>
      <x:c r="V232" s="10" t="n">
        <x:v>0</x:v>
      </x:c>
      <x:c r="W232" s="10" t="n">
        <x:v>20</x:v>
      </x:c>
      <x:c r="X232" s="10" t="n">
        <x:v>0</x:v>
      </x:c>
      <x:c r="Y232" s="3" t="n">
        <x:v>0</x:v>
      </x:c>
      <x:c r="Z232" s="3" t="str">
        <x:v>共同</x:v>
      </x:c>
      <x:c r="AA232" s="3" t="str">
        <x:v>停售</x:v>
      </x:c>
      <x:c r="AB232" s="12" t="str">
        <x:f>IF(AND(Z232="共同",ISNUMBER(G232),ISNUMBER(AD232)),G232-AD232,"")</x:f>
      </x:c>
      <x:c r="AC232" s="3" t="str">
        <x:v>近90天SKU销量未匹配，未按0处理</x:v>
      </x:c>
      <x:c r="AD232" s="12"/>
      <x:c r="AE232" s="3" t="str">
        <x:v>[6574,"1S01-BKP-38"]</x:v>
      </x:c>
      <x:c r="AF232" t="n">
        <x:f>IF(ISNUMBER(H232),1,0)</x:f>
        <x:v>1</x:v>
      </x:c>
      <x:c r="AG232" t="n">
        <x:f>IF(ISNUMBER(I232),1,0)</x:f>
        <x:v>1</x:v>
      </x:c>
      <x:c r="AH232" t="str">
        <x:v>["1S01","1S01-BKP","BKP","黑色"]</x:v>
      </x:c>
      <x:c r="AI232" t="n">
        <x:f>IF(ISNUMBER(G232),1,0)</x:f>
        <x:v>1</x:v>
      </x:c>
      <x:c r="AJ232" t="n">
        <x:f>IF(ISNUMBER(AD232),1,0)</x:f>
        <x:v>0</x:v>
      </x:c>
    </x:row>
    <x:row r="233" ht="30" customHeight="1">
      <x:c r="A233" s="3" t="str">
        <x:v>1S01-BKP-38.5</x:v>
      </x:c>
      <x:c r="B233" s="3" t="str">
        <x:v>3店-SANDIEX-US</x:v>
      </x:c>
      <x:c r="C233" s="3" t="str">
        <x:v>徐新怡</x:v>
      </x:c>
      <x:c r="D233" s="3" t="str">
        <x:v>1S01</x:v>
      </x:c>
      <x:c r="E233" s="3" t="str">
        <x:f>IF(Z233="移出","已移出",IF(NOT(ISNUMBER(H233)),"数据待核",IF(H233=0,"断货",IF(NOT(ISNUMBER(G233)),"数据待核",IF(G233=0,"零日销待复核",IF(F233&lt;60,"补货提醒",IF(F233&lt;=90,"正常库存",IF(F233&lt;180,"促销",IF(F233&lt;=365,"红线促销","考虑清仓")))))))))</x:f>
        <x:v>断货</x:v>
      </x:c>
      <x:c r="F233" s="11" t="str">
        <x:f>IF(AND(ISNUMBER(H233),ISNUMBER(G233),G233&gt;0),H233/G233,"")</x:f>
      </x:c>
      <x:c r="G233" s="12" t="n">
        <x:f>IF(AND(COUNT(P233:R233)=3,MIN(P233:R233)&gt;=0,P233&lt;=Q233,Q233&lt;=R233),P233/7*0.5+Q233/14*0.3+R233/30*0.2,"")</x:f>
        <x:v>0</x:v>
      </x:c>
      <x:c r="H233" s="10" t="n">
        <x:f>IF(ISNUMBER(U233),U233,"")</x:f>
        <x:v>0</x:v>
      </x:c>
      <x:c r="I233" s="10" t="n">
        <x:v>0</x:v>
      </x:c>
      <x:c r="J233" s="11" t="str">
        <x:f>IF(AND(Z233="共同",ISNUMBER(F233),ISNUMBER(M233)),F233-M233,"")</x:f>
      </x:c>
      <x:c r="K233" s="13" t="str">
        <x:f>IF(AND(ISNUMBER(J233),M233&lt;&gt;0),J233/M233,"")</x:f>
      </x:c>
      <x:c r="L233" s="10" t="str">
        <x:v>断货</x:v>
      </x:c>
      <x:c r="M233" s="11"/>
      <x:c r="N233" s="10" t="n">
        <x:f>IF(AND(Z233="共同",COUNT(H233:I233)=2),H233-I233,"")</x:f>
        <x:v>0</x:v>
      </x:c>
      <x:c r="O233" s="10" t="n">
        <x:v>0</x:v>
      </x:c>
      <x:c r="P233" s="10" t="n">
        <x:v>0</x:v>
      </x:c>
      <x:c r="Q233" s="10" t="n">
        <x:v>0</x:v>
      </x:c>
      <x:c r="R233" s="10" t="n">
        <x:v>0</x:v>
      </x:c>
      <x:c r="S233" s="10" t="n">
        <x:v>0</x:v>
      </x:c>
      <x:c r="T233" s="10" t="n">
        <x:v>0</x:v>
      </x:c>
      <x:c r="U233" s="10" t="n">
        <x:f>IF(AND(ISNUMBER(X233),X233&gt;=0,Y233&lt;&gt;1),X233,"")</x:f>
        <x:v>0</x:v>
      </x:c>
      <x:c r="V233" s="10" t="n">
        <x:v>0</x:v>
      </x:c>
      <x:c r="W233" s="10" t="n">
        <x:v>0</x:v>
      </x:c>
      <x:c r="X233" s="10" t="n">
        <x:v>0</x:v>
      </x:c>
      <x:c r="Y233" s="3" t="n">
        <x:v>0</x:v>
      </x:c>
      <x:c r="Z233" s="3" t="str">
        <x:v>共同</x:v>
      </x:c>
      <x:c r="AA233" s="3" t="str">
        <x:v>停售</x:v>
      </x:c>
      <x:c r="AB233" s="12" t="str">
        <x:f>IF(AND(Z233="共同",ISNUMBER(G233),ISNUMBER(AD233)),G233-AD233,"")</x:f>
      </x:c>
      <x:c r="AC233" s="3" t="str">
        <x:v>近90天SKU销量未匹配，未按0处理</x:v>
      </x:c>
      <x:c r="AD233" s="12"/>
      <x:c r="AE233" s="3" t="str">
        <x:v>[6574,"1S01-BKP-38.5"]</x:v>
      </x:c>
      <x:c r="AF233" t="n">
        <x:f>IF(ISNUMBER(H233),1,0)</x:f>
        <x:v>1</x:v>
      </x:c>
      <x:c r="AG233" t="n">
        <x:f>IF(ISNUMBER(I233),1,0)</x:f>
        <x:v>1</x:v>
      </x:c>
      <x:c r="AH233" t="str">
        <x:v>["1S01","1S01-BKP","BKP","黑色"]</x:v>
      </x:c>
      <x:c r="AI233" t="n">
        <x:f>IF(ISNUMBER(G233),1,0)</x:f>
        <x:v>1</x:v>
      </x:c>
      <x:c r="AJ233" t="n">
        <x:f>IF(ISNUMBER(AD233),1,0)</x:f>
        <x:v>0</x:v>
      </x:c>
    </x:row>
    <x:row r="234" ht="30" customHeight="1">
      <x:c r="A234" s="3" t="str">
        <x:v>1S01-BKP-39.5</x:v>
      </x:c>
      <x:c r="B234" s="3" t="str">
        <x:v>3店-SANDIEX-US</x:v>
      </x:c>
      <x:c r="C234" s="3" t="str">
        <x:v>徐新怡</x:v>
      </x:c>
      <x:c r="D234" s="3" t="str">
        <x:v>1S01</x:v>
      </x:c>
      <x:c r="E234" s="3" t="str">
        <x:f>IF(Z234="移出","已移出",IF(NOT(ISNUMBER(H234)),"数据待核",IF(H234=0,"断货",IF(NOT(ISNUMBER(G234)),"数据待核",IF(G234=0,"零日销待复核",IF(F234&lt;60,"补货提醒",IF(F234&lt;=90,"正常库存",IF(F234&lt;180,"促销",IF(F234&lt;=365,"红线促销","考虑清仓")))))))))</x:f>
        <x:v>断货</x:v>
      </x:c>
      <x:c r="F234" s="11" t="str">
        <x:f>IF(AND(ISNUMBER(H234),ISNUMBER(G234),G234&gt;0),H234/G234,"")</x:f>
      </x:c>
      <x:c r="G234" s="12" t="n">
        <x:f>IF(AND(COUNT(P234:R234)=3,MIN(P234:R234)&gt;=0,P234&lt;=Q234,Q234&lt;=R234),P234/7*0.5+Q234/14*0.3+R234/30*0.2,"")</x:f>
        <x:v>0</x:v>
      </x:c>
      <x:c r="H234" s="10" t="n">
        <x:f>IF(ISNUMBER(U234),U234,"")</x:f>
        <x:v>0</x:v>
      </x:c>
      <x:c r="I234" s="10"/>
      <x:c r="J234" s="11" t="str">
        <x:f>IF(AND(Z234="共同",ISNUMBER(F234),ISNUMBER(M234)),F234-M234,"")</x:f>
      </x:c>
      <x:c r="K234" s="13" t="str">
        <x:f>IF(AND(ISNUMBER(J234),M234&lt;&gt;0),J234/M234,"")</x:f>
      </x:c>
      <x:c r="L234" s="10"/>
      <x:c r="M234" s="11"/>
      <x:c r="N234" s="10" t="str">
        <x:f>IF(AND(Z234="共同",COUNT(H234:I234)=2),H234-I234,"")</x:f>
      </x:c>
      <x:c r="O234" s="10" t="n">
        <x:v>0</x:v>
      </x:c>
      <x:c r="P234" s="10" t="n">
        <x:v>0</x:v>
      </x:c>
      <x:c r="Q234" s="10" t="n">
        <x:v>0</x:v>
      </x:c>
      <x:c r="R234" s="10" t="n">
        <x:v>0</x:v>
      </x:c>
      <x:c r="S234" s="10" t="n">
        <x:v>0</x:v>
      </x:c>
      <x:c r="T234" s="10" t="n">
        <x:v>0</x:v>
      </x:c>
      <x:c r="U234" s="10" t="n">
        <x:f>IF(AND(ISNUMBER(X234),X234&gt;=0,Y234&lt;&gt;1),X234,"")</x:f>
        <x:v>0</x:v>
      </x:c>
      <x:c r="V234" s="10" t="n">
        <x:v>0</x:v>
      </x:c>
      <x:c r="W234" s="10" t="n">
        <x:v>0</x:v>
      </x:c>
      <x:c r="X234" s="10" t="n">
        <x:v>0</x:v>
      </x:c>
      <x:c r="Y234" s="3" t="n">
        <x:v>0</x:v>
      </x:c>
      <x:c r="Z234" s="3" t="str">
        <x:v>新增</x:v>
      </x:c>
      <x:c r="AA234" s="3" t="str">
        <x:v>停售</x:v>
      </x:c>
      <x:c r="AB234" s="12" t="str">
        <x:f>IF(AND(Z234="共同",ISNUMBER(G234),ISNUMBER(AD234)),G234-AD234,"")</x:f>
      </x:c>
      <x:c r="AC234" s="3" t="str">
        <x:v>近90天SKU销量未匹配，未按0处理</x:v>
      </x:c>
      <x:c r="AD234" s="12"/>
      <x:c r="AE234" s="3" t="str">
        <x:v>[6574,"1S01-BKP-39.5"]</x:v>
      </x:c>
      <x:c r="AF234" t="n">
        <x:f>IF(ISNUMBER(H234),1,0)</x:f>
        <x:v>1</x:v>
      </x:c>
      <x:c r="AG234" t="n">
        <x:f>IF(ISNUMBER(I234),1,0)</x:f>
        <x:v>0</x:v>
      </x:c>
      <x:c r="AH234" t="str">
        <x:v>["1S01","1S01-BKP","BKP","黑色"]</x:v>
      </x:c>
      <x:c r="AI234" t="n">
        <x:f>IF(ISNUMBER(G234),1,0)</x:f>
        <x:v>1</x:v>
      </x:c>
      <x:c r="AJ234" t="n">
        <x:f>IF(ISNUMBER(AD234),1,0)</x:f>
        <x:v>0</x:v>
      </x:c>
    </x:row>
    <x:row r="235" ht="30" customHeight="1">
      <x:c r="A235" s="3" t="str">
        <x:v>1S01-BKP-40</x:v>
      </x:c>
      <x:c r="B235" s="3" t="str">
        <x:v>3店-SANDIEX-US</x:v>
      </x:c>
      <x:c r="C235" s="3" t="str">
        <x:v>徐新怡</x:v>
      </x:c>
      <x:c r="D235" s="3" t="str">
        <x:v>1S01</x:v>
      </x:c>
      <x:c r="E235" s="3" t="str">
        <x:f>IF(Z235="移出","已移出",IF(NOT(ISNUMBER(H235)),"数据待核",IF(H235=0,"断货",IF(NOT(ISNUMBER(G235)),"数据待核",IF(G235=0,"零日销待复核",IF(F235&lt;60,"补货提醒",IF(F235&lt;=90,"正常库存",IF(F235&lt;180,"促销",IF(F235&lt;=365,"红线促销","考虑清仓")))))))))</x:f>
        <x:v>断货</x:v>
      </x:c>
      <x:c r="F235" s="11" t="str">
        <x:f>IF(AND(ISNUMBER(H235),ISNUMBER(G235),G235&gt;0),H235/G235,"")</x:f>
      </x:c>
      <x:c r="G235" s="12" t="n">
        <x:f>IF(AND(COUNT(P235:R235)=3,MIN(P235:R235)&gt;=0,P235&lt;=Q235,Q235&lt;=R235),P235/7*0.5+Q235/14*0.3+R235/30*0.2,"")</x:f>
        <x:v>0</x:v>
      </x:c>
      <x:c r="H235" s="10" t="n">
        <x:f>IF(ISNUMBER(U235),U235,"")</x:f>
        <x:v>0</x:v>
      </x:c>
      <x:c r="I235" s="10" t="n">
        <x:v>0</x:v>
      </x:c>
      <x:c r="J235" s="11" t="str">
        <x:f>IF(AND(Z235="共同",ISNUMBER(F235),ISNUMBER(M235)),F235-M235,"")</x:f>
      </x:c>
      <x:c r="K235" s="13" t="str">
        <x:f>IF(AND(ISNUMBER(J235),M235&lt;&gt;0),J235/M235,"")</x:f>
      </x:c>
      <x:c r="L235" s="10" t="str">
        <x:v>断货</x:v>
      </x:c>
      <x:c r="M235" s="11"/>
      <x:c r="N235" s="10" t="n">
        <x:f>IF(AND(Z235="共同",COUNT(H235:I235)=2),H235-I235,"")</x:f>
        <x:v>0</x:v>
      </x:c>
      <x:c r="O235" s="10" t="n">
        <x:v>137</x:v>
      </x:c>
      <x:c r="P235" s="10" t="n">
        <x:v>0</x:v>
      </x:c>
      <x:c r="Q235" s="10" t="n">
        <x:v>0</x:v>
      </x:c>
      <x:c r="R235" s="10" t="n">
        <x:v>0</x:v>
      </x:c>
      <x:c r="S235" s="10" t="n">
        <x:v>0</x:v>
      </x:c>
      <x:c r="T235" s="10" t="n">
        <x:v>0</x:v>
      </x:c>
      <x:c r="U235" s="10" t="n">
        <x:f>IF(AND(ISNUMBER(X235),X235&gt;=0,Y235&lt;&gt;1),X235,"")</x:f>
        <x:v>0</x:v>
      </x:c>
      <x:c r="V235" s="10" t="n">
        <x:v>0</x:v>
      </x:c>
      <x:c r="W235" s="10" t="n">
        <x:v>0</x:v>
      </x:c>
      <x:c r="X235" s="10" t="n">
        <x:v>0</x:v>
      </x:c>
      <x:c r="Y235" s="3" t="n">
        <x:v>0</x:v>
      </x:c>
      <x:c r="Z235" s="3" t="str">
        <x:v>共同</x:v>
      </x:c>
      <x:c r="AA235" s="3" t="str">
        <x:v>停售</x:v>
      </x:c>
      <x:c r="AB235" s="12" t="str">
        <x:f>IF(AND(Z235="共同",ISNUMBER(G235),ISNUMBER(AD235)),G235-AD235,"")</x:f>
      </x:c>
      <x:c r="AC235" s="3" t="str">
        <x:v>近90天SKU销量未匹配，未按0处理</x:v>
      </x:c>
      <x:c r="AD235" s="12"/>
      <x:c r="AE235" s="3" t="str">
        <x:v>[6574,"1S01-BKP-40"]</x:v>
      </x:c>
      <x:c r="AF235" t="n">
        <x:f>IF(ISNUMBER(H235),1,0)</x:f>
        <x:v>1</x:v>
      </x:c>
      <x:c r="AG235" t="n">
        <x:f>IF(ISNUMBER(I235),1,0)</x:f>
        <x:v>1</x:v>
      </x:c>
      <x:c r="AH235" t="str">
        <x:v>["1S01","1S01-BKP","BKP","黑色"]</x:v>
      </x:c>
      <x:c r="AI235" t="n">
        <x:f>IF(ISNUMBER(G235),1,0)</x:f>
        <x:v>1</x:v>
      </x:c>
      <x:c r="AJ235" t="n">
        <x:f>IF(ISNUMBER(AD235),1,0)</x:f>
        <x:v>0</x:v>
      </x:c>
    </x:row>
    <x:row r="236" ht="30" customHeight="1">
      <x:c r="A236" s="3" t="str">
        <x:v>1S01-BKP-40.5</x:v>
      </x:c>
      <x:c r="B236" s="3" t="str">
        <x:v>3店-SANDIEX-US</x:v>
      </x:c>
      <x:c r="C236" s="3" t="str">
        <x:v>徐新怡</x:v>
      </x:c>
      <x:c r="D236" s="3" t="str">
        <x:v>1S01</x:v>
      </x:c>
      <x:c r="E236" s="3" t="str">
        <x:f>IF(Z236="移出","已移出",IF(NOT(ISNUMBER(H236)),"数据待核",IF(H236=0,"断货",IF(NOT(ISNUMBER(G236)),"数据待核",IF(G236=0,"零日销待复核",IF(F236&lt;60,"补货提醒",IF(F236&lt;=90,"正常库存",IF(F236&lt;180,"促销",IF(F236&lt;=365,"红线促销","考虑清仓")))))))))</x:f>
        <x:v>断货</x:v>
      </x:c>
      <x:c r="F236" s="11" t="str">
        <x:f>IF(AND(ISNUMBER(H236),ISNUMBER(G236),G236&gt;0),H236/G236,"")</x:f>
      </x:c>
      <x:c r="G236" s="12" t="n">
        <x:f>IF(AND(COUNT(P236:R236)=3,MIN(P236:R236)&gt;=0,P236&lt;=Q236,Q236&lt;=R236),P236/7*0.5+Q236/14*0.3+R236/30*0.2,"")</x:f>
        <x:v>0</x:v>
      </x:c>
      <x:c r="H236" s="10" t="n">
        <x:f>IF(ISNUMBER(U236),U236,"")</x:f>
        <x:v>0</x:v>
      </x:c>
      <x:c r="I236" s="10"/>
      <x:c r="J236" s="11" t="str">
        <x:f>IF(AND(Z236="共同",ISNUMBER(F236),ISNUMBER(M236)),F236-M236,"")</x:f>
      </x:c>
      <x:c r="K236" s="13" t="str">
        <x:f>IF(AND(ISNUMBER(J236),M236&lt;&gt;0),J236/M236,"")</x:f>
      </x:c>
      <x:c r="L236" s="10"/>
      <x:c r="M236" s="11"/>
      <x:c r="N236" s="10" t="str">
        <x:f>IF(AND(Z236="共同",COUNT(H236:I236)=2),H236-I236,"")</x:f>
      </x:c>
      <x:c r="O236" s="10" t="n">
        <x:v>0</x:v>
      </x:c>
      <x:c r="P236" s="10" t="n">
        <x:v>0</x:v>
      </x:c>
      <x:c r="Q236" s="10" t="n">
        <x:v>0</x:v>
      </x:c>
      <x:c r="R236" s="10" t="n">
        <x:v>0</x:v>
      </x:c>
      <x:c r="S236" s="10" t="n">
        <x:v>0</x:v>
      </x:c>
      <x:c r="T236" s="10" t="n">
        <x:v>0</x:v>
      </x:c>
      <x:c r="U236" s="10" t="n">
        <x:f>IF(AND(ISNUMBER(X236),X236&gt;=0,Y236&lt;&gt;1),X236,"")</x:f>
        <x:v>0</x:v>
      </x:c>
      <x:c r="V236" s="10" t="n">
        <x:v>0</x:v>
      </x:c>
      <x:c r="W236" s="10" t="n">
        <x:v>0</x:v>
      </x:c>
      <x:c r="X236" s="10" t="n">
        <x:v>0</x:v>
      </x:c>
      <x:c r="Y236" s="3" t="n">
        <x:v>0</x:v>
      </x:c>
      <x:c r="Z236" s="3" t="str">
        <x:v>新增</x:v>
      </x:c>
      <x:c r="AA236" s="3" t="str">
        <x:v>停售</x:v>
      </x:c>
      <x:c r="AB236" s="12" t="str">
        <x:f>IF(AND(Z236="共同",ISNUMBER(G236),ISNUMBER(AD236)),G236-AD236,"")</x:f>
      </x:c>
      <x:c r="AC236" s="3" t="str">
        <x:v>近90天SKU销量未匹配，未按0处理</x:v>
      </x:c>
      <x:c r="AD236" s="12"/>
      <x:c r="AE236" s="3" t="str">
        <x:v>[6574,"1S01-BKP-40.5"]</x:v>
      </x:c>
      <x:c r="AF236" t="n">
        <x:f>IF(ISNUMBER(H236),1,0)</x:f>
        <x:v>1</x:v>
      </x:c>
      <x:c r="AG236" t="n">
        <x:f>IF(ISNUMBER(I236),1,0)</x:f>
        <x:v>0</x:v>
      </x:c>
      <x:c r="AH236" t="str">
        <x:v>["1S01","1S01-BKP","BKP","黑色"]</x:v>
      </x:c>
      <x:c r="AI236" t="n">
        <x:f>IF(ISNUMBER(G236),1,0)</x:f>
        <x:v>1</x:v>
      </x:c>
      <x:c r="AJ236" t="n">
        <x:f>IF(ISNUMBER(AD236),1,0)</x:f>
        <x:v>0</x:v>
      </x:c>
    </x:row>
    <x:row r="237" ht="30" customHeight="1">
      <x:c r="A237" s="3" t="str">
        <x:v>1S01-BKP-41</x:v>
      </x:c>
      <x:c r="B237" s="3" t="str">
        <x:v>3店-SANDIEX-US</x:v>
      </x:c>
      <x:c r="C237" s="3" t="str">
        <x:v>徐新怡</x:v>
      </x:c>
      <x:c r="D237" s="3" t="str">
        <x:v>1S01</x:v>
      </x:c>
      <x:c r="E237" s="3" t="str">
        <x:f>IF(Z237="移出","已移出",IF(NOT(ISNUMBER(H237)),"数据待核",IF(H237=0,"断货",IF(NOT(ISNUMBER(G237)),"数据待核",IF(G237=0,"零日销待复核",IF(F237&lt;60,"补货提醒",IF(F237&lt;=90,"正常库存",IF(F237&lt;180,"促销",IF(F237&lt;=365,"红线促销","考虑清仓")))))))))</x:f>
        <x:v>断货</x:v>
      </x:c>
      <x:c r="F237" s="11" t="n">
        <x:f>IF(AND(ISNUMBER(H237),ISNUMBER(G237),G237&gt;0),H237/G237,"")</x:f>
        <x:v>0</x:v>
      </x:c>
      <x:c r="G237" s="12" t="n">
        <x:f>IF(AND(COUNT(P237:R237)=3,MIN(P237:R237)&gt;=0,P237&lt;=Q237,Q237&lt;=R237),P237/7*0.5+Q237/14*0.3+R237/30*0.2,"")</x:f>
        <x:v>0.24047619047619045</x:v>
      </x:c>
      <x:c r="H237" s="10" t="n">
        <x:f>IF(ISNUMBER(U237),U237,"")</x:f>
        <x:v>0</x:v>
      </x:c>
      <x:c r="I237" s="10" t="n">
        <x:v>0</x:v>
      </x:c>
      <x:c r="J237" s="11" t="n">
        <x:f>IF(AND(Z237="共同",ISNUMBER(F237),ISNUMBER(M237)),F237-M237,"")</x:f>
        <x:v>0</x:v>
      </x:c>
      <x:c r="K237" s="13" t="str">
        <x:f>IF(AND(ISNUMBER(J237),M237&lt;&gt;0),J237/M237,"")</x:f>
      </x:c>
      <x:c r="L237" s="10" t="str">
        <x:v>断货</x:v>
      </x:c>
      <x:c r="M237" s="11" t="n">
        <x:v>0</x:v>
      </x:c>
      <x:c r="N237" s="10" t="n">
        <x:f>IF(AND(Z237="共同",COUNT(H237:I237)=2),H237-I237,"")</x:f>
        <x:v>0</x:v>
      </x:c>
      <x:c r="O237" s="10" t="n">
        <x:v>20</x:v>
      </x:c>
      <x:c r="P237" s="10" t="n">
        <x:v>2</x:v>
      </x:c>
      <x:c r="Q237" s="10" t="n">
        <x:v>3</x:v>
      </x:c>
      <x:c r="R237" s="10" t="n">
        <x:v>5</x:v>
      </x:c>
      <x:c r="S237" s="10" t="n">
        <x:v>23</x:v>
      </x:c>
      <x:c r="T237" s="10" t="n">
        <x:v>0</x:v>
      </x:c>
      <x:c r="U237" s="10" t="n">
        <x:f>IF(AND(ISNUMBER(X237),X237&gt;=0,Y237&lt;&gt;1),X237,"")</x:f>
        <x:v>0</x:v>
      </x:c>
      <x:c r="V237" s="10" t="n">
        <x:v>0</x:v>
      </x:c>
      <x:c r="W237" s="10" t="n">
        <x:v>40</x:v>
      </x:c>
      <x:c r="X237" s="10" t="n">
        <x:v>0</x:v>
      </x:c>
      <x:c r="Y237" s="3" t="n">
        <x:v>0</x:v>
      </x:c>
      <x:c r="Z237" s="3" t="str">
        <x:v>共同</x:v>
      </x:c>
      <x:c r="AA237" s="3" t="str">
        <x:v>在售</x:v>
      </x:c>
      <x:c r="AB237" s="12" t="n">
        <x:f>IF(AND(Z237="共同",ISNUMBER(G237),ISNUMBER(AD237)),G237-AD237,"")</x:f>
        <x:v>0.11285714285714285</x:v>
      </x:c>
      <x:c r="AC237" s="3" t="str"/>
      <x:c r="AD237" s="12" t="n">
        <x:v>0.1276190476190476</x:v>
      </x:c>
      <x:c r="AE237" s="3" t="str">
        <x:v>[6574,"1S01-BKP-41"]</x:v>
      </x:c>
      <x:c r="AF237" t="n">
        <x:f>IF(ISNUMBER(H237),1,0)</x:f>
        <x:v>1</x:v>
      </x:c>
      <x:c r="AG237" t="n">
        <x:f>IF(ISNUMBER(I237),1,0)</x:f>
        <x:v>1</x:v>
      </x:c>
      <x:c r="AH237" t="str">
        <x:v>["1S01","1S01-BKP","BKP","黑色"]</x:v>
      </x:c>
      <x:c r="AI237" t="n">
        <x:f>IF(ISNUMBER(G237),1,0)</x:f>
        <x:v>1</x:v>
      </x:c>
      <x:c r="AJ237" t="n">
        <x:f>IF(ISNUMBER(AD237),1,0)</x:f>
        <x:v>1</x:v>
      </x:c>
    </x:row>
    <x:row r="238" ht="30" customHeight="1">
      <x:c r="A238" s="3" t="str">
        <x:v>1S01-BKP-41.5</x:v>
      </x:c>
      <x:c r="B238" s="3" t="str">
        <x:v>3店-SANDIEX-US</x:v>
      </x:c>
      <x:c r="C238" s="3" t="str">
        <x:v>徐新怡</x:v>
      </x:c>
      <x:c r="D238" s="3" t="str">
        <x:v>1S01</x:v>
      </x:c>
      <x:c r="E238" s="3" t="str">
        <x:f>IF(Z238="移出","已移出",IF(NOT(ISNUMBER(H238)),"数据待核",IF(H238=0,"断货",IF(NOT(ISNUMBER(G238)),"数据待核",IF(G238=0,"零日销待复核",IF(F238&lt;60,"补货提醒",IF(F238&lt;=90,"正常库存",IF(F238&lt;180,"促销",IF(F238&lt;=365,"红线促销","考虑清仓")))))))))</x:f>
        <x:v>断货</x:v>
      </x:c>
      <x:c r="F238" s="11" t="str">
        <x:f>IF(AND(ISNUMBER(H238),ISNUMBER(G238),G238&gt;0),H238/G238,"")</x:f>
      </x:c>
      <x:c r="G238" s="12" t="n">
        <x:f>IF(AND(COUNT(P238:R238)=3,MIN(P238:R238)&gt;=0,P238&lt;=Q238,Q238&lt;=R238),P238/7*0.5+Q238/14*0.3+R238/30*0.2,"")</x:f>
        <x:v>0</x:v>
      </x:c>
      <x:c r="H238" s="10" t="n">
        <x:f>IF(ISNUMBER(U238),U238,"")</x:f>
        <x:v>0</x:v>
      </x:c>
      <x:c r="I238" s="10"/>
      <x:c r="J238" s="11" t="str">
        <x:f>IF(AND(Z238="共同",ISNUMBER(F238),ISNUMBER(M238)),F238-M238,"")</x:f>
      </x:c>
      <x:c r="K238" s="13" t="str">
        <x:f>IF(AND(ISNUMBER(J238),M238&lt;&gt;0),J238/M238,"")</x:f>
      </x:c>
      <x:c r="L238" s="10"/>
      <x:c r="M238" s="11"/>
      <x:c r="N238" s="10" t="str">
        <x:f>IF(AND(Z238="共同",COUNT(H238:I238)=2),H238-I238,"")</x:f>
      </x:c>
      <x:c r="O238" s="10"/>
      <x:c r="P238" s="10" t="n">
        <x:v>0</x:v>
      </x:c>
      <x:c r="Q238" s="10" t="n">
        <x:v>0</x:v>
      </x:c>
      <x:c r="R238" s="10" t="n">
        <x:v>0</x:v>
      </x:c>
      <x:c r="S238" s="10" t="n">
        <x:v>0</x:v>
      </x:c>
      <x:c r="T238" s="10" t="n">
        <x:v>0</x:v>
      </x:c>
      <x:c r="U238" s="10" t="n">
        <x:f>IF(AND(ISNUMBER(X238),X238&gt;=0,Y238&lt;&gt;1),X238,"")</x:f>
        <x:v>0</x:v>
      </x:c>
      <x:c r="V238" s="10" t="n">
        <x:v>0</x:v>
      </x:c>
      <x:c r="W238" s="10" t="n">
        <x:v>0</x:v>
      </x:c>
      <x:c r="X238" s="10" t="n">
        <x:v>0</x:v>
      </x:c>
      <x:c r="Y238" s="3" t="n">
        <x:v>0</x:v>
      </x:c>
      <x:c r="Z238" s="3" t="str">
        <x:v>新增</x:v>
      </x:c>
      <x:c r="AA238" s="3" t="str">
        <x:v>停售</x:v>
      </x:c>
      <x:c r="AB238" s="12" t="str">
        <x:f>IF(AND(Z238="共同",ISNUMBER(G238),ISNUMBER(AD238)),G238-AD238,"")</x:f>
      </x:c>
      <x:c r="AC238" s="3" t="str">
        <x:v>近90天SKU销量未匹配，未按0处理</x:v>
      </x:c>
      <x:c r="AD238" s="12"/>
      <x:c r="AE238" s="3" t="str">
        <x:v>[6574,"1S01-BKP-41.5"]</x:v>
      </x:c>
      <x:c r="AF238" t="n">
        <x:f>IF(ISNUMBER(H238),1,0)</x:f>
        <x:v>1</x:v>
      </x:c>
      <x:c r="AG238" t="n">
        <x:f>IF(ISNUMBER(I238),1,0)</x:f>
        <x:v>0</x:v>
      </x:c>
      <x:c r="AH238" t="str">
        <x:v>["1S01","1S01-BKP","BKP","黑色"]</x:v>
      </x:c>
      <x:c r="AI238" t="n">
        <x:f>IF(ISNUMBER(G238),1,0)</x:f>
        <x:v>1</x:v>
      </x:c>
      <x:c r="AJ238" t="n">
        <x:f>IF(ISNUMBER(AD238),1,0)</x:f>
        <x:v>0</x:v>
      </x:c>
    </x:row>
    <x:row r="239" ht="30" customHeight="1">
      <x:c r="A239" s="3" t="str">
        <x:v>1S01-BKP-42</x:v>
      </x:c>
      <x:c r="B239" s="3" t="str">
        <x:v>3店-SANDIEX-US</x:v>
      </x:c>
      <x:c r="C239" s="3" t="str">
        <x:v>徐新怡</x:v>
      </x:c>
      <x:c r="D239" s="3" t="str">
        <x:v>1S01</x:v>
      </x:c>
      <x:c r="E239" s="3" t="str">
        <x:f>IF(Z239="移出","已移出",IF(NOT(ISNUMBER(H239)),"数据待核",IF(H239=0,"断货",IF(NOT(ISNUMBER(G239)),"数据待核",IF(G239=0,"零日销待复核",IF(F239&lt;60,"补货提醒",IF(F239&lt;=90,"正常库存",IF(F239&lt;180,"促销",IF(F239&lt;=365,"红线促销","考虑清仓")))))))))</x:f>
        <x:v>断货</x:v>
      </x:c>
      <x:c r="F239" s="11" t="str">
        <x:f>IF(AND(ISNUMBER(H239),ISNUMBER(G239),G239&gt;0),H239/G239,"")</x:f>
      </x:c>
      <x:c r="G239" s="12" t="n">
        <x:f>IF(AND(COUNT(P239:R239)=3,MIN(P239:R239)&gt;=0,P239&lt;=Q239,Q239&lt;=R239),P239/7*0.5+Q239/14*0.3+R239/30*0.2,"")</x:f>
        <x:v>0</x:v>
      </x:c>
      <x:c r="H239" s="10" t="n">
        <x:f>IF(ISNUMBER(U239),U239,"")</x:f>
        <x:v>0</x:v>
      </x:c>
      <x:c r="I239" s="10" t="n">
        <x:v>0</x:v>
      </x:c>
      <x:c r="J239" s="11" t="str">
        <x:f>IF(AND(Z239="共同",ISNUMBER(F239),ISNUMBER(M239)),F239-M239,"")</x:f>
      </x:c>
      <x:c r="K239" s="13" t="str">
        <x:f>IF(AND(ISNUMBER(J239),M239&lt;&gt;0),J239/M239,"")</x:f>
      </x:c>
      <x:c r="L239" s="10" t="str">
        <x:v>断货</x:v>
      </x:c>
      <x:c r="M239" s="11"/>
      <x:c r="N239" s="10" t="n">
        <x:f>IF(AND(Z239="共同",COUNT(H239:I239)=2),H239-I239,"")</x:f>
        <x:v>0</x:v>
      </x:c>
      <x:c r="O239" s="10" t="n">
        <x:v>49</x:v>
      </x:c>
      <x:c r="P239" s="10" t="n">
        <x:v>0</x:v>
      </x:c>
      <x:c r="Q239" s="10" t="n">
        <x:v>0</x:v>
      </x:c>
      <x:c r="R239" s="10" t="n">
        <x:v>0</x:v>
      </x:c>
      <x:c r="S239" s="10" t="n">
        <x:v>0</x:v>
      </x:c>
      <x:c r="T239" s="10" t="n">
        <x:v>0</x:v>
      </x:c>
      <x:c r="U239" s="10" t="n">
        <x:f>IF(AND(ISNUMBER(X239),X239&gt;=0,Y239&lt;&gt;1),X239,"")</x:f>
        <x:v>0</x:v>
      </x:c>
      <x:c r="V239" s="10" t="n">
        <x:v>0</x:v>
      </x:c>
      <x:c r="W239" s="10" t="n">
        <x:v>0</x:v>
      </x:c>
      <x:c r="X239" s="10" t="n">
        <x:v>0</x:v>
      </x:c>
      <x:c r="Y239" s="3" t="n">
        <x:v>0</x:v>
      </x:c>
      <x:c r="Z239" s="3" t="str">
        <x:v>共同</x:v>
      </x:c>
      <x:c r="AA239" s="3" t="str">
        <x:v>停售</x:v>
      </x:c>
      <x:c r="AB239" s="12" t="str">
        <x:f>IF(AND(Z239="共同",ISNUMBER(G239),ISNUMBER(AD239)),G239-AD239,"")</x:f>
      </x:c>
      <x:c r="AC239" s="3" t="str">
        <x:v>近90天SKU销量未匹配，未按0处理</x:v>
      </x:c>
      <x:c r="AD239" s="12"/>
      <x:c r="AE239" s="3" t="str">
        <x:v>[6574,"1S01-BKP-42"]</x:v>
      </x:c>
      <x:c r="AF239" t="n">
        <x:f>IF(ISNUMBER(H239),1,0)</x:f>
        <x:v>1</x:v>
      </x:c>
      <x:c r="AG239" t="n">
        <x:f>IF(ISNUMBER(I239),1,0)</x:f>
        <x:v>1</x:v>
      </x:c>
      <x:c r="AH239" t="str">
        <x:v>["1S01","1S01-BKP","BKP","黑色"]</x:v>
      </x:c>
      <x:c r="AI239" t="n">
        <x:f>IF(ISNUMBER(G239),1,0)</x:f>
        <x:v>1</x:v>
      </x:c>
      <x:c r="AJ239" t="n">
        <x:f>IF(ISNUMBER(AD239),1,0)</x:f>
        <x:v>0</x:v>
      </x:c>
    </x:row>
    <x:row r="240" ht="30" customHeight="1">
      <x:c r="A240" s="3" t="str">
        <x:v>1S01-BLK-36</x:v>
      </x:c>
      <x:c r="B240" s="3" t="str">
        <x:v>3店-SANDIEX-US</x:v>
      </x:c>
      <x:c r="C240" s="3" t="str">
        <x:v>徐新怡</x:v>
      </x:c>
      <x:c r="D240" s="3" t="str">
        <x:v>1S01</x:v>
      </x:c>
      <x:c r="E240" s="3" t="str">
        <x:f>IF(Z240="移出","已移出",IF(NOT(ISNUMBER(H240)),"数据待核",IF(H240=0,"断货",IF(NOT(ISNUMBER(G240)),"数据待核",IF(G240=0,"零日销待复核",IF(F240&lt;60,"补货提醒",IF(F240&lt;=90,"正常库存",IF(F240&lt;180,"促销",IF(F240&lt;=365,"红线促销","考虑清仓")))))))))</x:f>
        <x:v>断货</x:v>
      </x:c>
      <x:c r="F240" s="11" t="str">
        <x:f>IF(AND(ISNUMBER(H240),ISNUMBER(G240),G240&gt;0),H240/G240,"")</x:f>
      </x:c>
      <x:c r="G240" s="12" t="n">
        <x:f>IF(AND(COUNT(P240:R240)=3,MIN(P240:R240)&gt;=0,P240&lt;=Q240,Q240&lt;=R240),P240/7*0.5+Q240/14*0.3+R240/30*0.2,"")</x:f>
        <x:v>0</x:v>
      </x:c>
      <x:c r="H240" s="10" t="n">
        <x:f>IF(ISNUMBER(U240),U240,"")</x:f>
        <x:v>0</x:v>
      </x:c>
      <x:c r="I240" s="10"/>
      <x:c r="J240" s="11" t="str">
        <x:f>IF(AND(Z240="共同",ISNUMBER(F240),ISNUMBER(M240)),F240-M240,"")</x:f>
      </x:c>
      <x:c r="K240" s="13" t="str">
        <x:f>IF(AND(ISNUMBER(J240),M240&lt;&gt;0),J240/M240,"")</x:f>
      </x:c>
      <x:c r="L240" s="10"/>
      <x:c r="M240" s="11"/>
      <x:c r="N240" s="10" t="str">
        <x:f>IF(AND(Z240="共同",COUNT(H240:I240)=2),H240-I240,"")</x:f>
      </x:c>
      <x:c r="O240" s="10" t="n">
        <x:v>0</x:v>
      </x:c>
      <x:c r="P240" s="10" t="n">
        <x:v>0</x:v>
      </x:c>
      <x:c r="Q240" s="10" t="n">
        <x:v>0</x:v>
      </x:c>
      <x:c r="R240" s="10" t="n">
        <x:v>0</x:v>
      </x:c>
      <x:c r="S240" s="10" t="n">
        <x:v>0</x:v>
      </x:c>
      <x:c r="T240" s="10" t="n">
        <x:v>0</x:v>
      </x:c>
      <x:c r="U240" s="10" t="n">
        <x:f>IF(AND(ISNUMBER(X240),X240&gt;=0,Y240&lt;&gt;1),X240,"")</x:f>
        <x:v>0</x:v>
      </x:c>
      <x:c r="V240" s="10" t="n">
        <x:v>0</x:v>
      </x:c>
      <x:c r="W240" s="10" t="n">
        <x:v>0</x:v>
      </x:c>
      <x:c r="X240" s="10" t="n">
        <x:v>0</x:v>
      </x:c>
      <x:c r="Y240" s="3" t="n">
        <x:v>0</x:v>
      </x:c>
      <x:c r="Z240" s="3" t="str">
        <x:v>新增</x:v>
      </x:c>
      <x:c r="AA240" s="3" t="str">
        <x:v>停售</x:v>
      </x:c>
      <x:c r="AB240" s="12" t="str">
        <x:f>IF(AND(Z240="共同",ISNUMBER(G240),ISNUMBER(AD240)),G240-AD240,"")</x:f>
      </x:c>
      <x:c r="AC240" s="3" t="str">
        <x:v>近90天SKU销量未匹配，未按0处理</x:v>
      </x:c>
      <x:c r="AD240" s="12"/>
      <x:c r="AE240" s="3" t="str">
        <x:v>[6574,"1S01-BLK-36"]</x:v>
      </x:c>
      <x:c r="AF240" t="n">
        <x:f>IF(ISNUMBER(H240),1,0)</x:f>
        <x:v>1</x:v>
      </x:c>
      <x:c r="AG240" t="n">
        <x:f>IF(ISNUMBER(I240),1,0)</x:f>
        <x:v>0</x:v>
      </x:c>
      <x:c r="AH240" t="str">
        <x:v>["1S01","1S01-BLK","BLK","黑色"]</x:v>
      </x:c>
      <x:c r="AI240" t="n">
        <x:f>IF(ISNUMBER(G240),1,0)</x:f>
        <x:v>1</x:v>
      </x:c>
      <x:c r="AJ240" t="n">
        <x:f>IF(ISNUMBER(AD240),1,0)</x:f>
        <x:v>0</x:v>
      </x:c>
    </x:row>
    <x:row r="241" ht="30" customHeight="1">
      <x:c r="A241" s="3" t="str">
        <x:v>1S01-BLK-37</x:v>
      </x:c>
      <x:c r="B241" s="3" t="str">
        <x:v>3店-SANDIEX-US</x:v>
      </x:c>
      <x:c r="C241" s="3" t="str">
        <x:v>徐新怡</x:v>
      </x:c>
      <x:c r="D241" s="3" t="str">
        <x:v>1S01</x:v>
      </x:c>
      <x:c r="E241" s="3" t="str">
        <x:f>IF(Z241="移出","已移出",IF(NOT(ISNUMBER(H241)),"数据待核",IF(H241=0,"断货",IF(NOT(ISNUMBER(G241)),"数据待核",IF(G241=0,"零日销待复核",IF(F241&lt;60,"补货提醒",IF(F241&lt;=90,"正常库存",IF(F241&lt;180,"促销",IF(F241&lt;=365,"红线促销","考虑清仓")))))))))</x:f>
        <x:v>断货</x:v>
      </x:c>
      <x:c r="F241" s="11" t="n">
        <x:f>IF(AND(ISNUMBER(H241),ISNUMBER(G241),G241&gt;0),H241/G241,"")</x:f>
        <x:v>0</x:v>
      </x:c>
      <x:c r="G241" s="12" t="n">
        <x:f>IF(AND(COUNT(P241:R241)=3,MIN(P241:R241)&gt;=0,P241&lt;=Q241,Q241&lt;=R241),P241/7*0.5+Q241/14*0.3+R241/30*0.2,"")</x:f>
        <x:v>0.21238095238095236</x:v>
      </x:c>
      <x:c r="H241" s="10" t="n">
        <x:f>IF(ISNUMBER(U241),U241,"")</x:f>
        <x:v>0</x:v>
      </x:c>
      <x:c r="I241" s="10" t="n">
        <x:v>0</x:v>
      </x:c>
      <x:c r="J241" s="11" t="n">
        <x:f>IF(AND(Z241="共同",ISNUMBER(F241),ISNUMBER(M241)),F241-M241,"")</x:f>
        <x:v>0</x:v>
      </x:c>
      <x:c r="K241" s="13" t="str">
        <x:f>IF(AND(ISNUMBER(J241),M241&lt;&gt;0),J241/M241,"")</x:f>
      </x:c>
      <x:c r="L241" s="10" t="str">
        <x:v>断货</x:v>
      </x:c>
      <x:c r="M241" s="11" t="n">
        <x:v>0</x:v>
      </x:c>
      <x:c r="N241" s="10" t="n">
        <x:f>IF(AND(Z241="共同",COUNT(H241:I241)=2),H241-I241,"")</x:f>
        <x:v>0</x:v>
      </x:c>
      <x:c r="O241" s="10" t="n">
        <x:v>1</x:v>
      </x:c>
      <x:c r="P241" s="10" t="n">
        <x:v>2</x:v>
      </x:c>
      <x:c r="Q241" s="10" t="n">
        <x:v>2</x:v>
      </x:c>
      <x:c r="R241" s="10" t="n">
        <x:v>4</x:v>
      </x:c>
      <x:c r="S241" s="10" t="n">
        <x:v>0</x:v>
      </x:c>
      <x:c r="T241" s="10" t="n">
        <x:v>0</x:v>
      </x:c>
      <x:c r="U241" s="10" t="n">
        <x:f>IF(AND(ISNUMBER(X241),X241&gt;=0,Y241&lt;&gt;1),X241,"")</x:f>
        <x:v>0</x:v>
      </x:c>
      <x:c r="V241" s="10" t="n">
        <x:v>0</x:v>
      </x:c>
      <x:c r="W241" s="10" t="n">
        <x:v>40</x:v>
      </x:c>
      <x:c r="X241" s="10" t="n">
        <x:v>0</x:v>
      </x:c>
      <x:c r="Y241" s="3" t="n">
        <x:v>0</x:v>
      </x:c>
      <x:c r="Z241" s="3" t="str">
        <x:v>共同</x:v>
      </x:c>
      <x:c r="AA241" s="3" t="str">
        <x:v>在售</x:v>
      </x:c>
      <x:c r="AB241" s="12" t="n">
        <x:f>IF(AND(Z241="共同",ISNUMBER(G241),ISNUMBER(AD241)),G241-AD241,"")</x:f>
        <x:v>0.1495238095238095</x:v>
      </x:c>
      <x:c r="AC241" s="3" t="str"/>
      <x:c r="AD241" s="12" t="n">
        <x:v>0.06285714285714286</x:v>
      </x:c>
      <x:c r="AE241" s="3" t="str">
        <x:v>[6574,"1S01-BLK-37"]</x:v>
      </x:c>
      <x:c r="AF241" t="n">
        <x:f>IF(ISNUMBER(H241),1,0)</x:f>
        <x:v>1</x:v>
      </x:c>
      <x:c r="AG241" t="n">
        <x:f>IF(ISNUMBER(I241),1,0)</x:f>
        <x:v>1</x:v>
      </x:c>
      <x:c r="AH241" t="str">
        <x:v>["1S01","1S01-BLK","BLK","黑色"]</x:v>
      </x:c>
      <x:c r="AI241" t="n">
        <x:f>IF(ISNUMBER(G241),1,0)</x:f>
        <x:v>1</x:v>
      </x:c>
      <x:c r="AJ241" t="n">
        <x:f>IF(ISNUMBER(AD241),1,0)</x:f>
        <x:v>1</x:v>
      </x:c>
    </x:row>
    <x:row r="242" ht="30" customHeight="1">
      <x:c r="A242" s="3" t="str">
        <x:v>1S01-BLK-37.5</x:v>
      </x:c>
      <x:c r="B242" s="3" t="str">
        <x:v>3店-SANDIEX-US</x:v>
      </x:c>
      <x:c r="C242" s="3" t="str">
        <x:v>徐新怡</x:v>
      </x:c>
      <x:c r="D242" s="3" t="str">
        <x:v>1S01</x:v>
      </x:c>
      <x:c r="E242" s="3" t="str">
        <x:f>IF(Z242="移出","已移出",IF(NOT(ISNUMBER(H242)),"数据待核",IF(H242=0,"断货",IF(NOT(ISNUMBER(G242)),"数据待核",IF(G242=0,"零日销待复核",IF(F242&lt;60,"补货提醒",IF(F242&lt;=90,"正常库存",IF(F242&lt;180,"促销",IF(F242&lt;=365,"红线促销","考虑清仓")))))))))</x:f>
        <x:v>断货</x:v>
      </x:c>
      <x:c r="F242" s="11" t="n">
        <x:f>IF(AND(ISNUMBER(H242),ISNUMBER(G242),G242&gt;0),H242/G242,"")</x:f>
        <x:v>0</x:v>
      </x:c>
      <x:c r="G242" s="12" t="n">
        <x:f>IF(AND(COUNT(P242:R242)=3,MIN(P242:R242)&gt;=0,P242&lt;=Q242,Q242&lt;=R242),P242/7*0.5+Q242/14*0.3+R242/30*0.2,"")</x:f>
        <x:v>0.06666666666666667</x:v>
      </x:c>
      <x:c r="H242" s="10" t="n">
        <x:f>IF(ISNUMBER(U242),U242,"")</x:f>
        <x:v>0</x:v>
      </x:c>
      <x:c r="I242" s="10" t="n">
        <x:v>0</x:v>
      </x:c>
      <x:c r="J242" s="11" t="n">
        <x:f>IF(AND(Z242="共同",ISNUMBER(F242),ISNUMBER(M242)),F242-M242,"")</x:f>
        <x:v>0</x:v>
      </x:c>
      <x:c r="K242" s="13" t="str">
        <x:f>IF(AND(ISNUMBER(J242),M242&lt;&gt;0),J242/M242,"")</x:f>
      </x:c>
      <x:c r="L242" s="10" t="str">
        <x:v>断货</x:v>
      </x:c>
      <x:c r="M242" s="11" t="n">
        <x:v>0</x:v>
      </x:c>
      <x:c r="N242" s="10" t="n">
        <x:f>IF(AND(Z242="共同",COUNT(H242:I242)=2),H242-I242,"")</x:f>
        <x:v>0</x:v>
      </x:c>
      <x:c r="O242" s="10" t="n">
        <x:v>0</x:v>
      </x:c>
      <x:c r="P242" s="10" t="n">
        <x:v>0</x:v>
      </x:c>
      <x:c r="Q242" s="10" t="n">
        <x:v>0</x:v>
      </x:c>
      <x:c r="R242" s="10" t="n">
        <x:v>10</x:v>
      </x:c>
      <x:c r="S242" s="10" t="n">
        <x:v>3</x:v>
      </x:c>
      <x:c r="T242" s="10" t="n">
        <x:v>0</x:v>
      </x:c>
      <x:c r="U242" s="10" t="n">
        <x:f>IF(AND(ISNUMBER(X242),X242&gt;=0,Y242&lt;&gt;1),X242,"")</x:f>
        <x:v>0</x:v>
      </x:c>
      <x:c r="V242" s="10" t="n">
        <x:v>0</x:v>
      </x:c>
      <x:c r="W242" s="10" t="n">
        <x:v>0</x:v>
      </x:c>
      <x:c r="X242" s="10" t="n">
        <x:v>0</x:v>
      </x:c>
      <x:c r="Y242" s="3" t="n">
        <x:v>0</x:v>
      </x:c>
      <x:c r="Z242" s="3" t="str">
        <x:v>共同</x:v>
      </x:c>
      <x:c r="AA242" s="3" t="str">
        <x:v>在售</x:v>
      </x:c>
      <x:c r="AB242" s="12" t="n">
        <x:f>IF(AND(Z242="共同",ISNUMBER(G242),ISNUMBER(AD242)),G242-AD242,"")</x:f>
        <x:v>-0.4704761904761905</x:v>
      </x:c>
      <x:c r="AC242" s="3" t="str"/>
      <x:c r="AD242" s="12" t="n">
        <x:v>0.5371428571428571</x:v>
      </x:c>
      <x:c r="AE242" s="3" t="str">
        <x:v>[6574,"1S01-BLK-37.5"]</x:v>
      </x:c>
      <x:c r="AF242" t="n">
        <x:f>IF(ISNUMBER(H242),1,0)</x:f>
        <x:v>1</x:v>
      </x:c>
      <x:c r="AG242" t="n">
        <x:f>IF(ISNUMBER(I242),1,0)</x:f>
        <x:v>1</x:v>
      </x:c>
      <x:c r="AH242" t="str">
        <x:v>["1S01","1S01-BLK","BLK","黑色"]</x:v>
      </x:c>
      <x:c r="AI242" t="n">
        <x:f>IF(ISNUMBER(G242),1,0)</x:f>
        <x:v>1</x:v>
      </x:c>
      <x:c r="AJ242" t="n">
        <x:f>IF(ISNUMBER(AD242),1,0)</x:f>
        <x:v>1</x:v>
      </x:c>
    </x:row>
    <x:row r="243" ht="30" customHeight="1">
      <x:c r="A243" s="3" t="str">
        <x:v>1S01-BLK-38.5</x:v>
      </x:c>
      <x:c r="B243" s="3" t="str">
        <x:v>3店-SANDIEX-US</x:v>
      </x:c>
      <x:c r="C243" s="3" t="str">
        <x:v>徐新怡</x:v>
      </x:c>
      <x:c r="D243" s="3" t="str">
        <x:v>1S01</x:v>
      </x:c>
      <x:c r="E243" s="3" t="str">
        <x:f>IF(Z243="移出","已移出",IF(NOT(ISNUMBER(H243)),"数据待核",IF(H243=0,"断货",IF(NOT(ISNUMBER(G243)),"数据待核",IF(G243=0,"零日销待复核",IF(F243&lt;60,"补货提醒",IF(F243&lt;=90,"正常库存",IF(F243&lt;180,"促销",IF(F243&lt;=365,"红线促销","考虑清仓")))))))))</x:f>
        <x:v>断货</x:v>
      </x:c>
      <x:c r="F243" s="11" t="str">
        <x:f>IF(AND(ISNUMBER(H243),ISNUMBER(G243),G243&gt;0),H243/G243,"")</x:f>
      </x:c>
      <x:c r="G243" s="12" t="n">
        <x:f>IF(AND(COUNT(P243:R243)=3,MIN(P243:R243)&gt;=0,P243&lt;=Q243,Q243&lt;=R243),P243/7*0.5+Q243/14*0.3+R243/30*0.2,"")</x:f>
        <x:v>0</x:v>
      </x:c>
      <x:c r="H243" s="10" t="n">
        <x:f>IF(ISNUMBER(U243),U243,"")</x:f>
        <x:v>0</x:v>
      </x:c>
      <x:c r="I243" s="10"/>
      <x:c r="J243" s="11" t="str">
        <x:f>IF(AND(Z243="共同",ISNUMBER(F243),ISNUMBER(M243)),F243-M243,"")</x:f>
      </x:c>
      <x:c r="K243" s="13" t="str">
        <x:f>IF(AND(ISNUMBER(J243),M243&lt;&gt;0),J243/M243,"")</x:f>
      </x:c>
      <x:c r="L243" s="10"/>
      <x:c r="M243" s="11"/>
      <x:c r="N243" s="10" t="str">
        <x:f>IF(AND(Z243="共同",COUNT(H243:I243)=2),H243-I243,"")</x:f>
      </x:c>
      <x:c r="O243" s="10" t="n">
        <x:v>2</x:v>
      </x:c>
      <x:c r="P243" s="10" t="n">
        <x:v>0</x:v>
      </x:c>
      <x:c r="Q243" s="10" t="n">
        <x:v>0</x:v>
      </x:c>
      <x:c r="R243" s="10" t="n">
        <x:v>0</x:v>
      </x:c>
      <x:c r="S243" s="10" t="n">
        <x:v>0</x:v>
      </x:c>
      <x:c r="T243" s="10" t="n">
        <x:v>0</x:v>
      </x:c>
      <x:c r="U243" s="10" t="n">
        <x:f>IF(AND(ISNUMBER(X243),X243&gt;=0,Y243&lt;&gt;1),X243,"")</x:f>
        <x:v>0</x:v>
      </x:c>
      <x:c r="V243" s="10" t="n">
        <x:v>0</x:v>
      </x:c>
      <x:c r="W243" s="10" t="n">
        <x:v>0</x:v>
      </x:c>
      <x:c r="X243" s="10" t="n">
        <x:v>0</x:v>
      </x:c>
      <x:c r="Y243" s="3" t="n">
        <x:v>0</x:v>
      </x:c>
      <x:c r="Z243" s="3" t="str">
        <x:v>新增</x:v>
      </x:c>
      <x:c r="AA243" s="3" t="str">
        <x:v>停售</x:v>
      </x:c>
      <x:c r="AB243" s="12" t="str">
        <x:f>IF(AND(Z243="共同",ISNUMBER(G243),ISNUMBER(AD243)),G243-AD243,"")</x:f>
      </x:c>
      <x:c r="AC243" s="3" t="str">
        <x:v>近90天SKU销量未匹配，未按0处理</x:v>
      </x:c>
      <x:c r="AD243" s="12"/>
      <x:c r="AE243" s="3" t="str">
        <x:v>[6574,"1S01-BLK-38.5"]</x:v>
      </x:c>
      <x:c r="AF243" t="n">
        <x:f>IF(ISNUMBER(H243),1,0)</x:f>
        <x:v>1</x:v>
      </x:c>
      <x:c r="AG243" t="n">
        <x:f>IF(ISNUMBER(I243),1,0)</x:f>
        <x:v>0</x:v>
      </x:c>
      <x:c r="AH243" t="str">
        <x:v>["1S01","1S01-BLK","BLK","黑色"]</x:v>
      </x:c>
      <x:c r="AI243" t="n">
        <x:f>IF(ISNUMBER(G243),1,0)</x:f>
        <x:v>1</x:v>
      </x:c>
      <x:c r="AJ243" t="n">
        <x:f>IF(ISNUMBER(AD243),1,0)</x:f>
        <x:v>0</x:v>
      </x:c>
    </x:row>
    <x:row r="244" ht="30" customHeight="1">
      <x:c r="A244" s="3" t="str">
        <x:v>1S01-BLK-39.5</x:v>
      </x:c>
      <x:c r="B244" s="3" t="str">
        <x:v>3店-SANDIEX-US</x:v>
      </x:c>
      <x:c r="C244" s="3" t="str">
        <x:v>徐新怡</x:v>
      </x:c>
      <x:c r="D244" s="3" t="str">
        <x:v>1S01</x:v>
      </x:c>
      <x:c r="E244" s="3" t="str">
        <x:f>IF(Z244="移出","已移出",IF(NOT(ISNUMBER(H244)),"数据待核",IF(H244=0,"断货",IF(NOT(ISNUMBER(G244)),"数据待核",IF(G244=0,"零日销待复核",IF(F244&lt;60,"补货提醒",IF(F244&lt;=90,"正常库存",IF(F244&lt;180,"促销",IF(F244&lt;=365,"红线促销","考虑清仓")))))))))</x:f>
        <x:v>断货</x:v>
      </x:c>
      <x:c r="F244" s="11" t="n">
        <x:f>IF(AND(ISNUMBER(H244),ISNUMBER(G244),G244&gt;0),H244/G244,"")</x:f>
        <x:v>0</x:v>
      </x:c>
      <x:c r="G244" s="12" t="n">
        <x:f>IF(AND(COUNT(P244:R244)=3,MIN(P244:R244)&gt;=0,P244&lt;=Q244,Q244&lt;=R244),P244/7*0.5+Q244/14*0.3+R244/30*0.2,"")</x:f>
        <x:v>0.8157142857142857</x:v>
      </x:c>
      <x:c r="H244" s="10" t="n">
        <x:f>IF(ISNUMBER(U244),U244,"")</x:f>
        <x:v>0</x:v>
      </x:c>
      <x:c r="I244" s="10" t="n">
        <x:v>7</x:v>
      </x:c>
      <x:c r="J244" s="11" t="n">
        <x:f>IF(AND(Z244="共同",ISNUMBER(F244),ISNUMBER(M244)),F244-M244,"")</x:f>
        <x:v>-8.085808580858087</x:v>
      </x:c>
      <x:c r="K244" s="13" t="n">
        <x:f>IF(AND(ISNUMBER(J244),M244&lt;&gt;0),J244/M244,"")</x:f>
        <x:v>-1</x:v>
      </x:c>
      <x:c r="L244" s="10" t="str">
        <x:v>补货提醒</x:v>
      </x:c>
      <x:c r="M244" s="11" t="n">
        <x:v>8.085808580858087</x:v>
      </x:c>
      <x:c r="N244" s="10" t="n">
        <x:f>IF(AND(Z244="共同",COUNT(H244:I244)=2),H244-I244,"")</x:f>
        <x:v>-7</x:v>
      </x:c>
      <x:c r="O244" s="10" t="n">
        <x:v>0</x:v>
      </x:c>
      <x:c r="P244" s="10" t="n">
        <x:v>5</x:v>
      </x:c>
      <x:c r="Q244" s="10" t="n">
        <x:v>13</x:v>
      </x:c>
      <x:c r="R244" s="10" t="n">
        <x:v>27</x:v>
      </x:c>
      <x:c r="S244" s="10" t="n">
        <x:v>6</x:v>
      </x:c>
      <x:c r="T244" s="10" t="n">
        <x:v>5</x:v>
      </x:c>
      <x:c r="U244" s="10" t="n">
        <x:f>IF(AND(ISNUMBER(X244),X244&gt;=0,Y244&lt;&gt;1),X244,"")</x:f>
        <x:v>0</x:v>
      </x:c>
      <x:c r="V244" s="10" t="n">
        <x:v>0</x:v>
      </x:c>
      <x:c r="W244" s="10" t="n">
        <x:v>19</x:v>
      </x:c>
      <x:c r="X244" s="10" t="n">
        <x:v>0</x:v>
      </x:c>
      <x:c r="Y244" s="3" t="n">
        <x:v>0</x:v>
      </x:c>
      <x:c r="Z244" s="3" t="str">
        <x:v>共同</x:v>
      </x:c>
      <x:c r="AA244" s="3" t="str">
        <x:v>在售</x:v>
      </x:c>
      <x:c r="AB244" s="12" t="n">
        <x:f>IF(AND(Z244="共同",ISNUMBER(G244),ISNUMBER(AD244)),G244-AD244,"")</x:f>
        <x:v>-0.04999999999999993</x:v>
      </x:c>
      <x:c r="AC244" s="3" t="str"/>
      <x:c r="AD244" s="12" t="n">
        <x:v>0.8657142857142857</x:v>
      </x:c>
      <x:c r="AE244" s="3" t="str">
        <x:v>[6574,"1S01-BLK-39.5"]</x:v>
      </x:c>
      <x:c r="AF244" t="n">
        <x:f>IF(ISNUMBER(H244),1,0)</x:f>
        <x:v>1</x:v>
      </x:c>
      <x:c r="AG244" t="n">
        <x:f>IF(ISNUMBER(I244),1,0)</x:f>
        <x:v>1</x:v>
      </x:c>
      <x:c r="AH244" t="str">
        <x:v>["1S01","1S01-BLK","BLK","黑色"]</x:v>
      </x:c>
      <x:c r="AI244" t="n">
        <x:f>IF(ISNUMBER(G244),1,0)</x:f>
        <x:v>1</x:v>
      </x:c>
      <x:c r="AJ244" t="n">
        <x:f>IF(ISNUMBER(AD244),1,0)</x:f>
        <x:v>1</x:v>
      </x:c>
    </x:row>
    <x:row r="245" ht="30" customHeight="1">
      <x:c r="A245" s="3" t="str">
        <x:v>1S01-BLK-41.5</x:v>
      </x:c>
      <x:c r="B245" s="3" t="str">
        <x:v>3店-SANDIEX-US</x:v>
      </x:c>
      <x:c r="C245" s="3" t="str">
        <x:v>徐新怡</x:v>
      </x:c>
      <x:c r="D245" s="3" t="str">
        <x:v>1S01</x:v>
      </x:c>
      <x:c r="E245" s="3" t="str">
        <x:f>IF(Z245="移出","已移出",IF(NOT(ISNUMBER(H245)),"数据待核",IF(H245=0,"断货",IF(NOT(ISNUMBER(G245)),"数据待核",IF(G245=0,"零日销待复核",IF(F245&lt;60,"补货提醒",IF(F245&lt;=90,"正常库存",IF(F245&lt;180,"促销",IF(F245&lt;=365,"红线促销","考虑清仓")))))))))</x:f>
        <x:v>断货</x:v>
      </x:c>
      <x:c r="F245" s="11" t="n">
        <x:f>IF(AND(ISNUMBER(H245),ISNUMBER(G245),G245&gt;0),H245/G245,"")</x:f>
        <x:v>0</x:v>
      </x:c>
      <x:c r="G245" s="12" t="n">
        <x:f>IF(AND(COUNT(P245:R245)=3,MIN(P245:R245)&gt;=0,P245&lt;=Q245,Q245&lt;=R245),P245/7*0.5+Q245/14*0.3+R245/30*0.2,"")</x:f>
        <x:v>0.10619047619047618</x:v>
      </x:c>
      <x:c r="H245" s="10" t="n">
        <x:f>IF(ISNUMBER(U245),U245,"")</x:f>
        <x:v>0</x:v>
      </x:c>
      <x:c r="I245" s="10" t="n">
        <x:v>0</x:v>
      </x:c>
      <x:c r="J245" s="11" t="n">
        <x:f>IF(AND(Z245="共同",ISNUMBER(F245),ISNUMBER(M245)),F245-M245,"")</x:f>
        <x:v>0</x:v>
      </x:c>
      <x:c r="K245" s="13" t="str">
        <x:f>IF(AND(ISNUMBER(J245),M245&lt;&gt;0),J245/M245,"")</x:f>
      </x:c>
      <x:c r="L245" s="10" t="str">
        <x:v>断货</x:v>
      </x:c>
      <x:c r="M245" s="11" t="n">
        <x:v>0</x:v>
      </x:c>
      <x:c r="N245" s="10" t="n">
        <x:f>IF(AND(Z245="共同",COUNT(H245:I245)=2),H245-I245,"")</x:f>
        <x:v>0</x:v>
      </x:c>
      <x:c r="O245" s="10" t="n">
        <x:v>0</x:v>
      </x:c>
      <x:c r="P245" s="10" t="n">
        <x:v>1</x:v>
      </x:c>
      <x:c r="Q245" s="10" t="n">
        <x:v>1</x:v>
      </x:c>
      <x:c r="R245" s="10" t="n">
        <x:v>2</x:v>
      </x:c>
      <x:c r="S245" s="10" t="n">
        <x:v>0</x:v>
      </x:c>
      <x:c r="T245" s="10" t="n">
        <x:v>0</x:v>
      </x:c>
      <x:c r="U245" s="10" t="n">
        <x:f>IF(AND(ISNUMBER(X245),X245&gt;=0,Y245&lt;&gt;1),X245,"")</x:f>
        <x:v>0</x:v>
      </x:c>
      <x:c r="V245" s="10" t="n">
        <x:v>0</x:v>
      </x:c>
      <x:c r="W245" s="10" t="n">
        <x:v>0</x:v>
      </x:c>
      <x:c r="X245" s="10" t="n">
        <x:v>0</x:v>
      </x:c>
      <x:c r="Y245" s="3" t="n">
        <x:v>0</x:v>
      </x:c>
      <x:c r="Z245" s="3" t="str">
        <x:v>共同</x:v>
      </x:c>
      <x:c r="AA245" s="3" t="str">
        <x:v>在售</x:v>
      </x:c>
      <x:c r="AB245" s="12" t="n">
        <x:f>IF(AND(Z245="共同",ISNUMBER(G245),ISNUMBER(AD245)),G245-AD245,"")</x:f>
        <x:v>0.05809523809523809</x:v>
      </x:c>
      <x:c r="AC245" s="3" t="str"/>
      <x:c r="AD245" s="12" t="n">
        <x:v>0.048095238095238094</x:v>
      </x:c>
      <x:c r="AE245" s="3" t="str">
        <x:v>[6574,"1S01-BLK-41.5"]</x:v>
      </x:c>
      <x:c r="AF245" t="n">
        <x:f>IF(ISNUMBER(H245),1,0)</x:f>
        <x:v>1</x:v>
      </x:c>
      <x:c r="AG245" t="n">
        <x:f>IF(ISNUMBER(I245),1,0)</x:f>
        <x:v>1</x:v>
      </x:c>
      <x:c r="AH245" t="str">
        <x:v>["1S01","1S01-BLK","BLK","黑色"]</x:v>
      </x:c>
      <x:c r="AI245" t="n">
        <x:f>IF(ISNUMBER(G245),1,0)</x:f>
        <x:v>1</x:v>
      </x:c>
      <x:c r="AJ245" t="n">
        <x:f>IF(ISNUMBER(AD245),1,0)</x:f>
        <x:v>1</x:v>
      </x:c>
    </x:row>
    <x:row r="246" ht="30" customHeight="1">
      <x:c r="A246" s="3" t="str">
        <x:v>1S01-BW-10</x:v>
      </x:c>
      <x:c r="B246" s="3" t="str">
        <x:v>3店-SANDIEX-US</x:v>
      </x:c>
      <x:c r="C246" s="3" t="str">
        <x:v>徐新怡</x:v>
      </x:c>
      <x:c r="D246" s="3" t="str">
        <x:v>1S01</x:v>
      </x:c>
      <x:c r="E246" s="3" t="str">
        <x:f>IF(Z246="移出","已移出",IF(NOT(ISNUMBER(H246)),"数据待核",IF(H246=0,"断货",IF(NOT(ISNUMBER(G246)),"数据待核",IF(G246=0,"零日销待复核",IF(F246&lt;60,"补货提醒",IF(F246&lt;=90,"正常库存",IF(F246&lt;180,"促销",IF(F246&lt;=365,"红线促销","考虑清仓")))))))))</x:f>
        <x:v>断货</x:v>
      </x:c>
      <x:c r="F246" s="11" t="str">
        <x:f>IF(AND(ISNUMBER(H246),ISNUMBER(G246),G246&gt;0),H246/G246,"")</x:f>
      </x:c>
      <x:c r="G246" s="12" t="n">
        <x:f>IF(AND(COUNT(P246:R246)=3,MIN(P246:R246)&gt;=0,P246&lt;=Q246,Q246&lt;=R246),P246/7*0.5+Q246/14*0.3+R246/30*0.2,"")</x:f>
        <x:v>0</x:v>
      </x:c>
      <x:c r="H246" s="10" t="n">
        <x:f>IF(ISNUMBER(U246),U246,"")</x:f>
        <x:v>0</x:v>
      </x:c>
      <x:c r="I246" s="10" t="n">
        <x:v>0</x:v>
      </x:c>
      <x:c r="J246" s="11" t="str">
        <x:f>IF(AND(Z246="共同",ISNUMBER(F246),ISNUMBER(M246)),F246-M246,"")</x:f>
      </x:c>
      <x:c r="K246" s="13" t="str">
        <x:f>IF(AND(ISNUMBER(J246),M246&lt;&gt;0),J246/M246,"")</x:f>
      </x:c>
      <x:c r="L246" s="10" t="str">
        <x:v>断货</x:v>
      </x:c>
      <x:c r="M246" s="11"/>
      <x:c r="N246" s="10" t="n">
        <x:f>IF(AND(Z246="共同",COUNT(H246:I246)=2),H246-I246,"")</x:f>
        <x:v>0</x:v>
      </x:c>
      <x:c r="O246" s="10" t="n">
        <x:v>0</x:v>
      </x:c>
      <x:c r="P246" s="10" t="n">
        <x:v>0</x:v>
      </x:c>
      <x:c r="Q246" s="10" t="n">
        <x:v>0</x:v>
      </x:c>
      <x:c r="R246" s="10" t="n">
        <x:v>0</x:v>
      </x:c>
      <x:c r="S246" s="10" t="n">
        <x:v>0</x:v>
      </x:c>
      <x:c r="T246" s="10" t="n">
        <x:v>0</x:v>
      </x:c>
      <x:c r="U246" s="10" t="n">
        <x:f>IF(AND(ISNUMBER(X246),X246&gt;=0,Y246&lt;&gt;1),X246,"")</x:f>
        <x:v>0</x:v>
      </x:c>
      <x:c r="V246" s="10" t="n">
        <x:v>0</x:v>
      </x:c>
      <x:c r="W246" s="10" t="n">
        <x:v>0</x:v>
      </x:c>
      <x:c r="X246" s="10" t="n">
        <x:v>0</x:v>
      </x:c>
      <x:c r="Y246" s="3" t="n">
        <x:v>0</x:v>
      </x:c>
      <x:c r="Z246" s="3" t="str">
        <x:v>共同</x:v>
      </x:c>
      <x:c r="AA246" s="3" t="str">
        <x:v>停售</x:v>
      </x:c>
      <x:c r="AB246" s="12" t="str">
        <x:f>IF(AND(Z246="共同",ISNUMBER(G246),ISNUMBER(AD246)),G246-AD246,"")</x:f>
      </x:c>
      <x:c r="AC246" s="3" t="str">
        <x:v>近90天SKU销量未匹配，未按0处理</x:v>
      </x:c>
      <x:c r="AD246" s="12"/>
      <x:c r="AE246" s="3" t="str">
        <x:v>[6574,"1S01-BW-10"]</x:v>
      </x:c>
      <x:c r="AF246" t="n">
        <x:f>IF(ISNUMBER(H246),1,0)</x:f>
        <x:v>1</x:v>
      </x:c>
      <x:c r="AG246" t="n">
        <x:f>IF(ISNUMBER(I246),1,0)</x:f>
        <x:v>1</x:v>
      </x:c>
      <x:c r="AH246" t="str">
        <x:v>["1S01","1S01-BW","BW","深棕色"]</x:v>
      </x:c>
      <x:c r="AI246" t="n">
        <x:f>IF(ISNUMBER(G246),1,0)</x:f>
        <x:v>1</x:v>
      </x:c>
      <x:c r="AJ246" t="n">
        <x:f>IF(ISNUMBER(AD246),1,0)</x:f>
        <x:v>0</x:v>
      </x:c>
    </x:row>
    <x:row r="247" ht="30" customHeight="1">
      <x:c r="A247" s="3" t="str">
        <x:v>1S01-BW-11</x:v>
      </x:c>
      <x:c r="B247" s="3" t="str">
        <x:v>3店-SANDIEX-US</x:v>
      </x:c>
      <x:c r="C247" s="3" t="str">
        <x:v>徐新怡</x:v>
      </x:c>
      <x:c r="D247" s="3" t="str">
        <x:v>1S01</x:v>
      </x:c>
      <x:c r="E247" s="3" t="str">
        <x:f>IF(Z247="移出","已移出",IF(NOT(ISNUMBER(H247)),"数据待核",IF(H247=0,"断货",IF(NOT(ISNUMBER(G247)),"数据待核",IF(G247=0,"零日销待复核",IF(F247&lt;60,"补货提醒",IF(F247&lt;=90,"正常库存",IF(F247&lt;180,"促销",IF(F247&lt;=365,"红线促销","考虑清仓")))))))))</x:f>
        <x:v>断货</x:v>
      </x:c>
      <x:c r="F247" s="11" t="str">
        <x:f>IF(AND(ISNUMBER(H247),ISNUMBER(G247),G247&gt;0),H247/G247,"")</x:f>
      </x:c>
      <x:c r="G247" s="12" t="n">
        <x:f>IF(AND(COUNT(P247:R247)=3,MIN(P247:R247)&gt;=0,P247&lt;=Q247,Q247&lt;=R247),P247/7*0.5+Q247/14*0.3+R247/30*0.2,"")</x:f>
        <x:v>0</x:v>
      </x:c>
      <x:c r="H247" s="10" t="n">
        <x:f>IF(ISNUMBER(U247),U247,"")</x:f>
        <x:v>0</x:v>
      </x:c>
      <x:c r="I247" s="10" t="n">
        <x:v>0</x:v>
      </x:c>
      <x:c r="J247" s="11" t="str">
        <x:f>IF(AND(Z247="共同",ISNUMBER(F247),ISNUMBER(M247)),F247-M247,"")</x:f>
      </x:c>
      <x:c r="K247" s="13" t="str">
        <x:f>IF(AND(ISNUMBER(J247),M247&lt;&gt;0),J247/M247,"")</x:f>
      </x:c>
      <x:c r="L247" s="10" t="str">
        <x:v>断货</x:v>
      </x:c>
      <x:c r="M247" s="11"/>
      <x:c r="N247" s="10" t="n">
        <x:f>IF(AND(Z247="共同",COUNT(H247:I247)=2),H247-I247,"")</x:f>
        <x:v>0</x:v>
      </x:c>
      <x:c r="O247" s="10" t="n">
        <x:v>0</x:v>
      </x:c>
      <x:c r="P247" s="10" t="n">
        <x:v>0</x:v>
      </x:c>
      <x:c r="Q247" s="10" t="n">
        <x:v>0</x:v>
      </x:c>
      <x:c r="R247" s="10" t="n">
        <x:v>0</x:v>
      </x:c>
      <x:c r="S247" s="10" t="n">
        <x:v>0</x:v>
      </x:c>
      <x:c r="T247" s="10" t="n">
        <x:v>0</x:v>
      </x:c>
      <x:c r="U247" s="10" t="n">
        <x:f>IF(AND(ISNUMBER(X247),X247&gt;=0,Y247&lt;&gt;1),X247,"")</x:f>
        <x:v>0</x:v>
      </x:c>
      <x:c r="V247" s="10" t="n">
        <x:v>0</x:v>
      </x:c>
      <x:c r="W247" s="10" t="n">
        <x:v>0</x:v>
      </x:c>
      <x:c r="X247" s="10" t="n">
        <x:v>0</x:v>
      </x:c>
      <x:c r="Y247" s="3" t="n">
        <x:v>0</x:v>
      </x:c>
      <x:c r="Z247" s="3" t="str">
        <x:v>共同</x:v>
      </x:c>
      <x:c r="AA247" s="3" t="str">
        <x:v>停售</x:v>
      </x:c>
      <x:c r="AB247" s="12" t="str">
        <x:f>IF(AND(Z247="共同",ISNUMBER(G247),ISNUMBER(AD247)),G247-AD247,"")</x:f>
      </x:c>
      <x:c r="AC247" s="3" t="str">
        <x:v>近90天SKU销量未匹配，未按0处理</x:v>
      </x:c>
      <x:c r="AD247" s="12"/>
      <x:c r="AE247" s="3" t="str">
        <x:v>[6574,"1S01-BW-11"]</x:v>
      </x:c>
      <x:c r="AF247" t="n">
        <x:f>IF(ISNUMBER(H247),1,0)</x:f>
        <x:v>1</x:v>
      </x:c>
      <x:c r="AG247" t="n">
        <x:f>IF(ISNUMBER(I247),1,0)</x:f>
        <x:v>1</x:v>
      </x:c>
      <x:c r="AH247" t="str">
        <x:v>["1S01","1S01-BW","BW","深棕色"]</x:v>
      </x:c>
      <x:c r="AI247" t="n">
        <x:f>IF(ISNUMBER(G247),1,0)</x:f>
        <x:v>1</x:v>
      </x:c>
      <x:c r="AJ247" t="n">
        <x:f>IF(ISNUMBER(AD247),1,0)</x:f>
        <x:v>0</x:v>
      </x:c>
    </x:row>
    <x:row r="248" ht="30" customHeight="1">
      <x:c r="A248" s="3" t="str">
        <x:v>1S01-BW-37.5</x:v>
      </x:c>
      <x:c r="B248" s="3" t="str">
        <x:v>3店-SANDIEX-US</x:v>
      </x:c>
      <x:c r="C248" s="3" t="str">
        <x:v>徐新怡</x:v>
      </x:c>
      <x:c r="D248" s="3" t="str">
        <x:v>1S01</x:v>
      </x:c>
      <x:c r="E248" s="3" t="str">
        <x:f>IF(Z248="移出","已移出",IF(NOT(ISNUMBER(H248)),"数据待核",IF(H248=0,"断货",IF(NOT(ISNUMBER(G248)),"数据待核",IF(G248=0,"零日销待复核",IF(F248&lt;60,"补货提醒",IF(F248&lt;=90,"正常库存",IF(F248&lt;180,"促销",IF(F248&lt;=365,"红线促销","考虑清仓")))))))))</x:f>
        <x:v>断货</x:v>
      </x:c>
      <x:c r="F248" s="11" t="str">
        <x:f>IF(AND(ISNUMBER(H248),ISNUMBER(G248),G248&gt;0),H248/G248,"")</x:f>
      </x:c>
      <x:c r="G248" s="12" t="n">
        <x:f>IF(AND(COUNT(P248:R248)=3,MIN(P248:R248)&gt;=0,P248&lt;=Q248,Q248&lt;=R248),P248/7*0.5+Q248/14*0.3+R248/30*0.2,"")</x:f>
        <x:v>0</x:v>
      </x:c>
      <x:c r="H248" s="10" t="n">
        <x:f>IF(ISNUMBER(U248),U248,"")</x:f>
        <x:v>0</x:v>
      </x:c>
      <x:c r="I248" s="10"/>
      <x:c r="J248" s="11" t="str">
        <x:f>IF(AND(Z248="共同",ISNUMBER(F248),ISNUMBER(M248)),F248-M248,"")</x:f>
      </x:c>
      <x:c r="K248" s="13" t="str">
        <x:f>IF(AND(ISNUMBER(J248),M248&lt;&gt;0),J248/M248,"")</x:f>
      </x:c>
      <x:c r="L248" s="10"/>
      <x:c r="M248" s="11"/>
      <x:c r="N248" s="10" t="str">
        <x:f>IF(AND(Z248="共同",COUNT(H248:I248)=2),H248-I248,"")</x:f>
      </x:c>
      <x:c r="O248" s="10" t="n">
        <x:v>0</x:v>
      </x:c>
      <x:c r="P248" s="10" t="n">
        <x:v>0</x:v>
      </x:c>
      <x:c r="Q248" s="10" t="n">
        <x:v>0</x:v>
      </x:c>
      <x:c r="R248" s="10" t="n">
        <x:v>0</x:v>
      </x:c>
      <x:c r="S248" s="10" t="n">
        <x:v>0</x:v>
      </x:c>
      <x:c r="T248" s="10" t="n">
        <x:v>0</x:v>
      </x:c>
      <x:c r="U248" s="10" t="n">
        <x:f>IF(AND(ISNUMBER(X248),X248&gt;=0,Y248&lt;&gt;1),X248,"")</x:f>
        <x:v>0</x:v>
      </x:c>
      <x:c r="V248" s="10" t="n">
        <x:v>0</x:v>
      </x:c>
      <x:c r="W248" s="10" t="n">
        <x:v>0</x:v>
      </x:c>
      <x:c r="X248" s="10" t="n">
        <x:v>0</x:v>
      </x:c>
      <x:c r="Y248" s="3" t="n">
        <x:v>0</x:v>
      </x:c>
      <x:c r="Z248" s="3" t="str">
        <x:v>新增</x:v>
      </x:c>
      <x:c r="AA248" s="3" t="str">
        <x:v>停售</x:v>
      </x:c>
      <x:c r="AB248" s="12" t="str">
        <x:f>IF(AND(Z248="共同",ISNUMBER(G248),ISNUMBER(AD248)),G248-AD248,"")</x:f>
      </x:c>
      <x:c r="AC248" s="3" t="str">
        <x:v>近90天SKU销量未匹配，未按0处理</x:v>
      </x:c>
      <x:c r="AD248" s="12"/>
      <x:c r="AE248" s="3" t="str">
        <x:v>[6574,"1S01-BW-37.5"]</x:v>
      </x:c>
      <x:c r="AF248" t="n">
        <x:f>IF(ISNUMBER(H248),1,0)</x:f>
        <x:v>1</x:v>
      </x:c>
      <x:c r="AG248" t="n">
        <x:f>IF(ISNUMBER(I248),1,0)</x:f>
        <x:v>0</x:v>
      </x:c>
      <x:c r="AH248" t="str">
        <x:v>["1S01","1S01-BW","BW","深棕色"]</x:v>
      </x:c>
      <x:c r="AI248" t="n">
        <x:f>IF(ISNUMBER(G248),1,0)</x:f>
        <x:v>1</x:v>
      </x:c>
      <x:c r="AJ248" t="n">
        <x:f>IF(ISNUMBER(AD248),1,0)</x:f>
        <x:v>0</x:v>
      </x:c>
    </x:row>
    <x:row r="249" ht="30" customHeight="1">
      <x:c r="A249" s="3" t="str">
        <x:v>1S01-BW-38.5</x:v>
      </x:c>
      <x:c r="B249" s="3" t="str">
        <x:v>3店-SANDIEX-US</x:v>
      </x:c>
      <x:c r="C249" s="3" t="str">
        <x:v>徐新怡</x:v>
      </x:c>
      <x:c r="D249" s="3" t="str">
        <x:v>1S01</x:v>
      </x:c>
      <x:c r="E249" s="3" t="str">
        <x:f>IF(Z249="移出","已移出",IF(NOT(ISNUMBER(H249)),"数据待核",IF(H249=0,"断货",IF(NOT(ISNUMBER(G249)),"数据待核",IF(G249=0,"零日销待复核",IF(F249&lt;60,"补货提醒",IF(F249&lt;=90,"正常库存",IF(F249&lt;180,"促销",IF(F249&lt;=365,"红线促销","考虑清仓")))))))))</x:f>
        <x:v>断货</x:v>
      </x:c>
      <x:c r="F249" s="11" t="str">
        <x:f>IF(AND(ISNUMBER(H249),ISNUMBER(G249),G249&gt;0),H249/G249,"")</x:f>
      </x:c>
      <x:c r="G249" s="12" t="n">
        <x:f>IF(AND(COUNT(P249:R249)=3,MIN(P249:R249)&gt;=0,P249&lt;=Q249,Q249&lt;=R249),P249/7*0.5+Q249/14*0.3+R249/30*0.2,"")</x:f>
        <x:v>0</x:v>
      </x:c>
      <x:c r="H249" s="10" t="n">
        <x:f>IF(ISNUMBER(U249),U249,"")</x:f>
        <x:v>0</x:v>
      </x:c>
      <x:c r="I249" s="10"/>
      <x:c r="J249" s="11" t="str">
        <x:f>IF(AND(Z249="共同",ISNUMBER(F249),ISNUMBER(M249)),F249-M249,"")</x:f>
      </x:c>
      <x:c r="K249" s="13" t="str">
        <x:f>IF(AND(ISNUMBER(J249),M249&lt;&gt;0),J249/M249,"")</x:f>
      </x:c>
      <x:c r="L249" s="10"/>
      <x:c r="M249" s="11"/>
      <x:c r="N249" s="10" t="str">
        <x:f>IF(AND(Z249="共同",COUNT(H249:I249)=2),H249-I249,"")</x:f>
      </x:c>
      <x:c r="O249" s="10" t="n">
        <x:v>0</x:v>
      </x:c>
      <x:c r="P249" s="10" t="n">
        <x:v>0</x:v>
      </x:c>
      <x:c r="Q249" s="10" t="n">
        <x:v>0</x:v>
      </x:c>
      <x:c r="R249" s="10" t="n">
        <x:v>0</x:v>
      </x:c>
      <x:c r="S249" s="10" t="n">
        <x:v>0</x:v>
      </x:c>
      <x:c r="T249" s="10" t="n">
        <x:v>0</x:v>
      </x:c>
      <x:c r="U249" s="10" t="n">
        <x:f>IF(AND(ISNUMBER(X249),X249&gt;=0,Y249&lt;&gt;1),X249,"")</x:f>
        <x:v>0</x:v>
      </x:c>
      <x:c r="V249" s="10" t="n">
        <x:v>0</x:v>
      </x:c>
      <x:c r="W249" s="10" t="n">
        <x:v>0</x:v>
      </x:c>
      <x:c r="X249" s="10" t="n">
        <x:v>0</x:v>
      </x:c>
      <x:c r="Y249" s="3" t="n">
        <x:v>0</x:v>
      </x:c>
      <x:c r="Z249" s="3" t="str">
        <x:v>新增</x:v>
      </x:c>
      <x:c r="AA249" s="3" t="str">
        <x:v>停售</x:v>
      </x:c>
      <x:c r="AB249" s="12" t="str">
        <x:f>IF(AND(Z249="共同",ISNUMBER(G249),ISNUMBER(AD249)),G249-AD249,"")</x:f>
      </x:c>
      <x:c r="AC249" s="3" t="str">
        <x:v>近90天SKU销量未匹配，未按0处理</x:v>
      </x:c>
      <x:c r="AD249" s="12"/>
      <x:c r="AE249" s="3" t="str">
        <x:v>[6574,"1S01-BW-38.5"]</x:v>
      </x:c>
      <x:c r="AF249" t="n">
        <x:f>IF(ISNUMBER(H249),1,0)</x:f>
        <x:v>1</x:v>
      </x:c>
      <x:c r="AG249" t="n">
        <x:f>IF(ISNUMBER(I249),1,0)</x:f>
        <x:v>0</x:v>
      </x:c>
      <x:c r="AH249" t="str">
        <x:v>["1S01","1S01-BW","BW","深棕色"]</x:v>
      </x:c>
      <x:c r="AI249" t="n">
        <x:f>IF(ISNUMBER(G249),1,0)</x:f>
        <x:v>1</x:v>
      </x:c>
      <x:c r="AJ249" t="n">
        <x:f>IF(ISNUMBER(AD249),1,0)</x:f>
        <x:v>0</x:v>
      </x:c>
    </x:row>
    <x:row r="250" ht="30" customHeight="1">
      <x:c r="A250" s="3" t="str">
        <x:v>1S01-BW-39.5</x:v>
      </x:c>
      <x:c r="B250" s="3" t="str">
        <x:v>3店-SANDIEX-US</x:v>
      </x:c>
      <x:c r="C250" s="3" t="str">
        <x:v>徐新怡</x:v>
      </x:c>
      <x:c r="D250" s="3" t="str">
        <x:v>1S01</x:v>
      </x:c>
      <x:c r="E250" s="3" t="str">
        <x:f>IF(Z250="移出","已移出",IF(NOT(ISNUMBER(H250)),"数据待核",IF(H250=0,"断货",IF(NOT(ISNUMBER(G250)),"数据待核",IF(G250=0,"零日销待复核",IF(F250&lt;60,"补货提醒",IF(F250&lt;=90,"正常库存",IF(F250&lt;180,"促销",IF(F250&lt;=365,"红线促销","考虑清仓")))))))))</x:f>
        <x:v>断货</x:v>
      </x:c>
      <x:c r="F250" s="11" t="str">
        <x:f>IF(AND(ISNUMBER(H250),ISNUMBER(G250),G250&gt;0),H250/G250,"")</x:f>
      </x:c>
      <x:c r="G250" s="12" t="n">
        <x:f>IF(AND(COUNT(P250:R250)=3,MIN(P250:R250)&gt;=0,P250&lt;=Q250,Q250&lt;=R250),P250/7*0.5+Q250/14*0.3+R250/30*0.2,"")</x:f>
        <x:v>0</x:v>
      </x:c>
      <x:c r="H250" s="10" t="n">
        <x:f>IF(ISNUMBER(U250),U250,"")</x:f>
        <x:v>0</x:v>
      </x:c>
      <x:c r="I250" s="10"/>
      <x:c r="J250" s="11" t="str">
        <x:f>IF(AND(Z250="共同",ISNUMBER(F250),ISNUMBER(M250)),F250-M250,"")</x:f>
      </x:c>
      <x:c r="K250" s="13" t="str">
        <x:f>IF(AND(ISNUMBER(J250),M250&lt;&gt;0),J250/M250,"")</x:f>
      </x:c>
      <x:c r="L250" s="10"/>
      <x:c r="M250" s="11"/>
      <x:c r="N250" s="10" t="str">
        <x:f>IF(AND(Z250="共同",COUNT(H250:I250)=2),H250-I250,"")</x:f>
      </x:c>
      <x:c r="O250" s="10" t="n">
        <x:v>0</x:v>
      </x:c>
      <x:c r="P250" s="10" t="n">
        <x:v>0</x:v>
      </x:c>
      <x:c r="Q250" s="10" t="n">
        <x:v>0</x:v>
      </x:c>
      <x:c r="R250" s="10" t="n">
        <x:v>0</x:v>
      </x:c>
      <x:c r="S250" s="10" t="n">
        <x:v>0</x:v>
      </x:c>
      <x:c r="T250" s="10" t="n">
        <x:v>0</x:v>
      </x:c>
      <x:c r="U250" s="10" t="n">
        <x:f>IF(AND(ISNUMBER(X250),X250&gt;=0,Y250&lt;&gt;1),X250,"")</x:f>
        <x:v>0</x:v>
      </x:c>
      <x:c r="V250" s="10" t="n">
        <x:v>0</x:v>
      </x:c>
      <x:c r="W250" s="10" t="n">
        <x:v>0</x:v>
      </x:c>
      <x:c r="X250" s="10" t="n">
        <x:v>0</x:v>
      </x:c>
      <x:c r="Y250" s="3" t="n">
        <x:v>0</x:v>
      </x:c>
      <x:c r="Z250" s="3" t="str">
        <x:v>新增</x:v>
      </x:c>
      <x:c r="AA250" s="3" t="str">
        <x:v>停售</x:v>
      </x:c>
      <x:c r="AB250" s="12" t="str">
        <x:f>IF(AND(Z250="共同",ISNUMBER(G250),ISNUMBER(AD250)),G250-AD250,"")</x:f>
      </x:c>
      <x:c r="AC250" s="3" t="str">
        <x:v>近90天SKU销量未匹配，未按0处理</x:v>
      </x:c>
      <x:c r="AD250" s="12"/>
      <x:c r="AE250" s="3" t="str">
        <x:v>[6574,"1S01-BW-39.5"]</x:v>
      </x:c>
      <x:c r="AF250" t="n">
        <x:f>IF(ISNUMBER(H250),1,0)</x:f>
        <x:v>1</x:v>
      </x:c>
      <x:c r="AG250" t="n">
        <x:f>IF(ISNUMBER(I250),1,0)</x:f>
        <x:v>0</x:v>
      </x:c>
      <x:c r="AH250" t="str">
        <x:v>["1S01","1S01-BW","BW","深棕色"]</x:v>
      </x:c>
      <x:c r="AI250" t="n">
        <x:f>IF(ISNUMBER(G250),1,0)</x:f>
        <x:v>1</x:v>
      </x:c>
      <x:c r="AJ250" t="n">
        <x:f>IF(ISNUMBER(AD250),1,0)</x:f>
        <x:v>0</x:v>
      </x:c>
    </x:row>
    <x:row r="251" ht="30" customHeight="1">
      <x:c r="A251" s="3" t="str">
        <x:v>1S01-BW-40.5</x:v>
      </x:c>
      <x:c r="B251" s="3" t="str">
        <x:v>3店-SANDIEX-US</x:v>
      </x:c>
      <x:c r="C251" s="3" t="str">
        <x:v>徐新怡</x:v>
      </x:c>
      <x:c r="D251" s="3" t="str">
        <x:v>1S01</x:v>
      </x:c>
      <x:c r="E251" s="3" t="str">
        <x:f>IF(Z251="移出","已移出",IF(NOT(ISNUMBER(H251)),"数据待核",IF(H251=0,"断货",IF(NOT(ISNUMBER(G251)),"数据待核",IF(G251=0,"零日销待复核",IF(F251&lt;60,"补货提醒",IF(F251&lt;=90,"正常库存",IF(F251&lt;180,"促销",IF(F251&lt;=365,"红线促销","考虑清仓")))))))))</x:f>
        <x:v>断货</x:v>
      </x:c>
      <x:c r="F251" s="11" t="str">
        <x:f>IF(AND(ISNUMBER(H251),ISNUMBER(G251),G251&gt;0),H251/G251,"")</x:f>
      </x:c>
      <x:c r="G251" s="12" t="n">
        <x:f>IF(AND(COUNT(P251:R251)=3,MIN(P251:R251)&gt;=0,P251&lt;=Q251,Q251&lt;=R251),P251/7*0.5+Q251/14*0.3+R251/30*0.2,"")</x:f>
        <x:v>0</x:v>
      </x:c>
      <x:c r="H251" s="10" t="n">
        <x:f>IF(ISNUMBER(U251),U251,"")</x:f>
        <x:v>0</x:v>
      </x:c>
      <x:c r="I251" s="10"/>
      <x:c r="J251" s="11" t="str">
        <x:f>IF(AND(Z251="共同",ISNUMBER(F251),ISNUMBER(M251)),F251-M251,"")</x:f>
      </x:c>
      <x:c r="K251" s="13" t="str">
        <x:f>IF(AND(ISNUMBER(J251),M251&lt;&gt;0),J251/M251,"")</x:f>
      </x:c>
      <x:c r="L251" s="10"/>
      <x:c r="M251" s="11"/>
      <x:c r="N251" s="10" t="str">
        <x:f>IF(AND(Z251="共同",COUNT(H251:I251)=2),H251-I251,"")</x:f>
      </x:c>
      <x:c r="O251" s="10" t="n">
        <x:v>1</x:v>
      </x:c>
      <x:c r="P251" s="10" t="n">
        <x:v>0</x:v>
      </x:c>
      <x:c r="Q251" s="10" t="n">
        <x:v>0</x:v>
      </x:c>
      <x:c r="R251" s="10" t="n">
        <x:v>0</x:v>
      </x:c>
      <x:c r="S251" s="10" t="n">
        <x:v>0</x:v>
      </x:c>
      <x:c r="T251" s="10" t="n">
        <x:v>0</x:v>
      </x:c>
      <x:c r="U251" s="10" t="n">
        <x:f>IF(AND(ISNUMBER(X251),X251&gt;=0,Y251&lt;&gt;1),X251,"")</x:f>
        <x:v>0</x:v>
      </x:c>
      <x:c r="V251" s="10" t="n">
        <x:v>0</x:v>
      </x:c>
      <x:c r="W251" s="10" t="n">
        <x:v>0</x:v>
      </x:c>
      <x:c r="X251" s="10" t="n">
        <x:v>0</x:v>
      </x:c>
      <x:c r="Y251" s="3" t="n">
        <x:v>0</x:v>
      </x:c>
      <x:c r="Z251" s="3" t="str">
        <x:v>新增</x:v>
      </x:c>
      <x:c r="AA251" s="3" t="str">
        <x:v>停售</x:v>
      </x:c>
      <x:c r="AB251" s="12" t="str">
        <x:f>IF(AND(Z251="共同",ISNUMBER(G251),ISNUMBER(AD251)),G251-AD251,"")</x:f>
      </x:c>
      <x:c r="AC251" s="3" t="str">
        <x:v>近90天SKU销量未匹配，未按0处理</x:v>
      </x:c>
      <x:c r="AD251" s="12"/>
      <x:c r="AE251" s="3" t="str">
        <x:v>[6574,"1S01-BW-40.5"]</x:v>
      </x:c>
      <x:c r="AF251" t="n">
        <x:f>IF(ISNUMBER(H251),1,0)</x:f>
        <x:v>1</x:v>
      </x:c>
      <x:c r="AG251" t="n">
        <x:f>IF(ISNUMBER(I251),1,0)</x:f>
        <x:v>0</x:v>
      </x:c>
      <x:c r="AH251" t="str">
        <x:v>["1S01","1S01-BW","BW","深棕色"]</x:v>
      </x:c>
      <x:c r="AI251" t="n">
        <x:f>IF(ISNUMBER(G251),1,0)</x:f>
        <x:v>1</x:v>
      </x:c>
      <x:c r="AJ251" t="n">
        <x:f>IF(ISNUMBER(AD251),1,0)</x:f>
        <x:v>0</x:v>
      </x:c>
    </x:row>
    <x:row r="252" ht="30" customHeight="1">
      <x:c r="A252" s="3" t="str">
        <x:v>1S01-BW-41.5</x:v>
      </x:c>
      <x:c r="B252" s="3" t="str">
        <x:v>3店-SANDIEX-US</x:v>
      </x:c>
      <x:c r="C252" s="3" t="str">
        <x:v>徐新怡</x:v>
      </x:c>
      <x:c r="D252" s="3" t="str">
        <x:v>1S01</x:v>
      </x:c>
      <x:c r="E252" s="3" t="str">
        <x:f>IF(Z252="移出","已移出",IF(NOT(ISNUMBER(H252)),"数据待核",IF(H252=0,"断货",IF(NOT(ISNUMBER(G252)),"数据待核",IF(G252=0,"零日销待复核",IF(F252&lt;60,"补货提醒",IF(F252&lt;=90,"正常库存",IF(F252&lt;180,"促销",IF(F252&lt;=365,"红线促销","考虑清仓")))))))))</x:f>
        <x:v>断货</x:v>
      </x:c>
      <x:c r="F252" s="11" t="str">
        <x:f>IF(AND(ISNUMBER(H252),ISNUMBER(G252),G252&gt;0),H252/G252,"")</x:f>
      </x:c>
      <x:c r="G252" s="12" t="n">
        <x:f>IF(AND(COUNT(P252:R252)=3,MIN(P252:R252)&gt;=0,P252&lt;=Q252,Q252&lt;=R252),P252/7*0.5+Q252/14*0.3+R252/30*0.2,"")</x:f>
        <x:v>0</x:v>
      </x:c>
      <x:c r="H252" s="10" t="n">
        <x:f>IF(ISNUMBER(U252),U252,"")</x:f>
        <x:v>0</x:v>
      </x:c>
      <x:c r="I252" s="10"/>
      <x:c r="J252" s="11" t="str">
        <x:f>IF(AND(Z252="共同",ISNUMBER(F252),ISNUMBER(M252)),F252-M252,"")</x:f>
      </x:c>
      <x:c r="K252" s="13" t="str">
        <x:f>IF(AND(ISNUMBER(J252),M252&lt;&gt;0),J252/M252,"")</x:f>
      </x:c>
      <x:c r="L252" s="10"/>
      <x:c r="M252" s="11"/>
      <x:c r="N252" s="10" t="str">
        <x:f>IF(AND(Z252="共同",COUNT(H252:I252)=2),H252-I252,"")</x:f>
      </x:c>
      <x:c r="O252" s="10" t="n">
        <x:v>0</x:v>
      </x:c>
      <x:c r="P252" s="10" t="n">
        <x:v>0</x:v>
      </x:c>
      <x:c r="Q252" s="10" t="n">
        <x:v>0</x:v>
      </x:c>
      <x:c r="R252" s="10" t="n">
        <x:v>0</x:v>
      </x:c>
      <x:c r="S252" s="10" t="n">
        <x:v>0</x:v>
      </x:c>
      <x:c r="T252" s="10" t="n">
        <x:v>0</x:v>
      </x:c>
      <x:c r="U252" s="10" t="n">
        <x:f>IF(AND(ISNUMBER(X252),X252&gt;=0,Y252&lt;&gt;1),X252,"")</x:f>
        <x:v>0</x:v>
      </x:c>
      <x:c r="V252" s="10" t="n">
        <x:v>0</x:v>
      </x:c>
      <x:c r="W252" s="10" t="n">
        <x:v>0</x:v>
      </x:c>
      <x:c r="X252" s="10" t="n">
        <x:v>0</x:v>
      </x:c>
      <x:c r="Y252" s="3" t="n">
        <x:v>0</x:v>
      </x:c>
      <x:c r="Z252" s="3" t="str">
        <x:v>新增</x:v>
      </x:c>
      <x:c r="AA252" s="3" t="str">
        <x:v>停售</x:v>
      </x:c>
      <x:c r="AB252" s="12" t="str">
        <x:f>IF(AND(Z252="共同",ISNUMBER(G252),ISNUMBER(AD252)),G252-AD252,"")</x:f>
      </x:c>
      <x:c r="AC252" s="3" t="str">
        <x:v>近90天SKU销量未匹配，未按0处理</x:v>
      </x:c>
      <x:c r="AD252" s="12"/>
      <x:c r="AE252" s="3" t="str">
        <x:v>[6574,"1S01-BW-41.5"]</x:v>
      </x:c>
      <x:c r="AF252" t="n">
        <x:f>IF(ISNUMBER(H252),1,0)</x:f>
        <x:v>1</x:v>
      </x:c>
      <x:c r="AG252" t="n">
        <x:f>IF(ISNUMBER(I252),1,0)</x:f>
        <x:v>0</x:v>
      </x:c>
      <x:c r="AH252" t="str">
        <x:v>["1S01","1S01-BW","BW","深棕色"]</x:v>
      </x:c>
      <x:c r="AI252" t="n">
        <x:f>IF(ISNUMBER(G252),1,0)</x:f>
        <x:v>1</x:v>
      </x:c>
      <x:c r="AJ252" t="n">
        <x:f>IF(ISNUMBER(AD252),1,0)</x:f>
        <x:v>0</x:v>
      </x:c>
    </x:row>
    <x:row r="253" ht="30" customHeight="1">
      <x:c r="A253" s="3" t="str">
        <x:v>1S01-BW-6</x:v>
      </x:c>
      <x:c r="B253" s="3" t="str">
        <x:v>3店-SANDIEX-US</x:v>
      </x:c>
      <x:c r="C253" s="3" t="str">
        <x:v>徐新怡</x:v>
      </x:c>
      <x:c r="D253" s="3" t="str">
        <x:v>1S01</x:v>
      </x:c>
      <x:c r="E253" s="3" t="str">
        <x:f>IF(Z253="移出","已移出",IF(NOT(ISNUMBER(H253)),"数据待核",IF(H253=0,"断货",IF(NOT(ISNUMBER(G253)),"数据待核",IF(G253=0,"零日销待复核",IF(F253&lt;60,"补货提醒",IF(F253&lt;=90,"正常库存",IF(F253&lt;180,"促销",IF(F253&lt;=365,"红线促销","考虑清仓")))))))))</x:f>
        <x:v>断货</x:v>
      </x:c>
      <x:c r="F253" s="11" t="str">
        <x:f>IF(AND(ISNUMBER(H253),ISNUMBER(G253),G253&gt;0),H253/G253,"")</x:f>
      </x:c>
      <x:c r="G253" s="12" t="n">
        <x:f>IF(AND(COUNT(P253:R253)=3,MIN(P253:R253)&gt;=0,P253&lt;=Q253,Q253&lt;=R253),P253/7*0.5+Q253/14*0.3+R253/30*0.2,"")</x:f>
        <x:v>0</x:v>
      </x:c>
      <x:c r="H253" s="10" t="n">
        <x:f>IF(ISNUMBER(U253),U253,"")</x:f>
        <x:v>0</x:v>
      </x:c>
      <x:c r="I253" s="10" t="n">
        <x:v>0</x:v>
      </x:c>
      <x:c r="J253" s="11" t="str">
        <x:f>IF(AND(Z253="共同",ISNUMBER(F253),ISNUMBER(M253)),F253-M253,"")</x:f>
      </x:c>
      <x:c r="K253" s="13" t="str">
        <x:f>IF(AND(ISNUMBER(J253),M253&lt;&gt;0),J253/M253,"")</x:f>
      </x:c>
      <x:c r="L253" s="10" t="str">
        <x:v>断货</x:v>
      </x:c>
      <x:c r="M253" s="11"/>
      <x:c r="N253" s="10" t="n">
        <x:f>IF(AND(Z253="共同",COUNT(H253:I253)=2),H253-I253,"")</x:f>
        <x:v>0</x:v>
      </x:c>
      <x:c r="O253" s="10" t="n">
        <x:v>0</x:v>
      </x:c>
      <x:c r="P253" s="10" t="n">
        <x:v>0</x:v>
      </x:c>
      <x:c r="Q253" s="10" t="n">
        <x:v>0</x:v>
      </x:c>
      <x:c r="R253" s="10" t="n">
        <x:v>0</x:v>
      </x:c>
      <x:c r="S253" s="10" t="n">
        <x:v>0</x:v>
      </x:c>
      <x:c r="T253" s="10" t="n">
        <x:v>0</x:v>
      </x:c>
      <x:c r="U253" s="10" t="n">
        <x:f>IF(AND(ISNUMBER(X253),X253&gt;=0,Y253&lt;&gt;1),X253,"")</x:f>
        <x:v>0</x:v>
      </x:c>
      <x:c r="V253" s="10" t="n">
        <x:v>0</x:v>
      </x:c>
      <x:c r="W253" s="10" t="n">
        <x:v>0</x:v>
      </x:c>
      <x:c r="X253" s="10" t="n">
        <x:v>0</x:v>
      </x:c>
      <x:c r="Y253" s="3" t="n">
        <x:v>0</x:v>
      </x:c>
      <x:c r="Z253" s="3" t="str">
        <x:v>共同</x:v>
      </x:c>
      <x:c r="AA253" s="3" t="str">
        <x:v>停售</x:v>
      </x:c>
      <x:c r="AB253" s="12" t="str">
        <x:f>IF(AND(Z253="共同",ISNUMBER(G253),ISNUMBER(AD253)),G253-AD253,"")</x:f>
      </x:c>
      <x:c r="AC253" s="3" t="str">
        <x:v>近90天SKU销量未匹配，未按0处理</x:v>
      </x:c>
      <x:c r="AD253" s="12"/>
      <x:c r="AE253" s="3" t="str">
        <x:v>[6574,"1S01-BW-6"]</x:v>
      </x:c>
      <x:c r="AF253" t="n">
        <x:f>IF(ISNUMBER(H253),1,0)</x:f>
        <x:v>1</x:v>
      </x:c>
      <x:c r="AG253" t="n">
        <x:f>IF(ISNUMBER(I253),1,0)</x:f>
        <x:v>1</x:v>
      </x:c>
      <x:c r="AH253" t="str">
        <x:v>["1S01","1S01-BW","BW","深棕色"]</x:v>
      </x:c>
      <x:c r="AI253" t="n">
        <x:f>IF(ISNUMBER(G253),1,0)</x:f>
        <x:v>1</x:v>
      </x:c>
      <x:c r="AJ253" t="n">
        <x:f>IF(ISNUMBER(AD253),1,0)</x:f>
        <x:v>0</x:v>
      </x:c>
    </x:row>
    <x:row r="254" ht="30" customHeight="1">
      <x:c r="A254" s="3" t="str">
        <x:v>1S01-BW-7</x:v>
      </x:c>
      <x:c r="B254" s="3" t="str">
        <x:v>3店-SANDIEX-US</x:v>
      </x:c>
      <x:c r="C254" s="3" t="str">
        <x:v>徐新怡</x:v>
      </x:c>
      <x:c r="D254" s="3" t="str">
        <x:v>1S01</x:v>
      </x:c>
      <x:c r="E254" s="3" t="str">
        <x:f>IF(Z254="移出","已移出",IF(NOT(ISNUMBER(H254)),"数据待核",IF(H254=0,"断货",IF(NOT(ISNUMBER(G254)),"数据待核",IF(G254=0,"零日销待复核",IF(F254&lt;60,"补货提醒",IF(F254&lt;=90,"正常库存",IF(F254&lt;180,"促销",IF(F254&lt;=365,"红线促销","考虑清仓")))))))))</x:f>
        <x:v>断货</x:v>
      </x:c>
      <x:c r="F254" s="11" t="str">
        <x:f>IF(AND(ISNUMBER(H254),ISNUMBER(G254),G254&gt;0),H254/G254,"")</x:f>
      </x:c>
      <x:c r="G254" s="12" t="n">
        <x:f>IF(AND(COUNT(P254:R254)=3,MIN(P254:R254)&gt;=0,P254&lt;=Q254,Q254&lt;=R254),P254/7*0.5+Q254/14*0.3+R254/30*0.2,"")</x:f>
        <x:v>0</x:v>
      </x:c>
      <x:c r="H254" s="10" t="n">
        <x:f>IF(ISNUMBER(U254),U254,"")</x:f>
        <x:v>0</x:v>
      </x:c>
      <x:c r="I254" s="10" t="n">
        <x:v>0</x:v>
      </x:c>
      <x:c r="J254" s="11" t="str">
        <x:f>IF(AND(Z254="共同",ISNUMBER(F254),ISNUMBER(M254)),F254-M254,"")</x:f>
      </x:c>
      <x:c r="K254" s="13" t="str">
        <x:f>IF(AND(ISNUMBER(J254),M254&lt;&gt;0),J254/M254,"")</x:f>
      </x:c>
      <x:c r="L254" s="10" t="str">
        <x:v>断货</x:v>
      </x:c>
      <x:c r="M254" s="11"/>
      <x:c r="N254" s="10" t="n">
        <x:f>IF(AND(Z254="共同",COUNT(H254:I254)=2),H254-I254,"")</x:f>
        <x:v>0</x:v>
      </x:c>
      <x:c r="O254" s="10" t="n">
        <x:v>0</x:v>
      </x:c>
      <x:c r="P254" s="10" t="n">
        <x:v>0</x:v>
      </x:c>
      <x:c r="Q254" s="10" t="n">
        <x:v>0</x:v>
      </x:c>
      <x:c r="R254" s="10" t="n">
        <x:v>0</x:v>
      </x:c>
      <x:c r="S254" s="10" t="n">
        <x:v>0</x:v>
      </x:c>
      <x:c r="T254" s="10" t="n">
        <x:v>0</x:v>
      </x:c>
      <x:c r="U254" s="10" t="n">
        <x:f>IF(AND(ISNUMBER(X254),X254&gt;=0,Y254&lt;&gt;1),X254,"")</x:f>
        <x:v>0</x:v>
      </x:c>
      <x:c r="V254" s="10" t="n">
        <x:v>0</x:v>
      </x:c>
      <x:c r="W254" s="10" t="n">
        <x:v>0</x:v>
      </x:c>
      <x:c r="X254" s="10" t="n">
        <x:v>0</x:v>
      </x:c>
      <x:c r="Y254" s="3" t="n">
        <x:v>0</x:v>
      </x:c>
      <x:c r="Z254" s="3" t="str">
        <x:v>共同</x:v>
      </x:c>
      <x:c r="AA254" s="3" t="str">
        <x:v>停售</x:v>
      </x:c>
      <x:c r="AB254" s="12" t="n">
        <x:f>IF(AND(Z254="共同",ISNUMBER(G254),ISNUMBER(AD254)),G254-AD254,"")</x:f>
        <x:v>0</x:v>
      </x:c>
      <x:c r="AC254" s="3" t="str"/>
      <x:c r="AD254" s="12" t="n">
        <x:v>0</x:v>
      </x:c>
      <x:c r="AE254" s="3" t="str">
        <x:v>[6574,"1S01-BW-7"]</x:v>
      </x:c>
      <x:c r="AF254" t="n">
        <x:f>IF(ISNUMBER(H254),1,0)</x:f>
        <x:v>1</x:v>
      </x:c>
      <x:c r="AG254" t="n">
        <x:f>IF(ISNUMBER(I254),1,0)</x:f>
        <x:v>1</x:v>
      </x:c>
      <x:c r="AH254" t="str">
        <x:v>["1S01","1S01-BW","BW","深棕色"]</x:v>
      </x:c>
      <x:c r="AI254" t="n">
        <x:f>IF(ISNUMBER(G254),1,0)</x:f>
        <x:v>1</x:v>
      </x:c>
      <x:c r="AJ254" t="n">
        <x:f>IF(ISNUMBER(AD254),1,0)</x:f>
        <x:v>1</x:v>
      </x:c>
    </x:row>
    <x:row r="255" ht="30" customHeight="1">
      <x:c r="A255" s="3" t="str">
        <x:v>1S01-BW-8</x:v>
      </x:c>
      <x:c r="B255" s="3" t="str">
        <x:v>3店-SANDIEX-US</x:v>
      </x:c>
      <x:c r="C255" s="3" t="str">
        <x:v>徐新怡</x:v>
      </x:c>
      <x:c r="D255" s="3" t="str">
        <x:v>1S01</x:v>
      </x:c>
      <x:c r="E255" s="3" t="str">
        <x:f>IF(Z255="移出","已移出",IF(NOT(ISNUMBER(H255)),"数据待核",IF(H255=0,"断货",IF(NOT(ISNUMBER(G255)),"数据待核",IF(G255=0,"零日销待复核",IF(F255&lt;60,"补货提醒",IF(F255&lt;=90,"正常库存",IF(F255&lt;180,"促销",IF(F255&lt;=365,"红线促销","考虑清仓")))))))))</x:f>
        <x:v>断货</x:v>
      </x:c>
      <x:c r="F255" s="11" t="str">
        <x:f>IF(AND(ISNUMBER(H255),ISNUMBER(G255),G255&gt;0),H255/G255,"")</x:f>
      </x:c>
      <x:c r="G255" s="12" t="n">
        <x:f>IF(AND(COUNT(P255:R255)=3,MIN(P255:R255)&gt;=0,P255&lt;=Q255,Q255&lt;=R255),P255/7*0.5+Q255/14*0.3+R255/30*0.2,"")</x:f>
        <x:v>0</x:v>
      </x:c>
      <x:c r="H255" s="10" t="n">
        <x:f>IF(ISNUMBER(U255),U255,"")</x:f>
        <x:v>0</x:v>
      </x:c>
      <x:c r="I255" s="10" t="n">
        <x:v>0</x:v>
      </x:c>
      <x:c r="J255" s="11" t="str">
        <x:f>IF(AND(Z255="共同",ISNUMBER(F255),ISNUMBER(M255)),F255-M255,"")</x:f>
      </x:c>
      <x:c r="K255" s="13" t="str">
        <x:f>IF(AND(ISNUMBER(J255),M255&lt;&gt;0),J255/M255,"")</x:f>
      </x:c>
      <x:c r="L255" s="10" t="str">
        <x:v>断货</x:v>
      </x:c>
      <x:c r="M255" s="11"/>
      <x:c r="N255" s="10" t="n">
        <x:f>IF(AND(Z255="共同",COUNT(H255:I255)=2),H255-I255,"")</x:f>
        <x:v>0</x:v>
      </x:c>
      <x:c r="O255" s="10" t="n">
        <x:v>0</x:v>
      </x:c>
      <x:c r="P255" s="10" t="n">
        <x:v>0</x:v>
      </x:c>
      <x:c r="Q255" s="10" t="n">
        <x:v>0</x:v>
      </x:c>
      <x:c r="R255" s="10" t="n">
        <x:v>0</x:v>
      </x:c>
      <x:c r="S255" s="10" t="n">
        <x:v>0</x:v>
      </x:c>
      <x:c r="T255" s="10" t="n">
        <x:v>0</x:v>
      </x:c>
      <x:c r="U255" s="10" t="n">
        <x:f>IF(AND(ISNUMBER(X255),X255&gt;=0,Y255&lt;&gt;1),X255,"")</x:f>
        <x:v>0</x:v>
      </x:c>
      <x:c r="V255" s="10" t="n">
        <x:v>0</x:v>
      </x:c>
      <x:c r="W255" s="10" t="n">
        <x:v>0</x:v>
      </x:c>
      <x:c r="X255" s="10" t="n">
        <x:v>0</x:v>
      </x:c>
      <x:c r="Y255" s="3" t="n">
        <x:v>0</x:v>
      </x:c>
      <x:c r="Z255" s="3" t="str">
        <x:v>共同</x:v>
      </x:c>
      <x:c r="AA255" s="3" t="str">
        <x:v>停售</x:v>
      </x:c>
      <x:c r="AB255" s="12" t="str">
        <x:f>IF(AND(Z255="共同",ISNUMBER(G255),ISNUMBER(AD255)),G255-AD255,"")</x:f>
      </x:c>
      <x:c r="AC255" s="3" t="str">
        <x:v>近90天SKU销量未匹配，未按0处理</x:v>
      </x:c>
      <x:c r="AD255" s="12"/>
      <x:c r="AE255" s="3" t="str">
        <x:v>[6574,"1S01-BW-8"]</x:v>
      </x:c>
      <x:c r="AF255" t="n">
        <x:f>IF(ISNUMBER(H255),1,0)</x:f>
        <x:v>1</x:v>
      </x:c>
      <x:c r="AG255" t="n">
        <x:f>IF(ISNUMBER(I255),1,0)</x:f>
        <x:v>1</x:v>
      </x:c>
      <x:c r="AH255" t="str">
        <x:v>["1S01","1S01-BW","BW","深棕色"]</x:v>
      </x:c>
      <x:c r="AI255" t="n">
        <x:f>IF(ISNUMBER(G255),1,0)</x:f>
        <x:v>1</x:v>
      </x:c>
      <x:c r="AJ255" t="n">
        <x:f>IF(ISNUMBER(AD255),1,0)</x:f>
        <x:v>0</x:v>
      </x:c>
    </x:row>
    <x:row r="256" ht="30" customHeight="1">
      <x:c r="A256" s="3" t="str">
        <x:v>1S01-BW-9</x:v>
      </x:c>
      <x:c r="B256" s="3" t="str">
        <x:v>3店-SANDIEX-US</x:v>
      </x:c>
      <x:c r="C256" s="3" t="str">
        <x:v>徐新怡</x:v>
      </x:c>
      <x:c r="D256" s="3" t="str">
        <x:v>1S01</x:v>
      </x:c>
      <x:c r="E256" s="3" t="str">
        <x:f>IF(Z256="移出","已移出",IF(NOT(ISNUMBER(H256)),"数据待核",IF(H256=0,"断货",IF(NOT(ISNUMBER(G256)),"数据待核",IF(G256=0,"零日销待复核",IF(F256&lt;60,"补货提醒",IF(F256&lt;=90,"正常库存",IF(F256&lt;180,"促销",IF(F256&lt;=365,"红线促销","考虑清仓")))))))))</x:f>
        <x:v>断货</x:v>
      </x:c>
      <x:c r="F256" s="11" t="str">
        <x:f>IF(AND(ISNUMBER(H256),ISNUMBER(G256),G256&gt;0),H256/G256,"")</x:f>
      </x:c>
      <x:c r="G256" s="12" t="n">
        <x:f>IF(AND(COUNT(P256:R256)=3,MIN(P256:R256)&gt;=0,P256&lt;=Q256,Q256&lt;=R256),P256/7*0.5+Q256/14*0.3+R256/30*0.2,"")</x:f>
        <x:v>0</x:v>
      </x:c>
      <x:c r="H256" s="10" t="n">
        <x:f>IF(ISNUMBER(U256),U256,"")</x:f>
        <x:v>0</x:v>
      </x:c>
      <x:c r="I256" s="10" t="n">
        <x:v>0</x:v>
      </x:c>
      <x:c r="J256" s="11" t="str">
        <x:f>IF(AND(Z256="共同",ISNUMBER(F256),ISNUMBER(M256)),F256-M256,"")</x:f>
      </x:c>
      <x:c r="K256" s="13" t="str">
        <x:f>IF(AND(ISNUMBER(J256),M256&lt;&gt;0),J256/M256,"")</x:f>
      </x:c>
      <x:c r="L256" s="10" t="str">
        <x:v>断货</x:v>
      </x:c>
      <x:c r="M256" s="11"/>
      <x:c r="N256" s="10" t="n">
        <x:f>IF(AND(Z256="共同",COUNT(H256:I256)=2),H256-I256,"")</x:f>
        <x:v>0</x:v>
      </x:c>
      <x:c r="O256" s="10" t="n">
        <x:v>0</x:v>
      </x:c>
      <x:c r="P256" s="10" t="n">
        <x:v>0</x:v>
      </x:c>
      <x:c r="Q256" s="10" t="n">
        <x:v>0</x:v>
      </x:c>
      <x:c r="R256" s="10" t="n">
        <x:v>0</x:v>
      </x:c>
      <x:c r="S256" s="10" t="n">
        <x:v>0</x:v>
      </x:c>
      <x:c r="T256" s="10" t="n">
        <x:v>0</x:v>
      </x:c>
      <x:c r="U256" s="10" t="n">
        <x:f>IF(AND(ISNUMBER(X256),X256&gt;=0,Y256&lt;&gt;1),X256,"")</x:f>
        <x:v>0</x:v>
      </x:c>
      <x:c r="V256" s="10" t="n">
        <x:v>0</x:v>
      </x:c>
      <x:c r="W256" s="10" t="n">
        <x:v>0</x:v>
      </x:c>
      <x:c r="X256" s="10" t="n">
        <x:v>0</x:v>
      </x:c>
      <x:c r="Y256" s="3" t="n">
        <x:v>0</x:v>
      </x:c>
      <x:c r="Z256" s="3" t="str">
        <x:v>共同</x:v>
      </x:c>
      <x:c r="AA256" s="3" t="str">
        <x:v>停售</x:v>
      </x:c>
      <x:c r="AB256" s="12" t="str">
        <x:f>IF(AND(Z256="共同",ISNUMBER(G256),ISNUMBER(AD256)),G256-AD256,"")</x:f>
      </x:c>
      <x:c r="AC256" s="3" t="str">
        <x:v>近90天SKU销量未匹配，未按0处理</x:v>
      </x:c>
      <x:c r="AD256" s="12"/>
      <x:c r="AE256" s="3" t="str">
        <x:v>[6574,"1S01-BW-9"]</x:v>
      </x:c>
      <x:c r="AF256" t="n">
        <x:f>IF(ISNUMBER(H256),1,0)</x:f>
        <x:v>1</x:v>
      </x:c>
      <x:c r="AG256" t="n">
        <x:f>IF(ISNUMBER(I256),1,0)</x:f>
        <x:v>1</x:v>
      </x:c>
      <x:c r="AH256" t="str">
        <x:v>["1S01","1S01-BW","BW","深棕色"]</x:v>
      </x:c>
      <x:c r="AI256" t="n">
        <x:f>IF(ISNUMBER(G256),1,0)</x:f>
        <x:v>1</x:v>
      </x:c>
      <x:c r="AJ256" t="n">
        <x:f>IF(ISNUMBER(AD256),1,0)</x:f>
        <x:v>0</x:v>
      </x:c>
    </x:row>
    <x:row r="257" ht="30" customHeight="1">
      <x:c r="A257" s="3" t="str">
        <x:v>1S01-DB-37</x:v>
      </x:c>
      <x:c r="B257" s="3" t="str">
        <x:v>3店-SANDIEX-US</x:v>
      </x:c>
      <x:c r="C257" s="3" t="str">
        <x:v>徐新怡</x:v>
      </x:c>
      <x:c r="D257" s="3" t="str">
        <x:v>1S01</x:v>
      </x:c>
      <x:c r="E257" s="3" t="str">
        <x:f>IF(Z257="移出","已移出",IF(NOT(ISNUMBER(H257)),"数据待核",IF(H257=0,"断货",IF(NOT(ISNUMBER(G257)),"数据待核",IF(G257=0,"零日销待复核",IF(F257&lt;60,"补货提醒",IF(F257&lt;=90,"正常库存",IF(F257&lt;180,"促销",IF(F257&lt;=365,"红线促销","考虑清仓")))))))))</x:f>
        <x:v>断货</x:v>
      </x:c>
      <x:c r="F257" s="11" t="str">
        <x:f>IF(AND(ISNUMBER(H257),ISNUMBER(G257),G257&gt;0),H257/G257,"")</x:f>
      </x:c>
      <x:c r="G257" s="12" t="n">
        <x:f>IF(AND(COUNT(P257:R257)=3,MIN(P257:R257)&gt;=0,P257&lt;=Q257,Q257&lt;=R257),P257/7*0.5+Q257/14*0.3+R257/30*0.2,"")</x:f>
        <x:v>0</x:v>
      </x:c>
      <x:c r="H257" s="10" t="n">
        <x:f>IF(ISNUMBER(U257),U257,"")</x:f>
        <x:v>0</x:v>
      </x:c>
      <x:c r="I257" s="10" t="n">
        <x:v>0</x:v>
      </x:c>
      <x:c r="J257" s="11" t="str">
        <x:f>IF(AND(Z257="共同",ISNUMBER(F257),ISNUMBER(M257)),F257-M257,"")</x:f>
      </x:c>
      <x:c r="K257" s="13" t="str">
        <x:f>IF(AND(ISNUMBER(J257),M257&lt;&gt;0),J257/M257,"")</x:f>
      </x:c>
      <x:c r="L257" s="10" t="str">
        <x:v>断货</x:v>
      </x:c>
      <x:c r="M257" s="11"/>
      <x:c r="N257" s="10" t="n">
        <x:f>IF(AND(Z257="共同",COUNT(H257:I257)=2),H257-I257,"")</x:f>
        <x:v>0</x:v>
      </x:c>
      <x:c r="O257" s="10"/>
      <x:c r="P257" s="10" t="n">
        <x:v>0</x:v>
      </x:c>
      <x:c r="Q257" s="10" t="n">
        <x:v>0</x:v>
      </x:c>
      <x:c r="R257" s="10" t="n">
        <x:v>0</x:v>
      </x:c>
      <x:c r="S257" s="10" t="n">
        <x:v>0</x:v>
      </x:c>
      <x:c r="T257" s="10" t="n">
        <x:v>0</x:v>
      </x:c>
      <x:c r="U257" s="10" t="n">
        <x:f>IF(AND(ISNUMBER(X257),X257&gt;=0,Y257&lt;&gt;1),X257,"")</x:f>
        <x:v>0</x:v>
      </x:c>
      <x:c r="V257" s="10" t="n">
        <x:v>0</x:v>
      </x:c>
      <x:c r="W257" s="10" t="n">
        <x:v>0</x:v>
      </x:c>
      <x:c r="X257" s="10" t="n">
        <x:v>0</x:v>
      </x:c>
      <x:c r="Y257" s="3" t="n">
        <x:v>0</x:v>
      </x:c>
      <x:c r="Z257" s="3" t="str">
        <x:v>共同</x:v>
      </x:c>
      <x:c r="AA257" s="3" t="str">
        <x:v>停售</x:v>
      </x:c>
      <x:c r="AB257" s="12" t="str">
        <x:f>IF(AND(Z257="共同",ISNUMBER(G257),ISNUMBER(AD257)),G257-AD257,"")</x:f>
      </x:c>
      <x:c r="AC257" s="3" t="str">
        <x:v>近90天SKU销量未匹配，未按0处理</x:v>
      </x:c>
      <x:c r="AD257" s="12"/>
      <x:c r="AE257" s="3" t="str">
        <x:v>[6574,"1S01-DB-37"]</x:v>
      </x:c>
      <x:c r="AF257" t="n">
        <x:f>IF(ISNUMBER(H257),1,0)</x:f>
        <x:v>1</x:v>
      </x:c>
      <x:c r="AG257" t="n">
        <x:f>IF(ISNUMBER(I257),1,0)</x:f>
        <x:v>1</x:v>
      </x:c>
      <x:c r="AH257" t="str">
        <x:v>["1S01","1S01-DB","DB","深米色"]</x:v>
      </x:c>
      <x:c r="AI257" t="n">
        <x:f>IF(ISNUMBER(G257),1,0)</x:f>
        <x:v>1</x:v>
      </x:c>
      <x:c r="AJ257" t="n">
        <x:f>IF(ISNUMBER(AD257),1,0)</x:f>
        <x:v>0</x:v>
      </x:c>
    </x:row>
    <x:row r="258" ht="30" customHeight="1">
      <x:c r="A258" s="3" t="str">
        <x:v>1S01-DB-37.5</x:v>
      </x:c>
      <x:c r="B258" s="3" t="str">
        <x:v>3店-SANDIEX-US</x:v>
      </x:c>
      <x:c r="C258" s="3" t="str">
        <x:v>徐新怡</x:v>
      </x:c>
      <x:c r="D258" s="3" t="str">
        <x:v>1S01</x:v>
      </x:c>
      <x:c r="E258" s="3" t="str">
        <x:f>IF(Z258="移出","已移出",IF(NOT(ISNUMBER(H258)),"数据待核",IF(H258=0,"断货",IF(NOT(ISNUMBER(G258)),"数据待核",IF(G258=0,"零日销待复核",IF(F258&lt;60,"补货提醒",IF(F258&lt;=90,"正常库存",IF(F258&lt;180,"促销",IF(F258&lt;=365,"红线促销","考虑清仓")))))))))</x:f>
        <x:v>断货</x:v>
      </x:c>
      <x:c r="F258" s="11" t="str">
        <x:f>IF(AND(ISNUMBER(H258),ISNUMBER(G258),G258&gt;0),H258/G258,"")</x:f>
      </x:c>
      <x:c r="G258" s="12" t="n">
        <x:f>IF(AND(COUNT(P258:R258)=3,MIN(P258:R258)&gt;=0,P258&lt;=Q258,Q258&lt;=R258),P258/7*0.5+Q258/14*0.3+R258/30*0.2,"")</x:f>
        <x:v>0</x:v>
      </x:c>
      <x:c r="H258" s="10" t="n">
        <x:f>IF(ISNUMBER(U258),U258,"")</x:f>
        <x:v>0</x:v>
      </x:c>
      <x:c r="I258" s="10"/>
      <x:c r="J258" s="11" t="str">
        <x:f>IF(AND(Z258="共同",ISNUMBER(F258),ISNUMBER(M258)),F258-M258,"")</x:f>
      </x:c>
      <x:c r="K258" s="13" t="str">
        <x:f>IF(AND(ISNUMBER(J258),M258&lt;&gt;0),J258/M258,"")</x:f>
      </x:c>
      <x:c r="L258" s="10"/>
      <x:c r="M258" s="11"/>
      <x:c r="N258" s="10" t="str">
        <x:f>IF(AND(Z258="共同",COUNT(H258:I258)=2),H258-I258,"")</x:f>
      </x:c>
      <x:c r="O258" s="10"/>
      <x:c r="P258" s="10" t="n">
        <x:v>0</x:v>
      </x:c>
      <x:c r="Q258" s="10" t="n">
        <x:v>0</x:v>
      </x:c>
      <x:c r="R258" s="10" t="n">
        <x:v>0</x:v>
      </x:c>
      <x:c r="S258" s="10" t="n">
        <x:v>0</x:v>
      </x:c>
      <x:c r="T258" s="10" t="n">
        <x:v>0</x:v>
      </x:c>
      <x:c r="U258" s="10" t="n">
        <x:f>IF(AND(ISNUMBER(X258),X258&gt;=0,Y258&lt;&gt;1),X258,"")</x:f>
        <x:v>0</x:v>
      </x:c>
      <x:c r="V258" s="10" t="n">
        <x:v>0</x:v>
      </x:c>
      <x:c r="W258" s="10" t="n">
        <x:v>0</x:v>
      </x:c>
      <x:c r="X258" s="10" t="n">
        <x:v>0</x:v>
      </x:c>
      <x:c r="Y258" s="3" t="n">
        <x:v>0</x:v>
      </x:c>
      <x:c r="Z258" s="3" t="str">
        <x:v>新增</x:v>
      </x:c>
      <x:c r="AA258" s="3" t="str">
        <x:v>停售</x:v>
      </x:c>
      <x:c r="AB258" s="12" t="str">
        <x:f>IF(AND(Z258="共同",ISNUMBER(G258),ISNUMBER(AD258)),G258-AD258,"")</x:f>
      </x:c>
      <x:c r="AC258" s="3" t="str">
        <x:v>近90天SKU销量未匹配，未按0处理</x:v>
      </x:c>
      <x:c r="AD258" s="12"/>
      <x:c r="AE258" s="3" t="str">
        <x:v>[6574,"1S01-DB-37.5"]</x:v>
      </x:c>
      <x:c r="AF258" t="n">
        <x:f>IF(ISNUMBER(H258),1,0)</x:f>
        <x:v>1</x:v>
      </x:c>
      <x:c r="AG258" t="n">
        <x:f>IF(ISNUMBER(I258),1,0)</x:f>
        <x:v>0</x:v>
      </x:c>
      <x:c r="AH258" t="str">
        <x:v>["1S01","1S01-DB","DB","深米色"]</x:v>
      </x:c>
      <x:c r="AI258" t="n">
        <x:f>IF(ISNUMBER(G258),1,0)</x:f>
        <x:v>1</x:v>
      </x:c>
      <x:c r="AJ258" t="n">
        <x:f>IF(ISNUMBER(AD258),1,0)</x:f>
        <x:v>0</x:v>
      </x:c>
    </x:row>
    <x:row r="259" ht="30" customHeight="1">
      <x:c r="A259" s="3" t="str">
        <x:v>1S01-DB-38</x:v>
      </x:c>
      <x:c r="B259" s="3" t="str">
        <x:v>3店-SANDIEX-US</x:v>
      </x:c>
      <x:c r="C259" s="3" t="str">
        <x:v>徐新怡</x:v>
      </x:c>
      <x:c r="D259" s="3" t="str">
        <x:v>1S01</x:v>
      </x:c>
      <x:c r="E259" s="3" t="str">
        <x:f>IF(Z259="移出","已移出",IF(NOT(ISNUMBER(H259)),"数据待核",IF(H259=0,"断货",IF(NOT(ISNUMBER(G259)),"数据待核",IF(G259=0,"零日销待复核",IF(F259&lt;60,"补货提醒",IF(F259&lt;=90,"正常库存",IF(F259&lt;180,"促销",IF(F259&lt;=365,"红线促销","考虑清仓")))))))))</x:f>
        <x:v>断货</x:v>
      </x:c>
      <x:c r="F259" s="11" t="str">
        <x:f>IF(AND(ISNUMBER(H259),ISNUMBER(G259),G259&gt;0),H259/G259,"")</x:f>
      </x:c>
      <x:c r="G259" s="12" t="n">
        <x:f>IF(AND(COUNT(P259:R259)=3,MIN(P259:R259)&gt;=0,P259&lt;=Q259,Q259&lt;=R259),P259/7*0.5+Q259/14*0.3+R259/30*0.2,"")</x:f>
        <x:v>0</x:v>
      </x:c>
      <x:c r="H259" s="10" t="n">
        <x:f>IF(ISNUMBER(U259),U259,"")</x:f>
        <x:v>0</x:v>
      </x:c>
      <x:c r="I259" s="10" t="n">
        <x:v>0</x:v>
      </x:c>
      <x:c r="J259" s="11" t="str">
        <x:f>IF(AND(Z259="共同",ISNUMBER(F259),ISNUMBER(M259)),F259-M259,"")</x:f>
      </x:c>
      <x:c r="K259" s="13" t="str">
        <x:f>IF(AND(ISNUMBER(J259),M259&lt;&gt;0),J259/M259,"")</x:f>
      </x:c>
      <x:c r="L259" s="10" t="str">
        <x:v>断货</x:v>
      </x:c>
      <x:c r="M259" s="11"/>
      <x:c r="N259" s="10" t="n">
        <x:f>IF(AND(Z259="共同",COUNT(H259:I259)=2),H259-I259,"")</x:f>
        <x:v>0</x:v>
      </x:c>
      <x:c r="O259" s="10" t="n">
        <x:v>0</x:v>
      </x:c>
      <x:c r="P259" s="10" t="n">
        <x:v>0</x:v>
      </x:c>
      <x:c r="Q259" s="10" t="n">
        <x:v>0</x:v>
      </x:c>
      <x:c r="R259" s="10" t="n">
        <x:v>0</x:v>
      </x:c>
      <x:c r="S259" s="10" t="n">
        <x:v>0</x:v>
      </x:c>
      <x:c r="T259" s="10" t="n">
        <x:v>0</x:v>
      </x:c>
      <x:c r="U259" s="10" t="n">
        <x:f>IF(AND(ISNUMBER(X259),X259&gt;=0,Y259&lt;&gt;1),X259,"")</x:f>
        <x:v>0</x:v>
      </x:c>
      <x:c r="V259" s="10" t="n">
        <x:v>0</x:v>
      </x:c>
      <x:c r="W259" s="10" t="n">
        <x:v>0</x:v>
      </x:c>
      <x:c r="X259" s="10" t="n">
        <x:v>0</x:v>
      </x:c>
      <x:c r="Y259" s="3" t="n">
        <x:v>0</x:v>
      </x:c>
      <x:c r="Z259" s="3" t="str">
        <x:v>共同</x:v>
      </x:c>
      <x:c r="AA259" s="3" t="str">
        <x:v>停售</x:v>
      </x:c>
      <x:c r="AB259" s="12" t="str">
        <x:f>IF(AND(Z259="共同",ISNUMBER(G259),ISNUMBER(AD259)),G259-AD259,"")</x:f>
      </x:c>
      <x:c r="AC259" s="3" t="str">
        <x:v>近90天SKU销量未匹配，未按0处理</x:v>
      </x:c>
      <x:c r="AD259" s="12"/>
      <x:c r="AE259" s="3" t="str">
        <x:v>[6574,"1S01-DB-38"]</x:v>
      </x:c>
      <x:c r="AF259" t="n">
        <x:f>IF(ISNUMBER(H259),1,0)</x:f>
        <x:v>1</x:v>
      </x:c>
      <x:c r="AG259" t="n">
        <x:f>IF(ISNUMBER(I259),1,0)</x:f>
        <x:v>1</x:v>
      </x:c>
      <x:c r="AH259" t="str">
        <x:v>["1S01","1S01-DB","DB","深米色"]</x:v>
      </x:c>
      <x:c r="AI259" t="n">
        <x:f>IF(ISNUMBER(G259),1,0)</x:f>
        <x:v>1</x:v>
      </x:c>
      <x:c r="AJ259" t="n">
        <x:f>IF(ISNUMBER(AD259),1,0)</x:f>
        <x:v>0</x:v>
      </x:c>
    </x:row>
    <x:row r="260" ht="30" customHeight="1">
      <x:c r="A260" s="3" t="str">
        <x:v>1S01-DB-38.5</x:v>
      </x:c>
      <x:c r="B260" s="3" t="str">
        <x:v>3店-SANDIEX-US</x:v>
      </x:c>
      <x:c r="C260" s="3" t="str">
        <x:v>徐新怡</x:v>
      </x:c>
      <x:c r="D260" s="3" t="str">
        <x:v>1S01</x:v>
      </x:c>
      <x:c r="E260" s="3" t="str">
        <x:f>IF(Z260="移出","已移出",IF(NOT(ISNUMBER(H260)),"数据待核",IF(H260=0,"断货",IF(NOT(ISNUMBER(G260)),"数据待核",IF(G260=0,"零日销待复核",IF(F260&lt;60,"补货提醒",IF(F260&lt;=90,"正常库存",IF(F260&lt;180,"促销",IF(F260&lt;=365,"红线促销","考虑清仓")))))))))</x:f>
        <x:v>断货</x:v>
      </x:c>
      <x:c r="F260" s="11" t="str">
        <x:f>IF(AND(ISNUMBER(H260),ISNUMBER(G260),G260&gt;0),H260/G260,"")</x:f>
      </x:c>
      <x:c r="G260" s="12" t="n">
        <x:f>IF(AND(COUNT(P260:R260)=3,MIN(P260:R260)&gt;=0,P260&lt;=Q260,Q260&lt;=R260),P260/7*0.5+Q260/14*0.3+R260/30*0.2,"")</x:f>
        <x:v>0</x:v>
      </x:c>
      <x:c r="H260" s="10" t="n">
        <x:f>IF(ISNUMBER(U260),U260,"")</x:f>
        <x:v>0</x:v>
      </x:c>
      <x:c r="I260" s="10"/>
      <x:c r="J260" s="11" t="str">
        <x:f>IF(AND(Z260="共同",ISNUMBER(F260),ISNUMBER(M260)),F260-M260,"")</x:f>
      </x:c>
      <x:c r="K260" s="13" t="str">
        <x:f>IF(AND(ISNUMBER(J260),M260&lt;&gt;0),J260/M260,"")</x:f>
      </x:c>
      <x:c r="L260" s="10"/>
      <x:c r="M260" s="11"/>
      <x:c r="N260" s="10" t="str">
        <x:f>IF(AND(Z260="共同",COUNT(H260:I260)=2),H260-I260,"")</x:f>
      </x:c>
      <x:c r="O260" s="10" t="n">
        <x:v>0</x:v>
      </x:c>
      <x:c r="P260" s="10" t="n">
        <x:v>0</x:v>
      </x:c>
      <x:c r="Q260" s="10" t="n">
        <x:v>0</x:v>
      </x:c>
      <x:c r="R260" s="10" t="n">
        <x:v>0</x:v>
      </x:c>
      <x:c r="S260" s="10" t="n">
        <x:v>0</x:v>
      </x:c>
      <x:c r="T260" s="10" t="n">
        <x:v>0</x:v>
      </x:c>
      <x:c r="U260" s="10" t="n">
        <x:f>IF(AND(ISNUMBER(X260),X260&gt;=0,Y260&lt;&gt;1),X260,"")</x:f>
        <x:v>0</x:v>
      </x:c>
      <x:c r="V260" s="10" t="n">
        <x:v>0</x:v>
      </x:c>
      <x:c r="W260" s="10" t="n">
        <x:v>0</x:v>
      </x:c>
      <x:c r="X260" s="10" t="n">
        <x:v>0</x:v>
      </x:c>
      <x:c r="Y260" s="3" t="n">
        <x:v>0</x:v>
      </x:c>
      <x:c r="Z260" s="3" t="str">
        <x:v>新增</x:v>
      </x:c>
      <x:c r="AA260" s="3" t="str">
        <x:v>停售</x:v>
      </x:c>
      <x:c r="AB260" s="12" t="str">
        <x:f>IF(AND(Z260="共同",ISNUMBER(G260),ISNUMBER(AD260)),G260-AD260,"")</x:f>
      </x:c>
      <x:c r="AC260" s="3" t="str">
        <x:v>近90天SKU销量未匹配，未按0处理</x:v>
      </x:c>
      <x:c r="AD260" s="12"/>
      <x:c r="AE260" s="3" t="str">
        <x:v>[6574,"1S01-DB-38.5"]</x:v>
      </x:c>
      <x:c r="AF260" t="n">
        <x:f>IF(ISNUMBER(H260),1,0)</x:f>
        <x:v>1</x:v>
      </x:c>
      <x:c r="AG260" t="n">
        <x:f>IF(ISNUMBER(I260),1,0)</x:f>
        <x:v>0</x:v>
      </x:c>
      <x:c r="AH260" t="str">
        <x:v>["1S01","1S01-DB","DB","深米色"]</x:v>
      </x:c>
      <x:c r="AI260" t="n">
        <x:f>IF(ISNUMBER(G260),1,0)</x:f>
        <x:v>1</x:v>
      </x:c>
      <x:c r="AJ260" t="n">
        <x:f>IF(ISNUMBER(AD260),1,0)</x:f>
        <x:v>0</x:v>
      </x:c>
    </x:row>
    <x:row r="261" ht="30" customHeight="1">
      <x:c r="A261" s="3" t="str">
        <x:v>1S01-DB-39</x:v>
      </x:c>
      <x:c r="B261" s="3" t="str">
        <x:v>3店-SANDIEX-US</x:v>
      </x:c>
      <x:c r="C261" s="3" t="str">
        <x:v>徐新怡</x:v>
      </x:c>
      <x:c r="D261" s="3" t="str">
        <x:v>1S01</x:v>
      </x:c>
      <x:c r="E261" s="3" t="str">
        <x:f>IF(Z261="移出","已移出",IF(NOT(ISNUMBER(H261)),"数据待核",IF(H261=0,"断货",IF(NOT(ISNUMBER(G261)),"数据待核",IF(G261=0,"零日销待复核",IF(F261&lt;60,"补货提醒",IF(F261&lt;=90,"正常库存",IF(F261&lt;180,"促销",IF(F261&lt;=365,"红线促销","考虑清仓")))))))))</x:f>
        <x:v>断货</x:v>
      </x:c>
      <x:c r="F261" s="11" t="str">
        <x:f>IF(AND(ISNUMBER(H261),ISNUMBER(G261),G261&gt;0),H261/G261,"")</x:f>
      </x:c>
      <x:c r="G261" s="12" t="n">
        <x:f>IF(AND(COUNT(P261:R261)=3,MIN(P261:R261)&gt;=0,P261&lt;=Q261,Q261&lt;=R261),P261/7*0.5+Q261/14*0.3+R261/30*0.2,"")</x:f>
        <x:v>0</x:v>
      </x:c>
      <x:c r="H261" s="10" t="n">
        <x:f>IF(ISNUMBER(U261),U261,"")</x:f>
        <x:v>0</x:v>
      </x:c>
      <x:c r="I261" s="10" t="n">
        <x:v>0</x:v>
      </x:c>
      <x:c r="J261" s="11" t="str">
        <x:f>IF(AND(Z261="共同",ISNUMBER(F261),ISNUMBER(M261)),F261-M261,"")</x:f>
      </x:c>
      <x:c r="K261" s="13" t="str">
        <x:f>IF(AND(ISNUMBER(J261),M261&lt;&gt;0),J261/M261,"")</x:f>
      </x:c>
      <x:c r="L261" s="10" t="str">
        <x:v>断货</x:v>
      </x:c>
      <x:c r="M261" s="11"/>
      <x:c r="N261" s="10" t="n">
        <x:f>IF(AND(Z261="共同",COUNT(H261:I261)=2),H261-I261,"")</x:f>
        <x:v>0</x:v>
      </x:c>
      <x:c r="O261" s="10" t="n">
        <x:v>0</x:v>
      </x:c>
      <x:c r="P261" s="10" t="n">
        <x:v>0</x:v>
      </x:c>
      <x:c r="Q261" s="10" t="n">
        <x:v>0</x:v>
      </x:c>
      <x:c r="R261" s="10" t="n">
        <x:v>0</x:v>
      </x:c>
      <x:c r="S261" s="10" t="n">
        <x:v>0</x:v>
      </x:c>
      <x:c r="T261" s="10" t="n">
        <x:v>0</x:v>
      </x:c>
      <x:c r="U261" s="10" t="n">
        <x:f>IF(AND(ISNUMBER(X261),X261&gt;=0,Y261&lt;&gt;1),X261,"")</x:f>
        <x:v>0</x:v>
      </x:c>
      <x:c r="V261" s="10" t="n">
        <x:v>0</x:v>
      </x:c>
      <x:c r="W261" s="10" t="n">
        <x:v>0</x:v>
      </x:c>
      <x:c r="X261" s="10" t="n">
        <x:v>0</x:v>
      </x:c>
      <x:c r="Y261" s="3" t="n">
        <x:v>0</x:v>
      </x:c>
      <x:c r="Z261" s="3" t="str">
        <x:v>共同</x:v>
      </x:c>
      <x:c r="AA261" s="3" t="str">
        <x:v>停售</x:v>
      </x:c>
      <x:c r="AB261" s="12" t="n">
        <x:f>IF(AND(Z261="共同",ISNUMBER(G261),ISNUMBER(AD261)),G261-AD261,"")</x:f>
        <x:v>0</x:v>
      </x:c>
      <x:c r="AC261" s="3" t="str"/>
      <x:c r="AD261" s="12" t="n">
        <x:v>0</x:v>
      </x:c>
      <x:c r="AE261" s="3" t="str">
        <x:v>[6574,"1S01-DB-39"]</x:v>
      </x:c>
      <x:c r="AF261" t="n">
        <x:f>IF(ISNUMBER(H261),1,0)</x:f>
        <x:v>1</x:v>
      </x:c>
      <x:c r="AG261" t="n">
        <x:f>IF(ISNUMBER(I261),1,0)</x:f>
        <x:v>1</x:v>
      </x:c>
      <x:c r="AH261" t="str">
        <x:v>["1S01","1S01-DB","DB","深米色"]</x:v>
      </x:c>
      <x:c r="AI261" t="n">
        <x:f>IF(ISNUMBER(G261),1,0)</x:f>
        <x:v>1</x:v>
      </x:c>
      <x:c r="AJ261" t="n">
        <x:f>IF(ISNUMBER(AD261),1,0)</x:f>
        <x:v>1</x:v>
      </x:c>
    </x:row>
    <x:row r="262" ht="30" customHeight="1">
      <x:c r="A262" s="3" t="str">
        <x:v>1S01-DB-39.5</x:v>
      </x:c>
      <x:c r="B262" s="3" t="str">
        <x:v>3店-SANDIEX-US</x:v>
      </x:c>
      <x:c r="C262" s="3" t="str">
        <x:v>徐新怡</x:v>
      </x:c>
      <x:c r="D262" s="3" t="str">
        <x:v>1S01</x:v>
      </x:c>
      <x:c r="E262" s="3" t="str">
        <x:f>IF(Z262="移出","已移出",IF(NOT(ISNUMBER(H262)),"数据待核",IF(H262=0,"断货",IF(NOT(ISNUMBER(G262)),"数据待核",IF(G262=0,"零日销待复核",IF(F262&lt;60,"补货提醒",IF(F262&lt;=90,"正常库存",IF(F262&lt;180,"促销",IF(F262&lt;=365,"红线促销","考虑清仓")))))))))</x:f>
        <x:v>断货</x:v>
      </x:c>
      <x:c r="F262" s="11" t="str">
        <x:f>IF(AND(ISNUMBER(H262),ISNUMBER(G262),G262&gt;0),H262/G262,"")</x:f>
      </x:c>
      <x:c r="G262" s="12" t="n">
        <x:f>IF(AND(COUNT(P262:R262)=3,MIN(P262:R262)&gt;=0,P262&lt;=Q262,Q262&lt;=R262),P262/7*0.5+Q262/14*0.3+R262/30*0.2,"")</x:f>
        <x:v>0</x:v>
      </x:c>
      <x:c r="H262" s="10" t="n">
        <x:f>IF(ISNUMBER(U262),U262,"")</x:f>
        <x:v>0</x:v>
      </x:c>
      <x:c r="I262" s="10"/>
      <x:c r="J262" s="11" t="str">
        <x:f>IF(AND(Z262="共同",ISNUMBER(F262),ISNUMBER(M262)),F262-M262,"")</x:f>
      </x:c>
      <x:c r="K262" s="13" t="str">
        <x:f>IF(AND(ISNUMBER(J262),M262&lt;&gt;0),J262/M262,"")</x:f>
      </x:c>
      <x:c r="L262" s="10"/>
      <x:c r="M262" s="11"/>
      <x:c r="N262" s="10" t="str">
        <x:f>IF(AND(Z262="共同",COUNT(H262:I262)=2),H262-I262,"")</x:f>
      </x:c>
      <x:c r="O262" s="10" t="n">
        <x:v>0</x:v>
      </x:c>
      <x:c r="P262" s="10" t="n">
        <x:v>0</x:v>
      </x:c>
      <x:c r="Q262" s="10" t="n">
        <x:v>0</x:v>
      </x:c>
      <x:c r="R262" s="10" t="n">
        <x:v>0</x:v>
      </x:c>
      <x:c r="S262" s="10" t="n">
        <x:v>0</x:v>
      </x:c>
      <x:c r="T262" s="10" t="n">
        <x:v>0</x:v>
      </x:c>
      <x:c r="U262" s="10" t="n">
        <x:f>IF(AND(ISNUMBER(X262),X262&gt;=0,Y262&lt;&gt;1),X262,"")</x:f>
        <x:v>0</x:v>
      </x:c>
      <x:c r="V262" s="10" t="n">
        <x:v>0</x:v>
      </x:c>
      <x:c r="W262" s="10" t="n">
        <x:v>0</x:v>
      </x:c>
      <x:c r="X262" s="10" t="n">
        <x:v>0</x:v>
      </x:c>
      <x:c r="Y262" s="3" t="n">
        <x:v>0</x:v>
      </x:c>
      <x:c r="Z262" s="3" t="str">
        <x:v>新增</x:v>
      </x:c>
      <x:c r="AA262" s="3" t="str">
        <x:v>停售</x:v>
      </x:c>
      <x:c r="AB262" s="12" t="str">
        <x:f>IF(AND(Z262="共同",ISNUMBER(G262),ISNUMBER(AD262)),G262-AD262,"")</x:f>
      </x:c>
      <x:c r="AC262" s="3" t="str">
        <x:v>近90天SKU销量未匹配，未按0处理</x:v>
      </x:c>
      <x:c r="AD262" s="12"/>
      <x:c r="AE262" s="3" t="str">
        <x:v>[6574,"1S01-DB-39.5"]</x:v>
      </x:c>
      <x:c r="AF262" t="n">
        <x:f>IF(ISNUMBER(H262),1,0)</x:f>
        <x:v>1</x:v>
      </x:c>
      <x:c r="AG262" t="n">
        <x:f>IF(ISNUMBER(I262),1,0)</x:f>
        <x:v>0</x:v>
      </x:c>
      <x:c r="AH262" t="str">
        <x:v>["1S01","1S01-DB","DB","深米色"]</x:v>
      </x:c>
      <x:c r="AI262" t="n">
        <x:f>IF(ISNUMBER(G262),1,0)</x:f>
        <x:v>1</x:v>
      </x:c>
      <x:c r="AJ262" t="n">
        <x:f>IF(ISNUMBER(AD262),1,0)</x:f>
        <x:v>0</x:v>
      </x:c>
    </x:row>
    <x:row r="263" ht="30" customHeight="1">
      <x:c r="A263" s="3" t="str">
        <x:v>1S01-DB-40</x:v>
      </x:c>
      <x:c r="B263" s="3" t="str">
        <x:v>3店-SANDIEX-US</x:v>
      </x:c>
      <x:c r="C263" s="3" t="str">
        <x:v>徐新怡</x:v>
      </x:c>
      <x:c r="D263" s="3" t="str">
        <x:v>1S01</x:v>
      </x:c>
      <x:c r="E263" s="3" t="str">
        <x:f>IF(Z263="移出","已移出",IF(NOT(ISNUMBER(H263)),"数据待核",IF(H263=0,"断货",IF(NOT(ISNUMBER(G263)),"数据待核",IF(G263=0,"零日销待复核",IF(F263&lt;60,"补货提醒",IF(F263&lt;=90,"正常库存",IF(F263&lt;180,"促销",IF(F263&lt;=365,"红线促销","考虑清仓")))))))))</x:f>
        <x:v>断货</x:v>
      </x:c>
      <x:c r="F263" s="11" t="str">
        <x:f>IF(AND(ISNUMBER(H263),ISNUMBER(G263),G263&gt;0),H263/G263,"")</x:f>
      </x:c>
      <x:c r="G263" s="12" t="n">
        <x:f>IF(AND(COUNT(P263:R263)=3,MIN(P263:R263)&gt;=0,P263&lt;=Q263,Q263&lt;=R263),P263/7*0.5+Q263/14*0.3+R263/30*0.2,"")</x:f>
        <x:v>0</x:v>
      </x:c>
      <x:c r="H263" s="10" t="n">
        <x:f>IF(ISNUMBER(U263),U263,"")</x:f>
        <x:v>0</x:v>
      </x:c>
      <x:c r="I263" s="10" t="n">
        <x:v>0</x:v>
      </x:c>
      <x:c r="J263" s="11" t="str">
        <x:f>IF(AND(Z263="共同",ISNUMBER(F263),ISNUMBER(M263)),F263-M263,"")</x:f>
      </x:c>
      <x:c r="K263" s="13" t="str">
        <x:f>IF(AND(ISNUMBER(J263),M263&lt;&gt;0),J263/M263,"")</x:f>
      </x:c>
      <x:c r="L263" s="10" t="str">
        <x:v>断货</x:v>
      </x:c>
      <x:c r="M263" s="11"/>
      <x:c r="N263" s="10" t="n">
        <x:f>IF(AND(Z263="共同",COUNT(H263:I263)=2),H263-I263,"")</x:f>
        <x:v>0</x:v>
      </x:c>
      <x:c r="O263" s="10" t="n">
        <x:v>0</x:v>
      </x:c>
      <x:c r="P263" s="10" t="n">
        <x:v>0</x:v>
      </x:c>
      <x:c r="Q263" s="10" t="n">
        <x:v>0</x:v>
      </x:c>
      <x:c r="R263" s="10" t="n">
        <x:v>0</x:v>
      </x:c>
      <x:c r="S263" s="10" t="n">
        <x:v>0</x:v>
      </x:c>
      <x:c r="T263" s="10" t="n">
        <x:v>0</x:v>
      </x:c>
      <x:c r="U263" s="10" t="n">
        <x:f>IF(AND(ISNUMBER(X263),X263&gt;=0,Y263&lt;&gt;1),X263,"")</x:f>
        <x:v>0</x:v>
      </x:c>
      <x:c r="V263" s="10" t="n">
        <x:v>0</x:v>
      </x:c>
      <x:c r="W263" s="10" t="n">
        <x:v>0</x:v>
      </x:c>
      <x:c r="X263" s="10" t="n">
        <x:v>0</x:v>
      </x:c>
      <x:c r="Y263" s="3" t="n">
        <x:v>0</x:v>
      </x:c>
      <x:c r="Z263" s="3" t="str">
        <x:v>共同</x:v>
      </x:c>
      <x:c r="AA263" s="3" t="str">
        <x:v>停售</x:v>
      </x:c>
      <x:c r="AB263" s="12" t="str">
        <x:f>IF(AND(Z263="共同",ISNUMBER(G263),ISNUMBER(AD263)),G263-AD263,"")</x:f>
      </x:c>
      <x:c r="AC263" s="3" t="str">
        <x:v>近90天SKU销量未匹配，未按0处理</x:v>
      </x:c>
      <x:c r="AD263" s="12"/>
      <x:c r="AE263" s="3" t="str">
        <x:v>[6574,"1S01-DB-40"]</x:v>
      </x:c>
      <x:c r="AF263" t="n">
        <x:f>IF(ISNUMBER(H263),1,0)</x:f>
        <x:v>1</x:v>
      </x:c>
      <x:c r="AG263" t="n">
        <x:f>IF(ISNUMBER(I263),1,0)</x:f>
        <x:v>1</x:v>
      </x:c>
      <x:c r="AH263" t="str">
        <x:v>["1S01","1S01-DB","DB","深米色"]</x:v>
      </x:c>
      <x:c r="AI263" t="n">
        <x:f>IF(ISNUMBER(G263),1,0)</x:f>
        <x:v>1</x:v>
      </x:c>
      <x:c r="AJ263" t="n">
        <x:f>IF(ISNUMBER(AD263),1,0)</x:f>
        <x:v>0</x:v>
      </x:c>
    </x:row>
    <x:row r="264" ht="30" customHeight="1">
      <x:c r="A264" s="3" t="str">
        <x:v>1S01-DB-40.5</x:v>
      </x:c>
      <x:c r="B264" s="3" t="str">
        <x:v>3店-SANDIEX-US</x:v>
      </x:c>
      <x:c r="C264" s="3" t="str">
        <x:v>徐新怡</x:v>
      </x:c>
      <x:c r="D264" s="3" t="str">
        <x:v>1S01</x:v>
      </x:c>
      <x:c r="E264" s="3" t="str">
        <x:f>IF(Z264="移出","已移出",IF(NOT(ISNUMBER(H264)),"数据待核",IF(H264=0,"断货",IF(NOT(ISNUMBER(G264)),"数据待核",IF(G264=0,"零日销待复核",IF(F264&lt;60,"补货提醒",IF(F264&lt;=90,"正常库存",IF(F264&lt;180,"促销",IF(F264&lt;=365,"红线促销","考虑清仓")))))))))</x:f>
        <x:v>断货</x:v>
      </x:c>
      <x:c r="F264" s="11" t="str">
        <x:f>IF(AND(ISNUMBER(H264),ISNUMBER(G264),G264&gt;0),H264/G264,"")</x:f>
      </x:c>
      <x:c r="G264" s="12" t="n">
        <x:f>IF(AND(COUNT(P264:R264)=3,MIN(P264:R264)&gt;=0,P264&lt;=Q264,Q264&lt;=R264),P264/7*0.5+Q264/14*0.3+R264/30*0.2,"")</x:f>
        <x:v>0</x:v>
      </x:c>
      <x:c r="H264" s="10" t="n">
        <x:f>IF(ISNUMBER(U264),U264,"")</x:f>
        <x:v>0</x:v>
      </x:c>
      <x:c r="I264" s="10"/>
      <x:c r="J264" s="11" t="str">
        <x:f>IF(AND(Z264="共同",ISNUMBER(F264),ISNUMBER(M264)),F264-M264,"")</x:f>
      </x:c>
      <x:c r="K264" s="13" t="str">
        <x:f>IF(AND(ISNUMBER(J264),M264&lt;&gt;0),J264/M264,"")</x:f>
      </x:c>
      <x:c r="L264" s="10"/>
      <x:c r="M264" s="11"/>
      <x:c r="N264" s="10" t="str">
        <x:f>IF(AND(Z264="共同",COUNT(H264:I264)=2),H264-I264,"")</x:f>
      </x:c>
      <x:c r="O264" s="10"/>
      <x:c r="P264" s="10" t="n">
        <x:v>0</x:v>
      </x:c>
      <x:c r="Q264" s="10" t="n">
        <x:v>0</x:v>
      </x:c>
      <x:c r="R264" s="10" t="n">
        <x:v>0</x:v>
      </x:c>
      <x:c r="S264" s="10" t="n">
        <x:v>0</x:v>
      </x:c>
      <x:c r="T264" s="10" t="n">
        <x:v>0</x:v>
      </x:c>
      <x:c r="U264" s="10" t="n">
        <x:f>IF(AND(ISNUMBER(X264),X264&gt;=0,Y264&lt;&gt;1),X264,"")</x:f>
        <x:v>0</x:v>
      </x:c>
      <x:c r="V264" s="10" t="n">
        <x:v>0</x:v>
      </x:c>
      <x:c r="W264" s="10" t="n">
        <x:v>0</x:v>
      </x:c>
      <x:c r="X264" s="10" t="n">
        <x:v>0</x:v>
      </x:c>
      <x:c r="Y264" s="3" t="n">
        <x:v>0</x:v>
      </x:c>
      <x:c r="Z264" s="3" t="str">
        <x:v>新增</x:v>
      </x:c>
      <x:c r="AA264" s="3" t="str">
        <x:v>停售</x:v>
      </x:c>
      <x:c r="AB264" s="12" t="str">
        <x:f>IF(AND(Z264="共同",ISNUMBER(G264),ISNUMBER(AD264)),G264-AD264,"")</x:f>
      </x:c>
      <x:c r="AC264" s="3" t="str">
        <x:v>近90天SKU销量未匹配，未按0处理</x:v>
      </x:c>
      <x:c r="AD264" s="12"/>
      <x:c r="AE264" s="3" t="str">
        <x:v>[6574,"1S01-DB-40.5"]</x:v>
      </x:c>
      <x:c r="AF264" t="n">
        <x:f>IF(ISNUMBER(H264),1,0)</x:f>
        <x:v>1</x:v>
      </x:c>
      <x:c r="AG264" t="n">
        <x:f>IF(ISNUMBER(I264),1,0)</x:f>
        <x:v>0</x:v>
      </x:c>
      <x:c r="AH264" t="str">
        <x:v>["1S01","1S01-DB","DB","深米色"]</x:v>
      </x:c>
      <x:c r="AI264" t="n">
        <x:f>IF(ISNUMBER(G264),1,0)</x:f>
        <x:v>1</x:v>
      </x:c>
      <x:c r="AJ264" t="n">
        <x:f>IF(ISNUMBER(AD264),1,0)</x:f>
        <x:v>0</x:v>
      </x:c>
    </x:row>
    <x:row r="265" ht="30" customHeight="1">
      <x:c r="A265" s="3" t="str">
        <x:v>1S01-DB-41</x:v>
      </x:c>
      <x:c r="B265" s="3" t="str">
        <x:v>3店-SANDIEX-US</x:v>
      </x:c>
      <x:c r="C265" s="3" t="str">
        <x:v>徐新怡</x:v>
      </x:c>
      <x:c r="D265" s="3" t="str">
        <x:v>1S01</x:v>
      </x:c>
      <x:c r="E265" s="3" t="str">
        <x:f>IF(Z265="移出","已移出",IF(NOT(ISNUMBER(H265)),"数据待核",IF(H265=0,"断货",IF(NOT(ISNUMBER(G265)),"数据待核",IF(G265=0,"零日销待复核",IF(F265&lt;60,"补货提醒",IF(F265&lt;=90,"正常库存",IF(F265&lt;180,"促销",IF(F265&lt;=365,"红线促销","考虑清仓")))))))))</x:f>
        <x:v>断货</x:v>
      </x:c>
      <x:c r="F265" s="11" t="str">
        <x:f>IF(AND(ISNUMBER(H265),ISNUMBER(G265),G265&gt;0),H265/G265,"")</x:f>
      </x:c>
      <x:c r="G265" s="12" t="n">
        <x:f>IF(AND(COUNT(P265:R265)=3,MIN(P265:R265)&gt;=0,P265&lt;=Q265,Q265&lt;=R265),P265/7*0.5+Q265/14*0.3+R265/30*0.2,"")</x:f>
        <x:v>0</x:v>
      </x:c>
      <x:c r="H265" s="10" t="n">
        <x:f>IF(ISNUMBER(U265),U265,"")</x:f>
        <x:v>0</x:v>
      </x:c>
      <x:c r="I265" s="10" t="n">
        <x:v>0</x:v>
      </x:c>
      <x:c r="J265" s="11" t="str">
        <x:f>IF(AND(Z265="共同",ISNUMBER(F265),ISNUMBER(M265)),F265-M265,"")</x:f>
      </x:c>
      <x:c r="K265" s="13" t="str">
        <x:f>IF(AND(ISNUMBER(J265),M265&lt;&gt;0),J265/M265,"")</x:f>
      </x:c>
      <x:c r="L265" s="10" t="str">
        <x:v>断货</x:v>
      </x:c>
      <x:c r="M265" s="11"/>
      <x:c r="N265" s="10" t="n">
        <x:f>IF(AND(Z265="共同",COUNT(H265:I265)=2),H265-I265,"")</x:f>
        <x:v>0</x:v>
      </x:c>
      <x:c r="O265" s="10" t="n">
        <x:v>0</x:v>
      </x:c>
      <x:c r="P265" s="10" t="n">
        <x:v>0</x:v>
      </x:c>
      <x:c r="Q265" s="10" t="n">
        <x:v>0</x:v>
      </x:c>
      <x:c r="R265" s="10" t="n">
        <x:v>0</x:v>
      </x:c>
      <x:c r="S265" s="10" t="n">
        <x:v>0</x:v>
      </x:c>
      <x:c r="T265" s="10" t="n">
        <x:v>0</x:v>
      </x:c>
      <x:c r="U265" s="10" t="n">
        <x:f>IF(AND(ISNUMBER(X265),X265&gt;=0,Y265&lt;&gt;1),X265,"")</x:f>
        <x:v>0</x:v>
      </x:c>
      <x:c r="V265" s="10" t="n">
        <x:v>0</x:v>
      </x:c>
      <x:c r="W265" s="10" t="n">
        <x:v>0</x:v>
      </x:c>
      <x:c r="X265" s="10" t="n">
        <x:v>0</x:v>
      </x:c>
      <x:c r="Y265" s="3" t="n">
        <x:v>0</x:v>
      </x:c>
      <x:c r="Z265" s="3" t="str">
        <x:v>共同</x:v>
      </x:c>
      <x:c r="AA265" s="3" t="str">
        <x:v>停售</x:v>
      </x:c>
      <x:c r="AB265" s="12" t="str">
        <x:f>IF(AND(Z265="共同",ISNUMBER(G265),ISNUMBER(AD265)),G265-AD265,"")</x:f>
      </x:c>
      <x:c r="AC265" s="3" t="str">
        <x:v>近90天SKU销量未匹配，未按0处理</x:v>
      </x:c>
      <x:c r="AD265" s="12"/>
      <x:c r="AE265" s="3" t="str">
        <x:v>[6574,"1S01-DB-41"]</x:v>
      </x:c>
      <x:c r="AF265" t="n">
        <x:f>IF(ISNUMBER(H265),1,0)</x:f>
        <x:v>1</x:v>
      </x:c>
      <x:c r="AG265" t="n">
        <x:f>IF(ISNUMBER(I265),1,0)</x:f>
        <x:v>1</x:v>
      </x:c>
      <x:c r="AH265" t="str">
        <x:v>["1S01","1S01-DB","DB","深米色"]</x:v>
      </x:c>
      <x:c r="AI265" t="n">
        <x:f>IF(ISNUMBER(G265),1,0)</x:f>
        <x:v>1</x:v>
      </x:c>
      <x:c r="AJ265" t="n">
        <x:f>IF(ISNUMBER(AD265),1,0)</x:f>
        <x:v>0</x:v>
      </x:c>
    </x:row>
    <x:row r="266" ht="30" customHeight="1">
      <x:c r="A266" s="3" t="str">
        <x:v>1S01-DB-41.5</x:v>
      </x:c>
      <x:c r="B266" s="3" t="str">
        <x:v>3店-SANDIEX-US</x:v>
      </x:c>
      <x:c r="C266" s="3" t="str">
        <x:v>徐新怡</x:v>
      </x:c>
      <x:c r="D266" s="3" t="str">
        <x:v>1S01</x:v>
      </x:c>
      <x:c r="E266" s="3" t="str">
        <x:f>IF(Z266="移出","已移出",IF(NOT(ISNUMBER(H266)),"数据待核",IF(H266=0,"断货",IF(NOT(ISNUMBER(G266)),"数据待核",IF(G266=0,"零日销待复核",IF(F266&lt;60,"补货提醒",IF(F266&lt;=90,"正常库存",IF(F266&lt;180,"促销",IF(F266&lt;=365,"红线促销","考虑清仓")))))))))</x:f>
        <x:v>断货</x:v>
      </x:c>
      <x:c r="F266" s="11" t="str">
        <x:f>IF(AND(ISNUMBER(H266),ISNUMBER(G266),G266&gt;0),H266/G266,"")</x:f>
      </x:c>
      <x:c r="G266" s="12" t="n">
        <x:f>IF(AND(COUNT(P266:R266)=3,MIN(P266:R266)&gt;=0,P266&lt;=Q266,Q266&lt;=R266),P266/7*0.5+Q266/14*0.3+R266/30*0.2,"")</x:f>
        <x:v>0</x:v>
      </x:c>
      <x:c r="H266" s="10" t="n">
        <x:f>IF(ISNUMBER(U266),U266,"")</x:f>
        <x:v>0</x:v>
      </x:c>
      <x:c r="I266" s="10"/>
      <x:c r="J266" s="11" t="str">
        <x:f>IF(AND(Z266="共同",ISNUMBER(F266),ISNUMBER(M266)),F266-M266,"")</x:f>
      </x:c>
      <x:c r="K266" s="13" t="str">
        <x:f>IF(AND(ISNUMBER(J266),M266&lt;&gt;0),J266/M266,"")</x:f>
      </x:c>
      <x:c r="L266" s="10"/>
      <x:c r="M266" s="11"/>
      <x:c r="N266" s="10" t="str">
        <x:f>IF(AND(Z266="共同",COUNT(H266:I266)=2),H266-I266,"")</x:f>
      </x:c>
      <x:c r="O266" s="10"/>
      <x:c r="P266" s="10" t="n">
        <x:v>0</x:v>
      </x:c>
      <x:c r="Q266" s="10" t="n">
        <x:v>0</x:v>
      </x:c>
      <x:c r="R266" s="10" t="n">
        <x:v>0</x:v>
      </x:c>
      <x:c r="S266" s="10" t="n">
        <x:v>0</x:v>
      </x:c>
      <x:c r="T266" s="10" t="n">
        <x:v>0</x:v>
      </x:c>
      <x:c r="U266" s="10" t="n">
        <x:f>IF(AND(ISNUMBER(X266),X266&gt;=0,Y266&lt;&gt;1),X266,"")</x:f>
        <x:v>0</x:v>
      </x:c>
      <x:c r="V266" s="10" t="n">
        <x:v>0</x:v>
      </x:c>
      <x:c r="W266" s="10" t="n">
        <x:v>0</x:v>
      </x:c>
      <x:c r="X266" s="10" t="n">
        <x:v>0</x:v>
      </x:c>
      <x:c r="Y266" s="3" t="n">
        <x:v>0</x:v>
      </x:c>
      <x:c r="Z266" s="3" t="str">
        <x:v>新增</x:v>
      </x:c>
      <x:c r="AA266" s="3" t="str">
        <x:v>停售</x:v>
      </x:c>
      <x:c r="AB266" s="12" t="str">
        <x:f>IF(AND(Z266="共同",ISNUMBER(G266),ISNUMBER(AD266)),G266-AD266,"")</x:f>
      </x:c>
      <x:c r="AC266" s="3" t="str">
        <x:v>近90天SKU销量未匹配，未按0处理</x:v>
      </x:c>
      <x:c r="AD266" s="12"/>
      <x:c r="AE266" s="3" t="str">
        <x:v>[6574,"1S01-DB-41.5"]</x:v>
      </x:c>
      <x:c r="AF266" t="n">
        <x:f>IF(ISNUMBER(H266),1,0)</x:f>
        <x:v>1</x:v>
      </x:c>
      <x:c r="AG266" t="n">
        <x:f>IF(ISNUMBER(I266),1,0)</x:f>
        <x:v>0</x:v>
      </x:c>
      <x:c r="AH266" t="str">
        <x:v>["1S01","1S01-DB","DB","深米色"]</x:v>
      </x:c>
      <x:c r="AI266" t="n">
        <x:f>IF(ISNUMBER(G266),1,0)</x:f>
        <x:v>1</x:v>
      </x:c>
      <x:c r="AJ266" t="n">
        <x:f>IF(ISNUMBER(AD266),1,0)</x:f>
        <x:v>0</x:v>
      </x:c>
    </x:row>
    <x:row r="267" ht="30" customHeight="1">
      <x:c r="A267" s="3" t="str">
        <x:v>1S01-DB-42</x:v>
      </x:c>
      <x:c r="B267" s="3" t="str">
        <x:v>3店-SANDIEX-US</x:v>
      </x:c>
      <x:c r="C267" s="3" t="str">
        <x:v>徐新怡</x:v>
      </x:c>
      <x:c r="D267" s="3" t="str">
        <x:v>1S01</x:v>
      </x:c>
      <x:c r="E267" s="3" t="str">
        <x:f>IF(Z267="移出","已移出",IF(NOT(ISNUMBER(H267)),"数据待核",IF(H267=0,"断货",IF(NOT(ISNUMBER(G267)),"数据待核",IF(G267=0,"零日销待复核",IF(F267&lt;60,"补货提醒",IF(F267&lt;=90,"正常库存",IF(F267&lt;180,"促销",IF(F267&lt;=365,"红线促销","考虑清仓")))))))))</x:f>
        <x:v>断货</x:v>
      </x:c>
      <x:c r="F267" s="11" t="str">
        <x:f>IF(AND(ISNUMBER(H267),ISNUMBER(G267),G267&gt;0),H267/G267,"")</x:f>
      </x:c>
      <x:c r="G267" s="12" t="n">
        <x:f>IF(AND(COUNT(P267:R267)=3,MIN(P267:R267)&gt;=0,P267&lt;=Q267,Q267&lt;=R267),P267/7*0.5+Q267/14*0.3+R267/30*0.2,"")</x:f>
        <x:v>0</x:v>
      </x:c>
      <x:c r="H267" s="10" t="n">
        <x:f>IF(ISNUMBER(U267),U267,"")</x:f>
        <x:v>0</x:v>
      </x:c>
      <x:c r="I267" s="10" t="n">
        <x:v>0</x:v>
      </x:c>
      <x:c r="J267" s="11" t="str">
        <x:f>IF(AND(Z267="共同",ISNUMBER(F267),ISNUMBER(M267)),F267-M267,"")</x:f>
      </x:c>
      <x:c r="K267" s="13" t="str">
        <x:f>IF(AND(ISNUMBER(J267),M267&lt;&gt;0),J267/M267,"")</x:f>
      </x:c>
      <x:c r="L267" s="10" t="str">
        <x:v>断货</x:v>
      </x:c>
      <x:c r="M267" s="11"/>
      <x:c r="N267" s="10" t="n">
        <x:f>IF(AND(Z267="共同",COUNT(H267:I267)=2),H267-I267,"")</x:f>
        <x:v>0</x:v>
      </x:c>
      <x:c r="O267" s="10" t="n">
        <x:v>0</x:v>
      </x:c>
      <x:c r="P267" s="10" t="n">
        <x:v>0</x:v>
      </x:c>
      <x:c r="Q267" s="10" t="n">
        <x:v>0</x:v>
      </x:c>
      <x:c r="R267" s="10" t="n">
        <x:v>0</x:v>
      </x:c>
      <x:c r="S267" s="10" t="n">
        <x:v>0</x:v>
      </x:c>
      <x:c r="T267" s="10" t="n">
        <x:v>0</x:v>
      </x:c>
      <x:c r="U267" s="10" t="n">
        <x:f>IF(AND(ISNUMBER(X267),X267&gt;=0,Y267&lt;&gt;1),X267,"")</x:f>
        <x:v>0</x:v>
      </x:c>
      <x:c r="V267" s="10" t="n">
        <x:v>0</x:v>
      </x:c>
      <x:c r="W267" s="10" t="n">
        <x:v>0</x:v>
      </x:c>
      <x:c r="X267" s="10" t="n">
        <x:v>0</x:v>
      </x:c>
      <x:c r="Y267" s="3" t="n">
        <x:v>0</x:v>
      </x:c>
      <x:c r="Z267" s="3" t="str">
        <x:v>共同</x:v>
      </x:c>
      <x:c r="AA267" s="3" t="str">
        <x:v>停售</x:v>
      </x:c>
      <x:c r="AB267" s="12" t="str">
        <x:f>IF(AND(Z267="共同",ISNUMBER(G267),ISNUMBER(AD267)),G267-AD267,"")</x:f>
      </x:c>
      <x:c r="AC267" s="3" t="str">
        <x:v>近90天SKU销量未匹配，未按0处理</x:v>
      </x:c>
      <x:c r="AD267" s="12"/>
      <x:c r="AE267" s="3" t="str">
        <x:v>[6574,"1S01-DB-42"]</x:v>
      </x:c>
      <x:c r="AF267" t="n">
        <x:f>IF(ISNUMBER(H267),1,0)</x:f>
        <x:v>1</x:v>
      </x:c>
      <x:c r="AG267" t="n">
        <x:f>IF(ISNUMBER(I267),1,0)</x:f>
        <x:v>1</x:v>
      </x:c>
      <x:c r="AH267" t="str">
        <x:v>["1S01","1S01-DB","DB","深米色"]</x:v>
      </x:c>
      <x:c r="AI267" t="n">
        <x:f>IF(ISNUMBER(G267),1,0)</x:f>
        <x:v>1</x:v>
      </x:c>
      <x:c r="AJ267" t="n">
        <x:f>IF(ISNUMBER(AD267),1,0)</x:f>
        <x:v>0</x:v>
      </x:c>
    </x:row>
    <x:row r="268" ht="30" customHeight="1">
      <x:c r="A268" s="3" t="str">
        <x:v>1S01-DPB-10</x:v>
      </x:c>
      <x:c r="B268" s="3" t="str">
        <x:v>3店-SANDIEX-US</x:v>
      </x:c>
      <x:c r="C268" s="3" t="str">
        <x:v>徐新怡</x:v>
      </x:c>
      <x:c r="D268" s="3" t="str">
        <x:v>1S01</x:v>
      </x:c>
      <x:c r="E268" s="3" t="str">
        <x:f>IF(Z268="移出","已移出",IF(NOT(ISNUMBER(H268)),"数据待核",IF(H268=0,"断货",IF(NOT(ISNUMBER(G268)),"数据待核",IF(G268=0,"零日销待复核",IF(F268&lt;60,"补货提醒",IF(F268&lt;=90,"正常库存",IF(F268&lt;180,"促销",IF(F268&lt;=365,"红线促销","考虑清仓")))))))))</x:f>
        <x:v>断货</x:v>
      </x:c>
      <x:c r="F268" s="11" t="str">
        <x:f>IF(AND(ISNUMBER(H268),ISNUMBER(G268),G268&gt;0),H268/G268,"")</x:f>
      </x:c>
      <x:c r="G268" s="12" t="n">
        <x:f>IF(AND(COUNT(P268:R268)=3,MIN(P268:R268)&gt;=0,P268&lt;=Q268,Q268&lt;=R268),P268/7*0.5+Q268/14*0.3+R268/30*0.2,"")</x:f>
        <x:v>0</x:v>
      </x:c>
      <x:c r="H268" s="10" t="n">
        <x:f>IF(ISNUMBER(U268),U268,"")</x:f>
        <x:v>0</x:v>
      </x:c>
      <x:c r="I268" s="10" t="n">
        <x:v>0</x:v>
      </x:c>
      <x:c r="J268" s="11" t="str">
        <x:f>IF(AND(Z268="共同",ISNUMBER(F268),ISNUMBER(M268)),F268-M268,"")</x:f>
      </x:c>
      <x:c r="K268" s="13" t="str">
        <x:f>IF(AND(ISNUMBER(J268),M268&lt;&gt;0),J268/M268,"")</x:f>
      </x:c>
      <x:c r="L268" s="10" t="str">
        <x:v>断货</x:v>
      </x:c>
      <x:c r="M268" s="11"/>
      <x:c r="N268" s="10" t="n">
        <x:f>IF(AND(Z268="共同",COUNT(H268:I268)=2),H268-I268,"")</x:f>
        <x:v>0</x:v>
      </x:c>
      <x:c r="O268" s="10" t="n">
        <x:v>20</x:v>
      </x:c>
      <x:c r="P268" s="10" t="n">
        <x:v>0</x:v>
      </x:c>
      <x:c r="Q268" s="10" t="n">
        <x:v>0</x:v>
      </x:c>
      <x:c r="R268" s="10" t="n">
        <x:v>0</x:v>
      </x:c>
      <x:c r="S268" s="10" t="n">
        <x:v>0</x:v>
      </x:c>
      <x:c r="T268" s="10" t="n">
        <x:v>0</x:v>
      </x:c>
      <x:c r="U268" s="10" t="n">
        <x:f>IF(AND(ISNUMBER(X268),X268&gt;=0,Y268&lt;&gt;1),X268,"")</x:f>
        <x:v>0</x:v>
      </x:c>
      <x:c r="V268" s="10" t="n">
        <x:v>0</x:v>
      </x:c>
      <x:c r="W268" s="10" t="n">
        <x:v>19</x:v>
      </x:c>
      <x:c r="X268" s="10" t="n">
        <x:v>0</x:v>
      </x:c>
      <x:c r="Y268" s="3" t="n">
        <x:v>0</x:v>
      </x:c>
      <x:c r="Z268" s="3" t="str">
        <x:v>共同</x:v>
      </x:c>
      <x:c r="AA268" s="3" t="str">
        <x:v>在售</x:v>
      </x:c>
      <x:c r="AB268" s="12" t="str">
        <x:f>IF(AND(Z268="共同",ISNUMBER(G268),ISNUMBER(AD268)),G268-AD268,"")</x:f>
      </x:c>
      <x:c r="AC268" s="3" t="str">
        <x:v>近90天SKU销量未匹配，未按0处理</x:v>
      </x:c>
      <x:c r="AD268" s="12"/>
      <x:c r="AE268" s="3" t="str">
        <x:v>[6574,"1S01-DPB-10"]</x:v>
      </x:c>
      <x:c r="AF268" t="n">
        <x:f>IF(ISNUMBER(H268),1,0)</x:f>
        <x:v>1</x:v>
      </x:c>
      <x:c r="AG268" t="n">
        <x:f>IF(ISNUMBER(I268),1,0)</x:f>
        <x:v>1</x:v>
      </x:c>
      <x:c r="AH268" t="str">
        <x:v>["1S01","1S01-DPB","DPB","米色"]</x:v>
      </x:c>
      <x:c r="AI268" t="n">
        <x:f>IF(ISNUMBER(G268),1,0)</x:f>
        <x:v>1</x:v>
      </x:c>
      <x:c r="AJ268" t="n">
        <x:f>IF(ISNUMBER(AD268),1,0)</x:f>
        <x:v>0</x:v>
      </x:c>
    </x:row>
    <x:row r="269" ht="30" customHeight="1">
      <x:c r="A269" s="3" t="str">
        <x:v>1S01-DPB-11</x:v>
      </x:c>
      <x:c r="B269" s="3" t="str">
        <x:v>3店-SANDIEX-US</x:v>
      </x:c>
      <x:c r="C269" s="3" t="str">
        <x:v>徐新怡</x:v>
      </x:c>
      <x:c r="D269" s="3" t="str">
        <x:v>1S01</x:v>
      </x:c>
      <x:c r="E269" s="3" t="str">
        <x:f>IF(Z269="移出","已移出",IF(NOT(ISNUMBER(H269)),"数据待核",IF(H269=0,"断货",IF(NOT(ISNUMBER(G269)),"数据待核",IF(G269=0,"零日销待复核",IF(F269&lt;60,"补货提醒",IF(F269&lt;=90,"正常库存",IF(F269&lt;180,"促销",IF(F269&lt;=365,"红线促销","考虑清仓")))))))))</x:f>
        <x:v>断货</x:v>
      </x:c>
      <x:c r="F269" s="11" t="n">
        <x:f>IF(AND(ISNUMBER(H269),ISNUMBER(G269),G269&gt;0),H269/G269,"")</x:f>
        <x:v>0</x:v>
      </x:c>
      <x:c r="G269" s="12" t="n">
        <x:f>IF(AND(COUNT(P269:R269)=3,MIN(P269:R269)&gt;=0,P269&lt;=Q269,Q269&lt;=R269),P269/7*0.5+Q269/14*0.3+R269/30*0.2,"")</x:f>
        <x:v>0.028095238095238093</x:v>
      </x:c>
      <x:c r="H269" s="10" t="n">
        <x:f>IF(ISNUMBER(U269),U269,"")</x:f>
        <x:v>0</x:v>
      </x:c>
      <x:c r="I269" s="10" t="n">
        <x:v>0</x:v>
      </x:c>
      <x:c r="J269" s="11" t="str">
        <x:f>IF(AND(Z269="共同",ISNUMBER(F269),ISNUMBER(M269)),F269-M269,"")</x:f>
      </x:c>
      <x:c r="K269" s="13" t="str">
        <x:f>IF(AND(ISNUMBER(J269),M269&lt;&gt;0),J269/M269,"")</x:f>
      </x:c>
      <x:c r="L269" s="10" t="str">
        <x:v>断货</x:v>
      </x:c>
      <x:c r="M269" s="11"/>
      <x:c r="N269" s="10" t="n">
        <x:f>IF(AND(Z269="共同",COUNT(H269:I269)=2),H269-I269,"")</x:f>
        <x:v>0</x:v>
      </x:c>
      <x:c r="O269" s="10" t="n">
        <x:v>20</x:v>
      </x:c>
      <x:c r="P269" s="10" t="n">
        <x:v>0</x:v>
      </x:c>
      <x:c r="Q269" s="10" t="n">
        <x:v>1</x:v>
      </x:c>
      <x:c r="R269" s="10" t="n">
        <x:v>1</x:v>
      </x:c>
      <x:c r="S269" s="10" t="n">
        <x:v>0</x:v>
      </x:c>
      <x:c r="T269" s="10" t="n">
        <x:v>0</x:v>
      </x:c>
      <x:c r="U269" s="10" t="n">
        <x:f>IF(AND(ISNUMBER(X269),X269&gt;=0,Y269&lt;&gt;1),X269,"")</x:f>
        <x:v>0</x:v>
      </x:c>
      <x:c r="V269" s="10" t="n">
        <x:v>0</x:v>
      </x:c>
      <x:c r="W269" s="10" t="n">
        <x:v>29</x:v>
      </x:c>
      <x:c r="X269" s="10" t="n">
        <x:v>0</x:v>
      </x:c>
      <x:c r="Y269" s="3" t="n">
        <x:v>0</x:v>
      </x:c>
      <x:c r="Z269" s="3" t="str">
        <x:v>共同</x:v>
      </x:c>
      <x:c r="AA269" s="3" t="str">
        <x:v>在售</x:v>
      </x:c>
      <x:c r="AB269" s="12" t="n">
        <x:f>IF(AND(Z269="共同",ISNUMBER(G269),ISNUMBER(AD269)),G269-AD269,"")</x:f>
        <x:v>0.028095238095238093</x:v>
      </x:c>
      <x:c r="AC269" s="3" t="str"/>
      <x:c r="AD269" s="12" t="n">
        <x:v>0</x:v>
      </x:c>
      <x:c r="AE269" s="3" t="str">
        <x:v>[6574,"1S01-DPB-11"]</x:v>
      </x:c>
      <x:c r="AF269" t="n">
        <x:f>IF(ISNUMBER(H269),1,0)</x:f>
        <x:v>1</x:v>
      </x:c>
      <x:c r="AG269" t="n">
        <x:f>IF(ISNUMBER(I269),1,0)</x:f>
        <x:v>1</x:v>
      </x:c>
      <x:c r="AH269" t="str">
        <x:v>["1S01","1S01-DPB","DPB","米色"]</x:v>
      </x:c>
      <x:c r="AI269" t="n">
        <x:f>IF(ISNUMBER(G269),1,0)</x:f>
        <x:v>1</x:v>
      </x:c>
      <x:c r="AJ269" t="n">
        <x:f>IF(ISNUMBER(AD269),1,0)</x:f>
        <x:v>1</x:v>
      </x:c>
    </x:row>
    <x:row r="270" ht="30" customHeight="1">
      <x:c r="A270" s="3" t="str">
        <x:v>1S01-DPB-38.5</x:v>
      </x:c>
      <x:c r="B270" s="3" t="str">
        <x:v>3店-SANDIEX-US</x:v>
      </x:c>
      <x:c r="C270" s="3" t="str">
        <x:v>徐新怡</x:v>
      </x:c>
      <x:c r="D270" s="3" t="str">
        <x:v>1S01</x:v>
      </x:c>
      <x:c r="E270" s="3" t="str">
        <x:f>IF(Z270="移出","已移出",IF(NOT(ISNUMBER(H270)),"数据待核",IF(H270=0,"断货",IF(NOT(ISNUMBER(G270)),"数据待核",IF(G270=0,"零日销待复核",IF(F270&lt;60,"补货提醒",IF(F270&lt;=90,"正常库存",IF(F270&lt;180,"促销",IF(F270&lt;=365,"红线促销","考虑清仓")))))))))</x:f>
        <x:v>断货</x:v>
      </x:c>
      <x:c r="F270" s="11" t="str">
        <x:f>IF(AND(ISNUMBER(H270),ISNUMBER(G270),G270&gt;0),H270/G270,"")</x:f>
      </x:c>
      <x:c r="G270" s="12" t="n">
        <x:f>IF(AND(COUNT(P270:R270)=3,MIN(P270:R270)&gt;=0,P270&lt;=Q270,Q270&lt;=R270),P270/7*0.5+Q270/14*0.3+R270/30*0.2,"")</x:f>
        <x:v>0</x:v>
      </x:c>
      <x:c r="H270" s="10" t="n">
        <x:f>IF(ISNUMBER(U270),U270,"")</x:f>
        <x:v>0</x:v>
      </x:c>
      <x:c r="I270" s="10"/>
      <x:c r="J270" s="11" t="str">
        <x:f>IF(AND(Z270="共同",ISNUMBER(F270),ISNUMBER(M270)),F270-M270,"")</x:f>
      </x:c>
      <x:c r="K270" s="13" t="str">
        <x:f>IF(AND(ISNUMBER(J270),M270&lt;&gt;0),J270/M270,"")</x:f>
      </x:c>
      <x:c r="L270" s="10"/>
      <x:c r="M270" s="11"/>
      <x:c r="N270" s="10" t="str">
        <x:f>IF(AND(Z270="共同",COUNT(H270:I270)=2),H270-I270,"")</x:f>
      </x:c>
      <x:c r="O270" s="10"/>
      <x:c r="P270" s="10" t="n">
        <x:v>0</x:v>
      </x:c>
      <x:c r="Q270" s="10" t="n">
        <x:v>0</x:v>
      </x:c>
      <x:c r="R270" s="10" t="n">
        <x:v>0</x:v>
      </x:c>
      <x:c r="S270" s="10" t="n">
        <x:v>0</x:v>
      </x:c>
      <x:c r="T270" s="10" t="n">
        <x:v>0</x:v>
      </x:c>
      <x:c r="U270" s="10" t="n">
        <x:f>IF(AND(ISNUMBER(X270),X270&gt;=0,Y270&lt;&gt;1),X270,"")</x:f>
        <x:v>0</x:v>
      </x:c>
      <x:c r="V270" s="10" t="n">
        <x:v>0</x:v>
      </x:c>
      <x:c r="W270" s="10" t="n">
        <x:v>0</x:v>
      </x:c>
      <x:c r="X270" s="10" t="n">
        <x:v>0</x:v>
      </x:c>
      <x:c r="Y270" s="3" t="n">
        <x:v>0</x:v>
      </x:c>
      <x:c r="Z270" s="3" t="str">
        <x:v>新增</x:v>
      </x:c>
      <x:c r="AA270" s="3" t="str">
        <x:v>停售</x:v>
      </x:c>
      <x:c r="AB270" s="12" t="str">
        <x:f>IF(AND(Z270="共同",ISNUMBER(G270),ISNUMBER(AD270)),G270-AD270,"")</x:f>
      </x:c>
      <x:c r="AC270" s="3" t="str">
        <x:v>近90天SKU销量未匹配，未按0处理</x:v>
      </x:c>
      <x:c r="AD270" s="12"/>
      <x:c r="AE270" s="3" t="str">
        <x:v>[6574,"1S01-DPB-38.5"]</x:v>
      </x:c>
      <x:c r="AF270" t="n">
        <x:f>IF(ISNUMBER(H270),1,0)</x:f>
        <x:v>1</x:v>
      </x:c>
      <x:c r="AG270" t="n">
        <x:f>IF(ISNUMBER(I270),1,0)</x:f>
        <x:v>0</x:v>
      </x:c>
      <x:c r="AH270" t="str">
        <x:v>["1S01","1S01-DPB","DPB","米色"]</x:v>
      </x:c>
      <x:c r="AI270" t="n">
        <x:f>IF(ISNUMBER(G270),1,0)</x:f>
        <x:v>1</x:v>
      </x:c>
      <x:c r="AJ270" t="n">
        <x:f>IF(ISNUMBER(AD270),1,0)</x:f>
        <x:v>0</x:v>
      </x:c>
    </x:row>
    <x:row r="271" ht="30" customHeight="1">
      <x:c r="A271" s="3" t="str">
        <x:v>1S01-DPB-39.5</x:v>
      </x:c>
      <x:c r="B271" s="3" t="str">
        <x:v>3店-SANDIEX-US</x:v>
      </x:c>
      <x:c r="C271" s="3" t="str">
        <x:v>徐新怡</x:v>
      </x:c>
      <x:c r="D271" s="3" t="str">
        <x:v>1S01</x:v>
      </x:c>
      <x:c r="E271" s="3" t="str">
        <x:f>IF(Z271="移出","已移出",IF(NOT(ISNUMBER(H271)),"数据待核",IF(H271=0,"断货",IF(NOT(ISNUMBER(G271)),"数据待核",IF(G271=0,"零日销待复核",IF(F271&lt;60,"补货提醒",IF(F271&lt;=90,"正常库存",IF(F271&lt;180,"促销",IF(F271&lt;=365,"红线促销","考虑清仓")))))))))</x:f>
        <x:v>断货</x:v>
      </x:c>
      <x:c r="F271" s="11" t="str">
        <x:f>IF(AND(ISNUMBER(H271),ISNUMBER(G271),G271&gt;0),H271/G271,"")</x:f>
      </x:c>
      <x:c r="G271" s="12" t="n">
        <x:f>IF(AND(COUNT(P271:R271)=3,MIN(P271:R271)&gt;=0,P271&lt;=Q271,Q271&lt;=R271),P271/7*0.5+Q271/14*0.3+R271/30*0.2,"")</x:f>
        <x:v>0</x:v>
      </x:c>
      <x:c r="H271" s="10" t="n">
        <x:f>IF(ISNUMBER(U271),U271,"")</x:f>
        <x:v>0</x:v>
      </x:c>
      <x:c r="I271" s="10"/>
      <x:c r="J271" s="11" t="str">
        <x:f>IF(AND(Z271="共同",ISNUMBER(F271),ISNUMBER(M271)),F271-M271,"")</x:f>
      </x:c>
      <x:c r="K271" s="13" t="str">
        <x:f>IF(AND(ISNUMBER(J271),M271&lt;&gt;0),J271/M271,"")</x:f>
      </x:c>
      <x:c r="L271" s="10"/>
      <x:c r="M271" s="11"/>
      <x:c r="N271" s="10" t="str">
        <x:f>IF(AND(Z271="共同",COUNT(H271:I271)=2),H271-I271,"")</x:f>
      </x:c>
      <x:c r="O271" s="10" t="n">
        <x:v>0</x:v>
      </x:c>
      <x:c r="P271" s="10" t="n">
        <x:v>0</x:v>
      </x:c>
      <x:c r="Q271" s="10" t="n">
        <x:v>0</x:v>
      </x:c>
      <x:c r="R271" s="10" t="n">
        <x:v>0</x:v>
      </x:c>
      <x:c r="S271" s="10" t="n">
        <x:v>0</x:v>
      </x:c>
      <x:c r="T271" s="10" t="n">
        <x:v>0</x:v>
      </x:c>
      <x:c r="U271" s="10" t="n">
        <x:f>IF(AND(ISNUMBER(X271),X271&gt;=0,Y271&lt;&gt;1),X271,"")</x:f>
        <x:v>0</x:v>
      </x:c>
      <x:c r="V271" s="10" t="n">
        <x:v>0</x:v>
      </x:c>
      <x:c r="W271" s="10" t="n">
        <x:v>0</x:v>
      </x:c>
      <x:c r="X271" s="10" t="n">
        <x:v>0</x:v>
      </x:c>
      <x:c r="Y271" s="3" t="n">
        <x:v>0</x:v>
      </x:c>
      <x:c r="Z271" s="3" t="str">
        <x:v>新增</x:v>
      </x:c>
      <x:c r="AA271" s="3" t="str">
        <x:v>停售</x:v>
      </x:c>
      <x:c r="AB271" s="12" t="str">
        <x:f>IF(AND(Z271="共同",ISNUMBER(G271),ISNUMBER(AD271)),G271-AD271,"")</x:f>
      </x:c>
      <x:c r="AC271" s="3" t="str">
        <x:v>近90天SKU销量未匹配，未按0处理</x:v>
      </x:c>
      <x:c r="AD271" s="12"/>
      <x:c r="AE271" s="3" t="str">
        <x:v>[6574,"1S01-DPB-39.5"]</x:v>
      </x:c>
      <x:c r="AF271" t="n">
        <x:f>IF(ISNUMBER(H271),1,0)</x:f>
        <x:v>1</x:v>
      </x:c>
      <x:c r="AG271" t="n">
        <x:f>IF(ISNUMBER(I271),1,0)</x:f>
        <x:v>0</x:v>
      </x:c>
      <x:c r="AH271" t="str">
        <x:v>["1S01","1S01-DPB","DPB","米色"]</x:v>
      </x:c>
      <x:c r="AI271" t="n">
        <x:f>IF(ISNUMBER(G271),1,0)</x:f>
        <x:v>1</x:v>
      </x:c>
      <x:c r="AJ271" t="n">
        <x:f>IF(ISNUMBER(AD271),1,0)</x:f>
        <x:v>0</x:v>
      </x:c>
    </x:row>
    <x:row r="272" ht="30" customHeight="1">
      <x:c r="A272" s="3" t="str">
        <x:v>1S01-DPB-40.5</x:v>
      </x:c>
      <x:c r="B272" s="3" t="str">
        <x:v>3店-SANDIEX-US</x:v>
      </x:c>
      <x:c r="C272" s="3" t="str">
        <x:v>徐新怡</x:v>
      </x:c>
      <x:c r="D272" s="3" t="str">
        <x:v>1S01</x:v>
      </x:c>
      <x:c r="E272" s="3" t="str">
        <x:f>IF(Z272="移出","已移出",IF(NOT(ISNUMBER(H272)),"数据待核",IF(H272=0,"断货",IF(NOT(ISNUMBER(G272)),"数据待核",IF(G272=0,"零日销待复核",IF(F272&lt;60,"补货提醒",IF(F272&lt;=90,"正常库存",IF(F272&lt;180,"促销",IF(F272&lt;=365,"红线促销","考虑清仓")))))))))</x:f>
        <x:v>断货</x:v>
      </x:c>
      <x:c r="F272" s="11" t="str">
        <x:f>IF(AND(ISNUMBER(H272),ISNUMBER(G272),G272&gt;0),H272/G272,"")</x:f>
      </x:c>
      <x:c r="G272" s="12" t="n">
        <x:f>IF(AND(COUNT(P272:R272)=3,MIN(P272:R272)&gt;=0,P272&lt;=Q272,Q272&lt;=R272),P272/7*0.5+Q272/14*0.3+R272/30*0.2,"")</x:f>
        <x:v>0</x:v>
      </x:c>
      <x:c r="H272" s="10" t="n">
        <x:f>IF(ISNUMBER(U272),U272,"")</x:f>
        <x:v>0</x:v>
      </x:c>
      <x:c r="I272" s="10"/>
      <x:c r="J272" s="11" t="str">
        <x:f>IF(AND(Z272="共同",ISNUMBER(F272),ISNUMBER(M272)),F272-M272,"")</x:f>
      </x:c>
      <x:c r="K272" s="13" t="str">
        <x:f>IF(AND(ISNUMBER(J272),M272&lt;&gt;0),J272/M272,"")</x:f>
      </x:c>
      <x:c r="L272" s="10"/>
      <x:c r="M272" s="11"/>
      <x:c r="N272" s="10" t="str">
        <x:f>IF(AND(Z272="共同",COUNT(H272:I272)=2),H272-I272,"")</x:f>
      </x:c>
      <x:c r="O272" s="10"/>
      <x:c r="P272" s="10" t="n">
        <x:v>0</x:v>
      </x:c>
      <x:c r="Q272" s="10" t="n">
        <x:v>0</x:v>
      </x:c>
      <x:c r="R272" s="10" t="n">
        <x:v>0</x:v>
      </x:c>
      <x:c r="S272" s="10" t="n">
        <x:v>0</x:v>
      </x:c>
      <x:c r="T272" s="10" t="n">
        <x:v>0</x:v>
      </x:c>
      <x:c r="U272" s="10" t="n">
        <x:f>IF(AND(ISNUMBER(X272),X272&gt;=0,Y272&lt;&gt;1),X272,"")</x:f>
        <x:v>0</x:v>
      </x:c>
      <x:c r="V272" s="10" t="n">
        <x:v>0</x:v>
      </x:c>
      <x:c r="W272" s="10" t="n">
        <x:v>0</x:v>
      </x:c>
      <x:c r="X272" s="10" t="n">
        <x:v>0</x:v>
      </x:c>
      <x:c r="Y272" s="3" t="n">
        <x:v>0</x:v>
      </x:c>
      <x:c r="Z272" s="3" t="str">
        <x:v>新增</x:v>
      </x:c>
      <x:c r="AA272" s="3" t="str">
        <x:v>停售</x:v>
      </x:c>
      <x:c r="AB272" s="12" t="str">
        <x:f>IF(AND(Z272="共同",ISNUMBER(G272),ISNUMBER(AD272)),G272-AD272,"")</x:f>
      </x:c>
      <x:c r="AC272" s="3" t="str">
        <x:v>近90天SKU销量未匹配，未按0处理</x:v>
      </x:c>
      <x:c r="AD272" s="12"/>
      <x:c r="AE272" s="3" t="str">
        <x:v>[6574,"1S01-DPB-40.5"]</x:v>
      </x:c>
      <x:c r="AF272" t="n">
        <x:f>IF(ISNUMBER(H272),1,0)</x:f>
        <x:v>1</x:v>
      </x:c>
      <x:c r="AG272" t="n">
        <x:f>IF(ISNUMBER(I272),1,0)</x:f>
        <x:v>0</x:v>
      </x:c>
      <x:c r="AH272" t="str">
        <x:v>["1S01","1S01-DPB","DPB","米色"]</x:v>
      </x:c>
      <x:c r="AI272" t="n">
        <x:f>IF(ISNUMBER(G272),1,0)</x:f>
        <x:v>1</x:v>
      </x:c>
      <x:c r="AJ272" t="n">
        <x:f>IF(ISNUMBER(AD272),1,0)</x:f>
        <x:v>0</x:v>
      </x:c>
    </x:row>
    <x:row r="273" ht="30" customHeight="1">
      <x:c r="A273" s="3" t="str">
        <x:v>1S01-DPB-41.5</x:v>
      </x:c>
      <x:c r="B273" s="3" t="str">
        <x:v>3店-SANDIEX-US</x:v>
      </x:c>
      <x:c r="C273" s="3" t="str">
        <x:v>徐新怡</x:v>
      </x:c>
      <x:c r="D273" s="3" t="str">
        <x:v>1S01</x:v>
      </x:c>
      <x:c r="E273" s="3" t="str">
        <x:f>IF(Z273="移出","已移出",IF(NOT(ISNUMBER(H273)),"数据待核",IF(H273=0,"断货",IF(NOT(ISNUMBER(G273)),"数据待核",IF(G273=0,"零日销待复核",IF(F273&lt;60,"补货提醒",IF(F273&lt;=90,"正常库存",IF(F273&lt;180,"促销",IF(F273&lt;=365,"红线促销","考虑清仓")))))))))</x:f>
        <x:v>断货</x:v>
      </x:c>
      <x:c r="F273" s="11" t="str">
        <x:f>IF(AND(ISNUMBER(H273),ISNUMBER(G273),G273&gt;0),H273/G273,"")</x:f>
      </x:c>
      <x:c r="G273" s="12" t="n">
        <x:f>IF(AND(COUNT(P273:R273)=3,MIN(P273:R273)&gt;=0,P273&lt;=Q273,Q273&lt;=R273),P273/7*0.5+Q273/14*0.3+R273/30*0.2,"")</x:f>
        <x:v>0</x:v>
      </x:c>
      <x:c r="H273" s="10" t="n">
        <x:f>IF(ISNUMBER(U273),U273,"")</x:f>
        <x:v>0</x:v>
      </x:c>
      <x:c r="I273" s="10"/>
      <x:c r="J273" s="11" t="str">
        <x:f>IF(AND(Z273="共同",ISNUMBER(F273),ISNUMBER(M273)),F273-M273,"")</x:f>
      </x:c>
      <x:c r="K273" s="13" t="str">
        <x:f>IF(AND(ISNUMBER(J273),M273&lt;&gt;0),J273/M273,"")</x:f>
      </x:c>
      <x:c r="L273" s="10"/>
      <x:c r="M273" s="11"/>
      <x:c r="N273" s="10" t="str">
        <x:f>IF(AND(Z273="共同",COUNT(H273:I273)=2),H273-I273,"")</x:f>
      </x:c>
      <x:c r="O273" s="10"/>
      <x:c r="P273" s="10" t="n">
        <x:v>0</x:v>
      </x:c>
      <x:c r="Q273" s="10" t="n">
        <x:v>0</x:v>
      </x:c>
      <x:c r="R273" s="10" t="n">
        <x:v>0</x:v>
      </x:c>
      <x:c r="S273" s="10" t="n">
        <x:v>0</x:v>
      </x:c>
      <x:c r="T273" s="10" t="n">
        <x:v>0</x:v>
      </x:c>
      <x:c r="U273" s="10" t="n">
        <x:f>IF(AND(ISNUMBER(X273),X273&gt;=0,Y273&lt;&gt;1),X273,"")</x:f>
        <x:v>0</x:v>
      </x:c>
      <x:c r="V273" s="10" t="n">
        <x:v>0</x:v>
      </x:c>
      <x:c r="W273" s="10" t="n">
        <x:v>0</x:v>
      </x:c>
      <x:c r="X273" s="10" t="n">
        <x:v>0</x:v>
      </x:c>
      <x:c r="Y273" s="3" t="n">
        <x:v>0</x:v>
      </x:c>
      <x:c r="Z273" s="3" t="str">
        <x:v>新增</x:v>
      </x:c>
      <x:c r="AA273" s="3" t="str">
        <x:v>停售</x:v>
      </x:c>
      <x:c r="AB273" s="12" t="str">
        <x:f>IF(AND(Z273="共同",ISNUMBER(G273),ISNUMBER(AD273)),G273-AD273,"")</x:f>
      </x:c>
      <x:c r="AC273" s="3" t="str">
        <x:v>近90天SKU销量未匹配，未按0处理</x:v>
      </x:c>
      <x:c r="AD273" s="12"/>
      <x:c r="AE273" s="3" t="str">
        <x:v>[6574,"1S01-DPB-41.5"]</x:v>
      </x:c>
      <x:c r="AF273" t="n">
        <x:f>IF(ISNUMBER(H273),1,0)</x:f>
        <x:v>1</x:v>
      </x:c>
      <x:c r="AG273" t="n">
        <x:f>IF(ISNUMBER(I273),1,0)</x:f>
        <x:v>0</x:v>
      </x:c>
      <x:c r="AH273" t="str">
        <x:v>["1S01","1S01-DPB","DPB","米色"]</x:v>
      </x:c>
      <x:c r="AI273" t="n">
        <x:f>IF(ISNUMBER(G273),1,0)</x:f>
        <x:v>1</x:v>
      </x:c>
      <x:c r="AJ273" t="n">
        <x:f>IF(ISNUMBER(AD273),1,0)</x:f>
        <x:v>0</x:v>
      </x:c>
    </x:row>
    <x:row r="274" ht="30" customHeight="1">
      <x:c r="A274" s="3" t="str">
        <x:v>1S01-DPB-5</x:v>
      </x:c>
      <x:c r="B274" s="3" t="str">
        <x:v>3店-SANDIEX-US</x:v>
      </x:c>
      <x:c r="C274" s="3" t="str">
        <x:v>徐新怡</x:v>
      </x:c>
      <x:c r="D274" s="3" t="str">
        <x:v>1S01</x:v>
      </x:c>
      <x:c r="E274" s="3" t="str">
        <x:f>IF(Z274="移出","已移出",IF(NOT(ISNUMBER(H274)),"数据待核",IF(H274=0,"断货",IF(NOT(ISNUMBER(G274)),"数据待核",IF(G274=0,"零日销待复核",IF(F274&lt;60,"补货提醒",IF(F274&lt;=90,"正常库存",IF(F274&lt;180,"促销",IF(F274&lt;=365,"红线促销","考虑清仓")))))))))</x:f>
        <x:v>断货</x:v>
      </x:c>
      <x:c r="F274" s="11" t="str">
        <x:f>IF(AND(ISNUMBER(H274),ISNUMBER(G274),G274&gt;0),H274/G274,"")</x:f>
      </x:c>
      <x:c r="G274" s="12" t="n">
        <x:f>IF(AND(COUNT(P274:R274)=3,MIN(P274:R274)&gt;=0,P274&lt;=Q274,Q274&lt;=R274),P274/7*0.5+Q274/14*0.3+R274/30*0.2,"")</x:f>
        <x:v>0</x:v>
      </x:c>
      <x:c r="H274" s="10" t="n">
        <x:f>IF(ISNUMBER(U274),U274,"")</x:f>
        <x:v>0</x:v>
      </x:c>
      <x:c r="I274" s="10"/>
      <x:c r="J274" s="11" t="str">
        <x:f>IF(AND(Z274="共同",ISNUMBER(F274),ISNUMBER(M274)),F274-M274,"")</x:f>
      </x:c>
      <x:c r="K274" s="13" t="str">
        <x:f>IF(AND(ISNUMBER(J274),M274&lt;&gt;0),J274/M274,"")</x:f>
      </x:c>
      <x:c r="L274" s="10"/>
      <x:c r="M274" s="11"/>
      <x:c r="N274" s="10" t="str">
        <x:f>IF(AND(Z274="共同",COUNT(H274:I274)=2),H274-I274,"")</x:f>
      </x:c>
      <x:c r="O274" s="10"/>
      <x:c r="P274" s="10" t="n">
        <x:v>0</x:v>
      </x:c>
      <x:c r="Q274" s="10" t="n">
        <x:v>0</x:v>
      </x:c>
      <x:c r="R274" s="10" t="n">
        <x:v>0</x:v>
      </x:c>
      <x:c r="S274" s="10" t="n">
        <x:v>0</x:v>
      </x:c>
      <x:c r="T274" s="10" t="n">
        <x:v>0</x:v>
      </x:c>
      <x:c r="U274" s="10" t="n">
        <x:f>IF(AND(ISNUMBER(X274),X274&gt;=0,Y274&lt;&gt;1),X274,"")</x:f>
        <x:v>0</x:v>
      </x:c>
      <x:c r="V274" s="10" t="n">
        <x:v>0</x:v>
      </x:c>
      <x:c r="W274" s="10" t="n">
        <x:v>0</x:v>
      </x:c>
      <x:c r="X274" s="10" t="n">
        <x:v>0</x:v>
      </x:c>
      <x:c r="Y274" s="3" t="n">
        <x:v>0</x:v>
      </x:c>
      <x:c r="Z274" s="3" t="str">
        <x:v>新增</x:v>
      </x:c>
      <x:c r="AA274" s="3" t="str">
        <x:v>停售</x:v>
      </x:c>
      <x:c r="AB274" s="12" t="str">
        <x:f>IF(AND(Z274="共同",ISNUMBER(G274),ISNUMBER(AD274)),G274-AD274,"")</x:f>
      </x:c>
      <x:c r="AC274" s="3" t="str">
        <x:v>近90天SKU销量未匹配，未按0处理</x:v>
      </x:c>
      <x:c r="AD274" s="12"/>
      <x:c r="AE274" s="3" t="str">
        <x:v>[6574,"1S01-DPB-5"]</x:v>
      </x:c>
      <x:c r="AF274" t="n">
        <x:f>IF(ISNUMBER(H274),1,0)</x:f>
        <x:v>1</x:v>
      </x:c>
      <x:c r="AG274" t="n">
        <x:f>IF(ISNUMBER(I274),1,0)</x:f>
        <x:v>0</x:v>
      </x:c>
      <x:c r="AH274" t="str">
        <x:v>["1S01","1S01-DPB","DPB","米色"]</x:v>
      </x:c>
      <x:c r="AI274" t="n">
        <x:f>IF(ISNUMBER(G274),1,0)</x:f>
        <x:v>1</x:v>
      </x:c>
      <x:c r="AJ274" t="n">
        <x:f>IF(ISNUMBER(AD274),1,0)</x:f>
        <x:v>0</x:v>
      </x:c>
    </x:row>
    <x:row r="275" ht="30" customHeight="1">
      <x:c r="A275" s="3" t="str">
        <x:v>1S01-DPB-6</x:v>
      </x:c>
      <x:c r="B275" s="3" t="str">
        <x:v>3店-SANDIEX-US</x:v>
      </x:c>
      <x:c r="C275" s="3" t="str">
        <x:v>徐新怡</x:v>
      </x:c>
      <x:c r="D275" s="3" t="str">
        <x:v>1S01</x:v>
      </x:c>
      <x:c r="E275" s="3" t="str">
        <x:f>IF(Z275="移出","已移出",IF(NOT(ISNUMBER(H275)),"数据待核",IF(H275=0,"断货",IF(NOT(ISNUMBER(G275)),"数据待核",IF(G275=0,"零日销待复核",IF(F275&lt;60,"补货提醒",IF(F275&lt;=90,"正常库存",IF(F275&lt;180,"促销",IF(F275&lt;=365,"红线促销","考虑清仓")))))))))</x:f>
        <x:v>断货</x:v>
      </x:c>
      <x:c r="F275" s="11" t="str">
        <x:f>IF(AND(ISNUMBER(H275),ISNUMBER(G275),G275&gt;0),H275/G275,"")</x:f>
      </x:c>
      <x:c r="G275" s="12" t="n">
        <x:f>IF(AND(COUNT(P275:R275)=3,MIN(P275:R275)&gt;=0,P275&lt;=Q275,Q275&lt;=R275),P275/7*0.5+Q275/14*0.3+R275/30*0.2,"")</x:f>
        <x:v>0</x:v>
      </x:c>
      <x:c r="H275" s="10" t="n">
        <x:f>IF(ISNUMBER(U275),U275,"")</x:f>
        <x:v>0</x:v>
      </x:c>
      <x:c r="I275" s="10" t="n">
        <x:v>0</x:v>
      </x:c>
      <x:c r="J275" s="11" t="str">
        <x:f>IF(AND(Z275="共同",ISNUMBER(F275),ISNUMBER(M275)),F275-M275,"")</x:f>
      </x:c>
      <x:c r="K275" s="13" t="str">
        <x:f>IF(AND(ISNUMBER(J275),M275&lt;&gt;0),J275/M275,"")</x:f>
      </x:c>
      <x:c r="L275" s="10" t="str">
        <x:v>断货</x:v>
      </x:c>
      <x:c r="M275" s="11"/>
      <x:c r="N275" s="10" t="n">
        <x:f>IF(AND(Z275="共同",COUNT(H275:I275)=2),H275-I275,"")</x:f>
        <x:v>0</x:v>
      </x:c>
      <x:c r="O275" s="10" t="n">
        <x:v>0</x:v>
      </x:c>
      <x:c r="P275" s="10" t="n">
        <x:v>0</x:v>
      </x:c>
      <x:c r="Q275" s="10" t="n">
        <x:v>0</x:v>
      </x:c>
      <x:c r="R275" s="10" t="n">
        <x:v>0</x:v>
      </x:c>
      <x:c r="S275" s="10" t="n">
        <x:v>0</x:v>
      </x:c>
      <x:c r="T275" s="10" t="n">
        <x:v>0</x:v>
      </x:c>
      <x:c r="U275" s="10" t="n">
        <x:f>IF(AND(ISNUMBER(X275),X275&gt;=0,Y275&lt;&gt;1),X275,"")</x:f>
        <x:v>0</x:v>
      </x:c>
      <x:c r="V275" s="10" t="n">
        <x:v>0</x:v>
      </x:c>
      <x:c r="W275" s="10" t="n">
        <x:v>19</x:v>
      </x:c>
      <x:c r="X275" s="10" t="n">
        <x:v>0</x:v>
      </x:c>
      <x:c r="Y275" s="3" t="n">
        <x:v>0</x:v>
      </x:c>
      <x:c r="Z275" s="3" t="str">
        <x:v>共同</x:v>
      </x:c>
      <x:c r="AA275" s="3" t="str">
        <x:v>在售</x:v>
      </x:c>
      <x:c r="AB275" s="12" t="str">
        <x:f>IF(AND(Z275="共同",ISNUMBER(G275),ISNUMBER(AD275)),G275-AD275,"")</x:f>
      </x:c>
      <x:c r="AC275" s="3" t="str">
        <x:v>近90天SKU销量未匹配，未按0处理</x:v>
      </x:c>
      <x:c r="AD275" s="12"/>
      <x:c r="AE275" s="3" t="str">
        <x:v>[6574,"1S01-DPB-6"]</x:v>
      </x:c>
      <x:c r="AF275" t="n">
        <x:f>IF(ISNUMBER(H275),1,0)</x:f>
        <x:v>1</x:v>
      </x:c>
      <x:c r="AG275" t="n">
        <x:f>IF(ISNUMBER(I275),1,0)</x:f>
        <x:v>1</x:v>
      </x:c>
      <x:c r="AH275" t="str">
        <x:v>["1S01","1S01-DPB","DPB","米色"]</x:v>
      </x:c>
      <x:c r="AI275" t="n">
        <x:f>IF(ISNUMBER(G275),1,0)</x:f>
        <x:v>1</x:v>
      </x:c>
      <x:c r="AJ275" t="n">
        <x:f>IF(ISNUMBER(AD275),1,0)</x:f>
        <x:v>0</x:v>
      </x:c>
    </x:row>
    <x:row r="276" ht="30" customHeight="1">
      <x:c r="A276" s="3" t="str">
        <x:v>1S01-DPB-8</x:v>
      </x:c>
      <x:c r="B276" s="3" t="str">
        <x:v>3店-SANDIEX-US</x:v>
      </x:c>
      <x:c r="C276" s="3" t="str">
        <x:v>徐新怡</x:v>
      </x:c>
      <x:c r="D276" s="3" t="str">
        <x:v>1S01</x:v>
      </x:c>
      <x:c r="E276" s="3" t="str">
        <x:f>IF(Z276="移出","已移出",IF(NOT(ISNUMBER(H276)),"数据待核",IF(H276=0,"断货",IF(NOT(ISNUMBER(G276)),"数据待核",IF(G276=0,"零日销待复核",IF(F276&lt;60,"补货提醒",IF(F276&lt;=90,"正常库存",IF(F276&lt;180,"促销",IF(F276&lt;=365,"红线促销","考虑清仓")))))))))</x:f>
        <x:v>断货</x:v>
      </x:c>
      <x:c r="F276" s="11" t="n">
        <x:f>IF(AND(ISNUMBER(H276),ISNUMBER(G276),G276&gt;0),H276/G276,"")</x:f>
        <x:v>0</x:v>
      </x:c>
      <x:c r="G276" s="12" t="n">
        <x:f>IF(AND(COUNT(P276:R276)=3,MIN(P276:R276)&gt;=0,P276&lt;=Q276,Q276&lt;=R276),P276/7*0.5+Q276/14*0.3+R276/30*0.2,"")</x:f>
        <x:v>0.041428571428571426</x:v>
      </x:c>
      <x:c r="H276" s="10" t="n">
        <x:f>IF(ISNUMBER(U276),U276,"")</x:f>
        <x:v>0</x:v>
      </x:c>
      <x:c r="I276" s="10" t="n">
        <x:v>0</x:v>
      </x:c>
      <x:c r="J276" s="11" t="n">
        <x:f>IF(AND(Z276="共同",ISNUMBER(F276),ISNUMBER(M276)),F276-M276,"")</x:f>
        <x:v>0</x:v>
      </x:c>
      <x:c r="K276" s="13" t="str">
        <x:f>IF(AND(ISNUMBER(J276),M276&lt;&gt;0),J276/M276,"")</x:f>
      </x:c>
      <x:c r="L276" s="10" t="str">
        <x:v>断货</x:v>
      </x:c>
      <x:c r="M276" s="11" t="n">
        <x:v>0</x:v>
      </x:c>
      <x:c r="N276" s="10" t="n">
        <x:f>IF(AND(Z276="共同",COUNT(H276:I276)=2),H276-I276,"")</x:f>
        <x:v>0</x:v>
      </x:c>
      <x:c r="O276" s="10" t="n">
        <x:v>37</x:v>
      </x:c>
      <x:c r="P276" s="10" t="n">
        <x:v>0</x:v>
      </x:c>
      <x:c r="Q276" s="10" t="n">
        <x:v>1</x:v>
      </x:c>
      <x:c r="R276" s="10" t="n">
        <x:v>3</x:v>
      </x:c>
      <x:c r="S276" s="10" t="n">
        <x:v>0</x:v>
      </x:c>
      <x:c r="T276" s="10" t="n">
        <x:v>0</x:v>
      </x:c>
      <x:c r="U276" s="10" t="n">
        <x:f>IF(AND(ISNUMBER(X276),X276&gt;=0,Y276&lt;&gt;1),X276,"")</x:f>
        <x:v>0</x:v>
      </x:c>
      <x:c r="V276" s="10" t="n">
        <x:v>0</x:v>
      </x:c>
      <x:c r="W276" s="10" t="n">
        <x:v>50</x:v>
      </x:c>
      <x:c r="X276" s="10" t="n">
        <x:v>0</x:v>
      </x:c>
      <x:c r="Y276" s="3" t="n">
        <x:v>0</x:v>
      </x:c>
      <x:c r="Z276" s="3" t="str">
        <x:v>共同</x:v>
      </x:c>
      <x:c r="AA276" s="3" t="str">
        <x:v>在售</x:v>
      </x:c>
      <x:c r="AB276" s="12" t="n">
        <x:f>IF(AND(Z276="共同",ISNUMBER(G276),ISNUMBER(AD276)),G276-AD276,"")</x:f>
        <x:v>-0.021428571428571436</x:v>
      </x:c>
      <x:c r="AC276" s="3" t="str"/>
      <x:c r="AD276" s="12" t="n">
        <x:v>0.06285714285714286</x:v>
      </x:c>
      <x:c r="AE276" s="3" t="str">
        <x:v>[6574,"1S01-DPB-8"]</x:v>
      </x:c>
      <x:c r="AF276" t="n">
        <x:f>IF(ISNUMBER(H276),1,0)</x:f>
        <x:v>1</x:v>
      </x:c>
      <x:c r="AG276" t="n">
        <x:f>IF(ISNUMBER(I276),1,0)</x:f>
        <x:v>1</x:v>
      </x:c>
      <x:c r="AH276" t="str">
        <x:v>["1S01","1S01-DPB","DPB","米色"]</x:v>
      </x:c>
      <x:c r="AI276" t="n">
        <x:f>IF(ISNUMBER(G276),1,0)</x:f>
        <x:v>1</x:v>
      </x:c>
      <x:c r="AJ276" t="n">
        <x:f>IF(ISNUMBER(AD276),1,0)</x:f>
        <x:v>1</x:v>
      </x:c>
    </x:row>
    <x:row r="277" ht="30" customHeight="1">
      <x:c r="A277" s="3" t="str">
        <x:v>1S01-LMN-36</x:v>
      </x:c>
      <x:c r="B277" s="3" t="str">
        <x:v>3店-SANDIEX-US</x:v>
      </x:c>
      <x:c r="C277" s="3" t="str">
        <x:v>徐新怡</x:v>
      </x:c>
      <x:c r="D277" s="3" t="str">
        <x:v>1S01</x:v>
      </x:c>
      <x:c r="E277" s="3" t="str">
        <x:f>IF(Z277="移出","已移出",IF(NOT(ISNUMBER(H277)),"数据待核",IF(H277=0,"断货",IF(NOT(ISNUMBER(G277)),"数据待核",IF(G277=0,"零日销待复核",IF(F277&lt;60,"补货提醒",IF(F277&lt;=90,"正常库存",IF(F277&lt;180,"促销",IF(F277&lt;=365,"红线促销","考虑清仓")))))))))</x:f>
        <x:v>断货</x:v>
      </x:c>
      <x:c r="F277" s="11" t="str">
        <x:f>IF(AND(ISNUMBER(H277),ISNUMBER(G277),G277&gt;0),H277/G277,"")</x:f>
      </x:c>
      <x:c r="G277" s="12" t="n">
        <x:f>IF(AND(COUNT(P277:R277)=3,MIN(P277:R277)&gt;=0,P277&lt;=Q277,Q277&lt;=R277),P277/7*0.5+Q277/14*0.3+R277/30*0.2,"")</x:f>
        <x:v>0</x:v>
      </x:c>
      <x:c r="H277" s="10" t="n">
        <x:f>IF(ISNUMBER(U277),U277,"")</x:f>
        <x:v>0</x:v>
      </x:c>
      <x:c r="I277" s="10"/>
      <x:c r="J277" s="11" t="str">
        <x:f>IF(AND(Z277="共同",ISNUMBER(F277),ISNUMBER(M277)),F277-M277,"")</x:f>
      </x:c>
      <x:c r="K277" s="13" t="str">
        <x:f>IF(AND(ISNUMBER(J277),M277&lt;&gt;0),J277/M277,"")</x:f>
      </x:c>
      <x:c r="L277" s="10"/>
      <x:c r="M277" s="11"/>
      <x:c r="N277" s="10" t="str">
        <x:f>IF(AND(Z277="共同",COUNT(H277:I277)=2),H277-I277,"")</x:f>
      </x:c>
      <x:c r="O277" s="10" t="n">
        <x:v>0</x:v>
      </x:c>
      <x:c r="P277" s="10" t="n">
        <x:v>0</x:v>
      </x:c>
      <x:c r="Q277" s="10" t="n">
        <x:v>0</x:v>
      </x:c>
      <x:c r="R277" s="10" t="n">
        <x:v>0</x:v>
      </x:c>
      <x:c r="S277" s="10" t="n">
        <x:v>0</x:v>
      </x:c>
      <x:c r="T277" s="10" t="n">
        <x:v>0</x:v>
      </x:c>
      <x:c r="U277" s="10" t="n">
        <x:f>IF(AND(ISNUMBER(X277),X277&gt;=0,Y277&lt;&gt;1),X277,"")</x:f>
        <x:v>0</x:v>
      </x:c>
      <x:c r="V277" s="10" t="n">
        <x:v>0</x:v>
      </x:c>
      <x:c r="W277" s="10" t="n">
        <x:v>0</x:v>
      </x:c>
      <x:c r="X277" s="10" t="n">
        <x:v>0</x:v>
      </x:c>
      <x:c r="Y277" s="3" t="n">
        <x:v>0</x:v>
      </x:c>
      <x:c r="Z277" s="3" t="str">
        <x:v>新增</x:v>
      </x:c>
      <x:c r="AA277" s="3" t="str">
        <x:v>停售</x:v>
      </x:c>
      <x:c r="AB277" s="12" t="str">
        <x:f>IF(AND(Z277="共同",ISNUMBER(G277),ISNUMBER(AD277)),G277-AD277,"")</x:f>
      </x:c>
      <x:c r="AC277" s="3" t="str">
        <x:v>近90天SKU销量未匹配，未按0处理</x:v>
      </x:c>
      <x:c r="AD277" s="12"/>
      <x:c r="AE277" s="3" t="str">
        <x:v>[6574,"1S01-LMN-36"]</x:v>
      </x:c>
      <x:c r="AF277" t="n">
        <x:f>IF(ISNUMBER(H277),1,0)</x:f>
        <x:v>1</x:v>
      </x:c>
      <x:c r="AG277" t="n">
        <x:f>IF(ISNUMBER(I277),1,0)</x:f>
        <x:v>0</x:v>
      </x:c>
      <x:c r="AH277" t="str">
        <x:v>["1S01","1S01-LMN","LMN","豹纹"]</x:v>
      </x:c>
      <x:c r="AI277" t="n">
        <x:f>IF(ISNUMBER(G277),1,0)</x:f>
        <x:v>1</x:v>
      </x:c>
      <x:c r="AJ277" t="n">
        <x:f>IF(ISNUMBER(AD277),1,0)</x:f>
        <x:v>0</x:v>
      </x:c>
    </x:row>
    <x:row r="278" ht="30" customHeight="1">
      <x:c r="A278" s="3" t="str">
        <x:v>1S01-LMN-37</x:v>
      </x:c>
      <x:c r="B278" s="3" t="str">
        <x:v>3店-SANDIEX-US</x:v>
      </x:c>
      <x:c r="C278" s="3" t="str">
        <x:v>徐新怡</x:v>
      </x:c>
      <x:c r="D278" s="3" t="str">
        <x:v>1S01</x:v>
      </x:c>
      <x:c r="E278" s="3" t="str">
        <x:f>IF(Z278="移出","已移出",IF(NOT(ISNUMBER(H278)),"数据待核",IF(H278=0,"断货",IF(NOT(ISNUMBER(G278)),"数据待核",IF(G278=0,"零日销待复核",IF(F278&lt;60,"补货提醒",IF(F278&lt;=90,"正常库存",IF(F278&lt;180,"促销",IF(F278&lt;=365,"红线促销","考虑清仓")))))))))</x:f>
        <x:v>断货</x:v>
      </x:c>
      <x:c r="F278" s="11" t="n">
        <x:f>IF(AND(ISNUMBER(H278),ISNUMBER(G278),G278&gt;0),H278/G278,"")</x:f>
        <x:v>0</x:v>
      </x:c>
      <x:c r="G278" s="12" t="n">
        <x:f>IF(AND(COUNT(P278:R278)=3,MIN(P278:R278)&gt;=0,P278&lt;=Q278,Q278&lt;=R278),P278/7*0.5+Q278/14*0.3+R278/30*0.2,"")</x:f>
        <x:v>0.10619047619047618</x:v>
      </x:c>
      <x:c r="H278" s="10" t="n">
        <x:f>IF(ISNUMBER(U278),U278,"")</x:f>
        <x:v>0</x:v>
      </x:c>
      <x:c r="I278" s="10" t="n">
        <x:v>0</x:v>
      </x:c>
      <x:c r="J278" s="11" t="n">
        <x:f>IF(AND(Z278="共同",ISNUMBER(F278),ISNUMBER(M278)),F278-M278,"")</x:f>
        <x:v>0</x:v>
      </x:c>
      <x:c r="K278" s="13" t="str">
        <x:f>IF(AND(ISNUMBER(J278),M278&lt;&gt;0),J278/M278,"")</x:f>
      </x:c>
      <x:c r="L278" s="10" t="str">
        <x:v>断货</x:v>
      </x:c>
      <x:c r="M278" s="11" t="n">
        <x:v>0</x:v>
      </x:c>
      <x:c r="N278" s="10" t="n">
        <x:f>IF(AND(Z278="共同",COUNT(H278:I278)=2),H278-I278,"")</x:f>
        <x:v>0</x:v>
      </x:c>
      <x:c r="O278" s="10" t="n">
        <x:v>0</x:v>
      </x:c>
      <x:c r="P278" s="10" t="n">
        <x:v>1</x:v>
      </x:c>
      <x:c r="Q278" s="10" t="n">
        <x:v>1</x:v>
      </x:c>
      <x:c r="R278" s="10" t="n">
        <x:v>2</x:v>
      </x:c>
      <x:c r="S278" s="10" t="n">
        <x:v>0</x:v>
      </x:c>
      <x:c r="T278" s="10" t="n">
        <x:v>0</x:v>
      </x:c>
      <x:c r="U278" s="10" t="n">
        <x:f>IF(AND(ISNUMBER(X278),X278&gt;=0,Y278&lt;&gt;1),X278,"")</x:f>
        <x:v>0</x:v>
      </x:c>
      <x:c r="V278" s="10" t="n">
        <x:v>0</x:v>
      </x:c>
      <x:c r="W278" s="10" t="n">
        <x:v>19</x:v>
      </x:c>
      <x:c r="X278" s="10" t="n">
        <x:v>0</x:v>
      </x:c>
      <x:c r="Y278" s="3" t="n">
        <x:v>0</x:v>
      </x:c>
      <x:c r="Z278" s="3" t="str">
        <x:v>共同</x:v>
      </x:c>
      <x:c r="AA278" s="3" t="str">
        <x:v>在售</x:v>
      </x:c>
      <x:c r="AB278" s="12" t="n">
        <x:f>IF(AND(Z278="共同",ISNUMBER(G278),ISNUMBER(AD278)),G278-AD278,"")</x:f>
        <x:v>0.07142857142857142</x:v>
      </x:c>
      <x:c r="AC278" s="3" t="str"/>
      <x:c r="AD278" s="12" t="n">
        <x:v>0.03476190476190476</x:v>
      </x:c>
      <x:c r="AE278" s="3" t="str">
        <x:v>[6574,"1S01-LMN-37"]</x:v>
      </x:c>
      <x:c r="AF278" t="n">
        <x:f>IF(ISNUMBER(H278),1,0)</x:f>
        <x:v>1</x:v>
      </x:c>
      <x:c r="AG278" t="n">
        <x:f>IF(ISNUMBER(I278),1,0)</x:f>
        <x:v>1</x:v>
      </x:c>
      <x:c r="AH278" t="str">
        <x:v>["1S01","1S01-LMN","LMN","豹纹"]</x:v>
      </x:c>
      <x:c r="AI278" t="n">
        <x:f>IF(ISNUMBER(G278),1,0)</x:f>
        <x:v>1</x:v>
      </x:c>
      <x:c r="AJ278" t="n">
        <x:f>IF(ISNUMBER(AD278),1,0)</x:f>
        <x:v>1</x:v>
      </x:c>
    </x:row>
    <x:row r="279" ht="30" customHeight="1">
      <x:c r="A279" s="3" t="str">
        <x:v>1S01-LMN-38</x:v>
      </x:c>
      <x:c r="B279" s="3" t="str">
        <x:v>3店-SANDIEX-US</x:v>
      </x:c>
      <x:c r="C279" s="3" t="str">
        <x:v>徐新怡</x:v>
      </x:c>
      <x:c r="D279" s="3" t="str">
        <x:v>1S01</x:v>
      </x:c>
      <x:c r="E279" s="3" t="str">
        <x:f>IF(Z279="移出","已移出",IF(NOT(ISNUMBER(H279)),"数据待核",IF(H279=0,"断货",IF(NOT(ISNUMBER(G279)),"数据待核",IF(G279=0,"零日销待复核",IF(F279&lt;60,"补货提醒",IF(F279&lt;=90,"正常库存",IF(F279&lt;180,"促销",IF(F279&lt;=365,"红线促销","考虑清仓")))))))))</x:f>
        <x:v>断货</x:v>
      </x:c>
      <x:c r="F279" s="11" t="n">
        <x:f>IF(AND(ISNUMBER(H279),ISNUMBER(G279),G279&gt;0),H279/G279,"")</x:f>
        <x:v>0</x:v>
      </x:c>
      <x:c r="G279" s="12" t="n">
        <x:f>IF(AND(COUNT(P279:R279)=3,MIN(P279:R279)&gt;=0,P279&lt;=Q279,Q279&lt;=R279),P279/7*0.5+Q279/14*0.3+R279/30*0.2,"")</x:f>
        <x:v>0.28047619047619043</x:v>
      </x:c>
      <x:c r="H279" s="10" t="n">
        <x:f>IF(ISNUMBER(U279),U279,"")</x:f>
        <x:v>0</x:v>
      </x:c>
      <x:c r="I279" s="10" t="n">
        <x:v>0</x:v>
      </x:c>
      <x:c r="J279" s="11" t="n">
        <x:f>IF(AND(Z279="共同",ISNUMBER(F279),ISNUMBER(M279)),F279-M279,"")</x:f>
        <x:v>0</x:v>
      </x:c>
      <x:c r="K279" s="13" t="str">
        <x:f>IF(AND(ISNUMBER(J279),M279&lt;&gt;0),J279/M279,"")</x:f>
      </x:c>
      <x:c r="L279" s="10" t="str">
        <x:v>断货</x:v>
      </x:c>
      <x:c r="M279" s="11" t="n">
        <x:v>0</x:v>
      </x:c>
      <x:c r="N279" s="10" t="n">
        <x:f>IF(AND(Z279="共同",COUNT(H279:I279)=2),H279-I279,"")</x:f>
        <x:v>0</x:v>
      </x:c>
      <x:c r="O279" s="10" t="n">
        <x:v>20</x:v>
      </x:c>
      <x:c r="P279" s="10" t="n">
        <x:v>2</x:v>
      </x:c>
      <x:c r="Q279" s="10" t="n">
        <x:v>3</x:v>
      </x:c>
      <x:c r="R279" s="10" t="n">
        <x:v>11</x:v>
      </x:c>
      <x:c r="S279" s="10" t="n">
        <x:v>1</x:v>
      </x:c>
      <x:c r="T279" s="10" t="n">
        <x:v>1</x:v>
      </x:c>
      <x:c r="U279" s="10" t="n">
        <x:f>IF(AND(ISNUMBER(X279),X279&gt;=0,Y279&lt;&gt;1),X279,"")</x:f>
        <x:v>0</x:v>
      </x:c>
      <x:c r="V279" s="10" t="n">
        <x:v>0</x:v>
      </x:c>
      <x:c r="W279" s="10" t="n">
        <x:v>25</x:v>
      </x:c>
      <x:c r="X279" s="10" t="n">
        <x:v>0</x:v>
      </x:c>
      <x:c r="Y279" s="3" t="n">
        <x:v>0</x:v>
      </x:c>
      <x:c r="Z279" s="3" t="str">
        <x:v>共同</x:v>
      </x:c>
      <x:c r="AA279" s="3" t="str">
        <x:v>停售</x:v>
      </x:c>
      <x:c r="AB279" s="12" t="n">
        <x:f>IF(AND(Z279="共同",ISNUMBER(G279),ISNUMBER(AD279)),G279-AD279,"")</x:f>
        <x:v>-0.11428571428571432</x:v>
      </x:c>
      <x:c r="AC279" s="3" t="str"/>
      <x:c r="AD279" s="12" t="n">
        <x:v>0.39476190476190476</x:v>
      </x:c>
      <x:c r="AE279" s="3" t="str">
        <x:v>[6574,"1S01-LMN-38"]</x:v>
      </x:c>
      <x:c r="AF279" t="n">
        <x:f>IF(ISNUMBER(H279),1,0)</x:f>
        <x:v>1</x:v>
      </x:c>
      <x:c r="AG279" t="n">
        <x:f>IF(ISNUMBER(I279),1,0)</x:f>
        <x:v>1</x:v>
      </x:c>
      <x:c r="AH279" t="str">
        <x:v>["1S01","1S01-LMN","LMN","豹纹"]</x:v>
      </x:c>
      <x:c r="AI279" t="n">
        <x:f>IF(ISNUMBER(G279),1,0)</x:f>
        <x:v>1</x:v>
      </x:c>
      <x:c r="AJ279" t="n">
        <x:f>IF(ISNUMBER(AD279),1,0)</x:f>
        <x:v>1</x:v>
      </x:c>
    </x:row>
    <x:row r="280" ht="30" customHeight="1">
      <x:c r="A280" s="3" t="str">
        <x:v>1S01-LMN-38.5</x:v>
      </x:c>
      <x:c r="B280" s="3" t="str">
        <x:v>3店-SANDIEX-US</x:v>
      </x:c>
      <x:c r="C280" s="3" t="str">
        <x:v>徐新怡</x:v>
      </x:c>
      <x:c r="D280" s="3" t="str">
        <x:v>1S01</x:v>
      </x:c>
      <x:c r="E280" s="3" t="str">
        <x:f>IF(Z280="移出","已移出",IF(NOT(ISNUMBER(H280)),"数据待核",IF(H280=0,"断货",IF(NOT(ISNUMBER(G280)),"数据待核",IF(G280=0,"零日销待复核",IF(F280&lt;60,"补货提醒",IF(F280&lt;=90,"正常库存",IF(F280&lt;180,"促销",IF(F280&lt;=365,"红线促销","考虑清仓")))))))))</x:f>
        <x:v>断货</x:v>
      </x:c>
      <x:c r="F280" s="11" t="str">
        <x:f>IF(AND(ISNUMBER(H280),ISNUMBER(G280),G280&gt;0),H280/G280,"")</x:f>
      </x:c>
      <x:c r="G280" s="12" t="n">
        <x:f>IF(AND(COUNT(P280:R280)=3,MIN(P280:R280)&gt;=0,P280&lt;=Q280,Q280&lt;=R280),P280/7*0.5+Q280/14*0.3+R280/30*0.2,"")</x:f>
        <x:v>0</x:v>
      </x:c>
      <x:c r="H280" s="10" t="n">
        <x:f>IF(ISNUMBER(U280),U280,"")</x:f>
        <x:v>0</x:v>
      </x:c>
      <x:c r="I280" s="10"/>
      <x:c r="J280" s="11" t="str">
        <x:f>IF(AND(Z280="共同",ISNUMBER(F280),ISNUMBER(M280)),F280-M280,"")</x:f>
      </x:c>
      <x:c r="K280" s="13" t="str">
        <x:f>IF(AND(ISNUMBER(J280),M280&lt;&gt;0),J280/M280,"")</x:f>
      </x:c>
      <x:c r="L280" s="10"/>
      <x:c r="M280" s="11"/>
      <x:c r="N280" s="10" t="str">
        <x:f>IF(AND(Z280="共同",COUNT(H280:I280)=2),H280-I280,"")</x:f>
      </x:c>
      <x:c r="O280" s="10" t="n">
        <x:v>0</x:v>
      </x:c>
      <x:c r="P280" s="10" t="n">
        <x:v>0</x:v>
      </x:c>
      <x:c r="Q280" s="10" t="n">
        <x:v>0</x:v>
      </x:c>
      <x:c r="R280" s="10" t="n">
        <x:v>0</x:v>
      </x:c>
      <x:c r="S280" s="10" t="n">
        <x:v>0</x:v>
      </x:c>
      <x:c r="T280" s="10" t="n">
        <x:v>0</x:v>
      </x:c>
      <x:c r="U280" s="10" t="n">
        <x:f>IF(AND(ISNUMBER(X280),X280&gt;=0,Y280&lt;&gt;1),X280,"")</x:f>
        <x:v>0</x:v>
      </x:c>
      <x:c r="V280" s="10" t="n">
        <x:v>0</x:v>
      </x:c>
      <x:c r="W280" s="10" t="n">
        <x:v>0</x:v>
      </x:c>
      <x:c r="X280" s="10" t="n">
        <x:v>0</x:v>
      </x:c>
      <x:c r="Y280" s="3" t="n">
        <x:v>0</x:v>
      </x:c>
      <x:c r="Z280" s="3" t="str">
        <x:v>新增</x:v>
      </x:c>
      <x:c r="AA280" s="3" t="str">
        <x:v>停售</x:v>
      </x:c>
      <x:c r="AB280" s="12" t="str">
        <x:f>IF(AND(Z280="共同",ISNUMBER(G280),ISNUMBER(AD280)),G280-AD280,"")</x:f>
      </x:c>
      <x:c r="AC280" s="3" t="str">
        <x:v>近90天SKU销量未匹配，未按0处理</x:v>
      </x:c>
      <x:c r="AD280" s="12"/>
      <x:c r="AE280" s="3" t="str">
        <x:v>[6574,"1S01-LMN-38.5"]</x:v>
      </x:c>
      <x:c r="AF280" t="n">
        <x:f>IF(ISNUMBER(H280),1,0)</x:f>
        <x:v>1</x:v>
      </x:c>
      <x:c r="AG280" t="n">
        <x:f>IF(ISNUMBER(I280),1,0)</x:f>
        <x:v>0</x:v>
      </x:c>
      <x:c r="AH280" t="str">
        <x:v>["1S01","1S01-LMN","LMN","豹纹"]</x:v>
      </x:c>
      <x:c r="AI280" t="n">
        <x:f>IF(ISNUMBER(G280),1,0)</x:f>
        <x:v>1</x:v>
      </x:c>
      <x:c r="AJ280" t="n">
        <x:f>IF(ISNUMBER(AD280),1,0)</x:f>
        <x:v>0</x:v>
      </x:c>
    </x:row>
    <x:row r="281" ht="30" customHeight="1">
      <x:c r="A281" s="3" t="str">
        <x:v>1S01-LMN-39</x:v>
      </x:c>
      <x:c r="B281" s="3" t="str">
        <x:v>3店-SANDIEX-US</x:v>
      </x:c>
      <x:c r="C281" s="3" t="str">
        <x:v>徐新怡</x:v>
      </x:c>
      <x:c r="D281" s="3" t="str">
        <x:v>1S01</x:v>
      </x:c>
      <x:c r="E281" s="3" t="str">
        <x:f>IF(Z281="移出","已移出",IF(NOT(ISNUMBER(H281)),"数据待核",IF(H281=0,"断货",IF(NOT(ISNUMBER(G281)),"数据待核",IF(G281=0,"零日销待复核",IF(F281&lt;60,"补货提醒",IF(F281&lt;=90,"正常库存",IF(F281&lt;180,"促销",IF(F281&lt;=365,"红线促销","考虑清仓")))))))))</x:f>
        <x:v>断货</x:v>
      </x:c>
      <x:c r="F281" s="11" t="n">
        <x:f>IF(AND(ISNUMBER(H281),ISNUMBER(G281),G281&gt;0),H281/G281,"")</x:f>
        <x:v>0</x:v>
      </x:c>
      <x:c r="G281" s="12" t="n">
        <x:f>IF(AND(COUNT(P281:R281)=3,MIN(P281:R281)&gt;=0,P281&lt;=Q281,Q281&lt;=R281),P281/7*0.5+Q281/14*0.3+R281/30*0.2,"")</x:f>
        <x:v>0.11761904761904762</x:v>
      </x:c>
      <x:c r="H281" s="10" t="n">
        <x:f>IF(ISNUMBER(U281),U281,"")</x:f>
        <x:v>0</x:v>
      </x:c>
      <x:c r="I281" s="10" t="n">
        <x:v>0</x:v>
      </x:c>
      <x:c r="J281" s="11" t="n">
        <x:f>IF(AND(Z281="共同",ISNUMBER(F281),ISNUMBER(M281)),F281-M281,"")</x:f>
        <x:v>0</x:v>
      </x:c>
      <x:c r="K281" s="13" t="str">
        <x:f>IF(AND(ISNUMBER(J281),M281&lt;&gt;0),J281/M281,"")</x:f>
      </x:c>
      <x:c r="L281" s="10" t="str">
        <x:v>断货</x:v>
      </x:c>
      <x:c r="M281" s="11" t="n">
        <x:v>0</x:v>
      </x:c>
      <x:c r="N281" s="10" t="n">
        <x:f>IF(AND(Z281="共同",COUNT(H281:I281)=2),H281-I281,"")</x:f>
        <x:v>0</x:v>
      </x:c>
      <x:c r="O281" s="10" t="n">
        <x:v>50</x:v>
      </x:c>
      <x:c r="P281" s="10" t="n">
        <x:v>0</x:v>
      </x:c>
      <x:c r="Q281" s="10" t="n">
        <x:v>3</x:v>
      </x:c>
      <x:c r="R281" s="10" t="n">
        <x:v>8</x:v>
      </x:c>
      <x:c r="S281" s="10" t="n">
        <x:v>7</x:v>
      </x:c>
      <x:c r="T281" s="10" t="n">
        <x:v>7</x:v>
      </x:c>
      <x:c r="U281" s="10" t="n">
        <x:f>IF(AND(ISNUMBER(X281),X281&gt;=0,Y281&lt;&gt;1),X281,"")</x:f>
        <x:v>0</x:v>
      </x:c>
      <x:c r="V281" s="10" t="n">
        <x:v>0</x:v>
      </x:c>
      <x:c r="W281" s="10" t="n">
        <x:v>34</x:v>
      </x:c>
      <x:c r="X281" s="10" t="n">
        <x:v>0</x:v>
      </x:c>
      <x:c r="Y281" s="3" t="n">
        <x:v>0</x:v>
      </x:c>
      <x:c r="Z281" s="3" t="str">
        <x:v>共同</x:v>
      </x:c>
      <x:c r="AA281" s="3" t="str">
        <x:v>在售</x:v>
      </x:c>
      <x:c r="AB281" s="12" t="n">
        <x:f>IF(AND(Z281="共同",ISNUMBER(G281),ISNUMBER(AD281)),G281-AD281,"")</x:f>
        <x:v>-0.16238095238095235</x:v>
      </x:c>
      <x:c r="AC281" s="3" t="str"/>
      <x:c r="AD281" s="12" t="n">
        <x:v>0.27999999999999997</x:v>
      </x:c>
      <x:c r="AE281" s="3" t="str">
        <x:v>[6574,"1S01-LMN-39"]</x:v>
      </x:c>
      <x:c r="AF281" t="n">
        <x:f>IF(ISNUMBER(H281),1,0)</x:f>
        <x:v>1</x:v>
      </x:c>
      <x:c r="AG281" t="n">
        <x:f>IF(ISNUMBER(I281),1,0)</x:f>
        <x:v>1</x:v>
      </x:c>
      <x:c r="AH281" t="str">
        <x:v>["1S01","1S01-LMN","LMN","豹纹"]</x:v>
      </x:c>
      <x:c r="AI281" t="n">
        <x:f>IF(ISNUMBER(G281),1,0)</x:f>
        <x:v>1</x:v>
      </x:c>
      <x:c r="AJ281" t="n">
        <x:f>IF(ISNUMBER(AD281),1,0)</x:f>
        <x:v>1</x:v>
      </x:c>
    </x:row>
    <x:row r="282" ht="30" customHeight="1">
      <x:c r="A282" s="3" t="str">
        <x:v>1S01-LMN-39.5</x:v>
      </x:c>
      <x:c r="B282" s="3" t="str">
        <x:v>3店-SANDIEX-US</x:v>
      </x:c>
      <x:c r="C282" s="3" t="str">
        <x:v>徐新怡</x:v>
      </x:c>
      <x:c r="D282" s="3" t="str">
        <x:v>1S01</x:v>
      </x:c>
      <x:c r="E282" s="3" t="str">
        <x:f>IF(Z282="移出","已移出",IF(NOT(ISNUMBER(H282)),"数据待核",IF(H282=0,"断货",IF(NOT(ISNUMBER(G282)),"数据待核",IF(G282=0,"零日销待复核",IF(F282&lt;60,"补货提醒",IF(F282&lt;=90,"正常库存",IF(F282&lt;180,"促销",IF(F282&lt;=365,"红线促销","考虑清仓")))))))))</x:f>
        <x:v>断货</x:v>
      </x:c>
      <x:c r="F282" s="11" t="str">
        <x:f>IF(AND(ISNUMBER(H282),ISNUMBER(G282),G282&gt;0),H282/G282,"")</x:f>
      </x:c>
      <x:c r="G282" s="12" t="n">
        <x:f>IF(AND(COUNT(P282:R282)=3,MIN(P282:R282)&gt;=0,P282&lt;=Q282,Q282&lt;=R282),P282/7*0.5+Q282/14*0.3+R282/30*0.2,"")</x:f>
        <x:v>0</x:v>
      </x:c>
      <x:c r="H282" s="10" t="n">
        <x:f>IF(ISNUMBER(U282),U282,"")</x:f>
        <x:v>0</x:v>
      </x:c>
      <x:c r="I282" s="10"/>
      <x:c r="J282" s="11" t="str">
        <x:f>IF(AND(Z282="共同",ISNUMBER(F282),ISNUMBER(M282)),F282-M282,"")</x:f>
      </x:c>
      <x:c r="K282" s="13" t="str">
        <x:f>IF(AND(ISNUMBER(J282),M282&lt;&gt;0),J282/M282,"")</x:f>
      </x:c>
      <x:c r="L282" s="10"/>
      <x:c r="M282" s="11"/>
      <x:c r="N282" s="10" t="str">
        <x:f>IF(AND(Z282="共同",COUNT(H282:I282)=2),H282-I282,"")</x:f>
      </x:c>
      <x:c r="O282" s="10" t="n">
        <x:v>0</x:v>
      </x:c>
      <x:c r="P282" s="10" t="n">
        <x:v>0</x:v>
      </x:c>
      <x:c r="Q282" s="10" t="n">
        <x:v>0</x:v>
      </x:c>
      <x:c r="R282" s="10" t="n">
        <x:v>0</x:v>
      </x:c>
      <x:c r="S282" s="10" t="n">
        <x:v>0</x:v>
      </x:c>
      <x:c r="T282" s="10" t="n">
        <x:v>0</x:v>
      </x:c>
      <x:c r="U282" s="10" t="n">
        <x:f>IF(AND(ISNUMBER(X282),X282&gt;=0,Y282&lt;&gt;1),X282,"")</x:f>
        <x:v>0</x:v>
      </x:c>
      <x:c r="V282" s="10" t="n">
        <x:v>0</x:v>
      </x:c>
      <x:c r="W282" s="10" t="n">
        <x:v>0</x:v>
      </x:c>
      <x:c r="X282" s="10" t="n">
        <x:v>0</x:v>
      </x:c>
      <x:c r="Y282" s="3" t="n">
        <x:v>0</x:v>
      </x:c>
      <x:c r="Z282" s="3" t="str">
        <x:v>新增</x:v>
      </x:c>
      <x:c r="AA282" s="3" t="str">
        <x:v>停售</x:v>
      </x:c>
      <x:c r="AB282" s="12" t="str">
        <x:f>IF(AND(Z282="共同",ISNUMBER(G282),ISNUMBER(AD282)),G282-AD282,"")</x:f>
      </x:c>
      <x:c r="AC282" s="3" t="str">
        <x:v>近90天SKU销量未匹配，未按0处理</x:v>
      </x:c>
      <x:c r="AD282" s="12"/>
      <x:c r="AE282" s="3" t="str">
        <x:v>[6574,"1S01-LMN-39.5"]</x:v>
      </x:c>
      <x:c r="AF282" t="n">
        <x:f>IF(ISNUMBER(H282),1,0)</x:f>
        <x:v>1</x:v>
      </x:c>
      <x:c r="AG282" t="n">
        <x:f>IF(ISNUMBER(I282),1,0)</x:f>
        <x:v>0</x:v>
      </x:c>
      <x:c r="AH282" t="str">
        <x:v>["1S01","1S01-LMN","LMN","豹纹"]</x:v>
      </x:c>
      <x:c r="AI282" t="n">
        <x:f>IF(ISNUMBER(G282),1,0)</x:f>
        <x:v>1</x:v>
      </x:c>
      <x:c r="AJ282" t="n">
        <x:f>IF(ISNUMBER(AD282),1,0)</x:f>
        <x:v>0</x:v>
      </x:c>
    </x:row>
    <x:row r="283" ht="30" customHeight="1">
      <x:c r="A283" s="3" t="str">
        <x:v>1S01-LMN-40</x:v>
      </x:c>
      <x:c r="B283" s="3" t="str">
        <x:v>3店-SANDIEX-US</x:v>
      </x:c>
      <x:c r="C283" s="3" t="str">
        <x:v>徐新怡</x:v>
      </x:c>
      <x:c r="D283" s="3" t="str">
        <x:v>1S01</x:v>
      </x:c>
      <x:c r="E283" s="3" t="str">
        <x:f>IF(Z283="移出","已移出",IF(NOT(ISNUMBER(H283)),"数据待核",IF(H283=0,"断货",IF(NOT(ISNUMBER(G283)),"数据待核",IF(G283=0,"零日销待复核",IF(F283&lt;60,"补货提醒",IF(F283&lt;=90,"正常库存",IF(F283&lt;180,"促销",IF(F283&lt;=365,"红线促销","考虑清仓")))))))))</x:f>
        <x:v>断货</x:v>
      </x:c>
      <x:c r="F283" s="11" t="n">
        <x:f>IF(AND(ISNUMBER(H283),ISNUMBER(G283),G283&gt;0),H283/G283,"")</x:f>
        <x:v>0</x:v>
      </x:c>
      <x:c r="G283" s="12" t="n">
        <x:f>IF(AND(COUNT(P283:R283)=3,MIN(P283:R283)&gt;=0,P283&lt;=Q283,Q283&lt;=R283),P283/7*0.5+Q283/14*0.3+R283/30*0.2,"")</x:f>
        <x:v>1.1542857142857141</x:v>
      </x:c>
      <x:c r="H283" s="10" t="n">
        <x:f>IF(ISNUMBER(U283),U283,"")</x:f>
        <x:v>0</x:v>
      </x:c>
      <x:c r="I283" s="10" t="n">
        <x:v>18</x:v>
      </x:c>
      <x:c r="J283" s="11" t="n">
        <x:f>IF(AND(Z283="共同",ISNUMBER(F283),ISNUMBER(M283)),F283-M283,"")</x:f>
        <x:v>-12.591605596269153</x:v>
      </x:c>
      <x:c r="K283" s="13" t="n">
        <x:f>IF(AND(ISNUMBER(J283),M283&lt;&gt;0),J283/M283,"")</x:f>
        <x:v>-1</x:v>
      </x:c>
      <x:c r="L283" s="10" t="str">
        <x:v>补货提醒</x:v>
      </x:c>
      <x:c r="M283" s="11" t="n">
        <x:v>12.591605596269153</x:v>
      </x:c>
      <x:c r="N283" s="10" t="n">
        <x:f>IF(AND(Z283="共同",COUNT(H283:I283)=2),H283-I283,"")</x:f>
        <x:v>-18</x:v>
      </x:c>
      <x:c r="O283" s="10" t="n">
        <x:v>78</x:v>
      </x:c>
      <x:c r="P283" s="10" t="n">
        <x:v>8</x:v>
      </x:c>
      <x:c r="Q283" s="10" t="n">
        <x:v>16</x:v>
      </x:c>
      <x:c r="R283" s="10" t="n">
        <x:v>36</x:v>
      </x:c>
      <x:c r="S283" s="10" t="n">
        <x:v>4</x:v>
      </x:c>
      <x:c r="T283" s="10" t="n">
        <x:v>1</x:v>
      </x:c>
      <x:c r="U283" s="10" t="n">
        <x:f>IF(AND(ISNUMBER(X283),X283&gt;=0,Y283&lt;&gt;1),X283,"")</x:f>
        <x:v>0</x:v>
      </x:c>
      <x:c r="V283" s="10" t="n">
        <x:v>0</x:v>
      </x:c>
      <x:c r="W283" s="10" t="n">
        <x:v>20</x:v>
      </x:c>
      <x:c r="X283" s="10" t="n">
        <x:v>0</x:v>
      </x:c>
      <x:c r="Y283" s="3" t="n">
        <x:v>0</x:v>
      </x:c>
      <x:c r="Z283" s="3" t="str">
        <x:v>共同</x:v>
      </x:c>
      <x:c r="AA283" s="3" t="str">
        <x:v>在售</x:v>
      </x:c>
      <x:c r="AB283" s="12" t="n">
        <x:f>IF(AND(Z283="共同",ISNUMBER(G283),ISNUMBER(AD283)),G283-AD283,"")</x:f>
        <x:v>-0.2752380952380955</x:v>
      </x:c>
      <x:c r="AC283" s="3" t="str"/>
      <x:c r="AD283" s="12" t="n">
        <x:v>1.4295238095238096</x:v>
      </x:c>
      <x:c r="AE283" s="3" t="str">
        <x:v>[6574,"1S01-LMN-40"]</x:v>
      </x:c>
      <x:c r="AF283" t="n">
        <x:f>IF(ISNUMBER(H283),1,0)</x:f>
        <x:v>1</x:v>
      </x:c>
      <x:c r="AG283" t="n">
        <x:f>IF(ISNUMBER(I283),1,0)</x:f>
        <x:v>1</x:v>
      </x:c>
      <x:c r="AH283" t="str">
        <x:v>["1S01","1S01-LMN","LMN","豹纹"]</x:v>
      </x:c>
      <x:c r="AI283" t="n">
        <x:f>IF(ISNUMBER(G283),1,0)</x:f>
        <x:v>1</x:v>
      </x:c>
      <x:c r="AJ283" t="n">
        <x:f>IF(ISNUMBER(AD283),1,0)</x:f>
        <x:v>1</x:v>
      </x:c>
    </x:row>
    <x:row r="284" ht="30" customHeight="1">
      <x:c r="A284" s="3" t="str">
        <x:v>1S01-LMN-40.5</x:v>
      </x:c>
      <x:c r="B284" s="3" t="str">
        <x:v>3店-SANDIEX-US</x:v>
      </x:c>
      <x:c r="C284" s="3" t="str">
        <x:v>徐新怡</x:v>
      </x:c>
      <x:c r="D284" s="3" t="str">
        <x:v>1S01</x:v>
      </x:c>
      <x:c r="E284" s="3" t="str">
        <x:f>IF(Z284="移出","已移出",IF(NOT(ISNUMBER(H284)),"数据待核",IF(H284=0,"断货",IF(NOT(ISNUMBER(G284)),"数据待核",IF(G284=0,"零日销待复核",IF(F284&lt;60,"补货提醒",IF(F284&lt;=90,"正常库存",IF(F284&lt;180,"促销",IF(F284&lt;=365,"红线促销","考虑清仓")))))))))</x:f>
        <x:v>断货</x:v>
      </x:c>
      <x:c r="F284" s="11" t="str">
        <x:f>IF(AND(ISNUMBER(H284),ISNUMBER(G284),G284&gt;0),H284/G284,"")</x:f>
      </x:c>
      <x:c r="G284" s="12" t="n">
        <x:f>IF(AND(COUNT(P284:R284)=3,MIN(P284:R284)&gt;=0,P284&lt;=Q284,Q284&lt;=R284),P284/7*0.5+Q284/14*0.3+R284/30*0.2,"")</x:f>
        <x:v>0</x:v>
      </x:c>
      <x:c r="H284" s="10" t="n">
        <x:f>IF(ISNUMBER(U284),U284,"")</x:f>
        <x:v>0</x:v>
      </x:c>
      <x:c r="I284" s="10"/>
      <x:c r="J284" s="11" t="str">
        <x:f>IF(AND(Z284="共同",ISNUMBER(F284),ISNUMBER(M284)),F284-M284,"")</x:f>
      </x:c>
      <x:c r="K284" s="13" t="str">
        <x:f>IF(AND(ISNUMBER(J284),M284&lt;&gt;0),J284/M284,"")</x:f>
      </x:c>
      <x:c r="L284" s="10"/>
      <x:c r="M284" s="11"/>
      <x:c r="N284" s="10" t="str">
        <x:f>IF(AND(Z284="共同",COUNT(H284:I284)=2),H284-I284,"")</x:f>
      </x:c>
      <x:c r="O284" s="10" t="n">
        <x:v>0</x:v>
      </x:c>
      <x:c r="P284" s="10" t="n">
        <x:v>0</x:v>
      </x:c>
      <x:c r="Q284" s="10" t="n">
        <x:v>0</x:v>
      </x:c>
      <x:c r="R284" s="10" t="n">
        <x:v>0</x:v>
      </x:c>
      <x:c r="S284" s="10" t="n">
        <x:v>0</x:v>
      </x:c>
      <x:c r="T284" s="10" t="n">
        <x:v>0</x:v>
      </x:c>
      <x:c r="U284" s="10" t="n">
        <x:f>IF(AND(ISNUMBER(X284),X284&gt;=0,Y284&lt;&gt;1),X284,"")</x:f>
        <x:v>0</x:v>
      </x:c>
      <x:c r="V284" s="10" t="n">
        <x:v>0</x:v>
      </x:c>
      <x:c r="W284" s="10" t="n">
        <x:v>0</x:v>
      </x:c>
      <x:c r="X284" s="10" t="n">
        <x:v>0</x:v>
      </x:c>
      <x:c r="Y284" s="3" t="n">
        <x:v>0</x:v>
      </x:c>
      <x:c r="Z284" s="3" t="str">
        <x:v>新增</x:v>
      </x:c>
      <x:c r="AA284" s="3" t="str">
        <x:v>停售</x:v>
      </x:c>
      <x:c r="AB284" s="12" t="str">
        <x:f>IF(AND(Z284="共同",ISNUMBER(G284),ISNUMBER(AD284)),G284-AD284,"")</x:f>
      </x:c>
      <x:c r="AC284" s="3" t="str">
        <x:v>近90天SKU销量未匹配，未按0处理</x:v>
      </x:c>
      <x:c r="AD284" s="12"/>
      <x:c r="AE284" s="3" t="str">
        <x:v>[6574,"1S01-LMN-40.5"]</x:v>
      </x:c>
      <x:c r="AF284" t="n">
        <x:f>IF(ISNUMBER(H284),1,0)</x:f>
        <x:v>1</x:v>
      </x:c>
      <x:c r="AG284" t="n">
        <x:f>IF(ISNUMBER(I284),1,0)</x:f>
        <x:v>0</x:v>
      </x:c>
      <x:c r="AH284" t="str">
        <x:v>["1S01","1S01-LMN","LMN","豹纹"]</x:v>
      </x:c>
      <x:c r="AI284" t="n">
        <x:f>IF(ISNUMBER(G284),1,0)</x:f>
        <x:v>1</x:v>
      </x:c>
      <x:c r="AJ284" t="n">
        <x:f>IF(ISNUMBER(AD284),1,0)</x:f>
        <x:v>0</x:v>
      </x:c>
    </x:row>
    <x:row r="285" ht="30" customHeight="1">
      <x:c r="A285" s="3" t="str">
        <x:v>1S01-LMN-41-FX</x:v>
      </x:c>
      <x:c r="B285" s="3" t="str">
        <x:v>3店-SANDIEX-US</x:v>
      </x:c>
      <x:c r="C285" s="3" t="str">
        <x:v>徐新怡</x:v>
      </x:c>
      <x:c r="D285" s="3" t="str">
        <x:v>1S01</x:v>
      </x:c>
      <x:c r="E285" s="3" t="str">
        <x:f>IF(Z285="移出","已移出",IF(NOT(ISNUMBER(H285)),"数据待核",IF(H285=0,"断货",IF(NOT(ISNUMBER(G285)),"数据待核",IF(G285=0,"零日销待复核",IF(F285&lt;60,"补货提醒",IF(F285&lt;=90,"正常库存",IF(F285&lt;180,"促销",IF(F285&lt;=365,"红线促销","考虑清仓")))))))))</x:f>
        <x:v>断货</x:v>
      </x:c>
      <x:c r="F285" s="11" t="n">
        <x:f>IF(AND(ISNUMBER(H285),ISNUMBER(G285),G285&gt;0),H285/G285,"")</x:f>
        <x:v>0</x:v>
      </x:c>
      <x:c r="G285" s="12" t="n">
        <x:f>IF(AND(COUNT(P285:R285)=3,MIN(P285:R285)&gt;=0,P285&lt;=Q285,Q285&lt;=R285),P285/7*0.5+Q285/14*0.3+R285/30*0.2,"")</x:f>
        <x:v>0.11619047619047618</x:v>
      </x:c>
      <x:c r="H285" s="10" t="n">
        <x:f>IF(ISNUMBER(U285),U285,"")</x:f>
        <x:v>0</x:v>
      </x:c>
      <x:c r="I285" s="10" t="n">
        <x:v>0</x:v>
      </x:c>
      <x:c r="J285" s="11" t="n">
        <x:f>IF(AND(Z285="共同",ISNUMBER(F285),ISNUMBER(M285)),F285-M285,"")</x:f>
        <x:v>0</x:v>
      </x:c>
      <x:c r="K285" s="13" t="str">
        <x:f>IF(AND(ISNUMBER(J285),M285&lt;&gt;0),J285/M285,"")</x:f>
      </x:c>
      <x:c r="L285" s="10" t="str">
        <x:v>断货</x:v>
      </x:c>
      <x:c r="M285" s="11" t="n">
        <x:v>0</x:v>
      </x:c>
      <x:c r="N285" s="10" t="n">
        <x:f>IF(AND(Z285="共同",COUNT(H285:I285)=2),H285-I285,"")</x:f>
        <x:v>0</x:v>
      </x:c>
      <x:c r="O285" s="10" t="n">
        <x:v>0</x:v>
      </x:c>
      <x:c r="P285" s="10" t="n">
        <x:v>0</x:v>
      </x:c>
      <x:c r="Q285" s="10" t="n">
        <x:v>2</x:v>
      </x:c>
      <x:c r="R285" s="10" t="n">
        <x:v>11</x:v>
      </x:c>
      <x:c r="S285" s="10" t="n">
        <x:v>1</x:v>
      </x:c>
      <x:c r="T285" s="10" t="n">
        <x:v>1</x:v>
      </x:c>
      <x:c r="U285" s="10" t="n">
        <x:f>IF(AND(ISNUMBER(X285),X285&gt;=0,Y285&lt;&gt;1),X285,"")</x:f>
        <x:v>0</x:v>
      </x:c>
      <x:c r="V285" s="10" t="n">
        <x:v>0</x:v>
      </x:c>
      <x:c r="W285" s="10" t="n">
        <x:v>0</x:v>
      </x:c>
      <x:c r="X285" s="10" t="n">
        <x:v>0</x:v>
      </x:c>
      <x:c r="Y285" s="3" t="n">
        <x:v>0</x:v>
      </x:c>
      <x:c r="Z285" s="3" t="str">
        <x:v>共同</x:v>
      </x:c>
      <x:c r="AA285" s="3" t="str">
        <x:v>在售</x:v>
      </x:c>
      <x:c r="AB285" s="12" t="n">
        <x:f>IF(AND(Z285="共同",ISNUMBER(G285),ISNUMBER(AD285)),G285-AD285,"")</x:f>
        <x:v>-0.3828571428571429</x:v>
      </x:c>
      <x:c r="AC285" s="3" t="str"/>
      <x:c r="AD285" s="12" t="n">
        <x:v>0.4990476190476191</x:v>
      </x:c>
      <x:c r="AE285" s="3" t="str">
        <x:v>[6574,"1S01-LMN-41-FX"]</x:v>
      </x:c>
      <x:c r="AF285" t="n">
        <x:f>IF(ISNUMBER(H285),1,0)</x:f>
        <x:v>1</x:v>
      </x:c>
      <x:c r="AG285" t="n">
        <x:f>IF(ISNUMBER(I285),1,0)</x:f>
        <x:v>1</x:v>
      </x:c>
      <x:c r="AH285" t="str">
        <x:v>["1S01","1S01-LMN","LMN","豹纹"]</x:v>
      </x:c>
      <x:c r="AI285" t="n">
        <x:f>IF(ISNUMBER(G285),1,0)</x:f>
        <x:v>1</x:v>
      </x:c>
      <x:c r="AJ285" t="n">
        <x:f>IF(ISNUMBER(AD285),1,0)</x:f>
        <x:v>1</x:v>
      </x:c>
    </x:row>
    <x:row r="286" ht="30" customHeight="1">
      <x:c r="A286" s="3" t="str">
        <x:v>1S01-LMN-41.5</x:v>
      </x:c>
      <x:c r="B286" s="3" t="str">
        <x:v>3店-SANDIEX-US</x:v>
      </x:c>
      <x:c r="C286" s="3" t="str">
        <x:v>徐新怡</x:v>
      </x:c>
      <x:c r="D286" s="3" t="str">
        <x:v>1S01</x:v>
      </x:c>
      <x:c r="E286" s="3" t="str">
        <x:f>IF(Z286="移出","已移出",IF(NOT(ISNUMBER(H286)),"数据待核",IF(H286=0,"断货",IF(NOT(ISNUMBER(G286)),"数据待核",IF(G286=0,"零日销待复核",IF(F286&lt;60,"补货提醒",IF(F286&lt;=90,"正常库存",IF(F286&lt;180,"促销",IF(F286&lt;=365,"红线促销","考虑清仓")))))))))</x:f>
        <x:v>断货</x:v>
      </x:c>
      <x:c r="F286" s="11" t="n">
        <x:f>IF(AND(ISNUMBER(H286),ISNUMBER(G286),G286&gt;0),H286/G286,"")</x:f>
        <x:v>0</x:v>
      </x:c>
      <x:c r="G286" s="12" t="n">
        <x:f>IF(AND(COUNT(P286:R286)=3,MIN(P286:R286)&gt;=0,P286&lt;=Q286,Q286&lt;=R286),P286/7*0.5+Q286/14*0.3+R286/30*0.2,"")</x:f>
        <x:v>0.46619047619047616</x:v>
      </x:c>
      <x:c r="H286" s="10" t="n">
        <x:f>IF(ISNUMBER(U286),U286,"")</x:f>
        <x:v>0</x:v>
      </x:c>
      <x:c r="I286" s="10"/>
      <x:c r="J286" s="11" t="str">
        <x:f>IF(AND(Z286="共同",ISNUMBER(F286),ISNUMBER(M286)),F286-M286,"")</x:f>
      </x:c>
      <x:c r="K286" s="13" t="str">
        <x:f>IF(AND(ISNUMBER(J286),M286&lt;&gt;0),J286/M286,"")</x:f>
      </x:c>
      <x:c r="L286" s="10"/>
      <x:c r="M286" s="11"/>
      <x:c r="N286" s="10" t="str">
        <x:f>IF(AND(Z286="共同",COUNT(H286:I286)=2),H286-I286,"")</x:f>
      </x:c>
      <x:c r="O286" s="10" t="n">
        <x:v>19</x:v>
      </x:c>
      <x:c r="P286" s="10" t="n">
        <x:v>4</x:v>
      </x:c>
      <x:c r="Q286" s="10" t="n">
        <x:v>5</x:v>
      </x:c>
      <x:c r="R286" s="10" t="n">
        <x:v>11</x:v>
      </x:c>
      <x:c r="S286" s="10" t="n">
        <x:v>1</x:v>
      </x:c>
      <x:c r="T286" s="10" t="n">
        <x:v>1</x:v>
      </x:c>
      <x:c r="U286" s="10" t="n">
        <x:f>IF(AND(ISNUMBER(X286),X286&gt;=0,Y286&lt;&gt;1),X286,"")</x:f>
        <x:v>0</x:v>
      </x:c>
      <x:c r="V286" s="10" t="n">
        <x:v>0</x:v>
      </x:c>
      <x:c r="W286" s="10" t="n">
        <x:v>0</x:v>
      </x:c>
      <x:c r="X286" s="10" t="n">
        <x:v>0</x:v>
      </x:c>
      <x:c r="Y286" s="3" t="n">
        <x:v>0</x:v>
      </x:c>
      <x:c r="Z286" s="3" t="str">
        <x:v>新增</x:v>
      </x:c>
      <x:c r="AA286" s="3" t="str">
        <x:v>在售</x:v>
      </x:c>
      <x:c r="AB286" s="12" t="str">
        <x:f>IF(AND(Z286="共同",ISNUMBER(G286),ISNUMBER(AD286)),G286-AD286,"")</x:f>
      </x:c>
      <x:c r="AC286" s="3" t="str"/>
      <x:c r="AD286" s="12"/>
      <x:c r="AE286" s="3" t="str">
        <x:v>[6574,"1S01-LMN-41.5"]</x:v>
      </x:c>
      <x:c r="AF286" t="n">
        <x:f>IF(ISNUMBER(H286),1,0)</x:f>
        <x:v>1</x:v>
      </x:c>
      <x:c r="AG286" t="n">
        <x:f>IF(ISNUMBER(I286),1,0)</x:f>
        <x:v>0</x:v>
      </x:c>
      <x:c r="AH286" t="str">
        <x:v>["1S01","1S01-LMN","LMN","豹纹"]</x:v>
      </x:c>
      <x:c r="AI286" t="n">
        <x:f>IF(ISNUMBER(G286),1,0)</x:f>
        <x:v>1</x:v>
      </x:c>
      <x:c r="AJ286" t="n">
        <x:f>IF(ISNUMBER(AD286),1,0)</x:f>
        <x:v>0</x:v>
      </x:c>
    </x:row>
    <x:row r="287" ht="30" customHeight="1">
      <x:c r="A287" s="3" t="str">
        <x:v>1S01-LMN-42-FX</x:v>
      </x:c>
      <x:c r="B287" s="3" t="str">
        <x:v>3店-SANDIEX-US</x:v>
      </x:c>
      <x:c r="C287" s="3" t="str">
        <x:v>徐新怡</x:v>
      </x:c>
      <x:c r="D287" s="3" t="str">
        <x:v>1S01</x:v>
      </x:c>
      <x:c r="E287" s="3" t="str">
        <x:f>IF(Z287="移出","已移出",IF(NOT(ISNUMBER(H287)),"数据待核",IF(H287=0,"断货",IF(NOT(ISNUMBER(G287)),"数据待核",IF(G287=0,"零日销待复核",IF(F287&lt;60,"补货提醒",IF(F287&lt;=90,"正常库存",IF(F287&lt;180,"促销",IF(F287&lt;=365,"红线促销","考虑清仓")))))))))</x:f>
        <x:v>断货</x:v>
      </x:c>
      <x:c r="F287" s="11" t="str">
        <x:f>IF(AND(ISNUMBER(H287),ISNUMBER(G287),G287&gt;0),H287/G287,"")</x:f>
      </x:c>
      <x:c r="G287" s="12" t="n">
        <x:f>IF(AND(COUNT(P287:R287)=3,MIN(P287:R287)&gt;=0,P287&lt;=Q287,Q287&lt;=R287),P287/7*0.5+Q287/14*0.3+R287/30*0.2,"")</x:f>
        <x:v>0</x:v>
      </x:c>
      <x:c r="H287" s="10" t="n">
        <x:f>IF(ISNUMBER(U287),U287,"")</x:f>
        <x:v>0</x:v>
      </x:c>
      <x:c r="I287" s="10" t="n">
        <x:v>0</x:v>
      </x:c>
      <x:c r="J287" s="11" t="str">
        <x:f>IF(AND(Z287="共同",ISNUMBER(F287),ISNUMBER(M287)),F287-M287,"")</x:f>
      </x:c>
      <x:c r="K287" s="13" t="str">
        <x:f>IF(AND(ISNUMBER(J287),M287&lt;&gt;0),J287/M287,"")</x:f>
      </x:c>
      <x:c r="L287" s="10" t="str">
        <x:v>断货</x:v>
      </x:c>
      <x:c r="M287" s="11"/>
      <x:c r="N287" s="10" t="n">
        <x:f>IF(AND(Z287="共同",COUNT(H287:I287)=2),H287-I287,"")</x:f>
        <x:v>0</x:v>
      </x:c>
      <x:c r="O287" s="10" t="n">
        <x:v>2</x:v>
      </x:c>
      <x:c r="P287" s="10" t="n">
        <x:v>0</x:v>
      </x:c>
      <x:c r="Q287" s="10" t="n">
        <x:v>0</x:v>
      </x:c>
      <x:c r="R287" s="10" t="n">
        <x:v>0</x:v>
      </x:c>
      <x:c r="S287" s="10" t="n">
        <x:v>0</x:v>
      </x:c>
      <x:c r="T287" s="10" t="n">
        <x:v>0</x:v>
      </x:c>
      <x:c r="U287" s="10" t="n">
        <x:f>IF(AND(ISNUMBER(X287),X287&gt;=0,Y287&lt;&gt;1),X287,"")</x:f>
        <x:v>0</x:v>
      </x:c>
      <x:c r="V287" s="10" t="n">
        <x:v>0</x:v>
      </x:c>
      <x:c r="W287" s="10" t="n">
        <x:v>0</x:v>
      </x:c>
      <x:c r="X287" s="10" t="n">
        <x:v>0</x:v>
      </x:c>
      <x:c r="Y287" s="3" t="n">
        <x:v>0</x:v>
      </x:c>
      <x:c r="Z287" s="3" t="str">
        <x:v>共同</x:v>
      </x:c>
      <x:c r="AA287" s="3" t="str">
        <x:v>停售</x:v>
      </x:c>
      <x:c r="AB287" s="12" t="n">
        <x:f>IF(AND(Z287="共同",ISNUMBER(G287),ISNUMBER(AD287)),G287-AD287,"")</x:f>
        <x:v>0</x:v>
      </x:c>
      <x:c r="AC287" s="3" t="str"/>
      <x:c r="AD287" s="12" t="n">
        <x:v>0</x:v>
      </x:c>
      <x:c r="AE287" s="3" t="str">
        <x:v>[6574,"1S01-LMN-42-FX"]</x:v>
      </x:c>
      <x:c r="AF287" t="n">
        <x:f>IF(ISNUMBER(H287),1,0)</x:f>
        <x:v>1</x:v>
      </x:c>
      <x:c r="AG287" t="n">
        <x:f>IF(ISNUMBER(I287),1,0)</x:f>
        <x:v>1</x:v>
      </x:c>
      <x:c r="AH287" t="str">
        <x:v>["1S01","1S01-LMN","LMN","豹纹"]</x:v>
      </x:c>
      <x:c r="AI287" t="n">
        <x:f>IF(ISNUMBER(G287),1,0)</x:f>
        <x:v>1</x:v>
      </x:c>
      <x:c r="AJ287" t="n">
        <x:f>IF(ISNUMBER(AD287),1,0)</x:f>
        <x:v>1</x:v>
      </x:c>
    </x:row>
    <x:row r="288" ht="30" customHeight="1">
      <x:c r="A288" s="3" t="str">
        <x:v>1S01-LP-36</x:v>
      </x:c>
      <x:c r="B288" s="3" t="str">
        <x:v>3店-SANDIEX-US</x:v>
      </x:c>
      <x:c r="C288" s="3" t="str">
        <x:v>徐新怡</x:v>
      </x:c>
      <x:c r="D288" s="3" t="str">
        <x:v>1S01</x:v>
      </x:c>
      <x:c r="E288" s="3" t="str">
        <x:f>IF(Z288="移出","已移出",IF(NOT(ISNUMBER(H288)),"数据待核",IF(H288=0,"断货",IF(NOT(ISNUMBER(G288)),"数据待核",IF(G288=0,"零日销待复核",IF(F288&lt;60,"补货提醒",IF(F288&lt;=90,"正常库存",IF(F288&lt;180,"促销",IF(F288&lt;=365,"红线促销","考虑清仓")))))))))</x:f>
        <x:v>断货</x:v>
      </x:c>
      <x:c r="F288" s="11" t="str">
        <x:f>IF(AND(ISNUMBER(H288),ISNUMBER(G288),G288&gt;0),H288/G288,"")</x:f>
      </x:c>
      <x:c r="G288" s="12" t="n">
        <x:f>IF(AND(COUNT(P288:R288)=3,MIN(P288:R288)&gt;=0,P288&lt;=Q288,Q288&lt;=R288),P288/7*0.5+Q288/14*0.3+R288/30*0.2,"")</x:f>
        <x:v>0</x:v>
      </x:c>
      <x:c r="H288" s="10" t="n">
        <x:f>IF(ISNUMBER(U288),U288,"")</x:f>
        <x:v>0</x:v>
      </x:c>
      <x:c r="I288" s="10"/>
      <x:c r="J288" s="11" t="str">
        <x:f>IF(AND(Z288="共同",ISNUMBER(F288),ISNUMBER(M288)),F288-M288,"")</x:f>
      </x:c>
      <x:c r="K288" s="13" t="str">
        <x:f>IF(AND(ISNUMBER(J288),M288&lt;&gt;0),J288/M288,"")</x:f>
      </x:c>
      <x:c r="L288" s="10"/>
      <x:c r="M288" s="11"/>
      <x:c r="N288" s="10" t="str">
        <x:f>IF(AND(Z288="共同",COUNT(H288:I288)=2),H288-I288,"")</x:f>
      </x:c>
      <x:c r="O288" s="10"/>
      <x:c r="P288" s="10" t="n">
        <x:v>0</x:v>
      </x:c>
      <x:c r="Q288" s="10" t="n">
        <x:v>0</x:v>
      </x:c>
      <x:c r="R288" s="10" t="n">
        <x:v>0</x:v>
      </x:c>
      <x:c r="S288" s="10" t="n">
        <x:v>0</x:v>
      </x:c>
      <x:c r="T288" s="10" t="n">
        <x:v>0</x:v>
      </x:c>
      <x:c r="U288" s="10" t="n">
        <x:f>IF(AND(ISNUMBER(X288),X288&gt;=0,Y288&lt;&gt;1),X288,"")</x:f>
        <x:v>0</x:v>
      </x:c>
      <x:c r="V288" s="10" t="n">
        <x:v>0</x:v>
      </x:c>
      <x:c r="W288" s="10" t="n">
        <x:v>0</x:v>
      </x:c>
      <x:c r="X288" s="10" t="n">
        <x:v>0</x:v>
      </x:c>
      <x:c r="Y288" s="3" t="n">
        <x:v>0</x:v>
      </x:c>
      <x:c r="Z288" s="3" t="str">
        <x:v>新增</x:v>
      </x:c>
      <x:c r="AA288" s="3" t="str">
        <x:v>停售</x:v>
      </x:c>
      <x:c r="AB288" s="12" t="str">
        <x:f>IF(AND(Z288="共同",ISNUMBER(G288),ISNUMBER(AD288)),G288-AD288,"")</x:f>
      </x:c>
      <x:c r="AC288" s="3" t="str">
        <x:v>近90天SKU销量未匹配，未按0处理</x:v>
      </x:c>
      <x:c r="AD288" s="12"/>
      <x:c r="AE288" s="3" t="str">
        <x:v>[6574,"1S01-LP-36"]</x:v>
      </x:c>
      <x:c r="AF288" t="n">
        <x:f>IF(ISNUMBER(H288),1,0)</x:f>
        <x:v>1</x:v>
      </x:c>
      <x:c r="AG288" t="n">
        <x:f>IF(ISNUMBER(I288),1,0)</x:f>
        <x:v>0</x:v>
      </x:c>
      <x:c r="AH288" t="str">
        <x:v>["1S01","1S01-LP","LP","香芋紫"]</x:v>
      </x:c>
      <x:c r="AI288" t="n">
        <x:f>IF(ISNUMBER(G288),1,0)</x:f>
        <x:v>1</x:v>
      </x:c>
      <x:c r="AJ288" t="n">
        <x:f>IF(ISNUMBER(AD288),1,0)</x:f>
        <x:v>0</x:v>
      </x:c>
    </x:row>
    <x:row r="289" ht="30" customHeight="1">
      <x:c r="A289" s="3" t="str">
        <x:v>1S01-LP-37</x:v>
      </x:c>
      <x:c r="B289" s="3" t="str">
        <x:v>3店-SANDIEX-US</x:v>
      </x:c>
      <x:c r="C289" s="3" t="str">
        <x:v>徐新怡</x:v>
      </x:c>
      <x:c r="D289" s="3" t="str">
        <x:v>1S01</x:v>
      </x:c>
      <x:c r="E289" s="3" t="str">
        <x:f>IF(Z289="移出","已移出",IF(NOT(ISNUMBER(H289)),"数据待核",IF(H289=0,"断货",IF(NOT(ISNUMBER(G289)),"数据待核",IF(G289=0,"零日销待复核",IF(F289&lt;60,"补货提醒",IF(F289&lt;=90,"正常库存",IF(F289&lt;180,"促销",IF(F289&lt;=365,"红线促销","考虑清仓")))))))))</x:f>
        <x:v>断货</x:v>
      </x:c>
      <x:c r="F289" s="11" t="str">
        <x:f>IF(AND(ISNUMBER(H289),ISNUMBER(G289),G289&gt;0),H289/G289,"")</x:f>
      </x:c>
      <x:c r="G289" s="12" t="n">
        <x:f>IF(AND(COUNT(P289:R289)=3,MIN(P289:R289)&gt;=0,P289&lt;=Q289,Q289&lt;=R289),P289/7*0.5+Q289/14*0.3+R289/30*0.2,"")</x:f>
        <x:v>0</x:v>
      </x:c>
      <x:c r="H289" s="10" t="n">
        <x:f>IF(ISNUMBER(U289),U289,"")</x:f>
        <x:v>0</x:v>
      </x:c>
      <x:c r="I289" s="10" t="n">
        <x:v>0</x:v>
      </x:c>
      <x:c r="J289" s="11" t="str">
        <x:f>IF(AND(Z289="共同",ISNUMBER(F289),ISNUMBER(M289)),F289-M289,"")</x:f>
      </x:c>
      <x:c r="K289" s="13" t="str">
        <x:f>IF(AND(ISNUMBER(J289),M289&lt;&gt;0),J289/M289,"")</x:f>
      </x:c>
      <x:c r="L289" s="10" t="str">
        <x:v>断货</x:v>
      </x:c>
      <x:c r="M289" s="11"/>
      <x:c r="N289" s="10" t="n">
        <x:f>IF(AND(Z289="共同",COUNT(H289:I289)=2),H289-I289,"")</x:f>
        <x:v>0</x:v>
      </x:c>
      <x:c r="O289" s="10" t="n">
        <x:v>0</x:v>
      </x:c>
      <x:c r="P289" s="10" t="n">
        <x:v>0</x:v>
      </x:c>
      <x:c r="Q289" s="10" t="n">
        <x:v>0</x:v>
      </x:c>
      <x:c r="R289" s="10" t="n">
        <x:v>0</x:v>
      </x:c>
      <x:c r="S289" s="10" t="n">
        <x:v>0</x:v>
      </x:c>
      <x:c r="T289" s="10" t="n">
        <x:v>0</x:v>
      </x:c>
      <x:c r="U289" s="10" t="n">
        <x:f>IF(AND(ISNUMBER(X289),X289&gt;=0,Y289&lt;&gt;1),X289,"")</x:f>
        <x:v>0</x:v>
      </x:c>
      <x:c r="V289" s="10" t="n">
        <x:v>0</x:v>
      </x:c>
      <x:c r="W289" s="10" t="n">
        <x:v>0</x:v>
      </x:c>
      <x:c r="X289" s="10" t="n">
        <x:v>0</x:v>
      </x:c>
      <x:c r="Y289" s="3" t="n">
        <x:v>0</x:v>
      </x:c>
      <x:c r="Z289" s="3" t="str">
        <x:v>共同</x:v>
      </x:c>
      <x:c r="AA289" s="3" t="str">
        <x:v>停售</x:v>
      </x:c>
      <x:c r="AB289" s="12" t="str">
        <x:f>IF(AND(Z289="共同",ISNUMBER(G289),ISNUMBER(AD289)),G289-AD289,"")</x:f>
      </x:c>
      <x:c r="AC289" s="3" t="str">
        <x:v>近90天SKU销量未匹配，未按0处理</x:v>
      </x:c>
      <x:c r="AD289" s="12"/>
      <x:c r="AE289" s="3" t="str">
        <x:v>[6574,"1S01-LP-37"]</x:v>
      </x:c>
      <x:c r="AF289" t="n">
        <x:f>IF(ISNUMBER(H289),1,0)</x:f>
        <x:v>1</x:v>
      </x:c>
      <x:c r="AG289" t="n">
        <x:f>IF(ISNUMBER(I289),1,0)</x:f>
        <x:v>1</x:v>
      </x:c>
      <x:c r="AH289" t="str">
        <x:v>["1S01","1S01-LP","LP","香芋紫"]</x:v>
      </x:c>
      <x:c r="AI289" t="n">
        <x:f>IF(ISNUMBER(G289),1,0)</x:f>
        <x:v>1</x:v>
      </x:c>
      <x:c r="AJ289" t="n">
        <x:f>IF(ISNUMBER(AD289),1,0)</x:f>
        <x:v>0</x:v>
      </x:c>
    </x:row>
    <x:row r="290" ht="30" customHeight="1">
      <x:c r="A290" s="3" t="str">
        <x:v>1S01-LP-37.5</x:v>
      </x:c>
      <x:c r="B290" s="3" t="str">
        <x:v>3店-SANDIEX-US</x:v>
      </x:c>
      <x:c r="C290" s="3" t="str">
        <x:v>徐新怡</x:v>
      </x:c>
      <x:c r="D290" s="3" t="str">
        <x:v>1S01</x:v>
      </x:c>
      <x:c r="E290" s="3" t="str">
        <x:f>IF(Z290="移出","已移出",IF(NOT(ISNUMBER(H290)),"数据待核",IF(H290=0,"断货",IF(NOT(ISNUMBER(G290)),"数据待核",IF(G290=0,"零日销待复核",IF(F290&lt;60,"补货提醒",IF(F290&lt;=90,"正常库存",IF(F290&lt;180,"促销",IF(F290&lt;=365,"红线促销","考虑清仓")))))))))</x:f>
        <x:v>断货</x:v>
      </x:c>
      <x:c r="F290" s="11" t="str">
        <x:f>IF(AND(ISNUMBER(H290),ISNUMBER(G290),G290&gt;0),H290/G290,"")</x:f>
      </x:c>
      <x:c r="G290" s="12" t="n">
        <x:f>IF(AND(COUNT(P290:R290)=3,MIN(P290:R290)&gt;=0,P290&lt;=Q290,Q290&lt;=R290),P290/7*0.5+Q290/14*0.3+R290/30*0.2,"")</x:f>
        <x:v>0</x:v>
      </x:c>
      <x:c r="H290" s="10" t="n">
        <x:f>IF(ISNUMBER(U290),U290,"")</x:f>
        <x:v>0</x:v>
      </x:c>
      <x:c r="I290" s="10"/>
      <x:c r="J290" s="11" t="str">
        <x:f>IF(AND(Z290="共同",ISNUMBER(F290),ISNUMBER(M290)),F290-M290,"")</x:f>
      </x:c>
      <x:c r="K290" s="13" t="str">
        <x:f>IF(AND(ISNUMBER(J290),M290&lt;&gt;0),J290/M290,"")</x:f>
      </x:c>
      <x:c r="L290" s="10"/>
      <x:c r="M290" s="11"/>
      <x:c r="N290" s="10" t="str">
        <x:f>IF(AND(Z290="共同",COUNT(H290:I290)=2),H290-I290,"")</x:f>
      </x:c>
      <x:c r="O290" s="10" t="n">
        <x:v>0</x:v>
      </x:c>
      <x:c r="P290" s="10" t="n">
        <x:v>0</x:v>
      </x:c>
      <x:c r="Q290" s="10" t="n">
        <x:v>0</x:v>
      </x:c>
      <x:c r="R290" s="10" t="n">
        <x:v>0</x:v>
      </x:c>
      <x:c r="S290" s="10" t="n">
        <x:v>0</x:v>
      </x:c>
      <x:c r="T290" s="10" t="n">
        <x:v>0</x:v>
      </x:c>
      <x:c r="U290" s="10" t="n">
        <x:f>IF(AND(ISNUMBER(X290),X290&gt;=0,Y290&lt;&gt;1),X290,"")</x:f>
        <x:v>0</x:v>
      </x:c>
      <x:c r="V290" s="10" t="n">
        <x:v>0</x:v>
      </x:c>
      <x:c r="W290" s="10" t="n">
        <x:v>0</x:v>
      </x:c>
      <x:c r="X290" s="10" t="n">
        <x:v>0</x:v>
      </x:c>
      <x:c r="Y290" s="3" t="n">
        <x:v>0</x:v>
      </x:c>
      <x:c r="Z290" s="3" t="str">
        <x:v>新增</x:v>
      </x:c>
      <x:c r="AA290" s="3" t="str">
        <x:v>停售</x:v>
      </x:c>
      <x:c r="AB290" s="12" t="str">
        <x:f>IF(AND(Z290="共同",ISNUMBER(G290),ISNUMBER(AD290)),G290-AD290,"")</x:f>
      </x:c>
      <x:c r="AC290" s="3" t="str">
        <x:v>近90天SKU销量未匹配，未按0处理</x:v>
      </x:c>
      <x:c r="AD290" s="12"/>
      <x:c r="AE290" s="3" t="str">
        <x:v>[6574,"1S01-LP-37.5"]</x:v>
      </x:c>
      <x:c r="AF290" t="n">
        <x:f>IF(ISNUMBER(H290),1,0)</x:f>
        <x:v>1</x:v>
      </x:c>
      <x:c r="AG290" t="n">
        <x:f>IF(ISNUMBER(I290),1,0)</x:f>
        <x:v>0</x:v>
      </x:c>
      <x:c r="AH290" t="str">
        <x:v>["1S01","1S01-LP","LP","香芋紫"]</x:v>
      </x:c>
      <x:c r="AI290" t="n">
        <x:f>IF(ISNUMBER(G290),1,0)</x:f>
        <x:v>1</x:v>
      </x:c>
      <x:c r="AJ290" t="n">
        <x:f>IF(ISNUMBER(AD290),1,0)</x:f>
        <x:v>0</x:v>
      </x:c>
    </x:row>
    <x:row r="291" ht="30" customHeight="1">
      <x:c r="A291" s="3" t="str">
        <x:v>1S01-LP-38</x:v>
      </x:c>
      <x:c r="B291" s="3" t="str">
        <x:v>3店-SANDIEX-US</x:v>
      </x:c>
      <x:c r="C291" s="3" t="str">
        <x:v>徐新怡</x:v>
      </x:c>
      <x:c r="D291" s="3" t="str">
        <x:v>1S01</x:v>
      </x:c>
      <x:c r="E291" s="3" t="str">
        <x:f>IF(Z291="移出","已移出",IF(NOT(ISNUMBER(H291)),"数据待核",IF(H291=0,"断货",IF(NOT(ISNUMBER(G291)),"数据待核",IF(G291=0,"零日销待复核",IF(F291&lt;60,"补货提醒",IF(F291&lt;=90,"正常库存",IF(F291&lt;180,"促销",IF(F291&lt;=365,"红线促销","考虑清仓")))))))))</x:f>
        <x:v>断货</x:v>
      </x:c>
      <x:c r="F291" s="11" t="str">
        <x:f>IF(AND(ISNUMBER(H291),ISNUMBER(G291),G291&gt;0),H291/G291,"")</x:f>
      </x:c>
      <x:c r="G291" s="12" t="n">
        <x:f>IF(AND(COUNT(P291:R291)=3,MIN(P291:R291)&gt;=0,P291&lt;=Q291,Q291&lt;=R291),P291/7*0.5+Q291/14*0.3+R291/30*0.2,"")</x:f>
        <x:v>0</x:v>
      </x:c>
      <x:c r="H291" s="10" t="n">
        <x:f>IF(ISNUMBER(U291),U291,"")</x:f>
        <x:v>0</x:v>
      </x:c>
      <x:c r="I291" s="10" t="n">
        <x:v>0</x:v>
      </x:c>
      <x:c r="J291" s="11" t="str">
        <x:f>IF(AND(Z291="共同",ISNUMBER(F291),ISNUMBER(M291)),F291-M291,"")</x:f>
      </x:c>
      <x:c r="K291" s="13" t="str">
        <x:f>IF(AND(ISNUMBER(J291),M291&lt;&gt;0),J291/M291,"")</x:f>
      </x:c>
      <x:c r="L291" s="10" t="str">
        <x:v>断货</x:v>
      </x:c>
      <x:c r="M291" s="11"/>
      <x:c r="N291" s="10" t="n">
        <x:f>IF(AND(Z291="共同",COUNT(H291:I291)=2),H291-I291,"")</x:f>
        <x:v>0</x:v>
      </x:c>
      <x:c r="O291" s="10" t="n">
        <x:v>0</x:v>
      </x:c>
      <x:c r="P291" s="10" t="n">
        <x:v>0</x:v>
      </x:c>
      <x:c r="Q291" s="10" t="n">
        <x:v>0</x:v>
      </x:c>
      <x:c r="R291" s="10" t="n">
        <x:v>0</x:v>
      </x:c>
      <x:c r="S291" s="10" t="n">
        <x:v>0</x:v>
      </x:c>
      <x:c r="T291" s="10" t="n">
        <x:v>0</x:v>
      </x:c>
      <x:c r="U291" s="10" t="n">
        <x:f>IF(AND(ISNUMBER(X291),X291&gt;=0,Y291&lt;&gt;1),X291,"")</x:f>
        <x:v>0</x:v>
      </x:c>
      <x:c r="V291" s="10" t="n">
        <x:v>0</x:v>
      </x:c>
      <x:c r="W291" s="10" t="n">
        <x:v>0</x:v>
      </x:c>
      <x:c r="X291" s="10" t="n">
        <x:v>0</x:v>
      </x:c>
      <x:c r="Y291" s="3" t="n">
        <x:v>0</x:v>
      </x:c>
      <x:c r="Z291" s="3" t="str">
        <x:v>共同</x:v>
      </x:c>
      <x:c r="AA291" s="3" t="str">
        <x:v>停售</x:v>
      </x:c>
      <x:c r="AB291" s="12" t="str">
        <x:f>IF(AND(Z291="共同",ISNUMBER(G291),ISNUMBER(AD291)),G291-AD291,"")</x:f>
      </x:c>
      <x:c r="AC291" s="3" t="str">
        <x:v>近90天SKU销量未匹配，未按0处理</x:v>
      </x:c>
      <x:c r="AD291" s="12"/>
      <x:c r="AE291" s="3" t="str">
        <x:v>[6574,"1S01-LP-38"]</x:v>
      </x:c>
      <x:c r="AF291" t="n">
        <x:f>IF(ISNUMBER(H291),1,0)</x:f>
        <x:v>1</x:v>
      </x:c>
      <x:c r="AG291" t="n">
        <x:f>IF(ISNUMBER(I291),1,0)</x:f>
        <x:v>1</x:v>
      </x:c>
      <x:c r="AH291" t="str">
        <x:v>["1S01","1S01-LP","LP","香芋紫"]</x:v>
      </x:c>
      <x:c r="AI291" t="n">
        <x:f>IF(ISNUMBER(G291),1,0)</x:f>
        <x:v>1</x:v>
      </x:c>
      <x:c r="AJ291" t="n">
        <x:f>IF(ISNUMBER(AD291),1,0)</x:f>
        <x:v>0</x:v>
      </x:c>
    </x:row>
    <x:row r="292" ht="30" customHeight="1">
      <x:c r="A292" s="3" t="str">
        <x:v>1S01-LP-38.5</x:v>
      </x:c>
      <x:c r="B292" s="3" t="str">
        <x:v>3店-SANDIEX-US</x:v>
      </x:c>
      <x:c r="C292" s="3" t="str">
        <x:v>徐新怡</x:v>
      </x:c>
      <x:c r="D292" s="3" t="str">
        <x:v>1S01</x:v>
      </x:c>
      <x:c r="E292" s="3" t="str">
        <x:f>IF(Z292="移出","已移出",IF(NOT(ISNUMBER(H292)),"数据待核",IF(H292=0,"断货",IF(NOT(ISNUMBER(G292)),"数据待核",IF(G292=0,"零日销待复核",IF(F292&lt;60,"补货提醒",IF(F292&lt;=90,"正常库存",IF(F292&lt;180,"促销",IF(F292&lt;=365,"红线促销","考虑清仓")))))))))</x:f>
        <x:v>断货</x:v>
      </x:c>
      <x:c r="F292" s="11" t="str">
        <x:f>IF(AND(ISNUMBER(H292),ISNUMBER(G292),G292&gt;0),H292/G292,"")</x:f>
      </x:c>
      <x:c r="G292" s="12" t="n">
        <x:f>IF(AND(COUNT(P292:R292)=3,MIN(P292:R292)&gt;=0,P292&lt;=Q292,Q292&lt;=R292),P292/7*0.5+Q292/14*0.3+R292/30*0.2,"")</x:f>
        <x:v>0</x:v>
      </x:c>
      <x:c r="H292" s="10" t="n">
        <x:f>IF(ISNUMBER(U292),U292,"")</x:f>
        <x:v>0</x:v>
      </x:c>
      <x:c r="I292" s="10"/>
      <x:c r="J292" s="11" t="str">
        <x:f>IF(AND(Z292="共同",ISNUMBER(F292),ISNUMBER(M292)),F292-M292,"")</x:f>
      </x:c>
      <x:c r="K292" s="13" t="str">
        <x:f>IF(AND(ISNUMBER(J292),M292&lt;&gt;0),J292/M292,"")</x:f>
      </x:c>
      <x:c r="L292" s="10"/>
      <x:c r="M292" s="11"/>
      <x:c r="N292" s="10" t="str">
        <x:f>IF(AND(Z292="共同",COUNT(H292:I292)=2),H292-I292,"")</x:f>
      </x:c>
      <x:c r="O292" s="10" t="n">
        <x:v>0</x:v>
      </x:c>
      <x:c r="P292" s="10" t="n">
        <x:v>0</x:v>
      </x:c>
      <x:c r="Q292" s="10" t="n">
        <x:v>0</x:v>
      </x:c>
      <x:c r="R292" s="10" t="n">
        <x:v>0</x:v>
      </x:c>
      <x:c r="S292" s="10" t="n">
        <x:v>0</x:v>
      </x:c>
      <x:c r="T292" s="10" t="n">
        <x:v>0</x:v>
      </x:c>
      <x:c r="U292" s="10" t="n">
        <x:f>IF(AND(ISNUMBER(X292),X292&gt;=0,Y292&lt;&gt;1),X292,"")</x:f>
        <x:v>0</x:v>
      </x:c>
      <x:c r="V292" s="10" t="n">
        <x:v>0</x:v>
      </x:c>
      <x:c r="W292" s="10" t="n">
        <x:v>0</x:v>
      </x:c>
      <x:c r="X292" s="10" t="n">
        <x:v>0</x:v>
      </x:c>
      <x:c r="Y292" s="3" t="n">
        <x:v>0</x:v>
      </x:c>
      <x:c r="Z292" s="3" t="str">
        <x:v>新增</x:v>
      </x:c>
      <x:c r="AA292" s="3" t="str">
        <x:v>停售</x:v>
      </x:c>
      <x:c r="AB292" s="12" t="str">
        <x:f>IF(AND(Z292="共同",ISNUMBER(G292),ISNUMBER(AD292)),G292-AD292,"")</x:f>
      </x:c>
      <x:c r="AC292" s="3" t="str">
        <x:v>近90天SKU销量未匹配，未按0处理</x:v>
      </x:c>
      <x:c r="AD292" s="12"/>
      <x:c r="AE292" s="3" t="str">
        <x:v>[6574,"1S01-LP-38.5"]</x:v>
      </x:c>
      <x:c r="AF292" t="n">
        <x:f>IF(ISNUMBER(H292),1,0)</x:f>
        <x:v>1</x:v>
      </x:c>
      <x:c r="AG292" t="n">
        <x:f>IF(ISNUMBER(I292),1,0)</x:f>
        <x:v>0</x:v>
      </x:c>
      <x:c r="AH292" t="str">
        <x:v>["1S01","1S01-LP","LP","香芋紫"]</x:v>
      </x:c>
      <x:c r="AI292" t="n">
        <x:f>IF(ISNUMBER(G292),1,0)</x:f>
        <x:v>1</x:v>
      </x:c>
      <x:c r="AJ292" t="n">
        <x:f>IF(ISNUMBER(AD292),1,0)</x:f>
        <x:v>0</x:v>
      </x:c>
    </x:row>
    <x:row r="293" ht="30" customHeight="1">
      <x:c r="A293" s="3" t="str">
        <x:v>1S01-LP-39</x:v>
      </x:c>
      <x:c r="B293" s="3" t="str">
        <x:v>3店-SANDIEX-US</x:v>
      </x:c>
      <x:c r="C293" s="3" t="str">
        <x:v>徐新怡</x:v>
      </x:c>
      <x:c r="D293" s="3" t="str">
        <x:v>1S01</x:v>
      </x:c>
      <x:c r="E293" s="3" t="str">
        <x:f>IF(Z293="移出","已移出",IF(NOT(ISNUMBER(H293)),"数据待核",IF(H293=0,"断货",IF(NOT(ISNUMBER(G293)),"数据待核",IF(G293=0,"零日销待复核",IF(F293&lt;60,"补货提醒",IF(F293&lt;=90,"正常库存",IF(F293&lt;180,"促销",IF(F293&lt;=365,"红线促销","考虑清仓")))))))))</x:f>
        <x:v>断货</x:v>
      </x:c>
      <x:c r="F293" s="11" t="str">
        <x:f>IF(AND(ISNUMBER(H293),ISNUMBER(G293),G293&gt;0),H293/G293,"")</x:f>
      </x:c>
      <x:c r="G293" s="12" t="n">
        <x:f>IF(AND(COUNT(P293:R293)=3,MIN(P293:R293)&gt;=0,P293&lt;=Q293,Q293&lt;=R293),P293/7*0.5+Q293/14*0.3+R293/30*0.2,"")</x:f>
        <x:v>0</x:v>
      </x:c>
      <x:c r="H293" s="10" t="n">
        <x:f>IF(ISNUMBER(U293),U293,"")</x:f>
        <x:v>0</x:v>
      </x:c>
      <x:c r="I293" s="10" t="n">
        <x:v>0</x:v>
      </x:c>
      <x:c r="J293" s="11" t="str">
        <x:f>IF(AND(Z293="共同",ISNUMBER(F293),ISNUMBER(M293)),F293-M293,"")</x:f>
      </x:c>
      <x:c r="K293" s="13" t="str">
        <x:f>IF(AND(ISNUMBER(J293),M293&lt;&gt;0),J293/M293,"")</x:f>
      </x:c>
      <x:c r="L293" s="10" t="str">
        <x:v>断货</x:v>
      </x:c>
      <x:c r="M293" s="11"/>
      <x:c r="N293" s="10" t="n">
        <x:f>IF(AND(Z293="共同",COUNT(H293:I293)=2),H293-I293,"")</x:f>
        <x:v>0</x:v>
      </x:c>
      <x:c r="O293" s="10" t="n">
        <x:v>0</x:v>
      </x:c>
      <x:c r="P293" s="10" t="n">
        <x:v>0</x:v>
      </x:c>
      <x:c r="Q293" s="10" t="n">
        <x:v>0</x:v>
      </x:c>
      <x:c r="R293" s="10" t="n">
        <x:v>0</x:v>
      </x:c>
      <x:c r="S293" s="10" t="n">
        <x:v>0</x:v>
      </x:c>
      <x:c r="T293" s="10" t="n">
        <x:v>0</x:v>
      </x:c>
      <x:c r="U293" s="10" t="n">
        <x:f>IF(AND(ISNUMBER(X293),X293&gt;=0,Y293&lt;&gt;1),X293,"")</x:f>
        <x:v>0</x:v>
      </x:c>
      <x:c r="V293" s="10" t="n">
        <x:v>0</x:v>
      </x:c>
      <x:c r="W293" s="10" t="n">
        <x:v>0</x:v>
      </x:c>
      <x:c r="X293" s="10" t="n">
        <x:v>0</x:v>
      </x:c>
      <x:c r="Y293" s="3" t="n">
        <x:v>0</x:v>
      </x:c>
      <x:c r="Z293" s="3" t="str">
        <x:v>共同</x:v>
      </x:c>
      <x:c r="AA293" s="3" t="str">
        <x:v>停售</x:v>
      </x:c>
      <x:c r="AB293" s="12" t="str">
        <x:f>IF(AND(Z293="共同",ISNUMBER(G293),ISNUMBER(AD293)),G293-AD293,"")</x:f>
      </x:c>
      <x:c r="AC293" s="3" t="str">
        <x:v>近90天SKU销量未匹配，未按0处理</x:v>
      </x:c>
      <x:c r="AD293" s="12"/>
      <x:c r="AE293" s="3" t="str">
        <x:v>[6574,"1S01-LP-39"]</x:v>
      </x:c>
      <x:c r="AF293" t="n">
        <x:f>IF(ISNUMBER(H293),1,0)</x:f>
        <x:v>1</x:v>
      </x:c>
      <x:c r="AG293" t="n">
        <x:f>IF(ISNUMBER(I293),1,0)</x:f>
        <x:v>1</x:v>
      </x:c>
      <x:c r="AH293" t="str">
        <x:v>["1S01","1S01-LP","LP","香芋紫"]</x:v>
      </x:c>
      <x:c r="AI293" t="n">
        <x:f>IF(ISNUMBER(G293),1,0)</x:f>
        <x:v>1</x:v>
      </x:c>
      <x:c r="AJ293" t="n">
        <x:f>IF(ISNUMBER(AD293),1,0)</x:f>
        <x:v>0</x:v>
      </x:c>
    </x:row>
    <x:row r="294" ht="30" customHeight="1">
      <x:c r="A294" s="3" t="str">
        <x:v>1S01-LP-40</x:v>
      </x:c>
      <x:c r="B294" s="3" t="str">
        <x:v>3店-SANDIEX-US</x:v>
      </x:c>
      <x:c r="C294" s="3" t="str">
        <x:v>徐新怡</x:v>
      </x:c>
      <x:c r="D294" s="3" t="str">
        <x:v>1S01</x:v>
      </x:c>
      <x:c r="E294" s="3" t="str">
        <x:f>IF(Z294="移出","已移出",IF(NOT(ISNUMBER(H294)),"数据待核",IF(H294=0,"断货",IF(NOT(ISNUMBER(G294)),"数据待核",IF(G294=0,"零日销待复核",IF(F294&lt;60,"补货提醒",IF(F294&lt;=90,"正常库存",IF(F294&lt;180,"促销",IF(F294&lt;=365,"红线促销","考虑清仓")))))))))</x:f>
        <x:v>断货</x:v>
      </x:c>
      <x:c r="F294" s="11" t="str">
        <x:f>IF(AND(ISNUMBER(H294),ISNUMBER(G294),G294&gt;0),H294/G294,"")</x:f>
      </x:c>
      <x:c r="G294" s="12" t="n">
        <x:f>IF(AND(COUNT(P294:R294)=3,MIN(P294:R294)&gt;=0,P294&lt;=Q294,Q294&lt;=R294),P294/7*0.5+Q294/14*0.3+R294/30*0.2,"")</x:f>
        <x:v>0</x:v>
      </x:c>
      <x:c r="H294" s="10" t="n">
        <x:f>IF(ISNUMBER(U294),U294,"")</x:f>
        <x:v>0</x:v>
      </x:c>
      <x:c r="I294" s="10" t="n">
        <x:v>0</x:v>
      </x:c>
      <x:c r="J294" s="11" t="str">
        <x:f>IF(AND(Z294="共同",ISNUMBER(F294),ISNUMBER(M294)),F294-M294,"")</x:f>
      </x:c>
      <x:c r="K294" s="13" t="str">
        <x:f>IF(AND(ISNUMBER(J294),M294&lt;&gt;0),J294/M294,"")</x:f>
      </x:c>
      <x:c r="L294" s="10" t="str">
        <x:v>断货</x:v>
      </x:c>
      <x:c r="M294" s="11"/>
      <x:c r="N294" s="10" t="n">
        <x:f>IF(AND(Z294="共同",COUNT(H294:I294)=2),H294-I294,"")</x:f>
        <x:v>0</x:v>
      </x:c>
      <x:c r="O294" s="10" t="n">
        <x:v>30</x:v>
      </x:c>
      <x:c r="P294" s="10" t="n">
        <x:v>0</x:v>
      </x:c>
      <x:c r="Q294" s="10" t="n">
        <x:v>0</x:v>
      </x:c>
      <x:c r="R294" s="10" t="n">
        <x:v>0</x:v>
      </x:c>
      <x:c r="S294" s="10" t="n">
        <x:v>1</x:v>
      </x:c>
      <x:c r="T294" s="10" t="n">
        <x:v>0</x:v>
      </x:c>
      <x:c r="U294" s="10" t="n">
        <x:f>IF(AND(ISNUMBER(X294),X294&gt;=0,Y294&lt;&gt;1),X294,"")</x:f>
        <x:v>0</x:v>
      </x:c>
      <x:c r="V294" s="10" t="n">
        <x:v>0</x:v>
      </x:c>
      <x:c r="W294" s="10" t="n">
        <x:v>9</x:v>
      </x:c>
      <x:c r="X294" s="10" t="n">
        <x:v>0</x:v>
      </x:c>
      <x:c r="Y294" s="3" t="n">
        <x:v>0</x:v>
      </x:c>
      <x:c r="Z294" s="3" t="str">
        <x:v>共同</x:v>
      </x:c>
      <x:c r="AA294" s="3" t="str">
        <x:v>在售</x:v>
      </x:c>
      <x:c r="AB294" s="12" t="n">
        <x:f>IF(AND(Z294="共同",ISNUMBER(G294),ISNUMBER(AD294)),G294-AD294,"")</x:f>
        <x:v>0</x:v>
      </x:c>
      <x:c r="AC294" s="3" t="str"/>
      <x:c r="AD294" s="12" t="n">
        <x:v>0</x:v>
      </x:c>
      <x:c r="AE294" s="3" t="str">
        <x:v>[6574,"1S01-LP-40"]</x:v>
      </x:c>
      <x:c r="AF294" t="n">
        <x:f>IF(ISNUMBER(H294),1,0)</x:f>
        <x:v>1</x:v>
      </x:c>
      <x:c r="AG294" t="n">
        <x:f>IF(ISNUMBER(I294),1,0)</x:f>
        <x:v>1</x:v>
      </x:c>
      <x:c r="AH294" t="str">
        <x:v>["1S01","1S01-LP","LP","香芋紫"]</x:v>
      </x:c>
      <x:c r="AI294" t="n">
        <x:f>IF(ISNUMBER(G294),1,0)</x:f>
        <x:v>1</x:v>
      </x:c>
      <x:c r="AJ294" t="n">
        <x:f>IF(ISNUMBER(AD294),1,0)</x:f>
        <x:v>1</x:v>
      </x:c>
    </x:row>
    <x:row r="295" ht="30" customHeight="1">
      <x:c r="A295" s="3" t="str">
        <x:v>1S01-LP-40.5</x:v>
      </x:c>
      <x:c r="B295" s="3" t="str">
        <x:v>3店-SANDIEX-US</x:v>
      </x:c>
      <x:c r="C295" s="3" t="str">
        <x:v>徐新怡</x:v>
      </x:c>
      <x:c r="D295" s="3" t="str">
        <x:v>1S01</x:v>
      </x:c>
      <x:c r="E295" s="3" t="str">
        <x:f>IF(Z295="移出","已移出",IF(NOT(ISNUMBER(H295)),"数据待核",IF(H295=0,"断货",IF(NOT(ISNUMBER(G295)),"数据待核",IF(G295=0,"零日销待复核",IF(F295&lt;60,"补货提醒",IF(F295&lt;=90,"正常库存",IF(F295&lt;180,"促销",IF(F295&lt;=365,"红线促销","考虑清仓")))))))))</x:f>
        <x:v>断货</x:v>
      </x:c>
      <x:c r="F295" s="11" t="str">
        <x:f>IF(AND(ISNUMBER(H295),ISNUMBER(G295),G295&gt;0),H295/G295,"")</x:f>
      </x:c>
      <x:c r="G295" s="12" t="n">
        <x:f>IF(AND(COUNT(P295:R295)=3,MIN(P295:R295)&gt;=0,P295&lt;=Q295,Q295&lt;=R295),P295/7*0.5+Q295/14*0.3+R295/30*0.2,"")</x:f>
        <x:v>0</x:v>
      </x:c>
      <x:c r="H295" s="10" t="n">
        <x:f>IF(ISNUMBER(U295),U295,"")</x:f>
        <x:v>0</x:v>
      </x:c>
      <x:c r="I295" s="10"/>
      <x:c r="J295" s="11" t="str">
        <x:f>IF(AND(Z295="共同",ISNUMBER(F295),ISNUMBER(M295)),F295-M295,"")</x:f>
      </x:c>
      <x:c r="K295" s="13" t="str">
        <x:f>IF(AND(ISNUMBER(J295),M295&lt;&gt;0),J295/M295,"")</x:f>
      </x:c>
      <x:c r="L295" s="10"/>
      <x:c r="M295" s="11"/>
      <x:c r="N295" s="10" t="str">
        <x:f>IF(AND(Z295="共同",COUNT(H295:I295)=2),H295-I295,"")</x:f>
      </x:c>
      <x:c r="O295" s="10" t="n">
        <x:v>0</x:v>
      </x:c>
      <x:c r="P295" s="10" t="n">
        <x:v>0</x:v>
      </x:c>
      <x:c r="Q295" s="10" t="n">
        <x:v>0</x:v>
      </x:c>
      <x:c r="R295" s="10" t="n">
        <x:v>0</x:v>
      </x:c>
      <x:c r="S295" s="10" t="n">
        <x:v>0</x:v>
      </x:c>
      <x:c r="T295" s="10" t="n">
        <x:v>0</x:v>
      </x:c>
      <x:c r="U295" s="10" t="n">
        <x:f>IF(AND(ISNUMBER(X295),X295&gt;=0,Y295&lt;&gt;1),X295,"")</x:f>
        <x:v>0</x:v>
      </x:c>
      <x:c r="V295" s="10" t="n">
        <x:v>0</x:v>
      </x:c>
      <x:c r="W295" s="10" t="n">
        <x:v>0</x:v>
      </x:c>
      <x:c r="X295" s="10" t="n">
        <x:v>0</x:v>
      </x:c>
      <x:c r="Y295" s="3" t="n">
        <x:v>0</x:v>
      </x:c>
      <x:c r="Z295" s="3" t="str">
        <x:v>新增</x:v>
      </x:c>
      <x:c r="AA295" s="3" t="str">
        <x:v>停售</x:v>
      </x:c>
      <x:c r="AB295" s="12" t="str">
        <x:f>IF(AND(Z295="共同",ISNUMBER(G295),ISNUMBER(AD295)),G295-AD295,"")</x:f>
      </x:c>
      <x:c r="AC295" s="3" t="str">
        <x:v>近90天SKU销量未匹配，未按0处理</x:v>
      </x:c>
      <x:c r="AD295" s="12"/>
      <x:c r="AE295" s="3" t="str">
        <x:v>[6574,"1S01-LP-40.5"]</x:v>
      </x:c>
      <x:c r="AF295" t="n">
        <x:f>IF(ISNUMBER(H295),1,0)</x:f>
        <x:v>1</x:v>
      </x:c>
      <x:c r="AG295" t="n">
        <x:f>IF(ISNUMBER(I295),1,0)</x:f>
        <x:v>0</x:v>
      </x:c>
      <x:c r="AH295" t="str">
        <x:v>["1S01","1S01-LP","LP","香芋紫"]</x:v>
      </x:c>
      <x:c r="AI295" t="n">
        <x:f>IF(ISNUMBER(G295),1,0)</x:f>
        <x:v>1</x:v>
      </x:c>
      <x:c r="AJ295" t="n">
        <x:f>IF(ISNUMBER(AD295),1,0)</x:f>
        <x:v>0</x:v>
      </x:c>
    </x:row>
    <x:row r="296" ht="30" customHeight="1">
      <x:c r="A296" s="3" t="str">
        <x:v>1S01-LP-41.5</x:v>
      </x:c>
      <x:c r="B296" s="3" t="str">
        <x:v>3店-SANDIEX-US</x:v>
      </x:c>
      <x:c r="C296" s="3" t="str">
        <x:v>徐新怡</x:v>
      </x:c>
      <x:c r="D296" s="3" t="str">
        <x:v>1S01</x:v>
      </x:c>
      <x:c r="E296" s="3" t="str">
        <x:f>IF(Z296="移出","已移出",IF(NOT(ISNUMBER(H296)),"数据待核",IF(H296=0,"断货",IF(NOT(ISNUMBER(G296)),"数据待核",IF(G296=0,"零日销待复核",IF(F296&lt;60,"补货提醒",IF(F296&lt;=90,"正常库存",IF(F296&lt;180,"促销",IF(F296&lt;=365,"红线促销","考虑清仓")))))))))</x:f>
        <x:v>断货</x:v>
      </x:c>
      <x:c r="F296" s="11" t="str">
        <x:f>IF(AND(ISNUMBER(H296),ISNUMBER(G296),G296&gt;0),H296/G296,"")</x:f>
      </x:c>
      <x:c r="G296" s="12" t="n">
        <x:f>IF(AND(COUNT(P296:R296)=3,MIN(P296:R296)&gt;=0,P296&lt;=Q296,Q296&lt;=R296),P296/7*0.5+Q296/14*0.3+R296/30*0.2,"")</x:f>
        <x:v>0</x:v>
      </x:c>
      <x:c r="H296" s="10" t="n">
        <x:f>IF(ISNUMBER(U296),U296,"")</x:f>
        <x:v>0</x:v>
      </x:c>
      <x:c r="I296" s="10"/>
      <x:c r="J296" s="11" t="str">
        <x:f>IF(AND(Z296="共同",ISNUMBER(F296),ISNUMBER(M296)),F296-M296,"")</x:f>
      </x:c>
      <x:c r="K296" s="13" t="str">
        <x:f>IF(AND(ISNUMBER(J296),M296&lt;&gt;0),J296/M296,"")</x:f>
      </x:c>
      <x:c r="L296" s="10"/>
      <x:c r="M296" s="11"/>
      <x:c r="N296" s="10" t="str">
        <x:f>IF(AND(Z296="共同",COUNT(H296:I296)=2),H296-I296,"")</x:f>
      </x:c>
      <x:c r="O296" s="10" t="n">
        <x:v>0</x:v>
      </x:c>
      <x:c r="P296" s="10" t="n">
        <x:v>0</x:v>
      </x:c>
      <x:c r="Q296" s="10" t="n">
        <x:v>0</x:v>
      </x:c>
      <x:c r="R296" s="10" t="n">
        <x:v>0</x:v>
      </x:c>
      <x:c r="S296" s="10" t="n">
        <x:v>0</x:v>
      </x:c>
      <x:c r="T296" s="10" t="n">
        <x:v>0</x:v>
      </x:c>
      <x:c r="U296" s="10" t="n">
        <x:f>IF(AND(ISNUMBER(X296),X296&gt;=0,Y296&lt;&gt;1),X296,"")</x:f>
        <x:v>0</x:v>
      </x:c>
      <x:c r="V296" s="10" t="n">
        <x:v>0</x:v>
      </x:c>
      <x:c r="W296" s="10" t="n">
        <x:v>0</x:v>
      </x:c>
      <x:c r="X296" s="10" t="n">
        <x:v>0</x:v>
      </x:c>
      <x:c r="Y296" s="3" t="n">
        <x:v>0</x:v>
      </x:c>
      <x:c r="Z296" s="3" t="str">
        <x:v>新增</x:v>
      </x:c>
      <x:c r="AA296" s="3" t="str">
        <x:v>停售</x:v>
      </x:c>
      <x:c r="AB296" s="12" t="str">
        <x:f>IF(AND(Z296="共同",ISNUMBER(G296),ISNUMBER(AD296)),G296-AD296,"")</x:f>
      </x:c>
      <x:c r="AC296" s="3" t="str">
        <x:v>近90天SKU销量未匹配，未按0处理</x:v>
      </x:c>
      <x:c r="AD296" s="12"/>
      <x:c r="AE296" s="3" t="str">
        <x:v>[6574,"1S01-LP-41.5"]</x:v>
      </x:c>
      <x:c r="AF296" t="n">
        <x:f>IF(ISNUMBER(H296),1,0)</x:f>
        <x:v>1</x:v>
      </x:c>
      <x:c r="AG296" t="n">
        <x:f>IF(ISNUMBER(I296),1,0)</x:f>
        <x:v>0</x:v>
      </x:c>
      <x:c r="AH296" t="str">
        <x:v>["1S01","1S01-LP","LP","香芋紫"]</x:v>
      </x:c>
      <x:c r="AI296" t="n">
        <x:f>IF(ISNUMBER(G296),1,0)</x:f>
        <x:v>1</x:v>
      </x:c>
      <x:c r="AJ296" t="n">
        <x:f>IF(ISNUMBER(AD296),1,0)</x:f>
        <x:v>0</x:v>
      </x:c>
    </x:row>
    <x:row r="297" ht="30" customHeight="1">
      <x:c r="A297" s="3" t="str">
        <x:v>1S01-LP-42</x:v>
      </x:c>
      <x:c r="B297" s="3" t="str">
        <x:v>3店-SANDIEX-US</x:v>
      </x:c>
      <x:c r="C297" s="3" t="str">
        <x:v>徐新怡</x:v>
      </x:c>
      <x:c r="D297" s="3" t="str">
        <x:v>1S01</x:v>
      </x:c>
      <x:c r="E297" s="3" t="str">
        <x:f>IF(Z297="移出","已移出",IF(NOT(ISNUMBER(H297)),"数据待核",IF(H297=0,"断货",IF(NOT(ISNUMBER(G297)),"数据待核",IF(G297=0,"零日销待复核",IF(F297&lt;60,"补货提醒",IF(F297&lt;=90,"正常库存",IF(F297&lt;180,"促销",IF(F297&lt;=365,"红线促销","考虑清仓")))))))))</x:f>
        <x:v>断货</x:v>
      </x:c>
      <x:c r="F297" s="11" t="str">
        <x:f>IF(AND(ISNUMBER(H297),ISNUMBER(G297),G297&gt;0),H297/G297,"")</x:f>
      </x:c>
      <x:c r="G297" s="12" t="n">
        <x:f>IF(AND(COUNT(P297:R297)=3,MIN(P297:R297)&gt;=0,P297&lt;=Q297,Q297&lt;=R297),P297/7*0.5+Q297/14*0.3+R297/30*0.2,"")</x:f>
        <x:v>0</x:v>
      </x:c>
      <x:c r="H297" s="10" t="n">
        <x:f>IF(ISNUMBER(U297),U297,"")</x:f>
        <x:v>0</x:v>
      </x:c>
      <x:c r="I297" s="10" t="n">
        <x:v>0</x:v>
      </x:c>
      <x:c r="J297" s="11" t="str">
        <x:f>IF(AND(Z297="共同",ISNUMBER(F297),ISNUMBER(M297)),F297-M297,"")</x:f>
      </x:c>
      <x:c r="K297" s="13" t="str">
        <x:f>IF(AND(ISNUMBER(J297),M297&lt;&gt;0),J297/M297,"")</x:f>
      </x:c>
      <x:c r="L297" s="10" t="str">
        <x:v>断货</x:v>
      </x:c>
      <x:c r="M297" s="11"/>
      <x:c r="N297" s="10" t="n">
        <x:f>IF(AND(Z297="共同",COUNT(H297:I297)=2),H297-I297,"")</x:f>
        <x:v>0</x:v>
      </x:c>
      <x:c r="O297" s="10"/>
      <x:c r="P297" s="10" t="n">
        <x:v>0</x:v>
      </x:c>
      <x:c r="Q297" s="10" t="n">
        <x:v>0</x:v>
      </x:c>
      <x:c r="R297" s="10" t="n">
        <x:v>0</x:v>
      </x:c>
      <x:c r="S297" s="10" t="n">
        <x:v>0</x:v>
      </x:c>
      <x:c r="T297" s="10" t="n">
        <x:v>0</x:v>
      </x:c>
      <x:c r="U297" s="10" t="n">
        <x:f>IF(AND(ISNUMBER(X297),X297&gt;=0,Y297&lt;&gt;1),X297,"")</x:f>
        <x:v>0</x:v>
      </x:c>
      <x:c r="V297" s="10" t="n">
        <x:v>0</x:v>
      </x:c>
      <x:c r="W297" s="10" t="n">
        <x:v>0</x:v>
      </x:c>
      <x:c r="X297" s="10" t="n">
        <x:v>0</x:v>
      </x:c>
      <x:c r="Y297" s="3" t="n">
        <x:v>0</x:v>
      </x:c>
      <x:c r="Z297" s="3" t="str">
        <x:v>共同</x:v>
      </x:c>
      <x:c r="AA297" s="3" t="str">
        <x:v>停售</x:v>
      </x:c>
      <x:c r="AB297" s="12" t="str">
        <x:f>IF(AND(Z297="共同",ISNUMBER(G297),ISNUMBER(AD297)),G297-AD297,"")</x:f>
      </x:c>
      <x:c r="AC297" s="3" t="str">
        <x:v>近90天SKU销量未匹配，未按0处理</x:v>
      </x:c>
      <x:c r="AD297" s="12"/>
      <x:c r="AE297" s="3" t="str">
        <x:v>[6574,"1S01-LP-42"]</x:v>
      </x:c>
      <x:c r="AF297" t="n">
        <x:f>IF(ISNUMBER(H297),1,0)</x:f>
        <x:v>1</x:v>
      </x:c>
      <x:c r="AG297" t="n">
        <x:f>IF(ISNUMBER(I297),1,0)</x:f>
        <x:v>1</x:v>
      </x:c>
      <x:c r="AH297" t="str">
        <x:v>["1S01","1S01-LP","LP","香芋紫"]</x:v>
      </x:c>
      <x:c r="AI297" t="n">
        <x:f>IF(ISNUMBER(G297),1,0)</x:f>
        <x:v>1</x:v>
      </x:c>
      <x:c r="AJ297" t="n">
        <x:f>IF(ISNUMBER(AD297),1,0)</x:f>
        <x:v>0</x:v>
      </x:c>
    </x:row>
    <x:row r="298" ht="30" customHeight="1">
      <x:c r="A298" s="3" t="str">
        <x:v>1S01-ND-10</x:v>
      </x:c>
      <x:c r="B298" s="3" t="str">
        <x:v>3店-SANDIEX-US</x:v>
      </x:c>
      <x:c r="C298" s="3" t="str">
        <x:v>徐新怡</x:v>
      </x:c>
      <x:c r="D298" s="3" t="str">
        <x:v>1S01</x:v>
      </x:c>
      <x:c r="E298" s="3" t="str">
        <x:f>IF(Z298="移出","已移出",IF(NOT(ISNUMBER(H298)),"数据待核",IF(H298=0,"断货",IF(NOT(ISNUMBER(G298)),"数据待核",IF(G298=0,"零日销待复核",IF(F298&lt;60,"补货提醒",IF(F298&lt;=90,"正常库存",IF(F298&lt;180,"促销",IF(F298&lt;=365,"红线促销","考虑清仓")))))))))</x:f>
        <x:v>断货</x:v>
      </x:c>
      <x:c r="F298" s="11" t="n">
        <x:f>IF(AND(ISNUMBER(H298),ISNUMBER(G298),G298&gt;0),H298/G298,"")</x:f>
        <x:v>0</x:v>
      </x:c>
      <x:c r="G298" s="12" t="n">
        <x:f>IF(AND(COUNT(P298:R298)=3,MIN(P298:R298)&gt;=0,P298&lt;=Q298,Q298&lt;=R298),P298/7*0.5+Q298/14*0.3+R298/30*0.2,"")</x:f>
        <x:v>0.09952380952380951</x:v>
      </x:c>
      <x:c r="H298" s="10" t="n">
        <x:f>IF(ISNUMBER(U298),U298,"")</x:f>
        <x:v>0</x:v>
      </x:c>
      <x:c r="I298" s="10" t="n">
        <x:v>0</x:v>
      </x:c>
      <x:c r="J298" s="11" t="str">
        <x:f>IF(AND(Z298="共同",ISNUMBER(F298),ISNUMBER(M298)),F298-M298,"")</x:f>
      </x:c>
      <x:c r="K298" s="13" t="str">
        <x:f>IF(AND(ISNUMBER(J298),M298&lt;&gt;0),J298/M298,"")</x:f>
      </x:c>
      <x:c r="L298" s="10" t="str">
        <x:v>断货</x:v>
      </x:c>
      <x:c r="M298" s="11"/>
      <x:c r="N298" s="10" t="n">
        <x:f>IF(AND(Z298="共同",COUNT(H298:I298)=2),H298-I298,"")</x:f>
        <x:v>0</x:v>
      </x:c>
      <x:c r="O298" s="10" t="n">
        <x:v>20</x:v>
      </x:c>
      <x:c r="P298" s="10" t="n">
        <x:v>1</x:v>
      </x:c>
      <x:c r="Q298" s="10" t="n">
        <x:v>1</x:v>
      </x:c>
      <x:c r="R298" s="10" t="n">
        <x:v>1</x:v>
      </x:c>
      <x:c r="S298" s="10" t="n">
        <x:v>0</x:v>
      </x:c>
      <x:c r="T298" s="10" t="n">
        <x:v>0</x:v>
      </x:c>
      <x:c r="U298" s="10" t="n">
        <x:f>IF(AND(ISNUMBER(X298),X298&gt;=0,Y298&lt;&gt;1),X298,"")</x:f>
        <x:v>0</x:v>
      </x:c>
      <x:c r="V298" s="10" t="n">
        <x:v>0</x:v>
      </x:c>
      <x:c r="W298" s="10" t="n">
        <x:v>10</x:v>
      </x:c>
      <x:c r="X298" s="10" t="n">
        <x:v>0</x:v>
      </x:c>
      <x:c r="Y298" s="3" t="n">
        <x:v>0</x:v>
      </x:c>
      <x:c r="Z298" s="3" t="str">
        <x:v>共同</x:v>
      </x:c>
      <x:c r="AA298" s="3" t="str">
        <x:v>在售</x:v>
      </x:c>
      <x:c r="AB298" s="12" t="str">
        <x:f>IF(AND(Z298="共同",ISNUMBER(G298),ISNUMBER(AD298)),G298-AD298,"")</x:f>
      </x:c>
      <x:c r="AC298" s="3" t="str">
        <x:v>近90天SKU销量未匹配，未按0处理</x:v>
      </x:c>
      <x:c r="AD298" s="12"/>
      <x:c r="AE298" s="3" t="str">
        <x:v>[6574,"1S01-ND-10"]</x:v>
      </x:c>
      <x:c r="AF298" t="n">
        <x:f>IF(ISNUMBER(H298),1,0)</x:f>
        <x:v>1</x:v>
      </x:c>
      <x:c r="AG298" t="n">
        <x:f>IF(ISNUMBER(I298),1,0)</x:f>
        <x:v>1</x:v>
      </x:c>
      <x:c r="AH298" t="str">
        <x:v>["1S01","1S01-ND","ND","裸色"]</x:v>
      </x:c>
      <x:c r="AI298" t="n">
        <x:f>IF(ISNUMBER(G298),1,0)</x:f>
        <x:v>1</x:v>
      </x:c>
      <x:c r="AJ298" t="n">
        <x:f>IF(ISNUMBER(AD298),1,0)</x:f>
        <x:v>0</x:v>
      </x:c>
    </x:row>
    <x:row r="299" ht="30" customHeight="1">
      <x:c r="A299" s="3" t="str">
        <x:v>1S01-ND-11</x:v>
      </x:c>
      <x:c r="B299" s="3" t="str">
        <x:v>3店-SANDIEX-US</x:v>
      </x:c>
      <x:c r="C299" s="3" t="str">
        <x:v>徐新怡</x:v>
      </x:c>
      <x:c r="D299" s="3" t="str">
        <x:v>1S01</x:v>
      </x:c>
      <x:c r="E299" s="3" t="str">
        <x:f>IF(Z299="移出","已移出",IF(NOT(ISNUMBER(H299)),"数据待核",IF(H299=0,"断货",IF(NOT(ISNUMBER(G299)),"数据待核",IF(G299=0,"零日销待复核",IF(F299&lt;60,"补货提醒",IF(F299&lt;=90,"正常库存",IF(F299&lt;180,"促销",IF(F299&lt;=365,"红线促销","考虑清仓")))))))))</x:f>
        <x:v>断货</x:v>
      </x:c>
      <x:c r="F299" s="11" t="str">
        <x:f>IF(AND(ISNUMBER(H299),ISNUMBER(G299),G299&gt;0),H299/G299,"")</x:f>
      </x:c>
      <x:c r="G299" s="12" t="n">
        <x:f>IF(AND(COUNT(P299:R299)=3,MIN(P299:R299)&gt;=0,P299&lt;=Q299,Q299&lt;=R299),P299/7*0.5+Q299/14*0.3+R299/30*0.2,"")</x:f>
        <x:v>0</x:v>
      </x:c>
      <x:c r="H299" s="10" t="n">
        <x:f>IF(ISNUMBER(U299),U299,"")</x:f>
        <x:v>0</x:v>
      </x:c>
      <x:c r="I299" s="10" t="n">
        <x:v>0</x:v>
      </x:c>
      <x:c r="J299" s="11" t="str">
        <x:f>IF(AND(Z299="共同",ISNUMBER(F299),ISNUMBER(M299)),F299-M299,"")</x:f>
      </x:c>
      <x:c r="K299" s="13" t="str">
        <x:f>IF(AND(ISNUMBER(J299),M299&lt;&gt;0),J299/M299,"")</x:f>
      </x:c>
      <x:c r="L299" s="10" t="str">
        <x:v>断货</x:v>
      </x:c>
      <x:c r="M299" s="11"/>
      <x:c r="N299" s="10" t="n">
        <x:f>IF(AND(Z299="共同",COUNT(H299:I299)=2),H299-I299,"")</x:f>
        <x:v>0</x:v>
      </x:c>
      <x:c r="O299" s="10" t="n">
        <x:v>0</x:v>
      </x:c>
      <x:c r="P299" s="10" t="n">
        <x:v>0</x:v>
      </x:c>
      <x:c r="Q299" s="10" t="n">
        <x:v>0</x:v>
      </x:c>
      <x:c r="R299" s="10" t="n">
        <x:v>0</x:v>
      </x:c>
      <x:c r="S299" s="10" t="n">
        <x:v>0</x:v>
      </x:c>
      <x:c r="T299" s="10" t="n">
        <x:v>0</x:v>
      </x:c>
      <x:c r="U299" s="10" t="n">
        <x:f>IF(AND(ISNUMBER(X299),X299&gt;=0,Y299&lt;&gt;1),X299,"")</x:f>
        <x:v>0</x:v>
      </x:c>
      <x:c r="V299" s="10" t="n">
        <x:v>0</x:v>
      </x:c>
      <x:c r="W299" s="10" t="n">
        <x:v>20</x:v>
      </x:c>
      <x:c r="X299" s="10" t="n">
        <x:v>0</x:v>
      </x:c>
      <x:c r="Y299" s="3" t="n">
        <x:v>0</x:v>
      </x:c>
      <x:c r="Z299" s="3" t="str">
        <x:v>共同</x:v>
      </x:c>
      <x:c r="AA299" s="3" t="str">
        <x:v>在售</x:v>
      </x:c>
      <x:c r="AB299" s="12" t="n">
        <x:f>IF(AND(Z299="共同",ISNUMBER(G299),ISNUMBER(AD299)),G299-AD299,"")</x:f>
        <x:v>0</x:v>
      </x:c>
      <x:c r="AC299" s="3" t="str"/>
      <x:c r="AD299" s="12" t="n">
        <x:v>0</x:v>
      </x:c>
      <x:c r="AE299" s="3" t="str">
        <x:v>[6574,"1S01-ND-11"]</x:v>
      </x:c>
      <x:c r="AF299" t="n">
        <x:f>IF(ISNUMBER(H299),1,0)</x:f>
        <x:v>1</x:v>
      </x:c>
      <x:c r="AG299" t="n">
        <x:f>IF(ISNUMBER(I299),1,0)</x:f>
        <x:v>1</x:v>
      </x:c>
      <x:c r="AH299" t="str">
        <x:v>["1S01","1S01-ND","ND","裸色"]</x:v>
      </x:c>
      <x:c r="AI299" t="n">
        <x:f>IF(ISNUMBER(G299),1,0)</x:f>
        <x:v>1</x:v>
      </x:c>
      <x:c r="AJ299" t="n">
        <x:f>IF(ISNUMBER(AD299),1,0)</x:f>
        <x:v>1</x:v>
      </x:c>
    </x:row>
    <x:row r="300" ht="30" customHeight="1">
      <x:c r="A300" s="3" t="str">
        <x:v>1S01-ND-36</x:v>
      </x:c>
      <x:c r="B300" s="3" t="str">
        <x:v>3店-SANDIEX-US</x:v>
      </x:c>
      <x:c r="C300" s="3" t="str">
        <x:v>徐新怡</x:v>
      </x:c>
      <x:c r="D300" s="3" t="str">
        <x:v>1S01</x:v>
      </x:c>
      <x:c r="E300" s="3" t="str">
        <x:f>IF(Z300="移出","已移出",IF(NOT(ISNUMBER(H300)),"数据待核",IF(H300=0,"断货",IF(NOT(ISNUMBER(G300)),"数据待核",IF(G300=0,"零日销待复核",IF(F300&lt;60,"补货提醒",IF(F300&lt;=90,"正常库存",IF(F300&lt;180,"促销",IF(F300&lt;=365,"红线促销","考虑清仓")))))))))</x:f>
        <x:v>断货</x:v>
      </x:c>
      <x:c r="F300" s="11" t="str">
        <x:f>IF(AND(ISNUMBER(H300),ISNUMBER(G300),G300&gt;0),H300/G300,"")</x:f>
      </x:c>
      <x:c r="G300" s="12" t="n">
        <x:f>IF(AND(COUNT(P300:R300)=3,MIN(P300:R300)&gt;=0,P300&lt;=Q300,Q300&lt;=R300),P300/7*0.5+Q300/14*0.3+R300/30*0.2,"")</x:f>
        <x:v>0</x:v>
      </x:c>
      <x:c r="H300" s="10" t="n">
        <x:f>IF(ISNUMBER(U300),U300,"")</x:f>
        <x:v>0</x:v>
      </x:c>
      <x:c r="I300" s="10"/>
      <x:c r="J300" s="11" t="str">
        <x:f>IF(AND(Z300="共同",ISNUMBER(F300),ISNUMBER(M300)),F300-M300,"")</x:f>
      </x:c>
      <x:c r="K300" s="13" t="str">
        <x:f>IF(AND(ISNUMBER(J300),M300&lt;&gt;0),J300/M300,"")</x:f>
      </x:c>
      <x:c r="L300" s="10"/>
      <x:c r="M300" s="11"/>
      <x:c r="N300" s="10" t="str">
        <x:f>IF(AND(Z300="共同",COUNT(H300:I300)=2),H300-I300,"")</x:f>
      </x:c>
      <x:c r="O300" s="10"/>
      <x:c r="P300" s="10" t="n">
        <x:v>0</x:v>
      </x:c>
      <x:c r="Q300" s="10" t="n">
        <x:v>0</x:v>
      </x:c>
      <x:c r="R300" s="10" t="n">
        <x:v>0</x:v>
      </x:c>
      <x:c r="S300" s="10" t="n">
        <x:v>0</x:v>
      </x:c>
      <x:c r="T300" s="10" t="n">
        <x:v>0</x:v>
      </x:c>
      <x:c r="U300" s="10" t="n">
        <x:f>IF(AND(ISNUMBER(X300),X300&gt;=0,Y300&lt;&gt;1),X300,"")</x:f>
        <x:v>0</x:v>
      </x:c>
      <x:c r="V300" s="10" t="n">
        <x:v>0</x:v>
      </x:c>
      <x:c r="W300" s="10" t="n">
        <x:v>0</x:v>
      </x:c>
      <x:c r="X300" s="10" t="n">
        <x:v>0</x:v>
      </x:c>
      <x:c r="Y300" s="3" t="n">
        <x:v>0</x:v>
      </x:c>
      <x:c r="Z300" s="3" t="str">
        <x:v>新增</x:v>
      </x:c>
      <x:c r="AA300" s="3" t="str">
        <x:v>停售</x:v>
      </x:c>
      <x:c r="AB300" s="12" t="str">
        <x:f>IF(AND(Z300="共同",ISNUMBER(G300),ISNUMBER(AD300)),G300-AD300,"")</x:f>
      </x:c>
      <x:c r="AC300" s="3" t="str">
        <x:v>近90天SKU销量未匹配，未按0处理</x:v>
      </x:c>
      <x:c r="AD300" s="12"/>
      <x:c r="AE300" s="3" t="str">
        <x:v>[6574,"1S01-ND-36"]</x:v>
      </x:c>
      <x:c r="AF300" t="n">
        <x:f>IF(ISNUMBER(H300),1,0)</x:f>
        <x:v>1</x:v>
      </x:c>
      <x:c r="AG300" t="n">
        <x:f>IF(ISNUMBER(I300),1,0)</x:f>
        <x:v>0</x:v>
      </x:c>
      <x:c r="AH300" t="str">
        <x:v>["1S01","1S01-ND","ND","裸色"]</x:v>
      </x:c>
      <x:c r="AI300" t="n">
        <x:f>IF(ISNUMBER(G300),1,0)</x:f>
        <x:v>1</x:v>
      </x:c>
      <x:c r="AJ300" t="n">
        <x:f>IF(ISNUMBER(AD300),1,0)</x:f>
        <x:v>0</x:v>
      </x:c>
    </x:row>
    <x:row r="301" ht="30" customHeight="1">
      <x:c r="A301" s="3" t="str">
        <x:v>1S01-ND-37.5</x:v>
      </x:c>
      <x:c r="B301" s="3" t="str">
        <x:v>3店-SANDIEX-US</x:v>
      </x:c>
      <x:c r="C301" s="3" t="str">
        <x:v>徐新怡</x:v>
      </x:c>
      <x:c r="D301" s="3" t="str">
        <x:v>1S01</x:v>
      </x:c>
      <x:c r="E301" s="3" t="str">
        <x:f>IF(Z301="移出","已移出",IF(NOT(ISNUMBER(H301)),"数据待核",IF(H301=0,"断货",IF(NOT(ISNUMBER(G301)),"数据待核",IF(G301=0,"零日销待复核",IF(F301&lt;60,"补货提醒",IF(F301&lt;=90,"正常库存",IF(F301&lt;180,"促销",IF(F301&lt;=365,"红线促销","考虑清仓")))))))))</x:f>
        <x:v>断货</x:v>
      </x:c>
      <x:c r="F301" s="11" t="str">
        <x:f>IF(AND(ISNUMBER(H301),ISNUMBER(G301),G301&gt;0),H301/G301,"")</x:f>
      </x:c>
      <x:c r="G301" s="12" t="n">
        <x:f>IF(AND(COUNT(P301:R301)=3,MIN(P301:R301)&gt;=0,P301&lt;=Q301,Q301&lt;=R301),P301/7*0.5+Q301/14*0.3+R301/30*0.2,"")</x:f>
        <x:v>0</x:v>
      </x:c>
      <x:c r="H301" s="10" t="n">
        <x:f>IF(ISNUMBER(U301),U301,"")</x:f>
        <x:v>0</x:v>
      </x:c>
      <x:c r="I301" s="10"/>
      <x:c r="J301" s="11" t="str">
        <x:f>IF(AND(Z301="共同",ISNUMBER(F301),ISNUMBER(M301)),F301-M301,"")</x:f>
      </x:c>
      <x:c r="K301" s="13" t="str">
        <x:f>IF(AND(ISNUMBER(J301),M301&lt;&gt;0),J301/M301,"")</x:f>
      </x:c>
      <x:c r="L301" s="10"/>
      <x:c r="M301" s="11"/>
      <x:c r="N301" s="10" t="str">
        <x:f>IF(AND(Z301="共同",COUNT(H301:I301)=2),H301-I301,"")</x:f>
      </x:c>
      <x:c r="O301" s="10"/>
      <x:c r="P301" s="10" t="n">
        <x:v>0</x:v>
      </x:c>
      <x:c r="Q301" s="10" t="n">
        <x:v>0</x:v>
      </x:c>
      <x:c r="R301" s="10" t="n">
        <x:v>0</x:v>
      </x:c>
      <x:c r="S301" s="10" t="n">
        <x:v>0</x:v>
      </x:c>
      <x:c r="T301" s="10" t="n">
        <x:v>0</x:v>
      </x:c>
      <x:c r="U301" s="10" t="n">
        <x:f>IF(AND(ISNUMBER(X301),X301&gt;=0,Y301&lt;&gt;1),X301,"")</x:f>
        <x:v>0</x:v>
      </x:c>
      <x:c r="V301" s="10" t="n">
        <x:v>0</x:v>
      </x:c>
      <x:c r="W301" s="10" t="n">
        <x:v>0</x:v>
      </x:c>
      <x:c r="X301" s="10" t="n">
        <x:v>0</x:v>
      </x:c>
      <x:c r="Y301" s="3" t="n">
        <x:v>0</x:v>
      </x:c>
      <x:c r="Z301" s="3" t="str">
        <x:v>新增</x:v>
      </x:c>
      <x:c r="AA301" s="3" t="str">
        <x:v>停售</x:v>
      </x:c>
      <x:c r="AB301" s="12" t="str">
        <x:f>IF(AND(Z301="共同",ISNUMBER(G301),ISNUMBER(AD301)),G301-AD301,"")</x:f>
      </x:c>
      <x:c r="AC301" s="3" t="str">
        <x:v>近90天SKU销量未匹配，未按0处理</x:v>
      </x:c>
      <x:c r="AD301" s="12"/>
      <x:c r="AE301" s="3" t="str">
        <x:v>[6574,"1S01-ND-37.5"]</x:v>
      </x:c>
      <x:c r="AF301" t="n">
        <x:f>IF(ISNUMBER(H301),1,0)</x:f>
        <x:v>1</x:v>
      </x:c>
      <x:c r="AG301" t="n">
        <x:f>IF(ISNUMBER(I301),1,0)</x:f>
        <x:v>0</x:v>
      </x:c>
      <x:c r="AH301" t="str">
        <x:v>["1S01","1S01-ND","ND","裸色"]</x:v>
      </x:c>
      <x:c r="AI301" t="n">
        <x:f>IF(ISNUMBER(G301),1,0)</x:f>
        <x:v>1</x:v>
      </x:c>
      <x:c r="AJ301" t="n">
        <x:f>IF(ISNUMBER(AD301),1,0)</x:f>
        <x:v>0</x:v>
      </x:c>
    </x:row>
    <x:row r="302" ht="30" customHeight="1">
      <x:c r="A302" s="3" t="str">
        <x:v>1S01-ND-39.5</x:v>
      </x:c>
      <x:c r="B302" s="3" t="str">
        <x:v>3店-SANDIEX-US</x:v>
      </x:c>
      <x:c r="C302" s="3" t="str">
        <x:v>徐新怡</x:v>
      </x:c>
      <x:c r="D302" s="3" t="str">
        <x:v>1S01</x:v>
      </x:c>
      <x:c r="E302" s="3" t="str">
        <x:f>IF(Z302="移出","已移出",IF(NOT(ISNUMBER(H302)),"数据待核",IF(H302=0,"断货",IF(NOT(ISNUMBER(G302)),"数据待核",IF(G302=0,"零日销待复核",IF(F302&lt;60,"补货提醒",IF(F302&lt;=90,"正常库存",IF(F302&lt;180,"促销",IF(F302&lt;=365,"红线促销","考虑清仓")))))))))</x:f>
        <x:v>断货</x:v>
      </x:c>
      <x:c r="F302" s="11" t="str">
        <x:f>IF(AND(ISNUMBER(H302),ISNUMBER(G302),G302&gt;0),H302/G302,"")</x:f>
      </x:c>
      <x:c r="G302" s="12" t="n">
        <x:f>IF(AND(COUNT(P302:R302)=3,MIN(P302:R302)&gt;=0,P302&lt;=Q302,Q302&lt;=R302),P302/7*0.5+Q302/14*0.3+R302/30*0.2,"")</x:f>
        <x:v>0</x:v>
      </x:c>
      <x:c r="H302" s="10" t="n">
        <x:f>IF(ISNUMBER(U302),U302,"")</x:f>
        <x:v>0</x:v>
      </x:c>
      <x:c r="I302" s="10"/>
      <x:c r="J302" s="11" t="str">
        <x:f>IF(AND(Z302="共同",ISNUMBER(F302),ISNUMBER(M302)),F302-M302,"")</x:f>
      </x:c>
      <x:c r="K302" s="13" t="str">
        <x:f>IF(AND(ISNUMBER(J302),M302&lt;&gt;0),J302/M302,"")</x:f>
      </x:c>
      <x:c r="L302" s="10"/>
      <x:c r="M302" s="11"/>
      <x:c r="N302" s="10" t="str">
        <x:f>IF(AND(Z302="共同",COUNT(H302:I302)=2),H302-I302,"")</x:f>
      </x:c>
      <x:c r="O302" s="10" t="n">
        <x:v>0</x:v>
      </x:c>
      <x:c r="P302" s="10" t="n">
        <x:v>0</x:v>
      </x:c>
      <x:c r="Q302" s="10" t="n">
        <x:v>0</x:v>
      </x:c>
      <x:c r="R302" s="10" t="n">
        <x:v>0</x:v>
      </x:c>
      <x:c r="S302" s="10" t="n">
        <x:v>0</x:v>
      </x:c>
      <x:c r="T302" s="10" t="n">
        <x:v>0</x:v>
      </x:c>
      <x:c r="U302" s="10" t="n">
        <x:f>IF(AND(ISNUMBER(X302),X302&gt;=0,Y302&lt;&gt;1),X302,"")</x:f>
        <x:v>0</x:v>
      </x:c>
      <x:c r="V302" s="10" t="n">
        <x:v>0</x:v>
      </x:c>
      <x:c r="W302" s="10" t="n">
        <x:v>0</x:v>
      </x:c>
      <x:c r="X302" s="10" t="n">
        <x:v>0</x:v>
      </x:c>
      <x:c r="Y302" s="3" t="n">
        <x:v>0</x:v>
      </x:c>
      <x:c r="Z302" s="3" t="str">
        <x:v>新增</x:v>
      </x:c>
      <x:c r="AA302" s="3" t="str">
        <x:v>停售</x:v>
      </x:c>
      <x:c r="AB302" s="12" t="str">
        <x:f>IF(AND(Z302="共同",ISNUMBER(G302),ISNUMBER(AD302)),G302-AD302,"")</x:f>
      </x:c>
      <x:c r="AC302" s="3" t="str">
        <x:v>近90天SKU销量未匹配，未按0处理</x:v>
      </x:c>
      <x:c r="AD302" s="12"/>
      <x:c r="AE302" s="3" t="str">
        <x:v>[6574,"1S01-ND-39.5"]</x:v>
      </x:c>
      <x:c r="AF302" t="n">
        <x:f>IF(ISNUMBER(H302),1,0)</x:f>
        <x:v>1</x:v>
      </x:c>
      <x:c r="AG302" t="n">
        <x:f>IF(ISNUMBER(I302),1,0)</x:f>
        <x:v>0</x:v>
      </x:c>
      <x:c r="AH302" t="str">
        <x:v>["1S01","1S01-ND","ND","裸色"]</x:v>
      </x:c>
      <x:c r="AI302" t="n">
        <x:f>IF(ISNUMBER(G302),1,0)</x:f>
        <x:v>1</x:v>
      </x:c>
      <x:c r="AJ302" t="n">
        <x:f>IF(ISNUMBER(AD302),1,0)</x:f>
        <x:v>0</x:v>
      </x:c>
    </x:row>
    <x:row r="303" ht="30" customHeight="1">
      <x:c r="A303" s="3" t="str">
        <x:v>1S01-ND-40.5</x:v>
      </x:c>
      <x:c r="B303" s="3" t="str">
        <x:v>3店-SANDIEX-US</x:v>
      </x:c>
      <x:c r="C303" s="3" t="str">
        <x:v>徐新怡</x:v>
      </x:c>
      <x:c r="D303" s="3" t="str">
        <x:v>1S01</x:v>
      </x:c>
      <x:c r="E303" s="3" t="str">
        <x:f>IF(Z303="移出","已移出",IF(NOT(ISNUMBER(H303)),"数据待核",IF(H303=0,"断货",IF(NOT(ISNUMBER(G303)),"数据待核",IF(G303=0,"零日销待复核",IF(F303&lt;60,"补货提醒",IF(F303&lt;=90,"正常库存",IF(F303&lt;180,"促销",IF(F303&lt;=365,"红线促销","考虑清仓")))))))))</x:f>
        <x:v>断货</x:v>
      </x:c>
      <x:c r="F303" s="11" t="str">
        <x:f>IF(AND(ISNUMBER(H303),ISNUMBER(G303),G303&gt;0),H303/G303,"")</x:f>
      </x:c>
      <x:c r="G303" s="12" t="n">
        <x:f>IF(AND(COUNT(P303:R303)=3,MIN(P303:R303)&gt;=0,P303&lt;=Q303,Q303&lt;=R303),P303/7*0.5+Q303/14*0.3+R303/30*0.2,"")</x:f>
        <x:v>0</x:v>
      </x:c>
      <x:c r="H303" s="10" t="n">
        <x:f>IF(ISNUMBER(U303),U303,"")</x:f>
        <x:v>0</x:v>
      </x:c>
      <x:c r="I303" s="10"/>
      <x:c r="J303" s="11" t="str">
        <x:f>IF(AND(Z303="共同",ISNUMBER(F303),ISNUMBER(M303)),F303-M303,"")</x:f>
      </x:c>
      <x:c r="K303" s="13" t="str">
        <x:f>IF(AND(ISNUMBER(J303),M303&lt;&gt;0),J303/M303,"")</x:f>
      </x:c>
      <x:c r="L303" s="10"/>
      <x:c r="M303" s="11"/>
      <x:c r="N303" s="10" t="str">
        <x:f>IF(AND(Z303="共同",COUNT(H303:I303)=2),H303-I303,"")</x:f>
      </x:c>
      <x:c r="O303" s="10"/>
      <x:c r="P303" s="10" t="n">
        <x:v>0</x:v>
      </x:c>
      <x:c r="Q303" s="10" t="n">
        <x:v>0</x:v>
      </x:c>
      <x:c r="R303" s="10" t="n">
        <x:v>0</x:v>
      </x:c>
      <x:c r="S303" s="10" t="n">
        <x:v>0</x:v>
      </x:c>
      <x:c r="T303" s="10" t="n">
        <x:v>0</x:v>
      </x:c>
      <x:c r="U303" s="10" t="n">
        <x:f>IF(AND(ISNUMBER(X303),X303&gt;=0,Y303&lt;&gt;1),X303,"")</x:f>
        <x:v>0</x:v>
      </x:c>
      <x:c r="V303" s="10" t="n">
        <x:v>0</x:v>
      </x:c>
      <x:c r="W303" s="10" t="n">
        <x:v>0</x:v>
      </x:c>
      <x:c r="X303" s="10" t="n">
        <x:v>0</x:v>
      </x:c>
      <x:c r="Y303" s="3" t="n">
        <x:v>0</x:v>
      </x:c>
      <x:c r="Z303" s="3" t="str">
        <x:v>新增</x:v>
      </x:c>
      <x:c r="AA303" s="3" t="str">
        <x:v>停售</x:v>
      </x:c>
      <x:c r="AB303" s="12" t="str">
        <x:f>IF(AND(Z303="共同",ISNUMBER(G303),ISNUMBER(AD303)),G303-AD303,"")</x:f>
      </x:c>
      <x:c r="AC303" s="3" t="str">
        <x:v>近90天SKU销量未匹配，未按0处理</x:v>
      </x:c>
      <x:c r="AD303" s="12"/>
      <x:c r="AE303" s="3" t="str">
        <x:v>[6574,"1S01-ND-40.5"]</x:v>
      </x:c>
      <x:c r="AF303" t="n">
        <x:f>IF(ISNUMBER(H303),1,0)</x:f>
        <x:v>1</x:v>
      </x:c>
      <x:c r="AG303" t="n">
        <x:f>IF(ISNUMBER(I303),1,0)</x:f>
        <x:v>0</x:v>
      </x:c>
      <x:c r="AH303" t="str">
        <x:v>["1S01","1S01-ND","ND","裸色"]</x:v>
      </x:c>
      <x:c r="AI303" t="n">
        <x:f>IF(ISNUMBER(G303),1,0)</x:f>
        <x:v>1</x:v>
      </x:c>
      <x:c r="AJ303" t="n">
        <x:f>IF(ISNUMBER(AD303),1,0)</x:f>
        <x:v>0</x:v>
      </x:c>
    </x:row>
    <x:row r="304" ht="30" customHeight="1">
      <x:c r="A304" s="3" t="str">
        <x:v>1S01-ND-41.5</x:v>
      </x:c>
      <x:c r="B304" s="3" t="str">
        <x:v>3店-SANDIEX-US</x:v>
      </x:c>
      <x:c r="C304" s="3" t="str">
        <x:v>徐新怡</x:v>
      </x:c>
      <x:c r="D304" s="3" t="str">
        <x:v>1S01</x:v>
      </x:c>
      <x:c r="E304" s="3" t="str">
        <x:f>IF(Z304="移出","已移出",IF(NOT(ISNUMBER(H304)),"数据待核",IF(H304=0,"断货",IF(NOT(ISNUMBER(G304)),"数据待核",IF(G304=0,"零日销待复核",IF(F304&lt;60,"补货提醒",IF(F304&lt;=90,"正常库存",IF(F304&lt;180,"促销",IF(F304&lt;=365,"红线促销","考虑清仓")))))))))</x:f>
        <x:v>断货</x:v>
      </x:c>
      <x:c r="F304" s="11" t="str">
        <x:f>IF(AND(ISNUMBER(H304),ISNUMBER(G304),G304&gt;0),H304/G304,"")</x:f>
      </x:c>
      <x:c r="G304" s="12" t="n">
        <x:f>IF(AND(COUNT(P304:R304)=3,MIN(P304:R304)&gt;=0,P304&lt;=Q304,Q304&lt;=R304),P304/7*0.5+Q304/14*0.3+R304/30*0.2,"")</x:f>
        <x:v>0</x:v>
      </x:c>
      <x:c r="H304" s="10" t="n">
        <x:f>IF(ISNUMBER(U304),U304,"")</x:f>
        <x:v>0</x:v>
      </x:c>
      <x:c r="I304" s="10"/>
      <x:c r="J304" s="11" t="str">
        <x:f>IF(AND(Z304="共同",ISNUMBER(F304),ISNUMBER(M304)),F304-M304,"")</x:f>
      </x:c>
      <x:c r="K304" s="13" t="str">
        <x:f>IF(AND(ISNUMBER(J304),M304&lt;&gt;0),J304/M304,"")</x:f>
      </x:c>
      <x:c r="L304" s="10"/>
      <x:c r="M304" s="11"/>
      <x:c r="N304" s="10" t="str">
        <x:f>IF(AND(Z304="共同",COUNT(H304:I304)=2),H304-I304,"")</x:f>
      </x:c>
      <x:c r="O304" s="10"/>
      <x:c r="P304" s="10" t="n">
        <x:v>0</x:v>
      </x:c>
      <x:c r="Q304" s="10" t="n">
        <x:v>0</x:v>
      </x:c>
      <x:c r="R304" s="10" t="n">
        <x:v>0</x:v>
      </x:c>
      <x:c r="S304" s="10" t="n">
        <x:v>0</x:v>
      </x:c>
      <x:c r="T304" s="10" t="n">
        <x:v>0</x:v>
      </x:c>
      <x:c r="U304" s="10" t="n">
        <x:f>IF(AND(ISNUMBER(X304),X304&gt;=0,Y304&lt;&gt;1),X304,"")</x:f>
        <x:v>0</x:v>
      </x:c>
      <x:c r="V304" s="10" t="n">
        <x:v>0</x:v>
      </x:c>
      <x:c r="W304" s="10" t="n">
        <x:v>0</x:v>
      </x:c>
      <x:c r="X304" s="10" t="n">
        <x:v>0</x:v>
      </x:c>
      <x:c r="Y304" s="3" t="n">
        <x:v>0</x:v>
      </x:c>
      <x:c r="Z304" s="3" t="str">
        <x:v>新增</x:v>
      </x:c>
      <x:c r="AA304" s="3" t="str">
        <x:v>停售</x:v>
      </x:c>
      <x:c r="AB304" s="12" t="str">
        <x:f>IF(AND(Z304="共同",ISNUMBER(G304),ISNUMBER(AD304)),G304-AD304,"")</x:f>
      </x:c>
      <x:c r="AC304" s="3" t="str">
        <x:v>近90天SKU销量未匹配，未按0处理</x:v>
      </x:c>
      <x:c r="AD304" s="12"/>
      <x:c r="AE304" s="3" t="str">
        <x:v>[6574,"1S01-ND-41.5"]</x:v>
      </x:c>
      <x:c r="AF304" t="n">
        <x:f>IF(ISNUMBER(H304),1,0)</x:f>
        <x:v>1</x:v>
      </x:c>
      <x:c r="AG304" t="n">
        <x:f>IF(ISNUMBER(I304),1,0)</x:f>
        <x:v>0</x:v>
      </x:c>
      <x:c r="AH304" t="str">
        <x:v>["1S01","1S01-ND","ND","裸色"]</x:v>
      </x:c>
      <x:c r="AI304" t="n">
        <x:f>IF(ISNUMBER(G304),1,0)</x:f>
        <x:v>1</x:v>
      </x:c>
      <x:c r="AJ304" t="n">
        <x:f>IF(ISNUMBER(AD304),1,0)</x:f>
        <x:v>0</x:v>
      </x:c>
    </x:row>
    <x:row r="305" ht="30" customHeight="1">
      <x:c r="A305" s="3" t="str">
        <x:v>1S01-ND-6</x:v>
      </x:c>
      <x:c r="B305" s="3" t="str">
        <x:v>3店-SANDIEX-US</x:v>
      </x:c>
      <x:c r="C305" s="3" t="str">
        <x:v>徐新怡</x:v>
      </x:c>
      <x:c r="D305" s="3" t="str">
        <x:v>1S01</x:v>
      </x:c>
      <x:c r="E305" s="3" t="str">
        <x:f>IF(Z305="移出","已移出",IF(NOT(ISNUMBER(H305)),"数据待核",IF(H305=0,"断货",IF(NOT(ISNUMBER(G305)),"数据待核",IF(G305=0,"零日销待复核",IF(F305&lt;60,"补货提醒",IF(F305&lt;=90,"正常库存",IF(F305&lt;180,"促销",IF(F305&lt;=365,"红线促销","考虑清仓")))))))))</x:f>
        <x:v>断货</x:v>
      </x:c>
      <x:c r="F305" s="11" t="n">
        <x:f>IF(AND(ISNUMBER(H305),ISNUMBER(G305),G305&gt;0),H305/G305,"")</x:f>
        <x:v>0</x:v>
      </x:c>
      <x:c r="G305" s="12" t="n">
        <x:f>IF(AND(COUNT(P305:R305)=3,MIN(P305:R305)&gt;=0,P305&lt;=Q305,Q305&lt;=R305),P305/7*0.5+Q305/14*0.3+R305/30*0.2,"")</x:f>
        <x:v>0.028095238095238093</x:v>
      </x:c>
      <x:c r="H305" s="10" t="n">
        <x:f>IF(ISNUMBER(U305),U305,"")</x:f>
        <x:v>0</x:v>
      </x:c>
      <x:c r="I305" s="10" t="n">
        <x:v>0</x:v>
      </x:c>
      <x:c r="J305" s="11" t="str">
        <x:f>IF(AND(Z305="共同",ISNUMBER(F305),ISNUMBER(M305)),F305-M305,"")</x:f>
      </x:c>
      <x:c r="K305" s="13" t="str">
        <x:f>IF(AND(ISNUMBER(J305),M305&lt;&gt;0),J305/M305,"")</x:f>
      </x:c>
      <x:c r="L305" s="10" t="str">
        <x:v>断货</x:v>
      </x:c>
      <x:c r="M305" s="11"/>
      <x:c r="N305" s="10" t="n">
        <x:f>IF(AND(Z305="共同",COUNT(H305:I305)=2),H305-I305,"")</x:f>
        <x:v>0</x:v>
      </x:c>
      <x:c r="O305" s="10" t="n">
        <x:v>2</x:v>
      </x:c>
      <x:c r="P305" s="10" t="n">
        <x:v>0</x:v>
      </x:c>
      <x:c r="Q305" s="10" t="n">
        <x:v>1</x:v>
      </x:c>
      <x:c r="R305" s="10" t="n">
        <x:v>1</x:v>
      </x:c>
      <x:c r="S305" s="10" t="n">
        <x:v>0</x:v>
      </x:c>
      <x:c r="T305" s="10" t="n">
        <x:v>0</x:v>
      </x:c>
      <x:c r="U305" s="10" t="n">
        <x:f>IF(AND(ISNUMBER(X305),X305&gt;=0,Y305&lt;&gt;1),X305,"")</x:f>
        <x:v>0</x:v>
      </x:c>
      <x:c r="V305" s="10" t="n">
        <x:v>0</x:v>
      </x:c>
      <x:c r="W305" s="10" t="n">
        <x:v>18</x:v>
      </x:c>
      <x:c r="X305" s="10" t="n">
        <x:v>0</x:v>
      </x:c>
      <x:c r="Y305" s="3" t="n">
        <x:v>0</x:v>
      </x:c>
      <x:c r="Z305" s="3" t="str">
        <x:v>共同</x:v>
      </x:c>
      <x:c r="AA305" s="3" t="str">
        <x:v>在售</x:v>
      </x:c>
      <x:c r="AB305" s="12" t="n">
        <x:f>IF(AND(Z305="共同",ISNUMBER(G305),ISNUMBER(AD305)),G305-AD305,"")</x:f>
        <x:v>0.028095238095238093</x:v>
      </x:c>
      <x:c r="AC305" s="3" t="str"/>
      <x:c r="AD305" s="12" t="n">
        <x:v>0</x:v>
      </x:c>
      <x:c r="AE305" s="3" t="str">
        <x:v>[6574,"1S01-ND-6"]</x:v>
      </x:c>
      <x:c r="AF305" t="n">
        <x:f>IF(ISNUMBER(H305),1,0)</x:f>
        <x:v>1</x:v>
      </x:c>
      <x:c r="AG305" t="n">
        <x:f>IF(ISNUMBER(I305),1,0)</x:f>
        <x:v>1</x:v>
      </x:c>
      <x:c r="AH305" t="str">
        <x:v>["1S01","1S01-ND","ND","裸色"]</x:v>
      </x:c>
      <x:c r="AI305" t="n">
        <x:f>IF(ISNUMBER(G305),1,0)</x:f>
        <x:v>1</x:v>
      </x:c>
      <x:c r="AJ305" t="n">
        <x:f>IF(ISNUMBER(AD305),1,0)</x:f>
        <x:v>1</x:v>
      </x:c>
    </x:row>
    <x:row r="306" ht="30" customHeight="1">
      <x:c r="A306" s="3" t="str">
        <x:v>1S01-ND-8</x:v>
      </x:c>
      <x:c r="B306" s="3" t="str">
        <x:v>3店-SANDIEX-US</x:v>
      </x:c>
      <x:c r="C306" s="3" t="str">
        <x:v>徐新怡</x:v>
      </x:c>
      <x:c r="D306" s="3" t="str">
        <x:v>1S01</x:v>
      </x:c>
      <x:c r="E306" s="3" t="str">
        <x:f>IF(Z306="移出","已移出",IF(NOT(ISNUMBER(H306)),"数据待核",IF(H306=0,"断货",IF(NOT(ISNUMBER(G306)),"数据待核",IF(G306=0,"零日销待复核",IF(F306&lt;60,"补货提醒",IF(F306&lt;=90,"正常库存",IF(F306&lt;180,"促销",IF(F306&lt;=365,"红线促销","考虑清仓")))))))))</x:f>
        <x:v>断货</x:v>
      </x:c>
      <x:c r="F306" s="11" t="str">
        <x:f>IF(AND(ISNUMBER(H306),ISNUMBER(G306),G306&gt;0),H306/G306,"")</x:f>
      </x:c>
      <x:c r="G306" s="12" t="n">
        <x:f>IF(AND(COUNT(P306:R306)=3,MIN(P306:R306)&gt;=0,P306&lt;=Q306,Q306&lt;=R306),P306/7*0.5+Q306/14*0.3+R306/30*0.2,"")</x:f>
        <x:v>0</x:v>
      </x:c>
      <x:c r="H306" s="10" t="n">
        <x:f>IF(ISNUMBER(U306),U306,"")</x:f>
        <x:v>0</x:v>
      </x:c>
      <x:c r="I306" s="10" t="n">
        <x:v>0</x:v>
      </x:c>
      <x:c r="J306" s="11" t="str">
        <x:f>IF(AND(Z306="共同",ISNUMBER(F306),ISNUMBER(M306)),F306-M306,"")</x:f>
      </x:c>
      <x:c r="K306" s="13" t="str">
        <x:f>IF(AND(ISNUMBER(J306),M306&lt;&gt;0),J306/M306,"")</x:f>
      </x:c>
      <x:c r="L306" s="10" t="str">
        <x:v>断货</x:v>
      </x:c>
      <x:c r="M306" s="11"/>
      <x:c r="N306" s="10" t="n">
        <x:f>IF(AND(Z306="共同",COUNT(H306:I306)=2),H306-I306,"")</x:f>
        <x:v>0</x:v>
      </x:c>
      <x:c r="O306" s="10" t="n">
        <x:v>49</x:v>
      </x:c>
      <x:c r="P306" s="10" t="n">
        <x:v>0</x:v>
      </x:c>
      <x:c r="Q306" s="10" t="n">
        <x:v>0</x:v>
      </x:c>
      <x:c r="R306" s="10" t="n">
        <x:v>0</x:v>
      </x:c>
      <x:c r="S306" s="10" t="n">
        <x:v>0</x:v>
      </x:c>
      <x:c r="T306" s="10" t="n">
        <x:v>0</x:v>
      </x:c>
      <x:c r="U306" s="10" t="n">
        <x:f>IF(AND(ISNUMBER(X306),X306&gt;=0,Y306&lt;&gt;1),X306,"")</x:f>
        <x:v>0</x:v>
      </x:c>
      <x:c r="V306" s="10" t="n">
        <x:v>0</x:v>
      </x:c>
      <x:c r="W306" s="10" t="n">
        <x:v>20</x:v>
      </x:c>
      <x:c r="X306" s="10" t="n">
        <x:v>0</x:v>
      </x:c>
      <x:c r="Y306" s="3" t="n">
        <x:v>0</x:v>
      </x:c>
      <x:c r="Z306" s="3" t="str">
        <x:v>共同</x:v>
      </x:c>
      <x:c r="AA306" s="3" t="str">
        <x:v>停售</x:v>
      </x:c>
      <x:c r="AB306" s="12" t="str">
        <x:f>IF(AND(Z306="共同",ISNUMBER(G306),ISNUMBER(AD306)),G306-AD306,"")</x:f>
      </x:c>
      <x:c r="AC306" s="3" t="str">
        <x:v>近90天SKU销量未匹配，未按0处理</x:v>
      </x:c>
      <x:c r="AD306" s="12"/>
      <x:c r="AE306" s="3" t="str">
        <x:v>[6574,"1S01-ND-8"]</x:v>
      </x:c>
      <x:c r="AF306" t="n">
        <x:f>IF(ISNUMBER(H306),1,0)</x:f>
        <x:v>1</x:v>
      </x:c>
      <x:c r="AG306" t="n">
        <x:f>IF(ISNUMBER(I306),1,0)</x:f>
        <x:v>1</x:v>
      </x:c>
      <x:c r="AH306" t="str">
        <x:v>["1S01","1S01-ND","ND","裸色"]</x:v>
      </x:c>
      <x:c r="AI306" t="n">
        <x:f>IF(ISNUMBER(G306),1,0)</x:f>
        <x:v>1</x:v>
      </x:c>
      <x:c r="AJ306" t="n">
        <x:f>IF(ISNUMBER(AD306),1,0)</x:f>
        <x:v>0</x:v>
      </x:c>
    </x:row>
    <x:row r="307" ht="30" customHeight="1">
      <x:c r="A307" s="3" t="str">
        <x:v>1S01-ND-9</x:v>
      </x:c>
      <x:c r="B307" s="3" t="str">
        <x:v>3店-SANDIEX-US</x:v>
      </x:c>
      <x:c r="C307" s="3" t="str">
        <x:v>徐新怡</x:v>
      </x:c>
      <x:c r="D307" s="3" t="str">
        <x:v>1S01</x:v>
      </x:c>
      <x:c r="E307" s="3" t="str">
        <x:f>IF(Z307="移出","已移出",IF(NOT(ISNUMBER(H307)),"数据待核",IF(H307=0,"断货",IF(NOT(ISNUMBER(G307)),"数据待核",IF(G307=0,"零日销待复核",IF(F307&lt;60,"补货提醒",IF(F307&lt;=90,"正常库存",IF(F307&lt;180,"促销",IF(F307&lt;=365,"红线促销","考虑清仓")))))))))</x:f>
        <x:v>断货</x:v>
      </x:c>
      <x:c r="F307" s="11" t="n">
        <x:f>IF(AND(ISNUMBER(H307),ISNUMBER(G307),G307&gt;0),H307/G307,"")</x:f>
        <x:v>0</x:v>
      </x:c>
      <x:c r="G307" s="12" t="n">
        <x:f>IF(AND(COUNT(P307:R307)=3,MIN(P307:R307)&gt;=0,P307&lt;=Q307,Q307&lt;=R307),P307/7*0.5+Q307/14*0.3+R307/30*0.2,"")</x:f>
        <x:v>0.006666666666666667</x:v>
      </x:c>
      <x:c r="H307" s="10" t="n">
        <x:f>IF(ISNUMBER(U307),U307,"")</x:f>
        <x:v>0</x:v>
      </x:c>
      <x:c r="I307" s="10" t="n">
        <x:v>0</x:v>
      </x:c>
      <x:c r="J307" s="11" t="n">
        <x:f>IF(AND(Z307="共同",ISNUMBER(F307),ISNUMBER(M307)),F307-M307,"")</x:f>
        <x:v>0</x:v>
      </x:c>
      <x:c r="K307" s="13" t="str">
        <x:f>IF(AND(ISNUMBER(J307),M307&lt;&gt;0),J307/M307,"")</x:f>
      </x:c>
      <x:c r="L307" s="10" t="str">
        <x:v>断货</x:v>
      </x:c>
      <x:c r="M307" s="11" t="n">
        <x:v>0</x:v>
      </x:c>
      <x:c r="N307" s="10" t="n">
        <x:f>IF(AND(Z307="共同",COUNT(H307:I307)=2),H307-I307,"")</x:f>
        <x:v>0</x:v>
      </x:c>
      <x:c r="O307" s="10" t="n">
        <x:v>110</x:v>
      </x:c>
      <x:c r="P307" s="10" t="n">
        <x:v>0</x:v>
      </x:c>
      <x:c r="Q307" s="10" t="n">
        <x:v>0</x:v>
      </x:c>
      <x:c r="R307" s="10" t="n">
        <x:v>1</x:v>
      </x:c>
      <x:c r="S307" s="10" t="n">
        <x:v>0</x:v>
      </x:c>
      <x:c r="T307" s="10" t="n">
        <x:v>0</x:v>
      </x:c>
      <x:c r="U307" s="10" t="n">
        <x:f>IF(AND(ISNUMBER(X307),X307&gt;=0,Y307&lt;&gt;1),X307,"")</x:f>
        <x:v>0</x:v>
      </x:c>
      <x:c r="V307" s="10" t="n">
        <x:v>0</x:v>
      </x:c>
      <x:c r="W307" s="10" t="n">
        <x:v>20</x:v>
      </x:c>
      <x:c r="X307" s="10" t="n">
        <x:v>0</x:v>
      </x:c>
      <x:c r="Y307" s="3" t="n">
        <x:v>0</x:v>
      </x:c>
      <x:c r="Z307" s="3" t="str">
        <x:v>共同</x:v>
      </x:c>
      <x:c r="AA307" s="3" t="str">
        <x:v>在售</x:v>
      </x:c>
      <x:c r="AB307" s="12" t="n">
        <x:f>IF(AND(Z307="共同",ISNUMBER(G307),ISNUMBER(AD307)),G307-AD307,"")</x:f>
        <x:v>-0.11285714285714285</x:v>
      </x:c>
      <x:c r="AC307" s="3" t="str"/>
      <x:c r="AD307" s="12" t="n">
        <x:v>0.11952380952380952</x:v>
      </x:c>
      <x:c r="AE307" s="3" t="str">
        <x:v>[6574,"1S01-ND-9"]</x:v>
      </x:c>
      <x:c r="AF307" t="n">
        <x:f>IF(ISNUMBER(H307),1,0)</x:f>
        <x:v>1</x:v>
      </x:c>
      <x:c r="AG307" t="n">
        <x:f>IF(ISNUMBER(I307),1,0)</x:f>
        <x:v>1</x:v>
      </x:c>
      <x:c r="AH307" t="str">
        <x:v>["1S01","1S01-ND","ND","裸色"]</x:v>
      </x:c>
      <x:c r="AI307" t="n">
        <x:f>IF(ISNUMBER(G307),1,0)</x:f>
        <x:v>1</x:v>
      </x:c>
      <x:c r="AJ307" t="n">
        <x:f>IF(ISNUMBER(AD307),1,0)</x:f>
        <x:v>1</x:v>
      </x:c>
    </x:row>
    <x:row r="308" ht="30" customHeight="1">
      <x:c r="A308" s="3" t="str">
        <x:v>1S01-SB-36</x:v>
      </x:c>
      <x:c r="B308" s="3" t="str">
        <x:v>3店-SANDIEX-US</x:v>
      </x:c>
      <x:c r="C308" s="3" t="str">
        <x:v>徐新怡</x:v>
      </x:c>
      <x:c r="D308" s="3" t="str">
        <x:v>1S01</x:v>
      </x:c>
      <x:c r="E308" s="3" t="str">
        <x:f>IF(Z308="移出","已移出",IF(NOT(ISNUMBER(H308)),"数据待核",IF(H308=0,"断货",IF(NOT(ISNUMBER(G308)),"数据待核",IF(G308=0,"零日销待复核",IF(F308&lt;60,"补货提醒",IF(F308&lt;=90,"正常库存",IF(F308&lt;180,"促销",IF(F308&lt;=365,"红线促销","考虑清仓")))))))))</x:f>
        <x:v>断货</x:v>
      </x:c>
      <x:c r="F308" s="11" t="str">
        <x:f>IF(AND(ISNUMBER(H308),ISNUMBER(G308),G308&gt;0),H308/G308,"")</x:f>
      </x:c>
      <x:c r="G308" s="12" t="n">
        <x:f>IF(AND(COUNT(P308:R308)=3,MIN(P308:R308)&gt;=0,P308&lt;=Q308,Q308&lt;=R308),P308/7*0.5+Q308/14*0.3+R308/30*0.2,"")</x:f>
        <x:v>0</x:v>
      </x:c>
      <x:c r="H308" s="10" t="n">
        <x:f>IF(ISNUMBER(U308),U308,"")</x:f>
        <x:v>0</x:v>
      </x:c>
      <x:c r="I308" s="10"/>
      <x:c r="J308" s="11" t="str">
        <x:f>IF(AND(Z308="共同",ISNUMBER(F308),ISNUMBER(M308)),F308-M308,"")</x:f>
      </x:c>
      <x:c r="K308" s="13" t="str">
        <x:f>IF(AND(ISNUMBER(J308),M308&lt;&gt;0),J308/M308,"")</x:f>
      </x:c>
      <x:c r="L308" s="10"/>
      <x:c r="M308" s="11"/>
      <x:c r="N308" s="10" t="str">
        <x:f>IF(AND(Z308="共同",COUNT(H308:I308)=2),H308-I308,"")</x:f>
      </x:c>
      <x:c r="O308" s="10"/>
      <x:c r="P308" s="10" t="n">
        <x:v>0</x:v>
      </x:c>
      <x:c r="Q308" s="10" t="n">
        <x:v>0</x:v>
      </x:c>
      <x:c r="R308" s="10" t="n">
        <x:v>0</x:v>
      </x:c>
      <x:c r="S308" s="10" t="n">
        <x:v>0</x:v>
      </x:c>
      <x:c r="T308" s="10" t="n">
        <x:v>0</x:v>
      </x:c>
      <x:c r="U308" s="10" t="n">
        <x:f>IF(AND(ISNUMBER(X308),X308&gt;=0,Y308&lt;&gt;1),X308,"")</x:f>
        <x:v>0</x:v>
      </x:c>
      <x:c r="V308" s="10" t="n">
        <x:v>0</x:v>
      </x:c>
      <x:c r="W308" s="10" t="n">
        <x:v>0</x:v>
      </x:c>
      <x:c r="X308" s="10" t="n">
        <x:v>0</x:v>
      </x:c>
      <x:c r="Y308" s="3" t="n">
        <x:v>0</x:v>
      </x:c>
      <x:c r="Z308" s="3" t="str">
        <x:v>新增</x:v>
      </x:c>
      <x:c r="AA308" s="3" t="str">
        <x:v>停售</x:v>
      </x:c>
      <x:c r="AB308" s="12" t="str">
        <x:f>IF(AND(Z308="共同",ISNUMBER(G308),ISNUMBER(AD308)),G308-AD308,"")</x:f>
      </x:c>
      <x:c r="AC308" s="3" t="str">
        <x:v>近90天SKU销量未匹配，未按0处理</x:v>
      </x:c>
      <x:c r="AD308" s="12"/>
      <x:c r="AE308" s="3" t="str">
        <x:v>[6574,"1S01-SB-36"]</x:v>
      </x:c>
      <x:c r="AF308" t="n">
        <x:f>IF(ISNUMBER(H308),1,0)</x:f>
        <x:v>1</x:v>
      </x:c>
      <x:c r="AG308" t="n">
        <x:f>IF(ISNUMBER(I308),1,0)</x:f>
        <x:v>0</x:v>
      </x:c>
      <x:c r="AH308" t="str">
        <x:v>["1S01","1S01-SB","SB","黑色蛇纹"]</x:v>
      </x:c>
      <x:c r="AI308" t="n">
        <x:f>IF(ISNUMBER(G308),1,0)</x:f>
        <x:v>1</x:v>
      </x:c>
      <x:c r="AJ308" t="n">
        <x:f>IF(ISNUMBER(AD308),1,0)</x:f>
        <x:v>0</x:v>
      </x:c>
    </x:row>
    <x:row r="309" ht="30" customHeight="1">
      <x:c r="A309" s="3" t="str">
        <x:v>1S01-SB-37</x:v>
      </x:c>
      <x:c r="B309" s="3" t="str">
        <x:v>3店-SANDIEX-US</x:v>
      </x:c>
      <x:c r="C309" s="3" t="str">
        <x:v>徐新怡</x:v>
      </x:c>
      <x:c r="D309" s="3" t="str">
        <x:v>1S01</x:v>
      </x:c>
      <x:c r="E309" s="3" t="str">
        <x:f>IF(Z309="移出","已移出",IF(NOT(ISNUMBER(H309)),"数据待核",IF(H309=0,"断货",IF(NOT(ISNUMBER(G309)),"数据待核",IF(G309=0,"零日销待复核",IF(F309&lt;60,"补货提醒",IF(F309&lt;=90,"正常库存",IF(F309&lt;180,"促销",IF(F309&lt;=365,"红线促销","考虑清仓")))))))))</x:f>
        <x:v>断货</x:v>
      </x:c>
      <x:c r="F309" s="11" t="str">
        <x:f>IF(AND(ISNUMBER(H309),ISNUMBER(G309),G309&gt;0),H309/G309,"")</x:f>
      </x:c>
      <x:c r="G309" s="12" t="n">
        <x:f>IF(AND(COUNT(P309:R309)=3,MIN(P309:R309)&gt;=0,P309&lt;=Q309,Q309&lt;=R309),P309/7*0.5+Q309/14*0.3+R309/30*0.2,"")</x:f>
        <x:v>0</x:v>
      </x:c>
      <x:c r="H309" s="10" t="n">
        <x:f>IF(ISNUMBER(U309),U309,"")</x:f>
        <x:v>0</x:v>
      </x:c>
      <x:c r="I309" s="10" t="n">
        <x:v>0</x:v>
      </x:c>
      <x:c r="J309" s="11" t="str">
        <x:f>IF(AND(Z309="共同",ISNUMBER(F309),ISNUMBER(M309)),F309-M309,"")</x:f>
      </x:c>
      <x:c r="K309" s="13" t="str">
        <x:f>IF(AND(ISNUMBER(J309),M309&lt;&gt;0),J309/M309,"")</x:f>
      </x:c>
      <x:c r="L309" s="10" t="str">
        <x:v>断货</x:v>
      </x:c>
      <x:c r="M309" s="11"/>
      <x:c r="N309" s="10" t="n">
        <x:f>IF(AND(Z309="共同",COUNT(H309:I309)=2),H309-I309,"")</x:f>
        <x:v>0</x:v>
      </x:c>
      <x:c r="O309" s="10" t="n">
        <x:v>0</x:v>
      </x:c>
      <x:c r="P309" s="10" t="n">
        <x:v>0</x:v>
      </x:c>
      <x:c r="Q309" s="10" t="n">
        <x:v>0</x:v>
      </x:c>
      <x:c r="R309" s="10" t="n">
        <x:v>0</x:v>
      </x:c>
      <x:c r="S309" s="10" t="n">
        <x:v>0</x:v>
      </x:c>
      <x:c r="T309" s="10" t="n">
        <x:v>0</x:v>
      </x:c>
      <x:c r="U309" s="10" t="n">
        <x:f>IF(AND(ISNUMBER(X309),X309&gt;=0,Y309&lt;&gt;1),X309,"")</x:f>
        <x:v>0</x:v>
      </x:c>
      <x:c r="V309" s="10" t="n">
        <x:v>0</x:v>
      </x:c>
      <x:c r="W309" s="10" t="n">
        <x:v>0</x:v>
      </x:c>
      <x:c r="X309" s="10" t="n">
        <x:v>0</x:v>
      </x:c>
      <x:c r="Y309" s="3" t="n">
        <x:v>0</x:v>
      </x:c>
      <x:c r="Z309" s="3" t="str">
        <x:v>共同</x:v>
      </x:c>
      <x:c r="AA309" s="3" t="str">
        <x:v>停售</x:v>
      </x:c>
      <x:c r="AB309" s="12" t="str">
        <x:f>IF(AND(Z309="共同",ISNUMBER(G309),ISNUMBER(AD309)),G309-AD309,"")</x:f>
      </x:c>
      <x:c r="AC309" s="3" t="str">
        <x:v>近90天SKU销量未匹配，未按0处理</x:v>
      </x:c>
      <x:c r="AD309" s="12"/>
      <x:c r="AE309" s="3" t="str">
        <x:v>[6574,"1S01-SB-37"]</x:v>
      </x:c>
      <x:c r="AF309" t="n">
        <x:f>IF(ISNUMBER(H309),1,0)</x:f>
        <x:v>1</x:v>
      </x:c>
      <x:c r="AG309" t="n">
        <x:f>IF(ISNUMBER(I309),1,0)</x:f>
        <x:v>1</x:v>
      </x:c>
      <x:c r="AH309" t="str">
        <x:v>["1S01","1S01-SB","SB","黑色蛇纹"]</x:v>
      </x:c>
      <x:c r="AI309" t="n">
        <x:f>IF(ISNUMBER(G309),1,0)</x:f>
        <x:v>1</x:v>
      </x:c>
      <x:c r="AJ309" t="n">
        <x:f>IF(ISNUMBER(AD309),1,0)</x:f>
        <x:v>0</x:v>
      </x:c>
    </x:row>
    <x:row r="310" ht="30" customHeight="1">
      <x:c r="A310" s="3" t="str">
        <x:v>1S01-SB-37.5</x:v>
      </x:c>
      <x:c r="B310" s="3" t="str">
        <x:v>3店-SANDIEX-US</x:v>
      </x:c>
      <x:c r="C310" s="3" t="str">
        <x:v>徐新怡</x:v>
      </x:c>
      <x:c r="D310" s="3" t="str">
        <x:v>1S01</x:v>
      </x:c>
      <x:c r="E310" s="3" t="str">
        <x:f>IF(Z310="移出","已移出",IF(NOT(ISNUMBER(H310)),"数据待核",IF(H310=0,"断货",IF(NOT(ISNUMBER(G310)),"数据待核",IF(G310=0,"零日销待复核",IF(F310&lt;60,"补货提醒",IF(F310&lt;=90,"正常库存",IF(F310&lt;180,"促销",IF(F310&lt;=365,"红线促销","考虑清仓")))))))))</x:f>
        <x:v>断货</x:v>
      </x:c>
      <x:c r="F310" s="11" t="str">
        <x:f>IF(AND(ISNUMBER(H310),ISNUMBER(G310),G310&gt;0),H310/G310,"")</x:f>
      </x:c>
      <x:c r="G310" s="12" t="n">
        <x:f>IF(AND(COUNT(P310:R310)=3,MIN(P310:R310)&gt;=0,P310&lt;=Q310,Q310&lt;=R310),P310/7*0.5+Q310/14*0.3+R310/30*0.2,"")</x:f>
        <x:v>0</x:v>
      </x:c>
      <x:c r="H310" s="10" t="n">
        <x:f>IF(ISNUMBER(U310),U310,"")</x:f>
        <x:v>0</x:v>
      </x:c>
      <x:c r="I310" s="10" t="n">
        <x:v>0</x:v>
      </x:c>
      <x:c r="J310" s="11" t="str">
        <x:f>IF(AND(Z310="共同",ISNUMBER(F310),ISNUMBER(M310)),F310-M310,"")</x:f>
      </x:c>
      <x:c r="K310" s="13" t="str">
        <x:f>IF(AND(ISNUMBER(J310),M310&lt;&gt;0),J310/M310,"")</x:f>
      </x:c>
      <x:c r="L310" s="10" t="str">
        <x:v>断货</x:v>
      </x:c>
      <x:c r="M310" s="11"/>
      <x:c r="N310" s="10" t="n">
        <x:f>IF(AND(Z310="共同",COUNT(H310:I310)=2),H310-I310,"")</x:f>
        <x:v>0</x:v>
      </x:c>
      <x:c r="O310" s="10" t="n">
        <x:v>0</x:v>
      </x:c>
      <x:c r="P310" s="10" t="n">
        <x:v>0</x:v>
      </x:c>
      <x:c r="Q310" s="10" t="n">
        <x:v>0</x:v>
      </x:c>
      <x:c r="R310" s="10" t="n">
        <x:v>0</x:v>
      </x:c>
      <x:c r="S310" s="10" t="n">
        <x:v>0</x:v>
      </x:c>
      <x:c r="T310" s="10" t="n">
        <x:v>0</x:v>
      </x:c>
      <x:c r="U310" s="10" t="n">
        <x:f>IF(AND(ISNUMBER(X310),X310&gt;=0,Y310&lt;&gt;1),X310,"")</x:f>
        <x:v>0</x:v>
      </x:c>
      <x:c r="V310" s="10" t="n">
        <x:v>0</x:v>
      </x:c>
      <x:c r="W310" s="10" t="n">
        <x:v>0</x:v>
      </x:c>
      <x:c r="X310" s="10" t="n">
        <x:v>0</x:v>
      </x:c>
      <x:c r="Y310" s="3" t="n">
        <x:v>0</x:v>
      </x:c>
      <x:c r="Z310" s="3" t="str">
        <x:v>共同</x:v>
      </x:c>
      <x:c r="AA310" s="3" t="str">
        <x:v>在售</x:v>
      </x:c>
      <x:c r="AB310" s="12" t="str">
        <x:f>IF(AND(Z310="共同",ISNUMBER(G310),ISNUMBER(AD310)),G310-AD310,"")</x:f>
      </x:c>
      <x:c r="AC310" s="3" t="str">
        <x:v>近90天SKU销量未匹配，未按0处理</x:v>
      </x:c>
      <x:c r="AD310" s="12"/>
      <x:c r="AE310" s="3" t="str">
        <x:v>[6574,"1S01-SB-37.5"]</x:v>
      </x:c>
      <x:c r="AF310" t="n">
        <x:f>IF(ISNUMBER(H310),1,0)</x:f>
        <x:v>1</x:v>
      </x:c>
      <x:c r="AG310" t="n">
        <x:f>IF(ISNUMBER(I310),1,0)</x:f>
        <x:v>1</x:v>
      </x:c>
      <x:c r="AH310" t="str">
        <x:v>["1S01","1S01-SB","SB","黑色蛇纹"]</x:v>
      </x:c>
      <x:c r="AI310" t="n">
        <x:f>IF(ISNUMBER(G310),1,0)</x:f>
        <x:v>1</x:v>
      </x:c>
      <x:c r="AJ310" t="n">
        <x:f>IF(ISNUMBER(AD310),1,0)</x:f>
        <x:v>0</x:v>
      </x:c>
    </x:row>
    <x:row r="311" ht="30" customHeight="1">
      <x:c r="A311" s="3" t="str">
        <x:v>1S01-SB-38</x:v>
      </x:c>
      <x:c r="B311" s="3" t="str">
        <x:v>3店-SANDIEX-US</x:v>
      </x:c>
      <x:c r="C311" s="3" t="str">
        <x:v>徐新怡</x:v>
      </x:c>
      <x:c r="D311" s="3" t="str">
        <x:v>1S01</x:v>
      </x:c>
      <x:c r="E311" s="3" t="str">
        <x:f>IF(Z311="移出","已移出",IF(NOT(ISNUMBER(H311)),"数据待核",IF(H311=0,"断货",IF(NOT(ISNUMBER(G311)),"数据待核",IF(G311=0,"零日销待复核",IF(F311&lt;60,"补货提醒",IF(F311&lt;=90,"正常库存",IF(F311&lt;180,"促销",IF(F311&lt;=365,"红线促销","考虑清仓")))))))))</x:f>
        <x:v>断货</x:v>
      </x:c>
      <x:c r="F311" s="11" t="str">
        <x:f>IF(AND(ISNUMBER(H311),ISNUMBER(G311),G311&gt;0),H311/G311,"")</x:f>
      </x:c>
      <x:c r="G311" s="12" t="n">
        <x:f>IF(AND(COUNT(P311:R311)=3,MIN(P311:R311)&gt;=0,P311&lt;=Q311,Q311&lt;=R311),P311/7*0.5+Q311/14*0.3+R311/30*0.2,"")</x:f>
        <x:v>0</x:v>
      </x:c>
      <x:c r="H311" s="10" t="n">
        <x:f>IF(ISNUMBER(U311),U311,"")</x:f>
        <x:v>0</x:v>
      </x:c>
      <x:c r="I311" s="10" t="n">
        <x:v>0</x:v>
      </x:c>
      <x:c r="J311" s="11" t="str">
        <x:f>IF(AND(Z311="共同",ISNUMBER(F311),ISNUMBER(M311)),F311-M311,"")</x:f>
      </x:c>
      <x:c r="K311" s="13" t="str">
        <x:f>IF(AND(ISNUMBER(J311),M311&lt;&gt;0),J311/M311,"")</x:f>
      </x:c>
      <x:c r="L311" s="10" t="str">
        <x:v>断货</x:v>
      </x:c>
      <x:c r="M311" s="11"/>
      <x:c r="N311" s="10" t="n">
        <x:f>IF(AND(Z311="共同",COUNT(H311:I311)=2),H311-I311,"")</x:f>
        <x:v>0</x:v>
      </x:c>
      <x:c r="O311" s="10" t="n">
        <x:v>1</x:v>
      </x:c>
      <x:c r="P311" s="10" t="n">
        <x:v>0</x:v>
      </x:c>
      <x:c r="Q311" s="10" t="n">
        <x:v>0</x:v>
      </x:c>
      <x:c r="R311" s="10" t="n">
        <x:v>0</x:v>
      </x:c>
      <x:c r="S311" s="10" t="n">
        <x:v>0</x:v>
      </x:c>
      <x:c r="T311" s="10" t="n">
        <x:v>0</x:v>
      </x:c>
      <x:c r="U311" s="10" t="n">
        <x:f>IF(AND(ISNUMBER(X311),X311&gt;=0,Y311&lt;&gt;1),X311,"")</x:f>
        <x:v>0</x:v>
      </x:c>
      <x:c r="V311" s="10" t="n">
        <x:v>0</x:v>
      </x:c>
      <x:c r="W311" s="10" t="n">
        <x:v>0</x:v>
      </x:c>
      <x:c r="X311" s="10" t="n">
        <x:v>0</x:v>
      </x:c>
      <x:c r="Y311" s="3" t="n">
        <x:v>0</x:v>
      </x:c>
      <x:c r="Z311" s="3" t="str">
        <x:v>共同</x:v>
      </x:c>
      <x:c r="AA311" s="3" t="str">
        <x:v>停售</x:v>
      </x:c>
      <x:c r="AB311" s="12" t="str">
        <x:f>IF(AND(Z311="共同",ISNUMBER(G311),ISNUMBER(AD311)),G311-AD311,"")</x:f>
      </x:c>
      <x:c r="AC311" s="3" t="str">
        <x:v>近90天SKU销量未匹配，未按0处理</x:v>
      </x:c>
      <x:c r="AD311" s="12"/>
      <x:c r="AE311" s="3" t="str">
        <x:v>[6574,"1S01-SB-38"]</x:v>
      </x:c>
      <x:c r="AF311" t="n">
        <x:f>IF(ISNUMBER(H311),1,0)</x:f>
        <x:v>1</x:v>
      </x:c>
      <x:c r="AG311" t="n">
        <x:f>IF(ISNUMBER(I311),1,0)</x:f>
        <x:v>1</x:v>
      </x:c>
      <x:c r="AH311" t="str">
        <x:v>["1S01","1S01-SB","SB","黑色蛇纹"]</x:v>
      </x:c>
      <x:c r="AI311" t="n">
        <x:f>IF(ISNUMBER(G311),1,0)</x:f>
        <x:v>1</x:v>
      </x:c>
      <x:c r="AJ311" t="n">
        <x:f>IF(ISNUMBER(AD311),1,0)</x:f>
        <x:v>0</x:v>
      </x:c>
    </x:row>
    <x:row r="312" ht="30" customHeight="1">
      <x:c r="A312" s="3" t="str">
        <x:v>1S01-SB-38.5</x:v>
      </x:c>
      <x:c r="B312" s="3" t="str">
        <x:v>3店-SANDIEX-US</x:v>
      </x:c>
      <x:c r="C312" s="3" t="str">
        <x:v>徐新怡</x:v>
      </x:c>
      <x:c r="D312" s="3" t="str">
        <x:v>1S01</x:v>
      </x:c>
      <x:c r="E312" s="3" t="str">
        <x:f>IF(Z312="移出","已移出",IF(NOT(ISNUMBER(H312)),"数据待核",IF(H312=0,"断货",IF(NOT(ISNUMBER(G312)),"数据待核",IF(G312=0,"零日销待复核",IF(F312&lt;60,"补货提醒",IF(F312&lt;=90,"正常库存",IF(F312&lt;180,"促销",IF(F312&lt;=365,"红线促销","考虑清仓")))))))))</x:f>
        <x:v>断货</x:v>
      </x:c>
      <x:c r="F312" s="11" t="str">
        <x:f>IF(AND(ISNUMBER(H312),ISNUMBER(G312),G312&gt;0),H312/G312,"")</x:f>
      </x:c>
      <x:c r="G312" s="12" t="n">
        <x:f>IF(AND(COUNT(P312:R312)=3,MIN(P312:R312)&gt;=0,P312&lt;=Q312,Q312&lt;=R312),P312/7*0.5+Q312/14*0.3+R312/30*0.2,"")</x:f>
        <x:v>0</x:v>
      </x:c>
      <x:c r="H312" s="10" t="n">
        <x:f>IF(ISNUMBER(U312),U312,"")</x:f>
        <x:v>0</x:v>
      </x:c>
      <x:c r="I312" s="10"/>
      <x:c r="J312" s="11" t="str">
        <x:f>IF(AND(Z312="共同",ISNUMBER(F312),ISNUMBER(M312)),F312-M312,"")</x:f>
      </x:c>
      <x:c r="K312" s="13" t="str">
        <x:f>IF(AND(ISNUMBER(J312),M312&lt;&gt;0),J312/M312,"")</x:f>
      </x:c>
      <x:c r="L312" s="10"/>
      <x:c r="M312" s="11"/>
      <x:c r="N312" s="10" t="str">
        <x:f>IF(AND(Z312="共同",COUNT(H312:I312)=2),H312-I312,"")</x:f>
      </x:c>
      <x:c r="O312" s="10" t="n">
        <x:v>0</x:v>
      </x:c>
      <x:c r="P312" s="10" t="n">
        <x:v>0</x:v>
      </x:c>
      <x:c r="Q312" s="10" t="n">
        <x:v>0</x:v>
      </x:c>
      <x:c r="R312" s="10" t="n">
        <x:v>0</x:v>
      </x:c>
      <x:c r="S312" s="10" t="n">
        <x:v>0</x:v>
      </x:c>
      <x:c r="T312" s="10" t="n">
        <x:v>0</x:v>
      </x:c>
      <x:c r="U312" s="10" t="n">
        <x:f>IF(AND(ISNUMBER(X312),X312&gt;=0,Y312&lt;&gt;1),X312,"")</x:f>
        <x:v>0</x:v>
      </x:c>
      <x:c r="V312" s="10" t="n">
        <x:v>0</x:v>
      </x:c>
      <x:c r="W312" s="10" t="n">
        <x:v>0</x:v>
      </x:c>
      <x:c r="X312" s="10" t="n">
        <x:v>0</x:v>
      </x:c>
      <x:c r="Y312" s="3" t="n">
        <x:v>0</x:v>
      </x:c>
      <x:c r="Z312" s="3" t="str">
        <x:v>新增</x:v>
      </x:c>
      <x:c r="AA312" s="3" t="str">
        <x:v>停售</x:v>
      </x:c>
      <x:c r="AB312" s="12" t="str">
        <x:f>IF(AND(Z312="共同",ISNUMBER(G312),ISNUMBER(AD312)),G312-AD312,"")</x:f>
      </x:c>
      <x:c r="AC312" s="3" t="str">
        <x:v>近90天SKU销量未匹配，未按0处理</x:v>
      </x:c>
      <x:c r="AD312" s="12"/>
      <x:c r="AE312" s="3" t="str">
        <x:v>[6574,"1S01-SB-38.5"]</x:v>
      </x:c>
      <x:c r="AF312" t="n">
        <x:f>IF(ISNUMBER(H312),1,0)</x:f>
        <x:v>1</x:v>
      </x:c>
      <x:c r="AG312" t="n">
        <x:f>IF(ISNUMBER(I312),1,0)</x:f>
        <x:v>0</x:v>
      </x:c>
      <x:c r="AH312" t="str">
        <x:v>["1S01","1S01-SB","SB","黑色蛇纹"]</x:v>
      </x:c>
      <x:c r="AI312" t="n">
        <x:f>IF(ISNUMBER(G312),1,0)</x:f>
        <x:v>1</x:v>
      </x:c>
      <x:c r="AJ312" t="n">
        <x:f>IF(ISNUMBER(AD312),1,0)</x:f>
        <x:v>0</x:v>
      </x:c>
    </x:row>
    <x:row r="313" ht="30" customHeight="1">
      <x:c r="A313" s="3" t="str">
        <x:v>1S01-SB-39</x:v>
      </x:c>
      <x:c r="B313" s="3" t="str">
        <x:v>3店-SANDIEX-US</x:v>
      </x:c>
      <x:c r="C313" s="3" t="str">
        <x:v>徐新怡</x:v>
      </x:c>
      <x:c r="D313" s="3" t="str">
        <x:v>1S01</x:v>
      </x:c>
      <x:c r="E313" s="3" t="str">
        <x:f>IF(Z313="移出","已移出",IF(NOT(ISNUMBER(H313)),"数据待核",IF(H313=0,"断货",IF(NOT(ISNUMBER(G313)),"数据待核",IF(G313=0,"零日销待复核",IF(F313&lt;60,"补货提醒",IF(F313&lt;=90,"正常库存",IF(F313&lt;180,"促销",IF(F313&lt;=365,"红线促销","考虑清仓")))))))))</x:f>
        <x:v>断货</x:v>
      </x:c>
      <x:c r="F313" s="11" t="str">
        <x:f>IF(AND(ISNUMBER(H313),ISNUMBER(G313),G313&gt;0),H313/G313,"")</x:f>
      </x:c>
      <x:c r="G313" s="12" t="n">
        <x:f>IF(AND(COUNT(P313:R313)=3,MIN(P313:R313)&gt;=0,P313&lt;=Q313,Q313&lt;=R313),P313/7*0.5+Q313/14*0.3+R313/30*0.2,"")</x:f>
        <x:v>0</x:v>
      </x:c>
      <x:c r="H313" s="10" t="n">
        <x:f>IF(ISNUMBER(U313),U313,"")</x:f>
        <x:v>0</x:v>
      </x:c>
      <x:c r="I313" s="10" t="n">
        <x:v>0</x:v>
      </x:c>
      <x:c r="J313" s="11" t="str">
        <x:f>IF(AND(Z313="共同",ISNUMBER(F313),ISNUMBER(M313)),F313-M313,"")</x:f>
      </x:c>
      <x:c r="K313" s="13" t="str">
        <x:f>IF(AND(ISNUMBER(J313),M313&lt;&gt;0),J313/M313,"")</x:f>
      </x:c>
      <x:c r="L313" s="10" t="str">
        <x:v>断货</x:v>
      </x:c>
      <x:c r="M313" s="11"/>
      <x:c r="N313" s="10" t="n">
        <x:f>IF(AND(Z313="共同",COUNT(H313:I313)=2),H313-I313,"")</x:f>
        <x:v>0</x:v>
      </x:c>
      <x:c r="O313" s="10" t="n">
        <x:v>3</x:v>
      </x:c>
      <x:c r="P313" s="10" t="n">
        <x:v>0</x:v>
      </x:c>
      <x:c r="Q313" s="10" t="n">
        <x:v>0</x:v>
      </x:c>
      <x:c r="R313" s="10" t="n">
        <x:v>0</x:v>
      </x:c>
      <x:c r="S313" s="10" t="n">
        <x:v>0</x:v>
      </x:c>
      <x:c r="T313" s="10" t="n">
        <x:v>0</x:v>
      </x:c>
      <x:c r="U313" s="10" t="n">
        <x:f>IF(AND(ISNUMBER(X313),X313&gt;=0,Y313&lt;&gt;1),X313,"")</x:f>
        <x:v>0</x:v>
      </x:c>
      <x:c r="V313" s="10" t="n">
        <x:v>0</x:v>
      </x:c>
      <x:c r="W313" s="10" t="n">
        <x:v>0</x:v>
      </x:c>
      <x:c r="X313" s="10" t="n">
        <x:v>0</x:v>
      </x:c>
      <x:c r="Y313" s="3" t="n">
        <x:v>0</x:v>
      </x:c>
      <x:c r="Z313" s="3" t="str">
        <x:v>共同</x:v>
      </x:c>
      <x:c r="AA313" s="3" t="str">
        <x:v>停售</x:v>
      </x:c>
      <x:c r="AB313" s="12" t="str">
        <x:f>IF(AND(Z313="共同",ISNUMBER(G313),ISNUMBER(AD313)),G313-AD313,"")</x:f>
      </x:c>
      <x:c r="AC313" s="3" t="str">
        <x:v>近90天SKU销量未匹配，未按0处理</x:v>
      </x:c>
      <x:c r="AD313" s="12"/>
      <x:c r="AE313" s="3" t="str">
        <x:v>[6574,"1S01-SB-39"]</x:v>
      </x:c>
      <x:c r="AF313" t="n">
        <x:f>IF(ISNUMBER(H313),1,0)</x:f>
        <x:v>1</x:v>
      </x:c>
      <x:c r="AG313" t="n">
        <x:f>IF(ISNUMBER(I313),1,0)</x:f>
        <x:v>1</x:v>
      </x:c>
      <x:c r="AH313" t="str">
        <x:v>["1S01","1S01-SB","SB","黑色蛇纹"]</x:v>
      </x:c>
      <x:c r="AI313" t="n">
        <x:f>IF(ISNUMBER(G313),1,0)</x:f>
        <x:v>1</x:v>
      </x:c>
      <x:c r="AJ313" t="n">
        <x:f>IF(ISNUMBER(AD313),1,0)</x:f>
        <x:v>0</x:v>
      </x:c>
    </x:row>
    <x:row r="314" ht="30" customHeight="1">
      <x:c r="A314" s="3" t="str">
        <x:v>1S01-SB-39.5</x:v>
      </x:c>
      <x:c r="B314" s="3" t="str">
        <x:v>3店-SANDIEX-US</x:v>
      </x:c>
      <x:c r="C314" s="3" t="str">
        <x:v>徐新怡</x:v>
      </x:c>
      <x:c r="D314" s="3" t="str">
        <x:v>1S01</x:v>
      </x:c>
      <x:c r="E314" s="3" t="str">
        <x:f>IF(Z314="移出","已移出",IF(NOT(ISNUMBER(H314)),"数据待核",IF(H314=0,"断货",IF(NOT(ISNUMBER(G314)),"数据待核",IF(G314=0,"零日销待复核",IF(F314&lt;60,"补货提醒",IF(F314&lt;=90,"正常库存",IF(F314&lt;180,"促销",IF(F314&lt;=365,"红线促销","考虑清仓")))))))))</x:f>
        <x:v>断货</x:v>
      </x:c>
      <x:c r="F314" s="11" t="str">
        <x:f>IF(AND(ISNUMBER(H314),ISNUMBER(G314),G314&gt;0),H314/G314,"")</x:f>
      </x:c>
      <x:c r="G314" s="12" t="n">
        <x:f>IF(AND(COUNT(P314:R314)=3,MIN(P314:R314)&gt;=0,P314&lt;=Q314,Q314&lt;=R314),P314/7*0.5+Q314/14*0.3+R314/30*0.2,"")</x:f>
        <x:v>0</x:v>
      </x:c>
      <x:c r="H314" s="10" t="n">
        <x:f>IF(ISNUMBER(U314),U314,"")</x:f>
        <x:v>0</x:v>
      </x:c>
      <x:c r="I314" s="10"/>
      <x:c r="J314" s="11" t="str">
        <x:f>IF(AND(Z314="共同",ISNUMBER(F314),ISNUMBER(M314)),F314-M314,"")</x:f>
      </x:c>
      <x:c r="K314" s="13" t="str">
        <x:f>IF(AND(ISNUMBER(J314),M314&lt;&gt;0),J314/M314,"")</x:f>
      </x:c>
      <x:c r="L314" s="10"/>
      <x:c r="M314" s="11"/>
      <x:c r="N314" s="10" t="str">
        <x:f>IF(AND(Z314="共同",COUNT(H314:I314)=2),H314-I314,"")</x:f>
      </x:c>
      <x:c r="O314" s="10" t="n">
        <x:v>0</x:v>
      </x:c>
      <x:c r="P314" s="10" t="n">
        <x:v>0</x:v>
      </x:c>
      <x:c r="Q314" s="10" t="n">
        <x:v>0</x:v>
      </x:c>
      <x:c r="R314" s="10" t="n">
        <x:v>0</x:v>
      </x:c>
      <x:c r="S314" s="10" t="n">
        <x:v>0</x:v>
      </x:c>
      <x:c r="T314" s="10" t="n">
        <x:v>0</x:v>
      </x:c>
      <x:c r="U314" s="10" t="n">
        <x:f>IF(AND(ISNUMBER(X314),X314&gt;=0,Y314&lt;&gt;1),X314,"")</x:f>
        <x:v>0</x:v>
      </x:c>
      <x:c r="V314" s="10" t="n">
        <x:v>0</x:v>
      </x:c>
      <x:c r="W314" s="10" t="n">
        <x:v>0</x:v>
      </x:c>
      <x:c r="X314" s="10" t="n">
        <x:v>0</x:v>
      </x:c>
      <x:c r="Y314" s="3" t="n">
        <x:v>0</x:v>
      </x:c>
      <x:c r="Z314" s="3" t="str">
        <x:v>新增</x:v>
      </x:c>
      <x:c r="AA314" s="3" t="str">
        <x:v>停售</x:v>
      </x:c>
      <x:c r="AB314" s="12" t="str">
        <x:f>IF(AND(Z314="共同",ISNUMBER(G314),ISNUMBER(AD314)),G314-AD314,"")</x:f>
      </x:c>
      <x:c r="AC314" s="3" t="str">
        <x:v>近90天SKU销量未匹配，未按0处理</x:v>
      </x:c>
      <x:c r="AD314" s="12"/>
      <x:c r="AE314" s="3" t="str">
        <x:v>[6574,"1S01-SB-39.5"]</x:v>
      </x:c>
      <x:c r="AF314" t="n">
        <x:f>IF(ISNUMBER(H314),1,0)</x:f>
        <x:v>1</x:v>
      </x:c>
      <x:c r="AG314" t="n">
        <x:f>IF(ISNUMBER(I314),1,0)</x:f>
        <x:v>0</x:v>
      </x:c>
      <x:c r="AH314" t="str">
        <x:v>["1S01","1S01-SB","SB","黑色蛇纹"]</x:v>
      </x:c>
      <x:c r="AI314" t="n">
        <x:f>IF(ISNUMBER(G314),1,0)</x:f>
        <x:v>1</x:v>
      </x:c>
      <x:c r="AJ314" t="n">
        <x:f>IF(ISNUMBER(AD314),1,0)</x:f>
        <x:v>0</x:v>
      </x:c>
    </x:row>
    <x:row r="315" ht="30" customHeight="1">
      <x:c r="A315" s="3" t="str">
        <x:v>1S01-SB-40.5</x:v>
      </x:c>
      <x:c r="B315" s="3" t="str">
        <x:v>3店-SANDIEX-US</x:v>
      </x:c>
      <x:c r="C315" s="3" t="str">
        <x:v>徐新怡</x:v>
      </x:c>
      <x:c r="D315" s="3" t="str">
        <x:v>1S01</x:v>
      </x:c>
      <x:c r="E315" s="3" t="str">
        <x:f>IF(Z315="移出","已移出",IF(NOT(ISNUMBER(H315)),"数据待核",IF(H315=0,"断货",IF(NOT(ISNUMBER(G315)),"数据待核",IF(G315=0,"零日销待复核",IF(F315&lt;60,"补货提醒",IF(F315&lt;=90,"正常库存",IF(F315&lt;180,"促销",IF(F315&lt;=365,"红线促销","考虑清仓")))))))))</x:f>
        <x:v>断货</x:v>
      </x:c>
      <x:c r="F315" s="11" t="str">
        <x:f>IF(AND(ISNUMBER(H315),ISNUMBER(G315),G315&gt;0),H315/G315,"")</x:f>
      </x:c>
      <x:c r="G315" s="12" t="n">
        <x:f>IF(AND(COUNT(P315:R315)=3,MIN(P315:R315)&gt;=0,P315&lt;=Q315,Q315&lt;=R315),P315/7*0.5+Q315/14*0.3+R315/30*0.2,"")</x:f>
        <x:v>0</x:v>
      </x:c>
      <x:c r="H315" s="10" t="n">
        <x:f>IF(ISNUMBER(U315),U315,"")</x:f>
        <x:v>0</x:v>
      </x:c>
      <x:c r="I315" s="10"/>
      <x:c r="J315" s="11" t="str">
        <x:f>IF(AND(Z315="共同",ISNUMBER(F315),ISNUMBER(M315)),F315-M315,"")</x:f>
      </x:c>
      <x:c r="K315" s="13" t="str">
        <x:f>IF(AND(ISNUMBER(J315),M315&lt;&gt;0),J315/M315,"")</x:f>
      </x:c>
      <x:c r="L315" s="10"/>
      <x:c r="M315" s="11"/>
      <x:c r="N315" s="10" t="str">
        <x:f>IF(AND(Z315="共同",COUNT(H315:I315)=2),H315-I315,"")</x:f>
      </x:c>
      <x:c r="O315" s="10"/>
      <x:c r="P315" s="10" t="n">
        <x:v>0</x:v>
      </x:c>
      <x:c r="Q315" s="10" t="n">
        <x:v>0</x:v>
      </x:c>
      <x:c r="R315" s="10" t="n">
        <x:v>0</x:v>
      </x:c>
      <x:c r="S315" s="10" t="n">
        <x:v>0</x:v>
      </x:c>
      <x:c r="T315" s="10" t="n">
        <x:v>0</x:v>
      </x:c>
      <x:c r="U315" s="10" t="n">
        <x:f>IF(AND(ISNUMBER(X315),X315&gt;=0,Y315&lt;&gt;1),X315,"")</x:f>
        <x:v>0</x:v>
      </x:c>
      <x:c r="V315" s="10" t="n">
        <x:v>0</x:v>
      </x:c>
      <x:c r="W315" s="10" t="n">
        <x:v>0</x:v>
      </x:c>
      <x:c r="X315" s="10" t="n">
        <x:v>0</x:v>
      </x:c>
      <x:c r="Y315" s="3" t="n">
        <x:v>0</x:v>
      </x:c>
      <x:c r="Z315" s="3" t="str">
        <x:v>新增</x:v>
      </x:c>
      <x:c r="AA315" s="3" t="str">
        <x:v>停售</x:v>
      </x:c>
      <x:c r="AB315" s="12" t="str">
        <x:f>IF(AND(Z315="共同",ISNUMBER(G315),ISNUMBER(AD315)),G315-AD315,"")</x:f>
      </x:c>
      <x:c r="AC315" s="3" t="str">
        <x:v>近90天SKU销量未匹配，未按0处理</x:v>
      </x:c>
      <x:c r="AD315" s="12"/>
      <x:c r="AE315" s="3" t="str">
        <x:v>[6574,"1S01-SB-40.5"]</x:v>
      </x:c>
      <x:c r="AF315" t="n">
        <x:f>IF(ISNUMBER(H315),1,0)</x:f>
        <x:v>1</x:v>
      </x:c>
      <x:c r="AG315" t="n">
        <x:f>IF(ISNUMBER(I315),1,0)</x:f>
        <x:v>0</x:v>
      </x:c>
      <x:c r="AH315" t="str">
        <x:v>["1S01","1S01-SB","SB","黑色蛇纹"]</x:v>
      </x:c>
      <x:c r="AI315" t="n">
        <x:f>IF(ISNUMBER(G315),1,0)</x:f>
        <x:v>1</x:v>
      </x:c>
      <x:c r="AJ315" t="n">
        <x:f>IF(ISNUMBER(AD315),1,0)</x:f>
        <x:v>0</x:v>
      </x:c>
    </x:row>
    <x:row r="316" ht="30" customHeight="1">
      <x:c r="A316" s="3" t="str">
        <x:v>1S01-SB-41</x:v>
      </x:c>
      <x:c r="B316" s="3" t="str">
        <x:v>3店-SANDIEX-US</x:v>
      </x:c>
      <x:c r="C316" s="3" t="str">
        <x:v>徐新怡</x:v>
      </x:c>
      <x:c r="D316" s="3" t="str">
        <x:v>1S01</x:v>
      </x:c>
      <x:c r="E316" s="3" t="str">
        <x:f>IF(Z316="移出","已移出",IF(NOT(ISNUMBER(H316)),"数据待核",IF(H316=0,"断货",IF(NOT(ISNUMBER(G316)),"数据待核",IF(G316=0,"零日销待复核",IF(F316&lt;60,"补货提醒",IF(F316&lt;=90,"正常库存",IF(F316&lt;180,"促销",IF(F316&lt;=365,"红线促销","考虑清仓")))))))))</x:f>
        <x:v>断货</x:v>
      </x:c>
      <x:c r="F316" s="11" t="str">
        <x:f>IF(AND(ISNUMBER(H316),ISNUMBER(G316),G316&gt;0),H316/G316,"")</x:f>
      </x:c>
      <x:c r="G316" s="12" t="n">
        <x:f>IF(AND(COUNT(P316:R316)=3,MIN(P316:R316)&gt;=0,P316&lt;=Q316,Q316&lt;=R316),P316/7*0.5+Q316/14*0.3+R316/30*0.2,"")</x:f>
        <x:v>0</x:v>
      </x:c>
      <x:c r="H316" s="10" t="n">
        <x:f>IF(ISNUMBER(U316),U316,"")</x:f>
        <x:v>0</x:v>
      </x:c>
      <x:c r="I316" s="10" t="n">
        <x:v>0</x:v>
      </x:c>
      <x:c r="J316" s="11" t="str">
        <x:f>IF(AND(Z316="共同",ISNUMBER(F316),ISNUMBER(M316)),F316-M316,"")</x:f>
      </x:c>
      <x:c r="K316" s="13" t="str">
        <x:f>IF(AND(ISNUMBER(J316),M316&lt;&gt;0),J316/M316,"")</x:f>
      </x:c>
      <x:c r="L316" s="10" t="str">
        <x:v>断货</x:v>
      </x:c>
      <x:c r="M316" s="11"/>
      <x:c r="N316" s="10" t="n">
        <x:f>IF(AND(Z316="共同",COUNT(H316:I316)=2),H316-I316,"")</x:f>
        <x:v>0</x:v>
      </x:c>
      <x:c r="O316" s="10" t="n">
        <x:v>0</x:v>
      </x:c>
      <x:c r="P316" s="10" t="n">
        <x:v>0</x:v>
      </x:c>
      <x:c r="Q316" s="10" t="n">
        <x:v>0</x:v>
      </x:c>
      <x:c r="R316" s="10" t="n">
        <x:v>0</x:v>
      </x:c>
      <x:c r="S316" s="10" t="n">
        <x:v>0</x:v>
      </x:c>
      <x:c r="T316" s="10" t="n">
        <x:v>0</x:v>
      </x:c>
      <x:c r="U316" s="10" t="n">
        <x:f>IF(AND(ISNUMBER(X316),X316&gt;=0,Y316&lt;&gt;1),X316,"")</x:f>
        <x:v>0</x:v>
      </x:c>
      <x:c r="V316" s="10" t="n">
        <x:v>0</x:v>
      </x:c>
      <x:c r="W316" s="10" t="n">
        <x:v>0</x:v>
      </x:c>
      <x:c r="X316" s="10" t="n">
        <x:v>0</x:v>
      </x:c>
      <x:c r="Y316" s="3" t="n">
        <x:v>0</x:v>
      </x:c>
      <x:c r="Z316" s="3" t="str">
        <x:v>共同</x:v>
      </x:c>
      <x:c r="AA316" s="3" t="str">
        <x:v>停售</x:v>
      </x:c>
      <x:c r="AB316" s="12" t="n">
        <x:f>IF(AND(Z316="共同",ISNUMBER(G316),ISNUMBER(AD316)),G316-AD316,"")</x:f>
        <x:v>0</x:v>
      </x:c>
      <x:c r="AC316" s="3" t="str"/>
      <x:c r="AD316" s="12" t="n">
        <x:v>0</x:v>
      </x:c>
      <x:c r="AE316" s="3" t="str">
        <x:v>[6574,"1S01-SB-41"]</x:v>
      </x:c>
      <x:c r="AF316" t="n">
        <x:f>IF(ISNUMBER(H316),1,0)</x:f>
        <x:v>1</x:v>
      </x:c>
      <x:c r="AG316" t="n">
        <x:f>IF(ISNUMBER(I316),1,0)</x:f>
        <x:v>1</x:v>
      </x:c>
      <x:c r="AH316" t="str">
        <x:v>["1S01","1S01-SB","SB","黑色蛇纹"]</x:v>
      </x:c>
      <x:c r="AI316" t="n">
        <x:f>IF(ISNUMBER(G316),1,0)</x:f>
        <x:v>1</x:v>
      </x:c>
      <x:c r="AJ316" t="n">
        <x:f>IF(ISNUMBER(AD316),1,0)</x:f>
        <x:v>1</x:v>
      </x:c>
    </x:row>
    <x:row r="317" ht="30" customHeight="1">
      <x:c r="A317" s="3" t="str">
        <x:v>1S01-SB-41.5</x:v>
      </x:c>
      <x:c r="B317" s="3" t="str">
        <x:v>3店-SANDIEX-US</x:v>
      </x:c>
      <x:c r="C317" s="3" t="str">
        <x:v>徐新怡</x:v>
      </x:c>
      <x:c r="D317" s="3" t="str">
        <x:v>1S01</x:v>
      </x:c>
      <x:c r="E317" s="3" t="str">
        <x:f>IF(Z317="移出","已移出",IF(NOT(ISNUMBER(H317)),"数据待核",IF(H317=0,"断货",IF(NOT(ISNUMBER(G317)),"数据待核",IF(G317=0,"零日销待复核",IF(F317&lt;60,"补货提醒",IF(F317&lt;=90,"正常库存",IF(F317&lt;180,"促销",IF(F317&lt;=365,"红线促销","考虑清仓")))))))))</x:f>
        <x:v>断货</x:v>
      </x:c>
      <x:c r="F317" s="11" t="str">
        <x:f>IF(AND(ISNUMBER(H317),ISNUMBER(G317),G317&gt;0),H317/G317,"")</x:f>
      </x:c>
      <x:c r="G317" s="12" t="n">
        <x:f>IF(AND(COUNT(P317:R317)=3,MIN(P317:R317)&gt;=0,P317&lt;=Q317,Q317&lt;=R317),P317/7*0.5+Q317/14*0.3+R317/30*0.2,"")</x:f>
        <x:v>0</x:v>
      </x:c>
      <x:c r="H317" s="10" t="n">
        <x:f>IF(ISNUMBER(U317),U317,"")</x:f>
        <x:v>0</x:v>
      </x:c>
      <x:c r="I317" s="10"/>
      <x:c r="J317" s="11" t="str">
        <x:f>IF(AND(Z317="共同",ISNUMBER(F317),ISNUMBER(M317)),F317-M317,"")</x:f>
      </x:c>
      <x:c r="K317" s="13" t="str">
        <x:f>IF(AND(ISNUMBER(J317),M317&lt;&gt;0),J317/M317,"")</x:f>
      </x:c>
      <x:c r="L317" s="10"/>
      <x:c r="M317" s="11"/>
      <x:c r="N317" s="10" t="str">
        <x:f>IF(AND(Z317="共同",COUNT(H317:I317)=2),H317-I317,"")</x:f>
      </x:c>
      <x:c r="O317" s="10"/>
      <x:c r="P317" s="10" t="n">
        <x:v>0</x:v>
      </x:c>
      <x:c r="Q317" s="10" t="n">
        <x:v>0</x:v>
      </x:c>
      <x:c r="R317" s="10" t="n">
        <x:v>0</x:v>
      </x:c>
      <x:c r="S317" s="10" t="n">
        <x:v>0</x:v>
      </x:c>
      <x:c r="T317" s="10" t="n">
        <x:v>0</x:v>
      </x:c>
      <x:c r="U317" s="10" t="n">
        <x:f>IF(AND(ISNUMBER(X317),X317&gt;=0,Y317&lt;&gt;1),X317,"")</x:f>
        <x:v>0</x:v>
      </x:c>
      <x:c r="V317" s="10" t="n">
        <x:v>0</x:v>
      </x:c>
      <x:c r="W317" s="10" t="n">
        <x:v>0</x:v>
      </x:c>
      <x:c r="X317" s="10" t="n">
        <x:v>0</x:v>
      </x:c>
      <x:c r="Y317" s="3" t="n">
        <x:v>0</x:v>
      </x:c>
      <x:c r="Z317" s="3" t="str">
        <x:v>新增</x:v>
      </x:c>
      <x:c r="AA317" s="3" t="str">
        <x:v>停售</x:v>
      </x:c>
      <x:c r="AB317" s="12" t="str">
        <x:f>IF(AND(Z317="共同",ISNUMBER(G317),ISNUMBER(AD317)),G317-AD317,"")</x:f>
      </x:c>
      <x:c r="AC317" s="3" t="str">
        <x:v>近90天SKU销量未匹配，未按0处理</x:v>
      </x:c>
      <x:c r="AD317" s="12"/>
      <x:c r="AE317" s="3" t="str">
        <x:v>[6574,"1S01-SB-41.5"]</x:v>
      </x:c>
      <x:c r="AF317" t="n">
        <x:f>IF(ISNUMBER(H317),1,0)</x:f>
        <x:v>1</x:v>
      </x:c>
      <x:c r="AG317" t="n">
        <x:f>IF(ISNUMBER(I317),1,0)</x:f>
        <x:v>0</x:v>
      </x:c>
      <x:c r="AH317" t="str">
        <x:v>["1S01","1S01-SB","SB","黑色蛇纹"]</x:v>
      </x:c>
      <x:c r="AI317" t="n">
        <x:f>IF(ISNUMBER(G317),1,0)</x:f>
        <x:v>1</x:v>
      </x:c>
      <x:c r="AJ317" t="n">
        <x:f>IF(ISNUMBER(AD317),1,0)</x:f>
        <x:v>0</x:v>
      </x:c>
    </x:row>
    <x:row r="318" ht="30" customHeight="1">
      <x:c r="A318" s="3" t="str">
        <x:v>1S01-SP-36</x:v>
      </x:c>
      <x:c r="B318" s="3" t="str">
        <x:v>3店-SANDIEX-US</x:v>
      </x:c>
      <x:c r="C318" s="3" t="str">
        <x:v>徐新怡</x:v>
      </x:c>
      <x:c r="D318" s="3" t="str">
        <x:v>1S01</x:v>
      </x:c>
      <x:c r="E318" s="3" t="str">
        <x:f>IF(Z318="移出","已移出",IF(NOT(ISNUMBER(H318)),"数据待核",IF(H318=0,"断货",IF(NOT(ISNUMBER(G318)),"数据待核",IF(G318=0,"零日销待复核",IF(F318&lt;60,"补货提醒",IF(F318&lt;=90,"正常库存",IF(F318&lt;180,"促销",IF(F318&lt;=365,"红线促销","考虑清仓")))))))))</x:f>
        <x:v>断货</x:v>
      </x:c>
      <x:c r="F318" s="11" t="str">
        <x:f>IF(AND(ISNUMBER(H318),ISNUMBER(G318),G318&gt;0),H318/G318,"")</x:f>
      </x:c>
      <x:c r="G318" s="12" t="n">
        <x:f>IF(AND(COUNT(P318:R318)=3,MIN(P318:R318)&gt;=0,P318&lt;=Q318,Q318&lt;=R318),P318/7*0.5+Q318/14*0.3+R318/30*0.2,"")</x:f>
        <x:v>0</x:v>
      </x:c>
      <x:c r="H318" s="10" t="n">
        <x:f>IF(ISNUMBER(U318),U318,"")</x:f>
        <x:v>0</x:v>
      </x:c>
      <x:c r="I318" s="10"/>
      <x:c r="J318" s="11" t="str">
        <x:f>IF(AND(Z318="共同",ISNUMBER(F318),ISNUMBER(M318)),F318-M318,"")</x:f>
      </x:c>
      <x:c r="K318" s="13" t="str">
        <x:f>IF(AND(ISNUMBER(J318),M318&lt;&gt;0),J318/M318,"")</x:f>
      </x:c>
      <x:c r="L318" s="10"/>
      <x:c r="M318" s="11"/>
      <x:c r="N318" s="10" t="str">
        <x:f>IF(AND(Z318="共同",COUNT(H318:I318)=2),H318-I318,"")</x:f>
      </x:c>
      <x:c r="O318" s="10"/>
      <x:c r="P318" s="10" t="n">
        <x:v>0</x:v>
      </x:c>
      <x:c r="Q318" s="10" t="n">
        <x:v>0</x:v>
      </x:c>
      <x:c r="R318" s="10" t="n">
        <x:v>0</x:v>
      </x:c>
      <x:c r="S318" s="10" t="n">
        <x:v>0</x:v>
      </x:c>
      <x:c r="T318" s="10" t="n">
        <x:v>0</x:v>
      </x:c>
      <x:c r="U318" s="10" t="n">
        <x:f>IF(AND(ISNUMBER(X318),X318&gt;=0,Y318&lt;&gt;1),X318,"")</x:f>
        <x:v>0</x:v>
      </x:c>
      <x:c r="V318" s="10" t="n">
        <x:v>0</x:v>
      </x:c>
      <x:c r="W318" s="10" t="n">
        <x:v>0</x:v>
      </x:c>
      <x:c r="X318" s="10" t="n">
        <x:v>0</x:v>
      </x:c>
      <x:c r="Y318" s="3" t="n">
        <x:v>0</x:v>
      </x:c>
      <x:c r="Z318" s="3" t="str">
        <x:v>新增</x:v>
      </x:c>
      <x:c r="AA318" s="3" t="str">
        <x:v>停售</x:v>
      </x:c>
      <x:c r="AB318" s="12" t="str">
        <x:f>IF(AND(Z318="共同",ISNUMBER(G318),ISNUMBER(AD318)),G318-AD318,"")</x:f>
      </x:c>
      <x:c r="AC318" s="3" t="str">
        <x:v>近90天SKU销量未匹配，未按0处理</x:v>
      </x:c>
      <x:c r="AD318" s="12"/>
      <x:c r="AE318" s="3" t="str">
        <x:v>[6574,"1S01-SP-36"]</x:v>
      </x:c>
      <x:c r="AF318" t="n">
        <x:f>IF(ISNUMBER(H318),1,0)</x:f>
        <x:v>1</x:v>
      </x:c>
      <x:c r="AG318" t="n">
        <x:f>IF(ISNUMBER(I318),1,0)</x:f>
        <x:v>0</x:v>
      </x:c>
      <x:c r="AH318" t="str">
        <x:v>["1S01","1S01-SP","SP","黑白蛇纹"]</x:v>
      </x:c>
      <x:c r="AI318" t="n">
        <x:f>IF(ISNUMBER(G318),1,0)</x:f>
        <x:v>1</x:v>
      </x:c>
      <x:c r="AJ318" t="n">
        <x:f>IF(ISNUMBER(AD318),1,0)</x:f>
        <x:v>0</x:v>
      </x:c>
    </x:row>
    <x:row r="319" ht="30" customHeight="1">
      <x:c r="A319" s="3" t="str">
        <x:v>1S01-SP-37</x:v>
      </x:c>
      <x:c r="B319" s="3" t="str">
        <x:v>3店-SANDIEX-US</x:v>
      </x:c>
      <x:c r="C319" s="3" t="str">
        <x:v>徐新怡</x:v>
      </x:c>
      <x:c r="D319" s="3" t="str">
        <x:v>1S01</x:v>
      </x:c>
      <x:c r="E319" s="3" t="str">
        <x:f>IF(Z319="移出","已移出",IF(NOT(ISNUMBER(H319)),"数据待核",IF(H319=0,"断货",IF(NOT(ISNUMBER(G319)),"数据待核",IF(G319=0,"零日销待复核",IF(F319&lt;60,"补货提醒",IF(F319&lt;=90,"正常库存",IF(F319&lt;180,"促销",IF(F319&lt;=365,"红线促销","考虑清仓")))))))))</x:f>
        <x:v>断货</x:v>
      </x:c>
      <x:c r="F319" s="11" t="str">
        <x:f>IF(AND(ISNUMBER(H319),ISNUMBER(G319),G319&gt;0),H319/G319,"")</x:f>
      </x:c>
      <x:c r="G319" s="12" t="n">
        <x:f>IF(AND(COUNT(P319:R319)=3,MIN(P319:R319)&gt;=0,P319&lt;=Q319,Q319&lt;=R319),P319/7*0.5+Q319/14*0.3+R319/30*0.2,"")</x:f>
        <x:v>0</x:v>
      </x:c>
      <x:c r="H319" s="10" t="n">
        <x:f>IF(ISNUMBER(U319),U319,"")</x:f>
        <x:v>0</x:v>
      </x:c>
      <x:c r="I319" s="10" t="n">
        <x:v>0</x:v>
      </x:c>
      <x:c r="J319" s="11" t="str">
        <x:f>IF(AND(Z319="共同",ISNUMBER(F319),ISNUMBER(M319)),F319-M319,"")</x:f>
      </x:c>
      <x:c r="K319" s="13" t="str">
        <x:f>IF(AND(ISNUMBER(J319),M319&lt;&gt;0),J319/M319,"")</x:f>
      </x:c>
      <x:c r="L319" s="10" t="str">
        <x:v>断货</x:v>
      </x:c>
      <x:c r="M319" s="11"/>
      <x:c r="N319" s="10" t="n">
        <x:f>IF(AND(Z319="共同",COUNT(H319:I319)=2),H319-I319,"")</x:f>
        <x:v>0</x:v>
      </x:c>
      <x:c r="O319" s="10" t="n">
        <x:v>0</x:v>
      </x:c>
      <x:c r="P319" s="10" t="n">
        <x:v>0</x:v>
      </x:c>
      <x:c r="Q319" s="10" t="n">
        <x:v>0</x:v>
      </x:c>
      <x:c r="R319" s="10" t="n">
        <x:v>0</x:v>
      </x:c>
      <x:c r="S319" s="10" t="n">
        <x:v>0</x:v>
      </x:c>
      <x:c r="T319" s="10" t="n">
        <x:v>0</x:v>
      </x:c>
      <x:c r="U319" s="10" t="n">
        <x:f>IF(AND(ISNUMBER(X319),X319&gt;=0,Y319&lt;&gt;1),X319,"")</x:f>
        <x:v>0</x:v>
      </x:c>
      <x:c r="V319" s="10" t="n">
        <x:v>0</x:v>
      </x:c>
      <x:c r="W319" s="10" t="n">
        <x:v>0</x:v>
      </x:c>
      <x:c r="X319" s="10" t="n">
        <x:v>0</x:v>
      </x:c>
      <x:c r="Y319" s="3" t="n">
        <x:v>0</x:v>
      </x:c>
      <x:c r="Z319" s="3" t="str">
        <x:v>共同</x:v>
      </x:c>
      <x:c r="AA319" s="3" t="str">
        <x:v>停售</x:v>
      </x:c>
      <x:c r="AB319" s="12" t="str">
        <x:f>IF(AND(Z319="共同",ISNUMBER(G319),ISNUMBER(AD319)),G319-AD319,"")</x:f>
      </x:c>
      <x:c r="AC319" s="3" t="str">
        <x:v>近90天SKU销量未匹配，未按0处理</x:v>
      </x:c>
      <x:c r="AD319" s="12"/>
      <x:c r="AE319" s="3" t="str">
        <x:v>[6574,"1S01-SP-37"]</x:v>
      </x:c>
      <x:c r="AF319" t="n">
        <x:f>IF(ISNUMBER(H319),1,0)</x:f>
        <x:v>1</x:v>
      </x:c>
      <x:c r="AG319" t="n">
        <x:f>IF(ISNUMBER(I319),1,0)</x:f>
        <x:v>1</x:v>
      </x:c>
      <x:c r="AH319" t="str">
        <x:v>["1S01","1S01-SP","SP","黑白蛇纹"]</x:v>
      </x:c>
      <x:c r="AI319" t="n">
        <x:f>IF(ISNUMBER(G319),1,0)</x:f>
        <x:v>1</x:v>
      </x:c>
      <x:c r="AJ319" t="n">
        <x:f>IF(ISNUMBER(AD319),1,0)</x:f>
        <x:v>0</x:v>
      </x:c>
    </x:row>
    <x:row r="320" ht="30" customHeight="1">
      <x:c r="A320" s="3" t="str">
        <x:v>1S01-SP-37.5</x:v>
      </x:c>
      <x:c r="B320" s="3" t="str">
        <x:v>3店-SANDIEX-US</x:v>
      </x:c>
      <x:c r="C320" s="3" t="str">
        <x:v>徐新怡</x:v>
      </x:c>
      <x:c r="D320" s="3" t="str">
        <x:v>1S01</x:v>
      </x:c>
      <x:c r="E320" s="3" t="str">
        <x:f>IF(Z320="移出","已移出",IF(NOT(ISNUMBER(H320)),"数据待核",IF(H320=0,"断货",IF(NOT(ISNUMBER(G320)),"数据待核",IF(G320=0,"零日销待复核",IF(F320&lt;60,"补货提醒",IF(F320&lt;=90,"正常库存",IF(F320&lt;180,"促销",IF(F320&lt;=365,"红线促销","考虑清仓")))))))))</x:f>
        <x:v>断货</x:v>
      </x:c>
      <x:c r="F320" s="11" t="str">
        <x:f>IF(AND(ISNUMBER(H320),ISNUMBER(G320),G320&gt;0),H320/G320,"")</x:f>
      </x:c>
      <x:c r="G320" s="12" t="n">
        <x:f>IF(AND(COUNT(P320:R320)=3,MIN(P320:R320)&gt;=0,P320&lt;=Q320,Q320&lt;=R320),P320/7*0.5+Q320/14*0.3+R320/30*0.2,"")</x:f>
        <x:v>0</x:v>
      </x:c>
      <x:c r="H320" s="10" t="n">
        <x:f>IF(ISNUMBER(U320),U320,"")</x:f>
        <x:v>0</x:v>
      </x:c>
      <x:c r="I320" s="10"/>
      <x:c r="J320" s="11" t="str">
        <x:f>IF(AND(Z320="共同",ISNUMBER(F320),ISNUMBER(M320)),F320-M320,"")</x:f>
      </x:c>
      <x:c r="K320" s="13" t="str">
        <x:f>IF(AND(ISNUMBER(J320),M320&lt;&gt;0),J320/M320,"")</x:f>
      </x:c>
      <x:c r="L320" s="10"/>
      <x:c r="M320" s="11"/>
      <x:c r="N320" s="10" t="str">
        <x:f>IF(AND(Z320="共同",COUNT(H320:I320)=2),H320-I320,"")</x:f>
      </x:c>
      <x:c r="O320" s="10" t="n">
        <x:v>0</x:v>
      </x:c>
      <x:c r="P320" s="10" t="n">
        <x:v>0</x:v>
      </x:c>
      <x:c r="Q320" s="10" t="n">
        <x:v>0</x:v>
      </x:c>
      <x:c r="R320" s="10" t="n">
        <x:v>0</x:v>
      </x:c>
      <x:c r="S320" s="10" t="n">
        <x:v>0</x:v>
      </x:c>
      <x:c r="T320" s="10" t="n">
        <x:v>0</x:v>
      </x:c>
      <x:c r="U320" s="10" t="n">
        <x:f>IF(AND(ISNUMBER(X320),X320&gt;=0,Y320&lt;&gt;1),X320,"")</x:f>
        <x:v>0</x:v>
      </x:c>
      <x:c r="V320" s="10" t="n">
        <x:v>0</x:v>
      </x:c>
      <x:c r="W320" s="10" t="n">
        <x:v>0</x:v>
      </x:c>
      <x:c r="X320" s="10" t="n">
        <x:v>0</x:v>
      </x:c>
      <x:c r="Y320" s="3" t="n">
        <x:v>0</x:v>
      </x:c>
      <x:c r="Z320" s="3" t="str">
        <x:v>新增</x:v>
      </x:c>
      <x:c r="AA320" s="3" t="str">
        <x:v>停售</x:v>
      </x:c>
      <x:c r="AB320" s="12" t="str">
        <x:f>IF(AND(Z320="共同",ISNUMBER(G320),ISNUMBER(AD320)),G320-AD320,"")</x:f>
      </x:c>
      <x:c r="AC320" s="3" t="str">
        <x:v>近90天SKU销量未匹配，未按0处理</x:v>
      </x:c>
      <x:c r="AD320" s="12"/>
      <x:c r="AE320" s="3" t="str">
        <x:v>[6574,"1S01-SP-37.5"]</x:v>
      </x:c>
      <x:c r="AF320" t="n">
        <x:f>IF(ISNUMBER(H320),1,0)</x:f>
        <x:v>1</x:v>
      </x:c>
      <x:c r="AG320" t="n">
        <x:f>IF(ISNUMBER(I320),1,0)</x:f>
        <x:v>0</x:v>
      </x:c>
      <x:c r="AH320" t="str">
        <x:v>["1S01","1S01-SP","SP","黑白蛇纹"]</x:v>
      </x:c>
      <x:c r="AI320" t="n">
        <x:f>IF(ISNUMBER(G320),1,0)</x:f>
        <x:v>1</x:v>
      </x:c>
      <x:c r="AJ320" t="n">
        <x:f>IF(ISNUMBER(AD320),1,0)</x:f>
        <x:v>0</x:v>
      </x:c>
    </x:row>
    <x:row r="321" ht="30" customHeight="1">
      <x:c r="A321" s="3" t="str">
        <x:v>1S01-SP-38</x:v>
      </x:c>
      <x:c r="B321" s="3" t="str">
        <x:v>3店-SANDIEX-US</x:v>
      </x:c>
      <x:c r="C321" s="3" t="str">
        <x:v>徐新怡</x:v>
      </x:c>
      <x:c r="D321" s="3" t="str">
        <x:v>1S01</x:v>
      </x:c>
      <x:c r="E321" s="3" t="str">
        <x:f>IF(Z321="移出","已移出",IF(NOT(ISNUMBER(H321)),"数据待核",IF(H321=0,"断货",IF(NOT(ISNUMBER(G321)),"数据待核",IF(G321=0,"零日销待复核",IF(F321&lt;60,"补货提醒",IF(F321&lt;=90,"正常库存",IF(F321&lt;180,"促销",IF(F321&lt;=365,"红线促销","考虑清仓")))))))))</x:f>
        <x:v>断货</x:v>
      </x:c>
      <x:c r="F321" s="11" t="str">
        <x:f>IF(AND(ISNUMBER(H321),ISNUMBER(G321),G321&gt;0),H321/G321,"")</x:f>
      </x:c>
      <x:c r="G321" s="12" t="n">
        <x:f>IF(AND(COUNT(P321:R321)=3,MIN(P321:R321)&gt;=0,P321&lt;=Q321,Q321&lt;=R321),P321/7*0.5+Q321/14*0.3+R321/30*0.2,"")</x:f>
        <x:v>0</x:v>
      </x:c>
      <x:c r="H321" s="10" t="n">
        <x:f>IF(ISNUMBER(U321),U321,"")</x:f>
        <x:v>0</x:v>
      </x:c>
      <x:c r="I321" s="10" t="n">
        <x:v>0</x:v>
      </x:c>
      <x:c r="J321" s="11" t="str">
        <x:f>IF(AND(Z321="共同",ISNUMBER(F321),ISNUMBER(M321)),F321-M321,"")</x:f>
      </x:c>
      <x:c r="K321" s="13" t="str">
        <x:f>IF(AND(ISNUMBER(J321),M321&lt;&gt;0),J321/M321,"")</x:f>
      </x:c>
      <x:c r="L321" s="10" t="str">
        <x:v>断货</x:v>
      </x:c>
      <x:c r="M321" s="11"/>
      <x:c r="N321" s="10" t="n">
        <x:f>IF(AND(Z321="共同",COUNT(H321:I321)=2),H321-I321,"")</x:f>
        <x:v>0</x:v>
      </x:c>
      <x:c r="O321" s="10" t="n">
        <x:v>0</x:v>
      </x:c>
      <x:c r="P321" s="10" t="n">
        <x:v>0</x:v>
      </x:c>
      <x:c r="Q321" s="10" t="n">
        <x:v>0</x:v>
      </x:c>
      <x:c r="R321" s="10" t="n">
        <x:v>0</x:v>
      </x:c>
      <x:c r="S321" s="10" t="n">
        <x:v>0</x:v>
      </x:c>
      <x:c r="T321" s="10" t="n">
        <x:v>0</x:v>
      </x:c>
      <x:c r="U321" s="10" t="n">
        <x:f>IF(AND(ISNUMBER(X321),X321&gt;=0,Y321&lt;&gt;1),X321,"")</x:f>
        <x:v>0</x:v>
      </x:c>
      <x:c r="V321" s="10" t="n">
        <x:v>0</x:v>
      </x:c>
      <x:c r="W321" s="10" t="n">
        <x:v>0</x:v>
      </x:c>
      <x:c r="X321" s="10" t="n">
        <x:v>0</x:v>
      </x:c>
      <x:c r="Y321" s="3" t="n">
        <x:v>0</x:v>
      </x:c>
      <x:c r="Z321" s="3" t="str">
        <x:v>共同</x:v>
      </x:c>
      <x:c r="AA321" s="3" t="str">
        <x:v>停售</x:v>
      </x:c>
      <x:c r="AB321" s="12" t="str">
        <x:f>IF(AND(Z321="共同",ISNUMBER(G321),ISNUMBER(AD321)),G321-AD321,"")</x:f>
      </x:c>
      <x:c r="AC321" s="3" t="str">
        <x:v>近90天SKU销量未匹配，未按0处理</x:v>
      </x:c>
      <x:c r="AD321" s="12"/>
      <x:c r="AE321" s="3" t="str">
        <x:v>[6574,"1S01-SP-38"]</x:v>
      </x:c>
      <x:c r="AF321" t="n">
        <x:f>IF(ISNUMBER(H321),1,0)</x:f>
        <x:v>1</x:v>
      </x:c>
      <x:c r="AG321" t="n">
        <x:f>IF(ISNUMBER(I321),1,0)</x:f>
        <x:v>1</x:v>
      </x:c>
      <x:c r="AH321" t="str">
        <x:v>["1S01","1S01-SP","SP","黑白蛇纹"]</x:v>
      </x:c>
      <x:c r="AI321" t="n">
        <x:f>IF(ISNUMBER(G321),1,0)</x:f>
        <x:v>1</x:v>
      </x:c>
      <x:c r="AJ321" t="n">
        <x:f>IF(ISNUMBER(AD321),1,0)</x:f>
        <x:v>0</x:v>
      </x:c>
    </x:row>
    <x:row r="322" ht="30" customHeight="1">
      <x:c r="A322" s="3" t="str">
        <x:v>1S01-SP-38.5</x:v>
      </x:c>
      <x:c r="B322" s="3" t="str">
        <x:v>3店-SANDIEX-US</x:v>
      </x:c>
      <x:c r="C322" s="3" t="str">
        <x:v>徐新怡</x:v>
      </x:c>
      <x:c r="D322" s="3" t="str">
        <x:v>1S01</x:v>
      </x:c>
      <x:c r="E322" s="3" t="str">
        <x:f>IF(Z322="移出","已移出",IF(NOT(ISNUMBER(H322)),"数据待核",IF(H322=0,"断货",IF(NOT(ISNUMBER(G322)),"数据待核",IF(G322=0,"零日销待复核",IF(F322&lt;60,"补货提醒",IF(F322&lt;=90,"正常库存",IF(F322&lt;180,"促销",IF(F322&lt;=365,"红线促销","考虑清仓")))))))))</x:f>
        <x:v>断货</x:v>
      </x:c>
      <x:c r="F322" s="11" t="str">
        <x:f>IF(AND(ISNUMBER(H322),ISNUMBER(G322),G322&gt;0),H322/G322,"")</x:f>
      </x:c>
      <x:c r="G322" s="12" t="n">
        <x:f>IF(AND(COUNT(P322:R322)=3,MIN(P322:R322)&gt;=0,P322&lt;=Q322,Q322&lt;=R322),P322/7*0.5+Q322/14*0.3+R322/30*0.2,"")</x:f>
        <x:v>0</x:v>
      </x:c>
      <x:c r="H322" s="10" t="n">
        <x:f>IF(ISNUMBER(U322),U322,"")</x:f>
        <x:v>0</x:v>
      </x:c>
      <x:c r="I322" s="10"/>
      <x:c r="J322" s="11" t="str">
        <x:f>IF(AND(Z322="共同",ISNUMBER(F322),ISNUMBER(M322)),F322-M322,"")</x:f>
      </x:c>
      <x:c r="K322" s="13" t="str">
        <x:f>IF(AND(ISNUMBER(J322),M322&lt;&gt;0),J322/M322,"")</x:f>
      </x:c>
      <x:c r="L322" s="10"/>
      <x:c r="M322" s="11"/>
      <x:c r="N322" s="10" t="str">
        <x:f>IF(AND(Z322="共同",COUNT(H322:I322)=2),H322-I322,"")</x:f>
      </x:c>
      <x:c r="O322" s="10" t="n">
        <x:v>0</x:v>
      </x:c>
      <x:c r="P322" s="10" t="n">
        <x:v>0</x:v>
      </x:c>
      <x:c r="Q322" s="10" t="n">
        <x:v>0</x:v>
      </x:c>
      <x:c r="R322" s="10" t="n">
        <x:v>0</x:v>
      </x:c>
      <x:c r="S322" s="10" t="n">
        <x:v>0</x:v>
      </x:c>
      <x:c r="T322" s="10" t="n">
        <x:v>0</x:v>
      </x:c>
      <x:c r="U322" s="10" t="n">
        <x:f>IF(AND(ISNUMBER(X322),X322&gt;=0,Y322&lt;&gt;1),X322,"")</x:f>
        <x:v>0</x:v>
      </x:c>
      <x:c r="V322" s="10" t="n">
        <x:v>0</x:v>
      </x:c>
      <x:c r="W322" s="10" t="n">
        <x:v>0</x:v>
      </x:c>
      <x:c r="X322" s="10" t="n">
        <x:v>0</x:v>
      </x:c>
      <x:c r="Y322" s="3" t="n">
        <x:v>0</x:v>
      </x:c>
      <x:c r="Z322" s="3" t="str">
        <x:v>新增</x:v>
      </x:c>
      <x:c r="AA322" s="3" t="str">
        <x:v>停售</x:v>
      </x:c>
      <x:c r="AB322" s="12" t="str">
        <x:f>IF(AND(Z322="共同",ISNUMBER(G322),ISNUMBER(AD322)),G322-AD322,"")</x:f>
      </x:c>
      <x:c r="AC322" s="3" t="str">
        <x:v>近90天SKU销量未匹配，未按0处理</x:v>
      </x:c>
      <x:c r="AD322" s="12"/>
      <x:c r="AE322" s="3" t="str">
        <x:v>[6574,"1S01-SP-38.5"]</x:v>
      </x:c>
      <x:c r="AF322" t="n">
        <x:f>IF(ISNUMBER(H322),1,0)</x:f>
        <x:v>1</x:v>
      </x:c>
      <x:c r="AG322" t="n">
        <x:f>IF(ISNUMBER(I322),1,0)</x:f>
        <x:v>0</x:v>
      </x:c>
      <x:c r="AH322" t="str">
        <x:v>["1S01","1S01-SP","SP","黑白蛇纹"]</x:v>
      </x:c>
      <x:c r="AI322" t="n">
        <x:f>IF(ISNUMBER(G322),1,0)</x:f>
        <x:v>1</x:v>
      </x:c>
      <x:c r="AJ322" t="n">
        <x:f>IF(ISNUMBER(AD322),1,0)</x:f>
        <x:v>0</x:v>
      </x:c>
    </x:row>
    <x:row r="323" ht="30" customHeight="1">
      <x:c r="A323" s="3" t="str">
        <x:v>1S01-SP-39.5</x:v>
      </x:c>
      <x:c r="B323" s="3" t="str">
        <x:v>3店-SANDIEX-US</x:v>
      </x:c>
      <x:c r="C323" s="3" t="str">
        <x:v>徐新怡</x:v>
      </x:c>
      <x:c r="D323" s="3" t="str">
        <x:v>1S01</x:v>
      </x:c>
      <x:c r="E323" s="3" t="str">
        <x:f>IF(Z323="移出","已移出",IF(NOT(ISNUMBER(H323)),"数据待核",IF(H323=0,"断货",IF(NOT(ISNUMBER(G323)),"数据待核",IF(G323=0,"零日销待复核",IF(F323&lt;60,"补货提醒",IF(F323&lt;=90,"正常库存",IF(F323&lt;180,"促销",IF(F323&lt;=365,"红线促销","考虑清仓")))))))))</x:f>
        <x:v>断货</x:v>
      </x:c>
      <x:c r="F323" s="11" t="n">
        <x:f>IF(AND(ISNUMBER(H323),ISNUMBER(G323),G323&gt;0),H323/G323,"")</x:f>
        <x:v>0</x:v>
      </x:c>
      <x:c r="G323" s="12" t="n">
        <x:f>IF(AND(COUNT(P323:R323)=3,MIN(P323:R323)&gt;=0,P323&lt;=Q323,Q323&lt;=R323),P323/7*0.5+Q323/14*0.3+R323/30*0.2,"")</x:f>
        <x:v>0.02666666666666667</x:v>
      </x:c>
      <x:c r="H323" s="10" t="n">
        <x:f>IF(ISNUMBER(U323),U323,"")</x:f>
        <x:v>0</x:v>
      </x:c>
      <x:c r="I323" s="10" t="n">
        <x:v>0</x:v>
      </x:c>
      <x:c r="J323" s="11" t="n">
        <x:f>IF(AND(Z323="共同",ISNUMBER(F323),ISNUMBER(M323)),F323-M323,"")</x:f>
        <x:v>0</x:v>
      </x:c>
      <x:c r="K323" s="13" t="str">
        <x:f>IF(AND(ISNUMBER(J323),M323&lt;&gt;0),J323/M323,"")</x:f>
      </x:c>
      <x:c r="L323" s="10" t="str">
        <x:v>断货</x:v>
      </x:c>
      <x:c r="M323" s="11" t="n">
        <x:v>0</x:v>
      </x:c>
      <x:c r="N323" s="10" t="n">
        <x:f>IF(AND(Z323="共同",COUNT(H323:I323)=2),H323-I323,"")</x:f>
        <x:v>0</x:v>
      </x:c>
      <x:c r="O323" s="10" t="n">
        <x:v>0</x:v>
      </x:c>
      <x:c r="P323" s="10" t="n">
        <x:v>0</x:v>
      </x:c>
      <x:c r="Q323" s="10" t="n">
        <x:v>0</x:v>
      </x:c>
      <x:c r="R323" s="10" t="n">
        <x:v>4</x:v>
      </x:c>
      <x:c r="S323" s="10" t="n">
        <x:v>0</x:v>
      </x:c>
      <x:c r="T323" s="10" t="n">
        <x:v>0</x:v>
      </x:c>
      <x:c r="U323" s="10" t="n">
        <x:f>IF(AND(ISNUMBER(X323),X323&gt;=0,Y323&lt;&gt;1),X323,"")</x:f>
        <x:v>0</x:v>
      </x:c>
      <x:c r="V323" s="10" t="n">
        <x:v>0</x:v>
      </x:c>
      <x:c r="W323" s="10" t="n">
        <x:v>5</x:v>
      </x:c>
      <x:c r="X323" s="10" t="n">
        <x:v>0</x:v>
      </x:c>
      <x:c r="Y323" s="3" t="n">
        <x:v>0</x:v>
      </x:c>
      <x:c r="Z323" s="3" t="str">
        <x:v>共同</x:v>
      </x:c>
      <x:c r="AA323" s="3" t="str">
        <x:v>在售</x:v>
      </x:c>
      <x:c r="AB323" s="12" t="n">
        <x:f>IF(AND(Z323="共同",ISNUMBER(G323),ISNUMBER(AD323)),G323-AD323,"")</x:f>
        <x:v>-0.16380952380952377</x:v>
      </x:c>
      <x:c r="AC323" s="3" t="str"/>
      <x:c r="AD323" s="12" t="n">
        <x:v>0.19047619047619044</x:v>
      </x:c>
      <x:c r="AE323" s="3" t="str">
        <x:v>[6574,"1S01-SP-39.5"]</x:v>
      </x:c>
      <x:c r="AF323" t="n">
        <x:f>IF(ISNUMBER(H323),1,0)</x:f>
        <x:v>1</x:v>
      </x:c>
      <x:c r="AG323" t="n">
        <x:f>IF(ISNUMBER(I323),1,0)</x:f>
        <x:v>1</x:v>
      </x:c>
      <x:c r="AH323" t="str">
        <x:v>["1S01","1S01-SP","SP","黑白蛇纹"]</x:v>
      </x:c>
      <x:c r="AI323" t="n">
        <x:f>IF(ISNUMBER(G323),1,0)</x:f>
        <x:v>1</x:v>
      </x:c>
      <x:c r="AJ323" t="n">
        <x:f>IF(ISNUMBER(AD323),1,0)</x:f>
        <x:v>1</x:v>
      </x:c>
    </x:row>
    <x:row r="324" ht="30" customHeight="1">
      <x:c r="A324" s="3" t="str">
        <x:v>1S01-SP-40</x:v>
      </x:c>
      <x:c r="B324" s="3" t="str">
        <x:v>3店-SANDIEX-US</x:v>
      </x:c>
      <x:c r="C324" s="3" t="str">
        <x:v>徐新怡</x:v>
      </x:c>
      <x:c r="D324" s="3" t="str">
        <x:v>1S01</x:v>
      </x:c>
      <x:c r="E324" s="3" t="str">
        <x:f>IF(Z324="移出","已移出",IF(NOT(ISNUMBER(H324)),"数据待核",IF(H324=0,"断货",IF(NOT(ISNUMBER(G324)),"数据待核",IF(G324=0,"零日销待复核",IF(F324&lt;60,"补货提醒",IF(F324&lt;=90,"正常库存",IF(F324&lt;180,"促销",IF(F324&lt;=365,"红线促销","考虑清仓")))))))))</x:f>
        <x:v>断货</x:v>
      </x:c>
      <x:c r="F324" s="11" t="str">
        <x:f>IF(AND(ISNUMBER(H324),ISNUMBER(G324),G324&gt;0),H324/G324,"")</x:f>
      </x:c>
      <x:c r="G324" s="12" t="n">
        <x:f>IF(AND(COUNT(P324:R324)=3,MIN(P324:R324)&gt;=0,P324&lt;=Q324,Q324&lt;=R324),P324/7*0.5+Q324/14*0.3+R324/30*0.2,"")</x:f>
        <x:v>0</x:v>
      </x:c>
      <x:c r="H324" s="10" t="n">
        <x:f>IF(ISNUMBER(U324),U324,"")</x:f>
        <x:v>0</x:v>
      </x:c>
      <x:c r="I324" s="10" t="n">
        <x:v>0</x:v>
      </x:c>
      <x:c r="J324" s="11" t="str">
        <x:f>IF(AND(Z324="共同",ISNUMBER(F324),ISNUMBER(M324)),F324-M324,"")</x:f>
      </x:c>
      <x:c r="K324" s="13" t="str">
        <x:f>IF(AND(ISNUMBER(J324),M324&lt;&gt;0),J324/M324,"")</x:f>
      </x:c>
      <x:c r="L324" s="10" t="str">
        <x:v>断货</x:v>
      </x:c>
      <x:c r="M324" s="11"/>
      <x:c r="N324" s="10" t="n">
        <x:f>IF(AND(Z324="共同",COUNT(H324:I324)=2),H324-I324,"")</x:f>
        <x:v>0</x:v>
      </x:c>
      <x:c r="O324" s="10" t="n">
        <x:v>0</x:v>
      </x:c>
      <x:c r="P324" s="10" t="n">
        <x:v>0</x:v>
      </x:c>
      <x:c r="Q324" s="10" t="n">
        <x:v>0</x:v>
      </x:c>
      <x:c r="R324" s="10" t="n">
        <x:v>0</x:v>
      </x:c>
      <x:c r="S324" s="10" t="n">
        <x:v>0</x:v>
      </x:c>
      <x:c r="T324" s="10" t="n">
        <x:v>0</x:v>
      </x:c>
      <x:c r="U324" s="10" t="n">
        <x:f>IF(AND(ISNUMBER(X324),X324&gt;=0,Y324&lt;&gt;1),X324,"")</x:f>
        <x:v>0</x:v>
      </x:c>
      <x:c r="V324" s="10" t="n">
        <x:v>0</x:v>
      </x:c>
      <x:c r="W324" s="10" t="n">
        <x:v>0</x:v>
      </x:c>
      <x:c r="X324" s="10" t="n">
        <x:v>0</x:v>
      </x:c>
      <x:c r="Y324" s="3" t="n">
        <x:v>0</x:v>
      </x:c>
      <x:c r="Z324" s="3" t="str">
        <x:v>共同</x:v>
      </x:c>
      <x:c r="AA324" s="3" t="str">
        <x:v>停售</x:v>
      </x:c>
      <x:c r="AB324" s="12" t="str">
        <x:f>IF(AND(Z324="共同",ISNUMBER(G324),ISNUMBER(AD324)),G324-AD324,"")</x:f>
      </x:c>
      <x:c r="AC324" s="3" t="str">
        <x:v>近90天SKU销量未匹配，未按0处理</x:v>
      </x:c>
      <x:c r="AD324" s="12"/>
      <x:c r="AE324" s="3" t="str">
        <x:v>[6574,"1S01-SP-40"]</x:v>
      </x:c>
      <x:c r="AF324" t="n">
        <x:f>IF(ISNUMBER(H324),1,0)</x:f>
        <x:v>1</x:v>
      </x:c>
      <x:c r="AG324" t="n">
        <x:f>IF(ISNUMBER(I324),1,0)</x:f>
        <x:v>1</x:v>
      </x:c>
      <x:c r="AH324" t="str">
        <x:v>["1S01","1S01-SP","SP","黑白蛇纹"]</x:v>
      </x:c>
      <x:c r="AI324" t="n">
        <x:f>IF(ISNUMBER(G324),1,0)</x:f>
        <x:v>1</x:v>
      </x:c>
      <x:c r="AJ324" t="n">
        <x:f>IF(ISNUMBER(AD324),1,0)</x:f>
        <x:v>0</x:v>
      </x:c>
    </x:row>
    <x:row r="325" ht="30" customHeight="1">
      <x:c r="A325" s="3" t="str">
        <x:v>1S01-SP-40.5</x:v>
      </x:c>
      <x:c r="B325" s="3" t="str">
        <x:v>3店-SANDIEX-US</x:v>
      </x:c>
      <x:c r="C325" s="3" t="str">
        <x:v>徐新怡</x:v>
      </x:c>
      <x:c r="D325" s="3" t="str">
        <x:v>1S01</x:v>
      </x:c>
      <x:c r="E325" s="3" t="str">
        <x:f>IF(Z325="移出","已移出",IF(NOT(ISNUMBER(H325)),"数据待核",IF(H325=0,"断货",IF(NOT(ISNUMBER(G325)),"数据待核",IF(G325=0,"零日销待复核",IF(F325&lt;60,"补货提醒",IF(F325&lt;=90,"正常库存",IF(F325&lt;180,"促销",IF(F325&lt;=365,"红线促销","考虑清仓")))))))))</x:f>
        <x:v>断货</x:v>
      </x:c>
      <x:c r="F325" s="11" t="str">
        <x:f>IF(AND(ISNUMBER(H325),ISNUMBER(G325),G325&gt;0),H325/G325,"")</x:f>
      </x:c>
      <x:c r="G325" s="12" t="n">
        <x:f>IF(AND(COUNT(P325:R325)=3,MIN(P325:R325)&gt;=0,P325&lt;=Q325,Q325&lt;=R325),P325/7*0.5+Q325/14*0.3+R325/30*0.2,"")</x:f>
        <x:v>0</x:v>
      </x:c>
      <x:c r="H325" s="10" t="n">
        <x:f>IF(ISNUMBER(U325),U325,"")</x:f>
        <x:v>0</x:v>
      </x:c>
      <x:c r="I325" s="10"/>
      <x:c r="J325" s="11" t="str">
        <x:f>IF(AND(Z325="共同",ISNUMBER(F325),ISNUMBER(M325)),F325-M325,"")</x:f>
      </x:c>
      <x:c r="K325" s="13" t="str">
        <x:f>IF(AND(ISNUMBER(J325),M325&lt;&gt;0),J325/M325,"")</x:f>
      </x:c>
      <x:c r="L325" s="10"/>
      <x:c r="M325" s="11"/>
      <x:c r="N325" s="10" t="str">
        <x:f>IF(AND(Z325="共同",COUNT(H325:I325)=2),H325-I325,"")</x:f>
      </x:c>
      <x:c r="O325" s="10"/>
      <x:c r="P325" s="10" t="n">
        <x:v>0</x:v>
      </x:c>
      <x:c r="Q325" s="10" t="n">
        <x:v>0</x:v>
      </x:c>
      <x:c r="R325" s="10" t="n">
        <x:v>0</x:v>
      </x:c>
      <x:c r="S325" s="10" t="n">
        <x:v>0</x:v>
      </x:c>
      <x:c r="T325" s="10" t="n">
        <x:v>0</x:v>
      </x:c>
      <x:c r="U325" s="10" t="n">
        <x:f>IF(AND(ISNUMBER(X325),X325&gt;=0,Y325&lt;&gt;1),X325,"")</x:f>
        <x:v>0</x:v>
      </x:c>
      <x:c r="V325" s="10" t="n">
        <x:v>0</x:v>
      </x:c>
      <x:c r="W325" s="10" t="n">
        <x:v>0</x:v>
      </x:c>
      <x:c r="X325" s="10" t="n">
        <x:v>0</x:v>
      </x:c>
      <x:c r="Y325" s="3" t="n">
        <x:v>0</x:v>
      </x:c>
      <x:c r="Z325" s="3" t="str">
        <x:v>新增</x:v>
      </x:c>
      <x:c r="AA325" s="3" t="str">
        <x:v>停售</x:v>
      </x:c>
      <x:c r="AB325" s="12" t="str">
        <x:f>IF(AND(Z325="共同",ISNUMBER(G325),ISNUMBER(AD325)),G325-AD325,"")</x:f>
      </x:c>
      <x:c r="AC325" s="3" t="str">
        <x:v>近90天SKU销量未匹配，未按0处理</x:v>
      </x:c>
      <x:c r="AD325" s="12"/>
      <x:c r="AE325" s="3" t="str">
        <x:v>[6574,"1S01-SP-40.5"]</x:v>
      </x:c>
      <x:c r="AF325" t="n">
        <x:f>IF(ISNUMBER(H325),1,0)</x:f>
        <x:v>1</x:v>
      </x:c>
      <x:c r="AG325" t="n">
        <x:f>IF(ISNUMBER(I325),1,0)</x:f>
        <x:v>0</x:v>
      </x:c>
      <x:c r="AH325" t="str">
        <x:v>["1S01","1S01-SP","SP","黑白蛇纹"]</x:v>
      </x:c>
      <x:c r="AI325" t="n">
        <x:f>IF(ISNUMBER(G325),1,0)</x:f>
        <x:v>1</x:v>
      </x:c>
      <x:c r="AJ325" t="n">
        <x:f>IF(ISNUMBER(AD325),1,0)</x:f>
        <x:v>0</x:v>
      </x:c>
    </x:row>
    <x:row r="326" ht="30" customHeight="1">
      <x:c r="A326" s="3" t="str">
        <x:v>1S01-SP-41</x:v>
      </x:c>
      <x:c r="B326" s="3" t="str">
        <x:v>3店-SANDIEX-US</x:v>
      </x:c>
      <x:c r="C326" s="3" t="str">
        <x:v>徐新怡</x:v>
      </x:c>
      <x:c r="D326" s="3" t="str">
        <x:v>1S01</x:v>
      </x:c>
      <x:c r="E326" s="3" t="str">
        <x:f>IF(Z326="移出","已移出",IF(NOT(ISNUMBER(H326)),"数据待核",IF(H326=0,"断货",IF(NOT(ISNUMBER(G326)),"数据待核",IF(G326=0,"零日销待复核",IF(F326&lt;60,"补货提醒",IF(F326&lt;=90,"正常库存",IF(F326&lt;180,"促销",IF(F326&lt;=365,"红线促销","考虑清仓")))))))))</x:f>
        <x:v>断货</x:v>
      </x:c>
      <x:c r="F326" s="11" t="str">
        <x:f>IF(AND(ISNUMBER(H326),ISNUMBER(G326),G326&gt;0),H326/G326,"")</x:f>
      </x:c>
      <x:c r="G326" s="12" t="n">
        <x:f>IF(AND(COUNT(P326:R326)=3,MIN(P326:R326)&gt;=0,P326&lt;=Q326,Q326&lt;=R326),P326/7*0.5+Q326/14*0.3+R326/30*0.2,"")</x:f>
        <x:v>0</x:v>
      </x:c>
      <x:c r="H326" s="10" t="n">
        <x:f>IF(ISNUMBER(U326),U326,"")</x:f>
        <x:v>0</x:v>
      </x:c>
      <x:c r="I326" s="10" t="n">
        <x:v>0</x:v>
      </x:c>
      <x:c r="J326" s="11" t="str">
        <x:f>IF(AND(Z326="共同",ISNUMBER(F326),ISNUMBER(M326)),F326-M326,"")</x:f>
      </x:c>
      <x:c r="K326" s="13" t="str">
        <x:f>IF(AND(ISNUMBER(J326),M326&lt;&gt;0),J326/M326,"")</x:f>
      </x:c>
      <x:c r="L326" s="10" t="str">
        <x:v>断货</x:v>
      </x:c>
      <x:c r="M326" s="11"/>
      <x:c r="N326" s="10" t="n">
        <x:f>IF(AND(Z326="共同",COUNT(H326:I326)=2),H326-I326,"")</x:f>
        <x:v>0</x:v>
      </x:c>
      <x:c r="O326" s="10" t="n">
        <x:v>20</x:v>
      </x:c>
      <x:c r="P326" s="10" t="n">
        <x:v>0</x:v>
      </x:c>
      <x:c r="Q326" s="10" t="n">
        <x:v>0</x:v>
      </x:c>
      <x:c r="R326" s="10" t="n">
        <x:v>0</x:v>
      </x:c>
      <x:c r="S326" s="10" t="n">
        <x:v>0</x:v>
      </x:c>
      <x:c r="T326" s="10" t="n">
        <x:v>0</x:v>
      </x:c>
      <x:c r="U326" s="10" t="n">
        <x:f>IF(AND(ISNUMBER(X326),X326&gt;=0,Y326&lt;&gt;1),X326,"")</x:f>
        <x:v>0</x:v>
      </x:c>
      <x:c r="V326" s="10" t="n">
        <x:v>0</x:v>
      </x:c>
      <x:c r="W326" s="10" t="n">
        <x:v>0</x:v>
      </x:c>
      <x:c r="X326" s="10" t="n">
        <x:v>0</x:v>
      </x:c>
      <x:c r="Y326" s="3" t="n">
        <x:v>0</x:v>
      </x:c>
      <x:c r="Z326" s="3" t="str">
        <x:v>共同</x:v>
      </x:c>
      <x:c r="AA326" s="3" t="str">
        <x:v>停售</x:v>
      </x:c>
      <x:c r="AB326" s="12" t="str">
        <x:f>IF(AND(Z326="共同",ISNUMBER(G326),ISNUMBER(AD326)),G326-AD326,"")</x:f>
      </x:c>
      <x:c r="AC326" s="3" t="str">
        <x:v>近90天SKU销量未匹配，未按0处理</x:v>
      </x:c>
      <x:c r="AD326" s="12"/>
      <x:c r="AE326" s="3" t="str">
        <x:v>[6574,"1S01-SP-41"]</x:v>
      </x:c>
      <x:c r="AF326" t="n">
        <x:f>IF(ISNUMBER(H326),1,0)</x:f>
        <x:v>1</x:v>
      </x:c>
      <x:c r="AG326" t="n">
        <x:f>IF(ISNUMBER(I326),1,0)</x:f>
        <x:v>1</x:v>
      </x:c>
      <x:c r="AH326" t="str">
        <x:v>["1S01","1S01-SP","SP","黑白蛇纹"]</x:v>
      </x:c>
      <x:c r="AI326" t="n">
        <x:f>IF(ISNUMBER(G326),1,0)</x:f>
        <x:v>1</x:v>
      </x:c>
      <x:c r="AJ326" t="n">
        <x:f>IF(ISNUMBER(AD326),1,0)</x:f>
        <x:v>0</x:v>
      </x:c>
    </x:row>
    <x:row r="327" ht="30" customHeight="1">
      <x:c r="A327" s="3" t="str">
        <x:v>1S01-SP-41.5</x:v>
      </x:c>
      <x:c r="B327" s="3" t="str">
        <x:v>3店-SANDIEX-US</x:v>
      </x:c>
      <x:c r="C327" s="3" t="str">
        <x:v>徐新怡</x:v>
      </x:c>
      <x:c r="D327" s="3" t="str">
        <x:v>1S01</x:v>
      </x:c>
      <x:c r="E327" s="3" t="str">
        <x:f>IF(Z327="移出","已移出",IF(NOT(ISNUMBER(H327)),"数据待核",IF(H327=0,"断货",IF(NOT(ISNUMBER(G327)),"数据待核",IF(G327=0,"零日销待复核",IF(F327&lt;60,"补货提醒",IF(F327&lt;=90,"正常库存",IF(F327&lt;180,"促销",IF(F327&lt;=365,"红线促销","考虑清仓")))))))))</x:f>
        <x:v>断货</x:v>
      </x:c>
      <x:c r="F327" s="11" t="str">
        <x:f>IF(AND(ISNUMBER(H327),ISNUMBER(G327),G327&gt;0),H327/G327,"")</x:f>
      </x:c>
      <x:c r="G327" s="12" t="n">
        <x:f>IF(AND(COUNT(P327:R327)=3,MIN(P327:R327)&gt;=0,P327&lt;=Q327,Q327&lt;=R327),P327/7*0.5+Q327/14*0.3+R327/30*0.2,"")</x:f>
        <x:v>0</x:v>
      </x:c>
      <x:c r="H327" s="10" t="n">
        <x:f>IF(ISNUMBER(U327),U327,"")</x:f>
        <x:v>0</x:v>
      </x:c>
      <x:c r="I327" s="10"/>
      <x:c r="J327" s="11" t="str">
        <x:f>IF(AND(Z327="共同",ISNUMBER(F327),ISNUMBER(M327)),F327-M327,"")</x:f>
      </x:c>
      <x:c r="K327" s="13" t="str">
        <x:f>IF(AND(ISNUMBER(J327),M327&lt;&gt;0),J327/M327,"")</x:f>
      </x:c>
      <x:c r="L327" s="10"/>
      <x:c r="M327" s="11"/>
      <x:c r="N327" s="10" t="str">
        <x:f>IF(AND(Z327="共同",COUNT(H327:I327)=2),H327-I327,"")</x:f>
      </x:c>
      <x:c r="O327" s="10" t="n">
        <x:v>0</x:v>
      </x:c>
      <x:c r="P327" s="10" t="n">
        <x:v>0</x:v>
      </x:c>
      <x:c r="Q327" s="10" t="n">
        <x:v>0</x:v>
      </x:c>
      <x:c r="R327" s="10" t="n">
        <x:v>0</x:v>
      </x:c>
      <x:c r="S327" s="10" t="n">
        <x:v>0</x:v>
      </x:c>
      <x:c r="T327" s="10" t="n">
        <x:v>0</x:v>
      </x:c>
      <x:c r="U327" s="10" t="n">
        <x:f>IF(AND(ISNUMBER(X327),X327&gt;=0,Y327&lt;&gt;1),X327,"")</x:f>
        <x:v>0</x:v>
      </x:c>
      <x:c r="V327" s="10" t="n">
        <x:v>0</x:v>
      </x:c>
      <x:c r="W327" s="10" t="n">
        <x:v>0</x:v>
      </x:c>
      <x:c r="X327" s="10" t="n">
        <x:v>0</x:v>
      </x:c>
      <x:c r="Y327" s="3" t="n">
        <x:v>0</x:v>
      </x:c>
      <x:c r="Z327" s="3" t="str">
        <x:v>新增</x:v>
      </x:c>
      <x:c r="AA327" s="3" t="str">
        <x:v>停售</x:v>
      </x:c>
      <x:c r="AB327" s="12" t="str">
        <x:f>IF(AND(Z327="共同",ISNUMBER(G327),ISNUMBER(AD327)),G327-AD327,"")</x:f>
      </x:c>
      <x:c r="AC327" s="3" t="str">
        <x:v>近90天SKU销量未匹配，未按0处理</x:v>
      </x:c>
      <x:c r="AD327" s="12"/>
      <x:c r="AE327" s="3" t="str">
        <x:v>[6574,"1S01-SP-41.5"]</x:v>
      </x:c>
      <x:c r="AF327" t="n">
        <x:f>IF(ISNUMBER(H327),1,0)</x:f>
        <x:v>1</x:v>
      </x:c>
      <x:c r="AG327" t="n">
        <x:f>IF(ISNUMBER(I327),1,0)</x:f>
        <x:v>0</x:v>
      </x:c>
      <x:c r="AH327" t="str">
        <x:v>["1S01","1S01-SP","SP","黑白蛇纹"]</x:v>
      </x:c>
      <x:c r="AI327" t="n">
        <x:f>IF(ISNUMBER(G327),1,0)</x:f>
        <x:v>1</x:v>
      </x:c>
      <x:c r="AJ327" t="n">
        <x:f>IF(ISNUMBER(AD327),1,0)</x:f>
        <x:v>0</x:v>
      </x:c>
    </x:row>
    <x:row r="328" ht="30" customHeight="1">
      <x:c r="A328" s="3" t="str">
        <x:v>1S01-SP-42-NEW</x:v>
      </x:c>
      <x:c r="B328" s="3" t="str">
        <x:v>3店-SANDIEX-US</x:v>
      </x:c>
      <x:c r="C328" s="3" t="str">
        <x:v>徐新怡</x:v>
      </x:c>
      <x:c r="D328" s="3" t="str">
        <x:v>1S01</x:v>
      </x:c>
      <x:c r="E328" s="3" t="str">
        <x:f>IF(Z328="移出","已移出",IF(NOT(ISNUMBER(H328)),"数据待核",IF(H328=0,"断货",IF(NOT(ISNUMBER(G328)),"数据待核",IF(G328=0,"零日销待复核",IF(F328&lt;60,"补货提醒",IF(F328&lt;=90,"正常库存",IF(F328&lt;180,"促销",IF(F328&lt;=365,"红线促销","考虑清仓")))))))))</x:f>
        <x:v>断货</x:v>
      </x:c>
      <x:c r="F328" s="11" t="n">
        <x:f>IF(AND(ISNUMBER(H328),ISNUMBER(G328),G328&gt;0),H328/G328,"")</x:f>
        <x:v>0</x:v>
      </x:c>
      <x:c r="G328" s="12" t="n">
        <x:f>IF(AND(COUNT(P328:R328)=3,MIN(P328:R328)&gt;=0,P328&lt;=Q328,Q328&lt;=R328),P328/7*0.5+Q328/14*0.3+R328/30*0.2,"")</x:f>
        <x:v>0.26857142857142857</x:v>
      </x:c>
      <x:c r="H328" s="10" t="n">
        <x:f>IF(ISNUMBER(U328),U328,"")</x:f>
        <x:v>0</x:v>
      </x:c>
      <x:c r="I328" s="10" t="n">
        <x:v>3</x:v>
      </x:c>
      <x:c r="J328" s="11" t="n">
        <x:f>IF(AND(Z328="共同",ISNUMBER(F328),ISNUMBER(M328)),F328-M328,"")</x:f>
        <x:v>-25.0996015936255</x:v>
      </x:c>
      <x:c r="K328" s="13" t="n">
        <x:f>IF(AND(ISNUMBER(J328),M328&lt;&gt;0),J328/M328,"")</x:f>
        <x:v>-1</x:v>
      </x:c>
      <x:c r="L328" s="10" t="str">
        <x:v>补货提醒</x:v>
      </x:c>
      <x:c r="M328" s="11" t="n">
        <x:v>25.0996015936255</x:v>
      </x:c>
      <x:c r="N328" s="10" t="n">
        <x:f>IF(AND(Z328="共同",COUNT(H328:I328)=2),H328-I328,"")</x:f>
        <x:v>-3</x:v>
      </x:c>
      <x:c r="O328" s="10" t="n">
        <x:v>0</x:v>
      </x:c>
      <x:c r="P328" s="10" t="n">
        <x:v>2</x:v>
      </x:c>
      <x:c r="Q328" s="10" t="n">
        <x:v>4</x:v>
      </x:c>
      <x:c r="R328" s="10" t="n">
        <x:v>6</x:v>
      </x:c>
      <x:c r="S328" s="10" t="n">
        <x:v>0</x:v>
      </x:c>
      <x:c r="T328" s="10" t="n">
        <x:v>0</x:v>
      </x:c>
      <x:c r="U328" s="10" t="n">
        <x:f>IF(AND(ISNUMBER(X328),X328&gt;=0,Y328&lt;&gt;1),X328,"")</x:f>
        <x:v>0</x:v>
      </x:c>
      <x:c r="V328" s="10" t="n">
        <x:v>0</x:v>
      </x:c>
      <x:c r="W328" s="10" t="n">
        <x:v>0</x:v>
      </x:c>
      <x:c r="X328" s="10" t="n">
        <x:v>0</x:v>
      </x:c>
      <x:c r="Y328" s="3" t="n">
        <x:v>0</x:v>
      </x:c>
      <x:c r="Z328" s="3" t="str">
        <x:v>共同</x:v>
      </x:c>
      <x:c r="AA328" s="3" t="str">
        <x:v>在售</x:v>
      </x:c>
      <x:c r="AB328" s="12" t="n">
        <x:f>IF(AND(Z328="共同",ISNUMBER(G328),ISNUMBER(AD328)),G328-AD328,"")</x:f>
        <x:v>0.14904761904761904</x:v>
      </x:c>
      <x:c r="AC328" s="3" t="str"/>
      <x:c r="AD328" s="12" t="n">
        <x:v>0.11952380952380952</x:v>
      </x:c>
      <x:c r="AE328" s="3" t="str">
        <x:v>[6574,"1S01-SP-42-NEW"]</x:v>
      </x:c>
      <x:c r="AF328" t="n">
        <x:f>IF(ISNUMBER(H328),1,0)</x:f>
        <x:v>1</x:v>
      </x:c>
      <x:c r="AG328" t="n">
        <x:f>IF(ISNUMBER(I328),1,0)</x:f>
        <x:v>1</x:v>
      </x:c>
      <x:c r="AH328" t="str">
        <x:v>["1S01","1S01-SP","SP","黑白蛇纹"]</x:v>
      </x:c>
      <x:c r="AI328" t="n">
        <x:f>IF(ISNUMBER(G328),1,0)</x:f>
        <x:v>1</x:v>
      </x:c>
      <x:c r="AJ328" t="n">
        <x:f>IF(ISNUMBER(AD328),1,0)</x:f>
        <x:v>1</x:v>
      </x:c>
    </x:row>
    <x:row r="329" ht="30" customHeight="1">
      <x:c r="A329" s="3" t="str">
        <x:v>1S01-TAN-36</x:v>
      </x:c>
      <x:c r="B329" s="3" t="str">
        <x:v>3店-SANDIEX-US</x:v>
      </x:c>
      <x:c r="C329" s="3" t="str">
        <x:v>徐新怡</x:v>
      </x:c>
      <x:c r="D329" s="3" t="str">
        <x:v>1S01</x:v>
      </x:c>
      <x:c r="E329" s="3" t="str">
        <x:f>IF(Z329="移出","已移出",IF(NOT(ISNUMBER(H329)),"数据待核",IF(H329=0,"断货",IF(NOT(ISNUMBER(G329)),"数据待核",IF(G329=0,"零日销待复核",IF(F329&lt;60,"补货提醒",IF(F329&lt;=90,"正常库存",IF(F329&lt;180,"促销",IF(F329&lt;=365,"红线促销","考虑清仓")))))))))</x:f>
        <x:v>断货</x:v>
      </x:c>
      <x:c r="F329" s="11" t="str">
        <x:f>IF(AND(ISNUMBER(H329),ISNUMBER(G329),G329&gt;0),H329/G329,"")</x:f>
      </x:c>
      <x:c r="G329" s="12" t="n">
        <x:f>IF(AND(COUNT(P329:R329)=3,MIN(P329:R329)&gt;=0,P329&lt;=Q329,Q329&lt;=R329),P329/7*0.5+Q329/14*0.3+R329/30*0.2,"")</x:f>
        <x:v>0</x:v>
      </x:c>
      <x:c r="H329" s="10" t="n">
        <x:f>IF(ISNUMBER(U329),U329,"")</x:f>
        <x:v>0</x:v>
      </x:c>
      <x:c r="I329" s="10"/>
      <x:c r="J329" s="11" t="str">
        <x:f>IF(AND(Z329="共同",ISNUMBER(F329),ISNUMBER(M329)),F329-M329,"")</x:f>
      </x:c>
      <x:c r="K329" s="13" t="str">
        <x:f>IF(AND(ISNUMBER(J329),M329&lt;&gt;0),J329/M329,"")</x:f>
      </x:c>
      <x:c r="L329" s="10"/>
      <x:c r="M329" s="11"/>
      <x:c r="N329" s="10" t="str">
        <x:f>IF(AND(Z329="共同",COUNT(H329:I329)=2),H329-I329,"")</x:f>
      </x:c>
      <x:c r="O329" s="10"/>
      <x:c r="P329" s="10" t="n">
        <x:v>0</x:v>
      </x:c>
      <x:c r="Q329" s="10" t="n">
        <x:v>0</x:v>
      </x:c>
      <x:c r="R329" s="10" t="n">
        <x:v>0</x:v>
      </x:c>
      <x:c r="S329" s="10" t="n">
        <x:v>0</x:v>
      </x:c>
      <x:c r="T329" s="10" t="n">
        <x:v>0</x:v>
      </x:c>
      <x:c r="U329" s="10" t="n">
        <x:f>IF(AND(ISNUMBER(X329),X329&gt;=0,Y329&lt;&gt;1),X329,"")</x:f>
        <x:v>0</x:v>
      </x:c>
      <x:c r="V329" s="10" t="n">
        <x:v>0</x:v>
      </x:c>
      <x:c r="W329" s="10" t="n">
        <x:v>0</x:v>
      </x:c>
      <x:c r="X329" s="10" t="n">
        <x:v>0</x:v>
      </x:c>
      <x:c r="Y329" s="3" t="n">
        <x:v>0</x:v>
      </x:c>
      <x:c r="Z329" s="3" t="str">
        <x:v>新增</x:v>
      </x:c>
      <x:c r="AA329" s="3" t="str">
        <x:v>停售</x:v>
      </x:c>
      <x:c r="AB329" s="12" t="str">
        <x:f>IF(AND(Z329="共同",ISNUMBER(G329),ISNUMBER(AD329)),G329-AD329,"")</x:f>
      </x:c>
      <x:c r="AC329" s="3" t="str">
        <x:v>近90天SKU销量未匹配，未按0处理</x:v>
      </x:c>
      <x:c r="AD329" s="12"/>
      <x:c r="AE329" s="3" t="str">
        <x:v>[6574,"1S01-TAN-36"]</x:v>
      </x:c>
      <x:c r="AF329" t="n">
        <x:f>IF(ISNUMBER(H329),1,0)</x:f>
        <x:v>1</x:v>
      </x:c>
      <x:c r="AG329" t="n">
        <x:f>IF(ISNUMBER(I329),1,0)</x:f>
        <x:v>0</x:v>
      </x:c>
      <x:c r="AH329" t="str">
        <x:v>["1S01","1S01-TAN","TAN","驼色"]</x:v>
      </x:c>
      <x:c r="AI329" t="n">
        <x:f>IF(ISNUMBER(G329),1,0)</x:f>
        <x:v>1</x:v>
      </x:c>
      <x:c r="AJ329" t="n">
        <x:f>IF(ISNUMBER(AD329),1,0)</x:f>
        <x:v>0</x:v>
      </x:c>
    </x:row>
    <x:row r="330" ht="30" customHeight="1">
      <x:c r="A330" s="3" t="str">
        <x:v>1S01-TAN-37</x:v>
      </x:c>
      <x:c r="B330" s="3" t="str">
        <x:v>3店-SANDIEX-US</x:v>
      </x:c>
      <x:c r="C330" s="3" t="str">
        <x:v>徐新怡</x:v>
      </x:c>
      <x:c r="D330" s="3" t="str">
        <x:v>1S01</x:v>
      </x:c>
      <x:c r="E330" s="3" t="str">
        <x:f>IF(Z330="移出","已移出",IF(NOT(ISNUMBER(H330)),"数据待核",IF(H330=0,"断货",IF(NOT(ISNUMBER(G330)),"数据待核",IF(G330=0,"零日销待复核",IF(F330&lt;60,"补货提醒",IF(F330&lt;=90,"正常库存",IF(F330&lt;180,"促销",IF(F330&lt;=365,"红线促销","考虑清仓")))))))))</x:f>
        <x:v>断货</x:v>
      </x:c>
      <x:c r="F330" s="11" t="str">
        <x:f>IF(AND(ISNUMBER(H330),ISNUMBER(G330),G330&gt;0),H330/G330,"")</x:f>
      </x:c>
      <x:c r="G330" s="12" t="n">
        <x:f>IF(AND(COUNT(P330:R330)=3,MIN(P330:R330)&gt;=0,P330&lt;=Q330,Q330&lt;=R330),P330/7*0.5+Q330/14*0.3+R330/30*0.2,"")</x:f>
        <x:v>0</x:v>
      </x:c>
      <x:c r="H330" s="10" t="n">
        <x:f>IF(ISNUMBER(U330),U330,"")</x:f>
        <x:v>0</x:v>
      </x:c>
      <x:c r="I330" s="10" t="n">
        <x:v>0</x:v>
      </x:c>
      <x:c r="J330" s="11" t="str">
        <x:f>IF(AND(Z330="共同",ISNUMBER(F330),ISNUMBER(M330)),F330-M330,"")</x:f>
      </x:c>
      <x:c r="K330" s="13" t="str">
        <x:f>IF(AND(ISNUMBER(J330),M330&lt;&gt;0),J330/M330,"")</x:f>
      </x:c>
      <x:c r="L330" s="10" t="str">
        <x:v>断货</x:v>
      </x:c>
      <x:c r="M330" s="11"/>
      <x:c r="N330" s="10" t="n">
        <x:f>IF(AND(Z330="共同",COUNT(H330:I330)=2),H330-I330,"")</x:f>
        <x:v>0</x:v>
      </x:c>
      <x:c r="O330" s="10" t="n">
        <x:v>0</x:v>
      </x:c>
      <x:c r="P330" s="10" t="n">
        <x:v>0</x:v>
      </x:c>
      <x:c r="Q330" s="10" t="n">
        <x:v>0</x:v>
      </x:c>
      <x:c r="R330" s="10" t="n">
        <x:v>0</x:v>
      </x:c>
      <x:c r="S330" s="10" t="n">
        <x:v>0</x:v>
      </x:c>
      <x:c r="T330" s="10" t="n">
        <x:v>0</x:v>
      </x:c>
      <x:c r="U330" s="10" t="n">
        <x:f>IF(AND(ISNUMBER(X330),X330&gt;=0,Y330&lt;&gt;1),X330,"")</x:f>
        <x:v>0</x:v>
      </x:c>
      <x:c r="V330" s="10" t="n">
        <x:v>0</x:v>
      </x:c>
      <x:c r="W330" s="10" t="n">
        <x:v>0</x:v>
      </x:c>
      <x:c r="X330" s="10" t="n">
        <x:v>0</x:v>
      </x:c>
      <x:c r="Y330" s="3" t="n">
        <x:v>0</x:v>
      </x:c>
      <x:c r="Z330" s="3" t="str">
        <x:v>共同</x:v>
      </x:c>
      <x:c r="AA330" s="3" t="str">
        <x:v>停售</x:v>
      </x:c>
      <x:c r="AB330" s="12" t="str">
        <x:f>IF(AND(Z330="共同",ISNUMBER(G330),ISNUMBER(AD330)),G330-AD330,"")</x:f>
      </x:c>
      <x:c r="AC330" s="3" t="str">
        <x:v>近90天SKU销量未匹配，未按0处理</x:v>
      </x:c>
      <x:c r="AD330" s="12"/>
      <x:c r="AE330" s="3" t="str">
        <x:v>[6574,"1S01-TAN-37"]</x:v>
      </x:c>
      <x:c r="AF330" t="n">
        <x:f>IF(ISNUMBER(H330),1,0)</x:f>
        <x:v>1</x:v>
      </x:c>
      <x:c r="AG330" t="n">
        <x:f>IF(ISNUMBER(I330),1,0)</x:f>
        <x:v>1</x:v>
      </x:c>
      <x:c r="AH330" t="str">
        <x:v>["1S01","1S01-TAN","TAN","驼色"]</x:v>
      </x:c>
      <x:c r="AI330" t="n">
        <x:f>IF(ISNUMBER(G330),1,0)</x:f>
        <x:v>1</x:v>
      </x:c>
      <x:c r="AJ330" t="n">
        <x:f>IF(ISNUMBER(AD330),1,0)</x:f>
        <x:v>0</x:v>
      </x:c>
    </x:row>
    <x:row r="331" ht="30" customHeight="1">
      <x:c r="A331" s="3" t="str">
        <x:v>1S01-TAN-37.5</x:v>
      </x:c>
      <x:c r="B331" s="3" t="str">
        <x:v>3店-SANDIEX-US</x:v>
      </x:c>
      <x:c r="C331" s="3" t="str">
        <x:v>徐新怡</x:v>
      </x:c>
      <x:c r="D331" s="3" t="str">
        <x:v>1S01</x:v>
      </x:c>
      <x:c r="E331" s="3" t="str">
        <x:f>IF(Z331="移出","已移出",IF(NOT(ISNUMBER(H331)),"数据待核",IF(H331=0,"断货",IF(NOT(ISNUMBER(G331)),"数据待核",IF(G331=0,"零日销待复核",IF(F331&lt;60,"补货提醒",IF(F331&lt;=90,"正常库存",IF(F331&lt;180,"促销",IF(F331&lt;=365,"红线促销","考虑清仓")))))))))</x:f>
        <x:v>断货</x:v>
      </x:c>
      <x:c r="F331" s="11" t="str">
        <x:f>IF(AND(ISNUMBER(H331),ISNUMBER(G331),G331&gt;0),H331/G331,"")</x:f>
      </x:c>
      <x:c r="G331" s="12" t="n">
        <x:f>IF(AND(COUNT(P331:R331)=3,MIN(P331:R331)&gt;=0,P331&lt;=Q331,Q331&lt;=R331),P331/7*0.5+Q331/14*0.3+R331/30*0.2,"")</x:f>
        <x:v>0</x:v>
      </x:c>
      <x:c r="H331" s="10" t="n">
        <x:f>IF(ISNUMBER(U331),U331,"")</x:f>
        <x:v>0</x:v>
      </x:c>
      <x:c r="I331" s="10"/>
      <x:c r="J331" s="11" t="str">
        <x:f>IF(AND(Z331="共同",ISNUMBER(F331),ISNUMBER(M331)),F331-M331,"")</x:f>
      </x:c>
      <x:c r="K331" s="13" t="str">
        <x:f>IF(AND(ISNUMBER(J331),M331&lt;&gt;0),J331/M331,"")</x:f>
      </x:c>
      <x:c r="L331" s="10"/>
      <x:c r="M331" s="11"/>
      <x:c r="N331" s="10" t="str">
        <x:f>IF(AND(Z331="共同",COUNT(H331:I331)=2),H331-I331,"")</x:f>
      </x:c>
      <x:c r="O331" s="10" t="n">
        <x:v>0</x:v>
      </x:c>
      <x:c r="P331" s="10" t="n">
        <x:v>0</x:v>
      </x:c>
      <x:c r="Q331" s="10" t="n">
        <x:v>0</x:v>
      </x:c>
      <x:c r="R331" s="10" t="n">
        <x:v>0</x:v>
      </x:c>
      <x:c r="S331" s="10" t="n">
        <x:v>0</x:v>
      </x:c>
      <x:c r="T331" s="10" t="n">
        <x:v>0</x:v>
      </x:c>
      <x:c r="U331" s="10" t="n">
        <x:f>IF(AND(ISNUMBER(X331),X331&gt;=0,Y331&lt;&gt;1),X331,"")</x:f>
        <x:v>0</x:v>
      </x:c>
      <x:c r="V331" s="10" t="n">
        <x:v>0</x:v>
      </x:c>
      <x:c r="W331" s="10" t="n">
        <x:v>0</x:v>
      </x:c>
      <x:c r="X331" s="10" t="n">
        <x:v>0</x:v>
      </x:c>
      <x:c r="Y331" s="3" t="n">
        <x:v>0</x:v>
      </x:c>
      <x:c r="Z331" s="3" t="str">
        <x:v>新增</x:v>
      </x:c>
      <x:c r="AA331" s="3" t="str">
        <x:v>停售</x:v>
      </x:c>
      <x:c r="AB331" s="12" t="str">
        <x:f>IF(AND(Z331="共同",ISNUMBER(G331),ISNUMBER(AD331)),G331-AD331,"")</x:f>
      </x:c>
      <x:c r="AC331" s="3" t="str">
        <x:v>近90天SKU销量未匹配，未按0处理</x:v>
      </x:c>
      <x:c r="AD331" s="12"/>
      <x:c r="AE331" s="3" t="str">
        <x:v>[6574,"1S01-TAN-37.5"]</x:v>
      </x:c>
      <x:c r="AF331" t="n">
        <x:f>IF(ISNUMBER(H331),1,0)</x:f>
        <x:v>1</x:v>
      </x:c>
      <x:c r="AG331" t="n">
        <x:f>IF(ISNUMBER(I331),1,0)</x:f>
        <x:v>0</x:v>
      </x:c>
      <x:c r="AH331" t="str">
        <x:v>["1S01","1S01-TAN","TAN","驼色"]</x:v>
      </x:c>
      <x:c r="AI331" t="n">
        <x:f>IF(ISNUMBER(G331),1,0)</x:f>
        <x:v>1</x:v>
      </x:c>
      <x:c r="AJ331" t="n">
        <x:f>IF(ISNUMBER(AD331),1,0)</x:f>
        <x:v>0</x:v>
      </x:c>
    </x:row>
    <x:row r="332" ht="30" customHeight="1">
      <x:c r="A332" s="3" t="str">
        <x:v>1S01-TAN-38</x:v>
      </x:c>
      <x:c r="B332" s="3" t="str">
        <x:v>3店-SANDIEX-US</x:v>
      </x:c>
      <x:c r="C332" s="3" t="str">
        <x:v>徐新怡</x:v>
      </x:c>
      <x:c r="D332" s="3" t="str">
        <x:v>1S01</x:v>
      </x:c>
      <x:c r="E332" s="3" t="str">
        <x:f>IF(Z332="移出","已移出",IF(NOT(ISNUMBER(H332)),"数据待核",IF(H332=0,"断货",IF(NOT(ISNUMBER(G332)),"数据待核",IF(G332=0,"零日销待复核",IF(F332&lt;60,"补货提醒",IF(F332&lt;=90,"正常库存",IF(F332&lt;180,"促销",IF(F332&lt;=365,"红线促销","考虑清仓")))))))))</x:f>
        <x:v>断货</x:v>
      </x:c>
      <x:c r="F332" s="11" t="str">
        <x:f>IF(AND(ISNUMBER(H332),ISNUMBER(G332),G332&gt;0),H332/G332,"")</x:f>
      </x:c>
      <x:c r="G332" s="12" t="n">
        <x:f>IF(AND(COUNT(P332:R332)=3,MIN(P332:R332)&gt;=0,P332&lt;=Q332,Q332&lt;=R332),P332/7*0.5+Q332/14*0.3+R332/30*0.2,"")</x:f>
        <x:v>0</x:v>
      </x:c>
      <x:c r="H332" s="10" t="n">
        <x:f>IF(ISNUMBER(U332),U332,"")</x:f>
        <x:v>0</x:v>
      </x:c>
      <x:c r="I332" s="10" t="n">
        <x:v>0</x:v>
      </x:c>
      <x:c r="J332" s="11" t="str">
        <x:f>IF(AND(Z332="共同",ISNUMBER(F332),ISNUMBER(M332)),F332-M332,"")</x:f>
      </x:c>
      <x:c r="K332" s="13" t="str">
        <x:f>IF(AND(ISNUMBER(J332),M332&lt;&gt;0),J332/M332,"")</x:f>
      </x:c>
      <x:c r="L332" s="10" t="str">
        <x:v>断货</x:v>
      </x:c>
      <x:c r="M332" s="11"/>
      <x:c r="N332" s="10" t="n">
        <x:f>IF(AND(Z332="共同",COUNT(H332:I332)=2),H332-I332,"")</x:f>
        <x:v>0</x:v>
      </x:c>
      <x:c r="O332" s="10" t="n">
        <x:v>0</x:v>
      </x:c>
      <x:c r="P332" s="10" t="n">
        <x:v>0</x:v>
      </x:c>
      <x:c r="Q332" s="10" t="n">
        <x:v>0</x:v>
      </x:c>
      <x:c r="R332" s="10" t="n">
        <x:v>0</x:v>
      </x:c>
      <x:c r="S332" s="10" t="n">
        <x:v>0</x:v>
      </x:c>
      <x:c r="T332" s="10" t="n">
        <x:v>0</x:v>
      </x:c>
      <x:c r="U332" s="10" t="n">
        <x:f>IF(AND(ISNUMBER(X332),X332&gt;=0,Y332&lt;&gt;1),X332,"")</x:f>
        <x:v>0</x:v>
      </x:c>
      <x:c r="V332" s="10" t="n">
        <x:v>0</x:v>
      </x:c>
      <x:c r="W332" s="10" t="n">
        <x:v>0</x:v>
      </x:c>
      <x:c r="X332" s="10" t="n">
        <x:v>0</x:v>
      </x:c>
      <x:c r="Y332" s="3" t="n">
        <x:v>0</x:v>
      </x:c>
      <x:c r="Z332" s="3" t="str">
        <x:v>共同</x:v>
      </x:c>
      <x:c r="AA332" s="3" t="str">
        <x:v>停售</x:v>
      </x:c>
      <x:c r="AB332" s="12" t="str">
        <x:f>IF(AND(Z332="共同",ISNUMBER(G332),ISNUMBER(AD332)),G332-AD332,"")</x:f>
      </x:c>
      <x:c r="AC332" s="3" t="str">
        <x:v>近90天SKU销量未匹配，未按0处理</x:v>
      </x:c>
      <x:c r="AD332" s="12"/>
      <x:c r="AE332" s="3" t="str">
        <x:v>[6574,"1S01-TAN-38"]</x:v>
      </x:c>
      <x:c r="AF332" t="n">
        <x:f>IF(ISNUMBER(H332),1,0)</x:f>
        <x:v>1</x:v>
      </x:c>
      <x:c r="AG332" t="n">
        <x:f>IF(ISNUMBER(I332),1,0)</x:f>
        <x:v>1</x:v>
      </x:c>
      <x:c r="AH332" t="str">
        <x:v>["1S01","1S01-TAN","TAN","驼色"]</x:v>
      </x:c>
      <x:c r="AI332" t="n">
        <x:f>IF(ISNUMBER(G332),1,0)</x:f>
        <x:v>1</x:v>
      </x:c>
      <x:c r="AJ332" t="n">
        <x:f>IF(ISNUMBER(AD332),1,0)</x:f>
        <x:v>0</x:v>
      </x:c>
    </x:row>
    <x:row r="333" ht="30" customHeight="1">
      <x:c r="A333" s="3" t="str">
        <x:v>1S01-TAN-38.5</x:v>
      </x:c>
      <x:c r="B333" s="3" t="str">
        <x:v>3店-SANDIEX-US</x:v>
      </x:c>
      <x:c r="C333" s="3" t="str">
        <x:v>徐新怡</x:v>
      </x:c>
      <x:c r="D333" s="3" t="str">
        <x:v>1S01</x:v>
      </x:c>
      <x:c r="E333" s="3" t="str">
        <x:f>IF(Z333="移出","已移出",IF(NOT(ISNUMBER(H333)),"数据待核",IF(H333=0,"断货",IF(NOT(ISNUMBER(G333)),"数据待核",IF(G333=0,"零日销待复核",IF(F333&lt;60,"补货提醒",IF(F333&lt;=90,"正常库存",IF(F333&lt;180,"促销",IF(F333&lt;=365,"红线促销","考虑清仓")))))))))</x:f>
        <x:v>断货</x:v>
      </x:c>
      <x:c r="F333" s="11" t="str">
        <x:f>IF(AND(ISNUMBER(H333),ISNUMBER(G333),G333&gt;0),H333/G333,"")</x:f>
      </x:c>
      <x:c r="G333" s="12" t="n">
        <x:f>IF(AND(COUNT(P333:R333)=3,MIN(P333:R333)&gt;=0,P333&lt;=Q333,Q333&lt;=R333),P333/7*0.5+Q333/14*0.3+R333/30*0.2,"")</x:f>
        <x:v>0</x:v>
      </x:c>
      <x:c r="H333" s="10" t="n">
        <x:f>IF(ISNUMBER(U333),U333,"")</x:f>
        <x:v>0</x:v>
      </x:c>
      <x:c r="I333" s="10"/>
      <x:c r="J333" s="11" t="str">
        <x:f>IF(AND(Z333="共同",ISNUMBER(F333),ISNUMBER(M333)),F333-M333,"")</x:f>
      </x:c>
      <x:c r="K333" s="13" t="str">
        <x:f>IF(AND(ISNUMBER(J333),M333&lt;&gt;0),J333/M333,"")</x:f>
      </x:c>
      <x:c r="L333" s="10"/>
      <x:c r="M333" s="11"/>
      <x:c r="N333" s="10" t="str">
        <x:f>IF(AND(Z333="共同",COUNT(H333:I333)=2),H333-I333,"")</x:f>
      </x:c>
      <x:c r="O333" s="10" t="n">
        <x:v>0</x:v>
      </x:c>
      <x:c r="P333" s="10" t="n">
        <x:v>0</x:v>
      </x:c>
      <x:c r="Q333" s="10" t="n">
        <x:v>0</x:v>
      </x:c>
      <x:c r="R333" s="10" t="n">
        <x:v>0</x:v>
      </x:c>
      <x:c r="S333" s="10" t="n">
        <x:v>0</x:v>
      </x:c>
      <x:c r="T333" s="10" t="n">
        <x:v>0</x:v>
      </x:c>
      <x:c r="U333" s="10" t="n">
        <x:f>IF(AND(ISNUMBER(X333),X333&gt;=0,Y333&lt;&gt;1),X333,"")</x:f>
        <x:v>0</x:v>
      </x:c>
      <x:c r="V333" s="10" t="n">
        <x:v>0</x:v>
      </x:c>
      <x:c r="W333" s="10" t="n">
        <x:v>0</x:v>
      </x:c>
      <x:c r="X333" s="10" t="n">
        <x:v>0</x:v>
      </x:c>
      <x:c r="Y333" s="3" t="n">
        <x:v>0</x:v>
      </x:c>
      <x:c r="Z333" s="3" t="str">
        <x:v>新增</x:v>
      </x:c>
      <x:c r="AA333" s="3" t="str">
        <x:v>停售</x:v>
      </x:c>
      <x:c r="AB333" s="12" t="str">
        <x:f>IF(AND(Z333="共同",ISNUMBER(G333),ISNUMBER(AD333)),G333-AD333,"")</x:f>
      </x:c>
      <x:c r="AC333" s="3" t="str">
        <x:v>近90天SKU销量未匹配，未按0处理</x:v>
      </x:c>
      <x:c r="AD333" s="12"/>
      <x:c r="AE333" s="3" t="str">
        <x:v>[6574,"1S01-TAN-38.5"]</x:v>
      </x:c>
      <x:c r="AF333" t="n">
        <x:f>IF(ISNUMBER(H333),1,0)</x:f>
        <x:v>1</x:v>
      </x:c>
      <x:c r="AG333" t="n">
        <x:f>IF(ISNUMBER(I333),1,0)</x:f>
        <x:v>0</x:v>
      </x:c>
      <x:c r="AH333" t="str">
        <x:v>["1S01","1S01-TAN","TAN","驼色"]</x:v>
      </x:c>
      <x:c r="AI333" t="n">
        <x:f>IF(ISNUMBER(G333),1,0)</x:f>
        <x:v>1</x:v>
      </x:c>
      <x:c r="AJ333" t="n">
        <x:f>IF(ISNUMBER(AD333),1,0)</x:f>
        <x:v>0</x:v>
      </x:c>
    </x:row>
    <x:row r="334" ht="30" customHeight="1">
      <x:c r="A334" s="3" t="str">
        <x:v>1S01-TAN-39</x:v>
      </x:c>
      <x:c r="B334" s="3" t="str">
        <x:v>3店-SANDIEX-US</x:v>
      </x:c>
      <x:c r="C334" s="3" t="str">
        <x:v>徐新怡</x:v>
      </x:c>
      <x:c r="D334" s="3" t="str">
        <x:v>1S01</x:v>
      </x:c>
      <x:c r="E334" s="3" t="str">
        <x:f>IF(Z334="移出","已移出",IF(NOT(ISNUMBER(H334)),"数据待核",IF(H334=0,"断货",IF(NOT(ISNUMBER(G334)),"数据待核",IF(G334=0,"零日销待复核",IF(F334&lt;60,"补货提醒",IF(F334&lt;=90,"正常库存",IF(F334&lt;180,"促销",IF(F334&lt;=365,"红线促销","考虑清仓")))))))))</x:f>
        <x:v>断货</x:v>
      </x:c>
      <x:c r="F334" s="11" t="str">
        <x:f>IF(AND(ISNUMBER(H334),ISNUMBER(G334),G334&gt;0),H334/G334,"")</x:f>
      </x:c>
      <x:c r="G334" s="12" t="n">
        <x:f>IF(AND(COUNT(P334:R334)=3,MIN(P334:R334)&gt;=0,P334&lt;=Q334,Q334&lt;=R334),P334/7*0.5+Q334/14*0.3+R334/30*0.2,"")</x:f>
        <x:v>0</x:v>
      </x:c>
      <x:c r="H334" s="10" t="n">
        <x:f>IF(ISNUMBER(U334),U334,"")</x:f>
        <x:v>0</x:v>
      </x:c>
      <x:c r="I334" s="10" t="n">
        <x:v>0</x:v>
      </x:c>
      <x:c r="J334" s="11" t="str">
        <x:f>IF(AND(Z334="共同",ISNUMBER(F334),ISNUMBER(M334)),F334-M334,"")</x:f>
      </x:c>
      <x:c r="K334" s="13" t="str">
        <x:f>IF(AND(ISNUMBER(J334),M334&lt;&gt;0),J334/M334,"")</x:f>
      </x:c>
      <x:c r="L334" s="10" t="str">
        <x:v>断货</x:v>
      </x:c>
      <x:c r="M334" s="11"/>
      <x:c r="N334" s="10" t="n">
        <x:f>IF(AND(Z334="共同",COUNT(H334:I334)=2),H334-I334,"")</x:f>
        <x:v>0</x:v>
      </x:c>
      <x:c r="O334" s="10" t="n">
        <x:v>0</x:v>
      </x:c>
      <x:c r="P334" s="10" t="n">
        <x:v>0</x:v>
      </x:c>
      <x:c r="Q334" s="10" t="n">
        <x:v>0</x:v>
      </x:c>
      <x:c r="R334" s="10" t="n">
        <x:v>0</x:v>
      </x:c>
      <x:c r="S334" s="10" t="n">
        <x:v>0</x:v>
      </x:c>
      <x:c r="T334" s="10" t="n">
        <x:v>0</x:v>
      </x:c>
      <x:c r="U334" s="10" t="n">
        <x:f>IF(AND(ISNUMBER(X334),X334&gt;=0,Y334&lt;&gt;1),X334,"")</x:f>
        <x:v>0</x:v>
      </x:c>
      <x:c r="V334" s="10" t="n">
        <x:v>0</x:v>
      </x:c>
      <x:c r="W334" s="10" t="n">
        <x:v>0</x:v>
      </x:c>
      <x:c r="X334" s="10" t="n">
        <x:v>0</x:v>
      </x:c>
      <x:c r="Y334" s="3" t="n">
        <x:v>0</x:v>
      </x:c>
      <x:c r="Z334" s="3" t="str">
        <x:v>共同</x:v>
      </x:c>
      <x:c r="AA334" s="3" t="str">
        <x:v>停售</x:v>
      </x:c>
      <x:c r="AB334" s="12" t="str">
        <x:f>IF(AND(Z334="共同",ISNUMBER(G334),ISNUMBER(AD334)),G334-AD334,"")</x:f>
      </x:c>
      <x:c r="AC334" s="3" t="str">
        <x:v>近90天SKU销量未匹配，未按0处理</x:v>
      </x:c>
      <x:c r="AD334" s="12"/>
      <x:c r="AE334" s="3" t="str">
        <x:v>[6574,"1S01-TAN-39"]</x:v>
      </x:c>
      <x:c r="AF334" t="n">
        <x:f>IF(ISNUMBER(H334),1,0)</x:f>
        <x:v>1</x:v>
      </x:c>
      <x:c r="AG334" t="n">
        <x:f>IF(ISNUMBER(I334),1,0)</x:f>
        <x:v>1</x:v>
      </x:c>
      <x:c r="AH334" t="str">
        <x:v>["1S01","1S01-TAN","TAN","驼色"]</x:v>
      </x:c>
      <x:c r="AI334" t="n">
        <x:f>IF(ISNUMBER(G334),1,0)</x:f>
        <x:v>1</x:v>
      </x:c>
      <x:c r="AJ334" t="n">
        <x:f>IF(ISNUMBER(AD334),1,0)</x:f>
        <x:v>0</x:v>
      </x:c>
    </x:row>
    <x:row r="335" ht="30" customHeight="1">
      <x:c r="A335" s="3" t="str">
        <x:v>1S01-TAN-39.5</x:v>
      </x:c>
      <x:c r="B335" s="3" t="str">
        <x:v>3店-SANDIEX-US</x:v>
      </x:c>
      <x:c r="C335" s="3" t="str">
        <x:v>徐新怡</x:v>
      </x:c>
      <x:c r="D335" s="3" t="str">
        <x:v>1S01</x:v>
      </x:c>
      <x:c r="E335" s="3" t="str">
        <x:f>IF(Z335="移出","已移出",IF(NOT(ISNUMBER(H335)),"数据待核",IF(H335=0,"断货",IF(NOT(ISNUMBER(G335)),"数据待核",IF(G335=0,"零日销待复核",IF(F335&lt;60,"补货提醒",IF(F335&lt;=90,"正常库存",IF(F335&lt;180,"促销",IF(F335&lt;=365,"红线促销","考虑清仓")))))))))</x:f>
        <x:v>断货</x:v>
      </x:c>
      <x:c r="F335" s="11" t="str">
        <x:f>IF(AND(ISNUMBER(H335),ISNUMBER(G335),G335&gt;0),H335/G335,"")</x:f>
      </x:c>
      <x:c r="G335" s="12" t="n">
        <x:f>IF(AND(COUNT(P335:R335)=3,MIN(P335:R335)&gt;=0,P335&lt;=Q335,Q335&lt;=R335),P335/7*0.5+Q335/14*0.3+R335/30*0.2,"")</x:f>
        <x:v>0</x:v>
      </x:c>
      <x:c r="H335" s="10" t="n">
        <x:f>IF(ISNUMBER(U335),U335,"")</x:f>
        <x:v>0</x:v>
      </x:c>
      <x:c r="I335" s="10"/>
      <x:c r="J335" s="11" t="str">
        <x:f>IF(AND(Z335="共同",ISNUMBER(F335),ISNUMBER(M335)),F335-M335,"")</x:f>
      </x:c>
      <x:c r="K335" s="13" t="str">
        <x:f>IF(AND(ISNUMBER(J335),M335&lt;&gt;0),J335/M335,"")</x:f>
      </x:c>
      <x:c r="L335" s="10"/>
      <x:c r="M335" s="11"/>
      <x:c r="N335" s="10" t="str">
        <x:f>IF(AND(Z335="共同",COUNT(H335:I335)=2),H335-I335,"")</x:f>
      </x:c>
      <x:c r="O335" s="10" t="n">
        <x:v>0</x:v>
      </x:c>
      <x:c r="P335" s="10" t="n">
        <x:v>0</x:v>
      </x:c>
      <x:c r="Q335" s="10" t="n">
        <x:v>0</x:v>
      </x:c>
      <x:c r="R335" s="10" t="n">
        <x:v>0</x:v>
      </x:c>
      <x:c r="S335" s="10" t="n">
        <x:v>0</x:v>
      </x:c>
      <x:c r="T335" s="10" t="n">
        <x:v>0</x:v>
      </x:c>
      <x:c r="U335" s="10" t="n">
        <x:f>IF(AND(ISNUMBER(X335),X335&gt;=0,Y335&lt;&gt;1),X335,"")</x:f>
        <x:v>0</x:v>
      </x:c>
      <x:c r="V335" s="10" t="n">
        <x:v>0</x:v>
      </x:c>
      <x:c r="W335" s="10" t="n">
        <x:v>0</x:v>
      </x:c>
      <x:c r="X335" s="10" t="n">
        <x:v>0</x:v>
      </x:c>
      <x:c r="Y335" s="3" t="n">
        <x:v>0</x:v>
      </x:c>
      <x:c r="Z335" s="3" t="str">
        <x:v>新增</x:v>
      </x:c>
      <x:c r="AA335" s="3" t="str">
        <x:v>停售</x:v>
      </x:c>
      <x:c r="AB335" s="12" t="str">
        <x:f>IF(AND(Z335="共同",ISNUMBER(G335),ISNUMBER(AD335)),G335-AD335,"")</x:f>
      </x:c>
      <x:c r="AC335" s="3" t="str">
        <x:v>近90天SKU销量未匹配，未按0处理</x:v>
      </x:c>
      <x:c r="AD335" s="12"/>
      <x:c r="AE335" s="3" t="str">
        <x:v>[6574,"1S01-TAN-39.5"]</x:v>
      </x:c>
      <x:c r="AF335" t="n">
        <x:f>IF(ISNUMBER(H335),1,0)</x:f>
        <x:v>1</x:v>
      </x:c>
      <x:c r="AG335" t="n">
        <x:f>IF(ISNUMBER(I335),1,0)</x:f>
        <x:v>0</x:v>
      </x:c>
      <x:c r="AH335" t="str">
        <x:v>["1S01","1S01-TAN","TAN","驼色"]</x:v>
      </x:c>
      <x:c r="AI335" t="n">
        <x:f>IF(ISNUMBER(G335),1,0)</x:f>
        <x:v>1</x:v>
      </x:c>
      <x:c r="AJ335" t="n">
        <x:f>IF(ISNUMBER(AD335),1,0)</x:f>
        <x:v>0</x:v>
      </x:c>
    </x:row>
    <x:row r="336" ht="30" customHeight="1">
      <x:c r="A336" s="3" t="str">
        <x:v>1S01-TAN-40</x:v>
      </x:c>
      <x:c r="B336" s="3" t="str">
        <x:v>3店-SANDIEX-US</x:v>
      </x:c>
      <x:c r="C336" s="3" t="str">
        <x:v>徐新怡</x:v>
      </x:c>
      <x:c r="D336" s="3" t="str">
        <x:v>1S01</x:v>
      </x:c>
      <x:c r="E336" s="3" t="str">
        <x:f>IF(Z336="移出","已移出",IF(NOT(ISNUMBER(H336)),"数据待核",IF(H336=0,"断货",IF(NOT(ISNUMBER(G336)),"数据待核",IF(G336=0,"零日销待复核",IF(F336&lt;60,"补货提醒",IF(F336&lt;=90,"正常库存",IF(F336&lt;180,"促销",IF(F336&lt;=365,"红线促销","考虑清仓")))))))))</x:f>
        <x:v>断货</x:v>
      </x:c>
      <x:c r="F336" s="11" t="str">
        <x:f>IF(AND(ISNUMBER(H336),ISNUMBER(G336),G336&gt;0),H336/G336,"")</x:f>
      </x:c>
      <x:c r="G336" s="12" t="n">
        <x:f>IF(AND(COUNT(P336:R336)=3,MIN(P336:R336)&gt;=0,P336&lt;=Q336,Q336&lt;=R336),P336/7*0.5+Q336/14*0.3+R336/30*0.2,"")</x:f>
        <x:v>0</x:v>
      </x:c>
      <x:c r="H336" s="10" t="n">
        <x:f>IF(ISNUMBER(U336),U336,"")</x:f>
        <x:v>0</x:v>
      </x:c>
      <x:c r="I336" s="10" t="n">
        <x:v>0</x:v>
      </x:c>
      <x:c r="J336" s="11" t="str">
        <x:f>IF(AND(Z336="共同",ISNUMBER(F336),ISNUMBER(M336)),F336-M336,"")</x:f>
      </x:c>
      <x:c r="K336" s="13" t="str">
        <x:f>IF(AND(ISNUMBER(J336),M336&lt;&gt;0),J336/M336,"")</x:f>
      </x:c>
      <x:c r="L336" s="10" t="str">
        <x:v>断货</x:v>
      </x:c>
      <x:c r="M336" s="11"/>
      <x:c r="N336" s="10" t="n">
        <x:f>IF(AND(Z336="共同",COUNT(H336:I336)=2),H336-I336,"")</x:f>
        <x:v>0</x:v>
      </x:c>
      <x:c r="O336" s="10" t="n">
        <x:v>0</x:v>
      </x:c>
      <x:c r="P336" s="10" t="n">
        <x:v>0</x:v>
      </x:c>
      <x:c r="Q336" s="10" t="n">
        <x:v>0</x:v>
      </x:c>
      <x:c r="R336" s="10" t="n">
        <x:v>0</x:v>
      </x:c>
      <x:c r="S336" s="10" t="n">
        <x:v>0</x:v>
      </x:c>
      <x:c r="T336" s="10" t="n">
        <x:v>0</x:v>
      </x:c>
      <x:c r="U336" s="10" t="n">
        <x:f>IF(AND(ISNUMBER(X336),X336&gt;=0,Y336&lt;&gt;1),X336,"")</x:f>
        <x:v>0</x:v>
      </x:c>
      <x:c r="V336" s="10" t="n">
        <x:v>0</x:v>
      </x:c>
      <x:c r="W336" s="10" t="n">
        <x:v>0</x:v>
      </x:c>
      <x:c r="X336" s="10" t="n">
        <x:v>0</x:v>
      </x:c>
      <x:c r="Y336" s="3" t="n">
        <x:v>0</x:v>
      </x:c>
      <x:c r="Z336" s="3" t="str">
        <x:v>共同</x:v>
      </x:c>
      <x:c r="AA336" s="3" t="str">
        <x:v>停售</x:v>
      </x:c>
      <x:c r="AB336" s="12" t="str">
        <x:f>IF(AND(Z336="共同",ISNUMBER(G336),ISNUMBER(AD336)),G336-AD336,"")</x:f>
      </x:c>
      <x:c r="AC336" s="3" t="str">
        <x:v>近90天SKU销量未匹配，未按0处理</x:v>
      </x:c>
      <x:c r="AD336" s="12"/>
      <x:c r="AE336" s="3" t="str">
        <x:v>[6574,"1S01-TAN-40"]</x:v>
      </x:c>
      <x:c r="AF336" t="n">
        <x:f>IF(ISNUMBER(H336),1,0)</x:f>
        <x:v>1</x:v>
      </x:c>
      <x:c r="AG336" t="n">
        <x:f>IF(ISNUMBER(I336),1,0)</x:f>
        <x:v>1</x:v>
      </x:c>
      <x:c r="AH336" t="str">
        <x:v>["1S01","1S01-TAN","TAN","驼色"]</x:v>
      </x:c>
      <x:c r="AI336" t="n">
        <x:f>IF(ISNUMBER(G336),1,0)</x:f>
        <x:v>1</x:v>
      </x:c>
      <x:c r="AJ336" t="n">
        <x:f>IF(ISNUMBER(AD336),1,0)</x:f>
        <x:v>0</x:v>
      </x:c>
    </x:row>
    <x:row r="337" ht="30" customHeight="1">
      <x:c r="A337" s="3" t="str">
        <x:v>1S01-TAN-40.5</x:v>
      </x:c>
      <x:c r="B337" s="3" t="str">
        <x:v>3店-SANDIEX-US</x:v>
      </x:c>
      <x:c r="C337" s="3" t="str">
        <x:v>徐新怡</x:v>
      </x:c>
      <x:c r="D337" s="3" t="str">
        <x:v>1S01</x:v>
      </x:c>
      <x:c r="E337" s="3" t="str">
        <x:f>IF(Z337="移出","已移出",IF(NOT(ISNUMBER(H337)),"数据待核",IF(H337=0,"断货",IF(NOT(ISNUMBER(G337)),"数据待核",IF(G337=0,"零日销待复核",IF(F337&lt;60,"补货提醒",IF(F337&lt;=90,"正常库存",IF(F337&lt;180,"促销",IF(F337&lt;=365,"红线促销","考虑清仓")))))))))</x:f>
        <x:v>断货</x:v>
      </x:c>
      <x:c r="F337" s="11" t="str">
        <x:f>IF(AND(ISNUMBER(H337),ISNUMBER(G337),G337&gt;0),H337/G337,"")</x:f>
      </x:c>
      <x:c r="G337" s="12" t="n">
        <x:f>IF(AND(COUNT(P337:R337)=3,MIN(P337:R337)&gt;=0,P337&lt;=Q337,Q337&lt;=R337),P337/7*0.5+Q337/14*0.3+R337/30*0.2,"")</x:f>
        <x:v>0</x:v>
      </x:c>
      <x:c r="H337" s="10" t="n">
        <x:f>IF(ISNUMBER(U337),U337,"")</x:f>
        <x:v>0</x:v>
      </x:c>
      <x:c r="I337" s="10"/>
      <x:c r="J337" s="11" t="str">
        <x:f>IF(AND(Z337="共同",ISNUMBER(F337),ISNUMBER(M337)),F337-M337,"")</x:f>
      </x:c>
      <x:c r="K337" s="13" t="str">
        <x:f>IF(AND(ISNUMBER(J337),M337&lt;&gt;0),J337/M337,"")</x:f>
      </x:c>
      <x:c r="L337" s="10"/>
      <x:c r="M337" s="11"/>
      <x:c r="N337" s="10" t="str">
        <x:f>IF(AND(Z337="共同",COUNT(H337:I337)=2),H337-I337,"")</x:f>
      </x:c>
      <x:c r="O337" s="10" t="n">
        <x:v>0</x:v>
      </x:c>
      <x:c r="P337" s="10" t="n">
        <x:v>0</x:v>
      </x:c>
      <x:c r="Q337" s="10" t="n">
        <x:v>0</x:v>
      </x:c>
      <x:c r="R337" s="10" t="n">
        <x:v>0</x:v>
      </x:c>
      <x:c r="S337" s="10" t="n">
        <x:v>0</x:v>
      </x:c>
      <x:c r="T337" s="10" t="n">
        <x:v>0</x:v>
      </x:c>
      <x:c r="U337" s="10" t="n">
        <x:f>IF(AND(ISNUMBER(X337),X337&gt;=0,Y337&lt;&gt;1),X337,"")</x:f>
        <x:v>0</x:v>
      </x:c>
      <x:c r="V337" s="10" t="n">
        <x:v>0</x:v>
      </x:c>
      <x:c r="W337" s="10" t="n">
        <x:v>0</x:v>
      </x:c>
      <x:c r="X337" s="10" t="n">
        <x:v>0</x:v>
      </x:c>
      <x:c r="Y337" s="3" t="n">
        <x:v>0</x:v>
      </x:c>
      <x:c r="Z337" s="3" t="str">
        <x:v>新增</x:v>
      </x:c>
      <x:c r="AA337" s="3" t="str">
        <x:v>停售</x:v>
      </x:c>
      <x:c r="AB337" s="12" t="str">
        <x:f>IF(AND(Z337="共同",ISNUMBER(G337),ISNUMBER(AD337)),G337-AD337,"")</x:f>
      </x:c>
      <x:c r="AC337" s="3" t="str">
        <x:v>近90天SKU销量未匹配，未按0处理</x:v>
      </x:c>
      <x:c r="AD337" s="12"/>
      <x:c r="AE337" s="3" t="str">
        <x:v>[6574,"1S01-TAN-40.5"]</x:v>
      </x:c>
      <x:c r="AF337" t="n">
        <x:f>IF(ISNUMBER(H337),1,0)</x:f>
        <x:v>1</x:v>
      </x:c>
      <x:c r="AG337" t="n">
        <x:f>IF(ISNUMBER(I337),1,0)</x:f>
        <x:v>0</x:v>
      </x:c>
      <x:c r="AH337" t="str">
        <x:v>["1S01","1S01-TAN","TAN","驼色"]</x:v>
      </x:c>
      <x:c r="AI337" t="n">
        <x:f>IF(ISNUMBER(G337),1,0)</x:f>
        <x:v>1</x:v>
      </x:c>
      <x:c r="AJ337" t="n">
        <x:f>IF(ISNUMBER(AD337),1,0)</x:f>
        <x:v>0</x:v>
      </x:c>
    </x:row>
    <x:row r="338" ht="30" customHeight="1">
      <x:c r="A338" s="3" t="str">
        <x:v>1S01-TAN-41</x:v>
      </x:c>
      <x:c r="B338" s="3" t="str">
        <x:v>3店-SANDIEX-US</x:v>
      </x:c>
      <x:c r="C338" s="3" t="str">
        <x:v>徐新怡</x:v>
      </x:c>
      <x:c r="D338" s="3" t="str">
        <x:v>1S01</x:v>
      </x:c>
      <x:c r="E338" s="3" t="str">
        <x:f>IF(Z338="移出","已移出",IF(NOT(ISNUMBER(H338)),"数据待核",IF(H338=0,"断货",IF(NOT(ISNUMBER(G338)),"数据待核",IF(G338=0,"零日销待复核",IF(F338&lt;60,"补货提醒",IF(F338&lt;=90,"正常库存",IF(F338&lt;180,"促销",IF(F338&lt;=365,"红线促销","考虑清仓")))))))))</x:f>
        <x:v>断货</x:v>
      </x:c>
      <x:c r="F338" s="11" t="str">
        <x:f>IF(AND(ISNUMBER(H338),ISNUMBER(G338),G338&gt;0),H338/G338,"")</x:f>
      </x:c>
      <x:c r="G338" s="12" t="n">
        <x:f>IF(AND(COUNT(P338:R338)=3,MIN(P338:R338)&gt;=0,P338&lt;=Q338,Q338&lt;=R338),P338/7*0.5+Q338/14*0.3+R338/30*0.2,"")</x:f>
        <x:v>0</x:v>
      </x:c>
      <x:c r="H338" s="10" t="n">
        <x:f>IF(ISNUMBER(U338),U338,"")</x:f>
        <x:v>0</x:v>
      </x:c>
      <x:c r="I338" s="10" t="n">
        <x:v>0</x:v>
      </x:c>
      <x:c r="J338" s="11" t="str">
        <x:f>IF(AND(Z338="共同",ISNUMBER(F338),ISNUMBER(M338)),F338-M338,"")</x:f>
      </x:c>
      <x:c r="K338" s="13" t="str">
        <x:f>IF(AND(ISNUMBER(J338),M338&lt;&gt;0),J338/M338,"")</x:f>
      </x:c>
      <x:c r="L338" s="10" t="str">
        <x:v>断货</x:v>
      </x:c>
      <x:c r="M338" s="11"/>
      <x:c r="N338" s="10" t="n">
        <x:f>IF(AND(Z338="共同",COUNT(H338:I338)=2),H338-I338,"")</x:f>
        <x:v>0</x:v>
      </x:c>
      <x:c r="O338" s="10" t="n">
        <x:v>0</x:v>
      </x:c>
      <x:c r="P338" s="10" t="n">
        <x:v>0</x:v>
      </x:c>
      <x:c r="Q338" s="10" t="n">
        <x:v>0</x:v>
      </x:c>
      <x:c r="R338" s="10" t="n">
        <x:v>0</x:v>
      </x:c>
      <x:c r="S338" s="10" t="n">
        <x:v>0</x:v>
      </x:c>
      <x:c r="T338" s="10" t="n">
        <x:v>0</x:v>
      </x:c>
      <x:c r="U338" s="10" t="n">
        <x:f>IF(AND(ISNUMBER(X338),X338&gt;=0,Y338&lt;&gt;1),X338,"")</x:f>
        <x:v>0</x:v>
      </x:c>
      <x:c r="V338" s="10" t="n">
        <x:v>0</x:v>
      </x:c>
      <x:c r="W338" s="10" t="n">
        <x:v>0</x:v>
      </x:c>
      <x:c r="X338" s="10" t="n">
        <x:v>0</x:v>
      </x:c>
      <x:c r="Y338" s="3" t="n">
        <x:v>0</x:v>
      </x:c>
      <x:c r="Z338" s="3" t="str">
        <x:v>共同</x:v>
      </x:c>
      <x:c r="AA338" s="3" t="str">
        <x:v>停售</x:v>
      </x:c>
      <x:c r="AB338" s="12" t="str">
        <x:f>IF(AND(Z338="共同",ISNUMBER(G338),ISNUMBER(AD338)),G338-AD338,"")</x:f>
      </x:c>
      <x:c r="AC338" s="3" t="str">
        <x:v>近90天SKU销量未匹配，未按0处理</x:v>
      </x:c>
      <x:c r="AD338" s="12"/>
      <x:c r="AE338" s="3" t="str">
        <x:v>[6574,"1S01-TAN-41"]</x:v>
      </x:c>
      <x:c r="AF338" t="n">
        <x:f>IF(ISNUMBER(H338),1,0)</x:f>
        <x:v>1</x:v>
      </x:c>
      <x:c r="AG338" t="n">
        <x:f>IF(ISNUMBER(I338),1,0)</x:f>
        <x:v>1</x:v>
      </x:c>
      <x:c r="AH338" t="str">
        <x:v>["1S01","1S01-TAN","TAN","驼色"]</x:v>
      </x:c>
      <x:c r="AI338" t="n">
        <x:f>IF(ISNUMBER(G338),1,0)</x:f>
        <x:v>1</x:v>
      </x:c>
      <x:c r="AJ338" t="n">
        <x:f>IF(ISNUMBER(AD338),1,0)</x:f>
        <x:v>0</x:v>
      </x:c>
    </x:row>
    <x:row r="339" ht="30" customHeight="1">
      <x:c r="A339" s="3" t="str">
        <x:v>1S01-TAN-42</x:v>
      </x:c>
      <x:c r="B339" s="3" t="str">
        <x:v>3店-SANDIEX-US</x:v>
      </x:c>
      <x:c r="C339" s="3" t="str">
        <x:v>徐新怡</x:v>
      </x:c>
      <x:c r="D339" s="3" t="str">
        <x:v>1S01</x:v>
      </x:c>
      <x:c r="E339" s="3" t="str">
        <x:f>IF(Z339="移出","已移出",IF(NOT(ISNUMBER(H339)),"数据待核",IF(H339=0,"断货",IF(NOT(ISNUMBER(G339)),"数据待核",IF(G339=0,"零日销待复核",IF(F339&lt;60,"补货提醒",IF(F339&lt;=90,"正常库存",IF(F339&lt;180,"促销",IF(F339&lt;=365,"红线促销","考虑清仓")))))))))</x:f>
        <x:v>断货</x:v>
      </x:c>
      <x:c r="F339" s="11" t="str">
        <x:f>IF(AND(ISNUMBER(H339),ISNUMBER(G339),G339&gt;0),H339/G339,"")</x:f>
      </x:c>
      <x:c r="G339" s="12" t="n">
        <x:f>IF(AND(COUNT(P339:R339)=3,MIN(P339:R339)&gt;=0,P339&lt;=Q339,Q339&lt;=R339),P339/7*0.5+Q339/14*0.3+R339/30*0.2,"")</x:f>
        <x:v>0</x:v>
      </x:c>
      <x:c r="H339" s="10" t="n">
        <x:f>IF(ISNUMBER(U339),U339,"")</x:f>
        <x:v>0</x:v>
      </x:c>
      <x:c r="I339" s="10" t="n">
        <x:v>0</x:v>
      </x:c>
      <x:c r="J339" s="11" t="str">
        <x:f>IF(AND(Z339="共同",ISNUMBER(F339),ISNUMBER(M339)),F339-M339,"")</x:f>
      </x:c>
      <x:c r="K339" s="13" t="str">
        <x:f>IF(AND(ISNUMBER(J339),M339&lt;&gt;0),J339/M339,"")</x:f>
      </x:c>
      <x:c r="L339" s="10" t="str">
        <x:v>断货</x:v>
      </x:c>
      <x:c r="M339" s="11"/>
      <x:c r="N339" s="10" t="n">
        <x:f>IF(AND(Z339="共同",COUNT(H339:I339)=2),H339-I339,"")</x:f>
        <x:v>0</x:v>
      </x:c>
      <x:c r="O339" s="10" t="n">
        <x:v>0</x:v>
      </x:c>
      <x:c r="P339" s="10" t="n">
        <x:v>0</x:v>
      </x:c>
      <x:c r="Q339" s="10" t="n">
        <x:v>0</x:v>
      </x:c>
      <x:c r="R339" s="10" t="n">
        <x:v>0</x:v>
      </x:c>
      <x:c r="S339" s="10" t="n">
        <x:v>0</x:v>
      </x:c>
      <x:c r="T339" s="10" t="n">
        <x:v>0</x:v>
      </x:c>
      <x:c r="U339" s="10" t="n">
        <x:f>IF(AND(ISNUMBER(X339),X339&gt;=0,Y339&lt;&gt;1),X339,"")</x:f>
        <x:v>0</x:v>
      </x:c>
      <x:c r="V339" s="10" t="n">
        <x:v>0</x:v>
      </x:c>
      <x:c r="W339" s="10" t="n">
        <x:v>0</x:v>
      </x:c>
      <x:c r="X339" s="10" t="n">
        <x:v>0</x:v>
      </x:c>
      <x:c r="Y339" s="3" t="n">
        <x:v>0</x:v>
      </x:c>
      <x:c r="Z339" s="3" t="str">
        <x:v>共同</x:v>
      </x:c>
      <x:c r="AA339" s="3" t="str">
        <x:v>停售</x:v>
      </x:c>
      <x:c r="AB339" s="12" t="str">
        <x:f>IF(AND(Z339="共同",ISNUMBER(G339),ISNUMBER(AD339)),G339-AD339,"")</x:f>
      </x:c>
      <x:c r="AC339" s="3" t="str">
        <x:v>近90天SKU销量未匹配，未按0处理</x:v>
      </x:c>
      <x:c r="AD339" s="12"/>
      <x:c r="AE339" s="3" t="str">
        <x:v>[6574,"1S01-TAN-42"]</x:v>
      </x:c>
      <x:c r="AF339" t="n">
        <x:f>IF(ISNUMBER(H339),1,0)</x:f>
        <x:v>1</x:v>
      </x:c>
      <x:c r="AG339" t="n">
        <x:f>IF(ISNUMBER(I339),1,0)</x:f>
        <x:v>1</x:v>
      </x:c>
      <x:c r="AH339" t="str">
        <x:v>["1S01","1S01-TAN","TAN","驼色"]</x:v>
      </x:c>
      <x:c r="AI339" t="n">
        <x:f>IF(ISNUMBER(G339),1,0)</x:f>
        <x:v>1</x:v>
      </x:c>
      <x:c r="AJ339" t="n">
        <x:f>IF(ISNUMBER(AD339),1,0)</x:f>
        <x:v>0</x:v>
      </x:c>
    </x:row>
    <x:row r="340" ht="30" customHeight="1">
      <x:c r="A340" s="3" t="str">
        <x:v>1S01-TN-36</x:v>
      </x:c>
      <x:c r="B340" s="3" t="str">
        <x:v>3店-SANDIEX-US</x:v>
      </x:c>
      <x:c r="C340" s="3" t="str">
        <x:v>徐新怡</x:v>
      </x:c>
      <x:c r="D340" s="3" t="str">
        <x:v>1S01</x:v>
      </x:c>
      <x:c r="E340" s="3" t="str">
        <x:f>IF(Z340="移出","已移出",IF(NOT(ISNUMBER(H340)),"数据待核",IF(H340=0,"断货",IF(NOT(ISNUMBER(G340)),"数据待核",IF(G340=0,"零日销待复核",IF(F340&lt;60,"补货提醒",IF(F340&lt;=90,"正常库存",IF(F340&lt;180,"促销",IF(F340&lt;=365,"红线促销","考虑清仓")))))))))</x:f>
        <x:v>断货</x:v>
      </x:c>
      <x:c r="F340" s="11" t="str">
        <x:f>IF(AND(ISNUMBER(H340),ISNUMBER(G340),G340&gt;0),H340/G340,"")</x:f>
      </x:c>
      <x:c r="G340" s="12" t="n">
        <x:f>IF(AND(COUNT(P340:R340)=3,MIN(P340:R340)&gt;=0,P340&lt;=Q340,Q340&lt;=R340),P340/7*0.5+Q340/14*0.3+R340/30*0.2,"")</x:f>
        <x:v>0</x:v>
      </x:c>
      <x:c r="H340" s="10" t="n">
        <x:f>IF(ISNUMBER(U340),U340,"")</x:f>
        <x:v>0</x:v>
      </x:c>
      <x:c r="I340" s="10"/>
      <x:c r="J340" s="11" t="str">
        <x:f>IF(AND(Z340="共同",ISNUMBER(F340),ISNUMBER(M340)),F340-M340,"")</x:f>
      </x:c>
      <x:c r="K340" s="13" t="str">
        <x:f>IF(AND(ISNUMBER(J340),M340&lt;&gt;0),J340/M340,"")</x:f>
      </x:c>
      <x:c r="L340" s="10"/>
      <x:c r="M340" s="11"/>
      <x:c r="N340" s="10" t="str">
        <x:f>IF(AND(Z340="共同",COUNT(H340:I340)=2),H340-I340,"")</x:f>
      </x:c>
      <x:c r="O340" s="10"/>
      <x:c r="P340" s="10" t="n">
        <x:v>0</x:v>
      </x:c>
      <x:c r="Q340" s="10" t="n">
        <x:v>0</x:v>
      </x:c>
      <x:c r="R340" s="10" t="n">
        <x:v>0</x:v>
      </x:c>
      <x:c r="S340" s="10" t="n">
        <x:v>0</x:v>
      </x:c>
      <x:c r="T340" s="10" t="n">
        <x:v>0</x:v>
      </x:c>
      <x:c r="U340" s="10" t="n">
        <x:f>IF(AND(ISNUMBER(X340),X340&gt;=0,Y340&lt;&gt;1),X340,"")</x:f>
        <x:v>0</x:v>
      </x:c>
      <x:c r="V340" s="10" t="n">
        <x:v>0</x:v>
      </x:c>
      <x:c r="W340" s="10" t="n">
        <x:v>0</x:v>
      </x:c>
      <x:c r="X340" s="10" t="n">
        <x:v>0</x:v>
      </x:c>
      <x:c r="Y340" s="3" t="n">
        <x:v>0</x:v>
      </x:c>
      <x:c r="Z340" s="3" t="str">
        <x:v>新增</x:v>
      </x:c>
      <x:c r="AA340" s="3" t="str">
        <x:v>停售</x:v>
      </x:c>
      <x:c r="AB340" s="12" t="str">
        <x:f>IF(AND(Z340="共同",ISNUMBER(G340),ISNUMBER(AD340)),G340-AD340,"")</x:f>
      </x:c>
      <x:c r="AC340" s="3" t="str">
        <x:v>近90天SKU销量未匹配，未按0处理</x:v>
      </x:c>
      <x:c r="AD340" s="12"/>
      <x:c r="AE340" s="3" t="str">
        <x:v>[6574,"1S01-TN-36"]</x:v>
      </x:c>
      <x:c r="AF340" t="n">
        <x:f>IF(ISNUMBER(H340),1,0)</x:f>
        <x:v>1</x:v>
      </x:c>
      <x:c r="AG340" t="n">
        <x:f>IF(ISNUMBER(I340),1,0)</x:f>
        <x:v>0</x:v>
      </x:c>
      <x:c r="AH340" t="str">
        <x:v>["1S01","1S01-TN","TN","驼色"]</x:v>
      </x:c>
      <x:c r="AI340" t="n">
        <x:f>IF(ISNUMBER(G340),1,0)</x:f>
        <x:v>1</x:v>
      </x:c>
      <x:c r="AJ340" t="n">
        <x:f>IF(ISNUMBER(AD340),1,0)</x:f>
        <x:v>0</x:v>
      </x:c>
    </x:row>
    <x:row r="341" ht="30" customHeight="1">
      <x:c r="A341" s="3" t="str">
        <x:v>1S01-TN-37.5</x:v>
      </x:c>
      <x:c r="B341" s="3" t="str">
        <x:v>3店-SANDIEX-US</x:v>
      </x:c>
      <x:c r="C341" s="3" t="str">
        <x:v>徐新怡</x:v>
      </x:c>
      <x:c r="D341" s="3" t="str">
        <x:v>1S01</x:v>
      </x:c>
      <x:c r="E341" s="3" t="str">
        <x:f>IF(Z341="移出","已移出",IF(NOT(ISNUMBER(H341)),"数据待核",IF(H341=0,"断货",IF(NOT(ISNUMBER(G341)),"数据待核",IF(G341=0,"零日销待复核",IF(F341&lt;60,"补货提醒",IF(F341&lt;=90,"正常库存",IF(F341&lt;180,"促销",IF(F341&lt;=365,"红线促销","考虑清仓")))))))))</x:f>
        <x:v>断货</x:v>
      </x:c>
      <x:c r="F341" s="11" t="n">
        <x:f>IF(AND(ISNUMBER(H341),ISNUMBER(G341),G341&gt;0),H341/G341,"")</x:f>
        <x:v>0</x:v>
      </x:c>
      <x:c r="G341" s="12" t="n">
        <x:f>IF(AND(COUNT(P341:R341)=3,MIN(P341:R341)&gt;=0,P341&lt;=Q341,Q341&lt;=R341),P341/7*0.5+Q341/14*0.3+R341/30*0.2,"")</x:f>
        <x:v>0.22714285714285715</x:v>
      </x:c>
      <x:c r="H341" s="10" t="n">
        <x:f>IF(ISNUMBER(U341),U341,"")</x:f>
        <x:v>0</x:v>
      </x:c>
      <x:c r="I341" s="10" t="n">
        <x:v>3</x:v>
      </x:c>
      <x:c r="J341" s="11" t="n">
        <x:f>IF(AND(Z341="共同",ISNUMBER(F341),ISNUMBER(M341)),F341-M341,"")</x:f>
        <x:v>-450.00000000000006</x:v>
      </x:c>
      <x:c r="K341" s="13" t="n">
        <x:f>IF(AND(ISNUMBER(J341),M341&lt;&gt;0),J341/M341,"")</x:f>
        <x:v>-1</x:v>
      </x:c>
      <x:c r="L341" s="10" t="str">
        <x:v>考虑清仓</x:v>
      </x:c>
      <x:c r="M341" s="11" t="n">
        <x:v>450.00000000000006</x:v>
      </x:c>
      <x:c r="N341" s="10" t="n">
        <x:f>IF(AND(Z341="共同",COUNT(H341:I341)=2),H341-I341,"")</x:f>
        <x:v>-3</x:v>
      </x:c>
      <x:c r="O341" s="10" t="n">
        <x:v>10</x:v>
      </x:c>
      <x:c r="P341" s="10" t="n">
        <x:v>2</x:v>
      </x:c>
      <x:c r="Q341" s="10" t="n">
        <x:v>3</x:v>
      </x:c>
      <x:c r="R341" s="10" t="n">
        <x:v>3</x:v>
      </x:c>
      <x:c r="S341" s="10" t="n">
        <x:v>1</x:v>
      </x:c>
      <x:c r="T341" s="10" t="n">
        <x:v>1</x:v>
      </x:c>
      <x:c r="U341" s="10" t="n">
        <x:f>IF(AND(ISNUMBER(X341),X341&gt;=0,Y341&lt;&gt;1),X341,"")</x:f>
        <x:v>0</x:v>
      </x:c>
      <x:c r="V341" s="10" t="n">
        <x:v>0</x:v>
      </x:c>
      <x:c r="W341" s="10" t="n">
        <x:v>0</x:v>
      </x:c>
      <x:c r="X341" s="10" t="n">
        <x:v>0</x:v>
      </x:c>
      <x:c r="Y341" s="3" t="n">
        <x:v>0</x:v>
      </x:c>
      <x:c r="Z341" s="3" t="str">
        <x:v>共同</x:v>
      </x:c>
      <x:c r="AA341" s="3" t="str">
        <x:v>在售</x:v>
      </x:c>
      <x:c r="AB341" s="12" t="n">
        <x:f>IF(AND(Z341="共同",ISNUMBER(G341),ISNUMBER(AD341)),G341-AD341,"")</x:f>
        <x:v>0.2204761904761905</x:v>
      </x:c>
      <x:c r="AC341" s="3" t="str"/>
      <x:c r="AD341" s="12" t="n">
        <x:v>0.006666666666666666</x:v>
      </x:c>
      <x:c r="AE341" s="3" t="str">
        <x:v>[6574,"1S01-TN-37.5"]</x:v>
      </x:c>
      <x:c r="AF341" t="n">
        <x:f>IF(ISNUMBER(H341),1,0)</x:f>
        <x:v>1</x:v>
      </x:c>
      <x:c r="AG341" t="n">
        <x:f>IF(ISNUMBER(I341),1,0)</x:f>
        <x:v>1</x:v>
      </x:c>
      <x:c r="AH341" t="str">
        <x:v>["1S01","1S01-TN","TN","驼色"]</x:v>
      </x:c>
      <x:c r="AI341" t="n">
        <x:f>IF(ISNUMBER(G341),1,0)</x:f>
        <x:v>1</x:v>
      </x:c>
      <x:c r="AJ341" t="n">
        <x:f>IF(ISNUMBER(AD341),1,0)</x:f>
        <x:v>1</x:v>
      </x:c>
    </x:row>
    <x:row r="342" ht="30" customHeight="1">
      <x:c r="A342" s="3" t="str">
        <x:v>1S01-TN-38</x:v>
      </x:c>
      <x:c r="B342" s="3" t="str">
        <x:v>3店-SANDIEX-US</x:v>
      </x:c>
      <x:c r="C342" s="3" t="str">
        <x:v>徐新怡</x:v>
      </x:c>
      <x:c r="D342" s="3" t="str">
        <x:v>1S01</x:v>
      </x:c>
      <x:c r="E342" s="3" t="str">
        <x:f>IF(Z342="移出","已移出",IF(NOT(ISNUMBER(H342)),"数据待核",IF(H342=0,"断货",IF(NOT(ISNUMBER(G342)),"数据待核",IF(G342=0,"零日销待复核",IF(F342&lt;60,"补货提醒",IF(F342&lt;=90,"正常库存",IF(F342&lt;180,"促销",IF(F342&lt;=365,"红线促销","考虑清仓")))))))))</x:f>
        <x:v>断货</x:v>
      </x:c>
      <x:c r="F342" s="11" t="n">
        <x:f>IF(AND(ISNUMBER(H342),ISNUMBER(G342),G342&gt;0),H342/G342,"")</x:f>
        <x:v>0</x:v>
      </x:c>
      <x:c r="G342" s="12" t="n">
        <x:f>IF(AND(COUNT(P342:R342)=3,MIN(P342:R342)&gt;=0,P342&lt;=Q342,Q342&lt;=R342),P342/7*0.5+Q342/14*0.3+R342/30*0.2,"")</x:f>
        <x:v>0.006666666666666667</x:v>
      </x:c>
      <x:c r="H342" s="10" t="n">
        <x:f>IF(ISNUMBER(U342),U342,"")</x:f>
        <x:v>0</x:v>
      </x:c>
      <x:c r="I342" s="10" t="n">
        <x:v>0</x:v>
      </x:c>
      <x:c r="J342" s="11" t="n">
        <x:f>IF(AND(Z342="共同",ISNUMBER(F342),ISNUMBER(M342)),F342-M342,"")</x:f>
        <x:v>0</x:v>
      </x:c>
      <x:c r="K342" s="13" t="str">
        <x:f>IF(AND(ISNUMBER(J342),M342&lt;&gt;0),J342/M342,"")</x:f>
      </x:c>
      <x:c r="L342" s="10" t="str">
        <x:v>断货</x:v>
      </x:c>
      <x:c r="M342" s="11" t="n">
        <x:v>0</x:v>
      </x:c>
      <x:c r="N342" s="10" t="n">
        <x:f>IF(AND(Z342="共同",COUNT(H342:I342)=2),H342-I342,"")</x:f>
        <x:v>0</x:v>
      </x:c>
      <x:c r="O342" s="10" t="n">
        <x:v>2</x:v>
      </x:c>
      <x:c r="P342" s="10" t="n">
        <x:v>0</x:v>
      </x:c>
      <x:c r="Q342" s="10" t="n">
        <x:v>0</x:v>
      </x:c>
      <x:c r="R342" s="10" t="n">
        <x:v>1</x:v>
      </x:c>
      <x:c r="S342" s="10" t="n">
        <x:v>0</x:v>
      </x:c>
      <x:c r="T342" s="10" t="n">
        <x:v>0</x:v>
      </x:c>
      <x:c r="U342" s="10" t="n">
        <x:f>IF(AND(ISNUMBER(X342),X342&gt;=0,Y342&lt;&gt;1),X342,"")</x:f>
        <x:v>0</x:v>
      </x:c>
      <x:c r="V342" s="10" t="n">
        <x:v>0</x:v>
      </x:c>
      <x:c r="W342" s="10" t="n">
        <x:v>0</x:v>
      </x:c>
      <x:c r="X342" s="10" t="n">
        <x:v>0</x:v>
      </x:c>
      <x:c r="Y342" s="3" t="n">
        <x:v>0</x:v>
      </x:c>
      <x:c r="Z342" s="3" t="str">
        <x:v>共同</x:v>
      </x:c>
      <x:c r="AA342" s="3" t="str">
        <x:v>停售</x:v>
      </x:c>
      <x:c r="AB342" s="12" t="n">
        <x:f>IF(AND(Z342="共同",ISNUMBER(G342),ISNUMBER(AD342)),G342-AD342,"")</x:f>
        <x:v>-0.02809523809523809</x:v>
      </x:c>
      <x:c r="AC342" s="3" t="str"/>
      <x:c r="AD342" s="12" t="n">
        <x:v>0.03476190476190476</x:v>
      </x:c>
      <x:c r="AE342" s="3" t="str">
        <x:v>[6574,"1S01-TN-38"]</x:v>
      </x:c>
      <x:c r="AF342" t="n">
        <x:f>IF(ISNUMBER(H342),1,0)</x:f>
        <x:v>1</x:v>
      </x:c>
      <x:c r="AG342" t="n">
        <x:f>IF(ISNUMBER(I342),1,0)</x:f>
        <x:v>1</x:v>
      </x:c>
      <x:c r="AH342" t="str">
        <x:v>["1S01","1S01-TN","TN","驼色"]</x:v>
      </x:c>
      <x:c r="AI342" t="n">
        <x:f>IF(ISNUMBER(G342),1,0)</x:f>
        <x:v>1</x:v>
      </x:c>
      <x:c r="AJ342" t="n">
        <x:f>IF(ISNUMBER(AD342),1,0)</x:f>
        <x:v>1</x:v>
      </x:c>
    </x:row>
    <x:row r="343" ht="30" customHeight="1">
      <x:c r="A343" s="3" t="str">
        <x:v>1S01-TN-38.5</x:v>
      </x:c>
      <x:c r="B343" s="3" t="str">
        <x:v>3店-SANDIEX-US</x:v>
      </x:c>
      <x:c r="C343" s="3" t="str">
        <x:v>徐新怡</x:v>
      </x:c>
      <x:c r="D343" s="3" t="str">
        <x:v>1S01</x:v>
      </x:c>
      <x:c r="E343" s="3" t="str">
        <x:f>IF(Z343="移出","已移出",IF(NOT(ISNUMBER(H343)),"数据待核",IF(H343=0,"断货",IF(NOT(ISNUMBER(G343)),"数据待核",IF(G343=0,"零日销待复核",IF(F343&lt;60,"补货提醒",IF(F343&lt;=90,"正常库存",IF(F343&lt;180,"促销",IF(F343&lt;=365,"红线促销","考虑清仓")))))))))</x:f>
        <x:v>断货</x:v>
      </x:c>
      <x:c r="F343" s="11" t="str">
        <x:f>IF(AND(ISNUMBER(H343),ISNUMBER(G343),G343&gt;0),H343/G343,"")</x:f>
      </x:c>
      <x:c r="G343" s="12" t="n">
        <x:f>IF(AND(COUNT(P343:R343)=3,MIN(P343:R343)&gt;=0,P343&lt;=Q343,Q343&lt;=R343),P343/7*0.5+Q343/14*0.3+R343/30*0.2,"")</x:f>
        <x:v>0</x:v>
      </x:c>
      <x:c r="H343" s="10" t="n">
        <x:f>IF(ISNUMBER(U343),U343,"")</x:f>
        <x:v>0</x:v>
      </x:c>
      <x:c r="I343" s="10"/>
      <x:c r="J343" s="11" t="str">
        <x:f>IF(AND(Z343="共同",ISNUMBER(F343),ISNUMBER(M343)),F343-M343,"")</x:f>
      </x:c>
      <x:c r="K343" s="13" t="str">
        <x:f>IF(AND(ISNUMBER(J343),M343&lt;&gt;0),J343/M343,"")</x:f>
      </x:c>
      <x:c r="L343" s="10"/>
      <x:c r="M343" s="11"/>
      <x:c r="N343" s="10" t="str">
        <x:f>IF(AND(Z343="共同",COUNT(H343:I343)=2),H343-I343,"")</x:f>
      </x:c>
      <x:c r="O343" s="10"/>
      <x:c r="P343" s="10" t="n">
        <x:v>0</x:v>
      </x:c>
      <x:c r="Q343" s="10" t="n">
        <x:v>0</x:v>
      </x:c>
      <x:c r="R343" s="10" t="n">
        <x:v>0</x:v>
      </x:c>
      <x:c r="S343" s="10" t="n">
        <x:v>0</x:v>
      </x:c>
      <x:c r="T343" s="10" t="n">
        <x:v>0</x:v>
      </x:c>
      <x:c r="U343" s="10" t="n">
        <x:f>IF(AND(ISNUMBER(X343),X343&gt;=0,Y343&lt;&gt;1),X343,"")</x:f>
        <x:v>0</x:v>
      </x:c>
      <x:c r="V343" s="10" t="n">
        <x:v>0</x:v>
      </x:c>
      <x:c r="W343" s="10" t="n">
        <x:v>0</x:v>
      </x:c>
      <x:c r="X343" s="10" t="n">
        <x:v>0</x:v>
      </x:c>
      <x:c r="Y343" s="3" t="n">
        <x:v>0</x:v>
      </x:c>
      <x:c r="Z343" s="3" t="str">
        <x:v>新增</x:v>
      </x:c>
      <x:c r="AA343" s="3" t="str">
        <x:v>停售</x:v>
      </x:c>
      <x:c r="AB343" s="12" t="str">
        <x:f>IF(AND(Z343="共同",ISNUMBER(G343),ISNUMBER(AD343)),G343-AD343,"")</x:f>
      </x:c>
      <x:c r="AC343" s="3" t="str">
        <x:v>近90天SKU销量未匹配，未按0处理</x:v>
      </x:c>
      <x:c r="AD343" s="12"/>
      <x:c r="AE343" s="3" t="str">
        <x:v>[6574,"1S01-TN-38.5"]</x:v>
      </x:c>
      <x:c r="AF343" t="n">
        <x:f>IF(ISNUMBER(H343),1,0)</x:f>
        <x:v>1</x:v>
      </x:c>
      <x:c r="AG343" t="n">
        <x:f>IF(ISNUMBER(I343),1,0)</x:f>
        <x:v>0</x:v>
      </x:c>
      <x:c r="AH343" t="str">
        <x:v>["1S01","1S01-TN","TN","驼色"]</x:v>
      </x:c>
      <x:c r="AI343" t="n">
        <x:f>IF(ISNUMBER(G343),1,0)</x:f>
        <x:v>1</x:v>
      </x:c>
      <x:c r="AJ343" t="n">
        <x:f>IF(ISNUMBER(AD343),1,0)</x:f>
        <x:v>0</x:v>
      </x:c>
    </x:row>
    <x:row r="344" ht="30" customHeight="1">
      <x:c r="A344" s="3" t="str">
        <x:v>1S01-TN-42</x:v>
      </x:c>
      <x:c r="B344" s="3" t="str">
        <x:v>3店-SANDIEX-US</x:v>
      </x:c>
      <x:c r="C344" s="3" t="str">
        <x:v>徐新怡</x:v>
      </x:c>
      <x:c r="D344" s="3" t="str">
        <x:v>1S01</x:v>
      </x:c>
      <x:c r="E344" s="3" t="str">
        <x:f>IF(Z344="移出","已移出",IF(NOT(ISNUMBER(H344)),"数据待核",IF(H344=0,"断货",IF(NOT(ISNUMBER(G344)),"数据待核",IF(G344=0,"零日销待复核",IF(F344&lt;60,"补货提醒",IF(F344&lt;=90,"正常库存",IF(F344&lt;180,"促销",IF(F344&lt;=365,"红线促销","考虑清仓")))))))))</x:f>
        <x:v>断货</x:v>
      </x:c>
      <x:c r="F344" s="11" t="str">
        <x:f>IF(AND(ISNUMBER(H344),ISNUMBER(G344),G344&gt;0),H344/G344,"")</x:f>
      </x:c>
      <x:c r="G344" s="12" t="n">
        <x:f>IF(AND(COUNT(P344:R344)=3,MIN(P344:R344)&gt;=0,P344&lt;=Q344,Q344&lt;=R344),P344/7*0.5+Q344/14*0.3+R344/30*0.2,"")</x:f>
        <x:v>0</x:v>
      </x:c>
      <x:c r="H344" s="10" t="n">
        <x:f>IF(ISNUMBER(U344),U344,"")</x:f>
        <x:v>0</x:v>
      </x:c>
      <x:c r="I344" s="10" t="n">
        <x:v>0</x:v>
      </x:c>
      <x:c r="J344" s="11" t="str">
        <x:f>IF(AND(Z344="共同",ISNUMBER(F344),ISNUMBER(M344)),F344-M344,"")</x:f>
      </x:c>
      <x:c r="K344" s="13" t="str">
        <x:f>IF(AND(ISNUMBER(J344),M344&lt;&gt;0),J344/M344,"")</x:f>
      </x:c>
      <x:c r="L344" s="10" t="str">
        <x:v>断货</x:v>
      </x:c>
      <x:c r="M344" s="11"/>
      <x:c r="N344" s="10" t="n">
        <x:f>IF(AND(Z344="共同",COUNT(H344:I344)=2),H344-I344,"")</x:f>
        <x:v>0</x:v>
      </x:c>
      <x:c r="O344" s="10" t="n">
        <x:v>0</x:v>
      </x:c>
      <x:c r="P344" s="10" t="n">
        <x:v>0</x:v>
      </x:c>
      <x:c r="Q344" s="10" t="n">
        <x:v>0</x:v>
      </x:c>
      <x:c r="R344" s="10" t="n">
        <x:v>0</x:v>
      </x:c>
      <x:c r="S344" s="10" t="n">
        <x:v>0</x:v>
      </x:c>
      <x:c r="T344" s="10" t="n">
        <x:v>0</x:v>
      </x:c>
      <x:c r="U344" s="10" t="n">
        <x:f>IF(AND(ISNUMBER(X344),X344&gt;=0,Y344&lt;&gt;1),X344,"")</x:f>
        <x:v>0</x:v>
      </x:c>
      <x:c r="V344" s="10" t="n">
        <x:v>0</x:v>
      </x:c>
      <x:c r="W344" s="10" t="n">
        <x:v>0</x:v>
      </x:c>
      <x:c r="X344" s="10" t="n">
        <x:v>0</x:v>
      </x:c>
      <x:c r="Y344" s="3" t="n">
        <x:v>0</x:v>
      </x:c>
      <x:c r="Z344" s="3" t="str">
        <x:v>共同</x:v>
      </x:c>
      <x:c r="AA344" s="3" t="str">
        <x:v>停售</x:v>
      </x:c>
      <x:c r="AB344" s="12" t="str">
        <x:f>IF(AND(Z344="共同",ISNUMBER(G344),ISNUMBER(AD344)),G344-AD344,"")</x:f>
      </x:c>
      <x:c r="AC344" s="3" t="str">
        <x:v>近90天SKU销量未匹配，未按0处理</x:v>
      </x:c>
      <x:c r="AD344" s="12"/>
      <x:c r="AE344" s="3" t="str">
        <x:v>[6574,"1S01-TN-42"]</x:v>
      </x:c>
      <x:c r="AF344" t="n">
        <x:f>IF(ISNUMBER(H344),1,0)</x:f>
        <x:v>1</x:v>
      </x:c>
      <x:c r="AG344" t="n">
        <x:f>IF(ISNUMBER(I344),1,0)</x:f>
        <x:v>1</x:v>
      </x:c>
      <x:c r="AH344" t="str">
        <x:v>["1S01","1S01-TN","TN","驼色"]</x:v>
      </x:c>
      <x:c r="AI344" t="n">
        <x:f>IF(ISNUMBER(G344),1,0)</x:f>
        <x:v>1</x:v>
      </x:c>
      <x:c r="AJ344" t="n">
        <x:f>IF(ISNUMBER(AD344),1,0)</x:f>
        <x:v>0</x:v>
      </x:c>
    </x:row>
    <x:row r="345" ht="30" customHeight="1">
      <x:c r="A345" s="3" t="str">
        <x:v>1S01-WT-10</x:v>
      </x:c>
      <x:c r="B345" s="3" t="str">
        <x:v>3店-SANDIEX-US</x:v>
      </x:c>
      <x:c r="C345" s="3" t="str">
        <x:v>徐新怡</x:v>
      </x:c>
      <x:c r="D345" s="3" t="str">
        <x:v>1S01</x:v>
      </x:c>
      <x:c r="E345" s="3" t="str">
        <x:f>IF(Z345="移出","已移出",IF(NOT(ISNUMBER(H345)),"数据待核",IF(H345=0,"断货",IF(NOT(ISNUMBER(G345)),"数据待核",IF(G345=0,"零日销待复核",IF(F345&lt;60,"补货提醒",IF(F345&lt;=90,"正常库存",IF(F345&lt;180,"促销",IF(F345&lt;=365,"红线促销","考虑清仓")))))))))</x:f>
        <x:v>断货</x:v>
      </x:c>
      <x:c r="F345" s="11" t="str">
        <x:f>IF(AND(ISNUMBER(H345),ISNUMBER(G345),G345&gt;0),H345/G345,"")</x:f>
      </x:c>
      <x:c r="G345" s="12" t="n">
        <x:f>IF(AND(COUNT(P345:R345)=3,MIN(P345:R345)&gt;=0,P345&lt;=Q345,Q345&lt;=R345),P345/7*0.5+Q345/14*0.3+R345/30*0.2,"")</x:f>
        <x:v>0</x:v>
      </x:c>
      <x:c r="H345" s="10" t="n">
        <x:f>IF(ISNUMBER(U345),U345,"")</x:f>
        <x:v>0</x:v>
      </x:c>
      <x:c r="I345" s="10" t="n">
        <x:v>0</x:v>
      </x:c>
      <x:c r="J345" s="11" t="str">
        <x:f>IF(AND(Z345="共同",ISNUMBER(F345),ISNUMBER(M345)),F345-M345,"")</x:f>
      </x:c>
      <x:c r="K345" s="13" t="str">
        <x:f>IF(AND(ISNUMBER(J345),M345&lt;&gt;0),J345/M345,"")</x:f>
      </x:c>
      <x:c r="L345" s="10" t="str">
        <x:v>断货</x:v>
      </x:c>
      <x:c r="M345" s="11"/>
      <x:c r="N345" s="10" t="n">
        <x:f>IF(AND(Z345="共同",COUNT(H345:I345)=2),H345-I345,"")</x:f>
        <x:v>0</x:v>
      </x:c>
      <x:c r="O345" s="10" t="n">
        <x:v>0</x:v>
      </x:c>
      <x:c r="P345" s="10" t="n">
        <x:v>0</x:v>
      </x:c>
      <x:c r="Q345" s="10" t="n">
        <x:v>0</x:v>
      </x:c>
      <x:c r="R345" s="10" t="n">
        <x:v>0</x:v>
      </x:c>
      <x:c r="S345" s="10" t="n">
        <x:v>0</x:v>
      </x:c>
      <x:c r="T345" s="10" t="n">
        <x:v>0</x:v>
      </x:c>
      <x:c r="U345" s="10" t="n">
        <x:f>IF(AND(ISNUMBER(X345),X345&gt;=0,Y345&lt;&gt;1),X345,"")</x:f>
        <x:v>0</x:v>
      </x:c>
      <x:c r="V345" s="10" t="n">
        <x:v>0</x:v>
      </x:c>
      <x:c r="W345" s="10" t="n">
        <x:v>0</x:v>
      </x:c>
      <x:c r="X345" s="10" t="n">
        <x:v>0</x:v>
      </x:c>
      <x:c r="Y345" s="3" t="n">
        <x:v>0</x:v>
      </x:c>
      <x:c r="Z345" s="3" t="str">
        <x:v>共同</x:v>
      </x:c>
      <x:c r="AA345" s="3" t="str">
        <x:v>停售</x:v>
      </x:c>
      <x:c r="AB345" s="12" t="str">
        <x:f>IF(AND(Z345="共同",ISNUMBER(G345),ISNUMBER(AD345)),G345-AD345,"")</x:f>
      </x:c>
      <x:c r="AC345" s="3" t="str">
        <x:v>近90天SKU销量未匹配，未按0处理</x:v>
      </x:c>
      <x:c r="AD345" s="12"/>
      <x:c r="AE345" s="3" t="str">
        <x:v>[6574,"1S01-WT-10"]</x:v>
      </x:c>
      <x:c r="AF345" t="n">
        <x:f>IF(ISNUMBER(H345),1,0)</x:f>
        <x:v>1</x:v>
      </x:c>
      <x:c r="AG345" t="n">
        <x:f>IF(ISNUMBER(I345),1,0)</x:f>
        <x:v>1</x:v>
      </x:c>
      <x:c r="AH345" t="str">
        <x:v>["1S01","1S01-WT","WT","白色"]</x:v>
      </x:c>
      <x:c r="AI345" t="n">
        <x:f>IF(ISNUMBER(G345),1,0)</x:f>
        <x:v>1</x:v>
      </x:c>
      <x:c r="AJ345" t="n">
        <x:f>IF(ISNUMBER(AD345),1,0)</x:f>
        <x:v>0</x:v>
      </x:c>
    </x:row>
    <x:row r="346" ht="30" customHeight="1">
      <x:c r="A346" s="3" t="str">
        <x:v>1S01-WT-11</x:v>
      </x:c>
      <x:c r="B346" s="3" t="str">
        <x:v>3店-SANDIEX-US</x:v>
      </x:c>
      <x:c r="C346" s="3" t="str">
        <x:v>徐新怡</x:v>
      </x:c>
      <x:c r="D346" s="3" t="str">
        <x:v>1S01</x:v>
      </x:c>
      <x:c r="E346" s="3" t="str">
        <x:f>IF(Z346="移出","已移出",IF(NOT(ISNUMBER(H346)),"数据待核",IF(H346=0,"断货",IF(NOT(ISNUMBER(G346)),"数据待核",IF(G346=0,"零日销待复核",IF(F346&lt;60,"补货提醒",IF(F346&lt;=90,"正常库存",IF(F346&lt;180,"促销",IF(F346&lt;=365,"红线促销","考虑清仓")))))))))</x:f>
        <x:v>断货</x:v>
      </x:c>
      <x:c r="F346" s="11" t="str">
        <x:f>IF(AND(ISNUMBER(H346),ISNUMBER(G346),G346&gt;0),H346/G346,"")</x:f>
      </x:c>
      <x:c r="G346" s="12" t="n">
        <x:f>IF(AND(COUNT(P346:R346)=3,MIN(P346:R346)&gt;=0,P346&lt;=Q346,Q346&lt;=R346),P346/7*0.5+Q346/14*0.3+R346/30*0.2,"")</x:f>
        <x:v>0</x:v>
      </x:c>
      <x:c r="H346" s="10" t="n">
        <x:f>IF(ISNUMBER(U346),U346,"")</x:f>
        <x:v>0</x:v>
      </x:c>
      <x:c r="I346" s="10" t="n">
        <x:v>0</x:v>
      </x:c>
      <x:c r="J346" s="11" t="str">
        <x:f>IF(AND(Z346="共同",ISNUMBER(F346),ISNUMBER(M346)),F346-M346,"")</x:f>
      </x:c>
      <x:c r="K346" s="13" t="str">
        <x:f>IF(AND(ISNUMBER(J346),M346&lt;&gt;0),J346/M346,"")</x:f>
      </x:c>
      <x:c r="L346" s="10" t="str">
        <x:v>断货</x:v>
      </x:c>
      <x:c r="M346" s="11"/>
      <x:c r="N346" s="10" t="n">
        <x:f>IF(AND(Z346="共同",COUNT(H346:I346)=2),H346-I346,"")</x:f>
        <x:v>0</x:v>
      </x:c>
      <x:c r="O346" s="10" t="n">
        <x:v>0</x:v>
      </x:c>
      <x:c r="P346" s="10" t="n">
        <x:v>0</x:v>
      </x:c>
      <x:c r="Q346" s="10" t="n">
        <x:v>0</x:v>
      </x:c>
      <x:c r="R346" s="10" t="n">
        <x:v>0</x:v>
      </x:c>
      <x:c r="S346" s="10" t="n">
        <x:v>0</x:v>
      </x:c>
      <x:c r="T346" s="10" t="n">
        <x:v>0</x:v>
      </x:c>
      <x:c r="U346" s="10" t="n">
        <x:f>IF(AND(ISNUMBER(X346),X346&gt;=0,Y346&lt;&gt;1),X346,"")</x:f>
        <x:v>0</x:v>
      </x:c>
      <x:c r="V346" s="10" t="n">
        <x:v>0</x:v>
      </x:c>
      <x:c r="W346" s="10" t="n">
        <x:v>0</x:v>
      </x:c>
      <x:c r="X346" s="10" t="n">
        <x:v>0</x:v>
      </x:c>
      <x:c r="Y346" s="3" t="n">
        <x:v>0</x:v>
      </x:c>
      <x:c r="Z346" s="3" t="str">
        <x:v>共同</x:v>
      </x:c>
      <x:c r="AA346" s="3" t="str">
        <x:v>停售</x:v>
      </x:c>
      <x:c r="AB346" s="12" t="str">
        <x:f>IF(AND(Z346="共同",ISNUMBER(G346),ISNUMBER(AD346)),G346-AD346,"")</x:f>
      </x:c>
      <x:c r="AC346" s="3" t="str">
        <x:v>近90天SKU销量未匹配，未按0处理</x:v>
      </x:c>
      <x:c r="AD346" s="12"/>
      <x:c r="AE346" s="3" t="str">
        <x:v>[6574,"1S01-WT-11"]</x:v>
      </x:c>
      <x:c r="AF346" t="n">
        <x:f>IF(ISNUMBER(H346),1,0)</x:f>
        <x:v>1</x:v>
      </x:c>
      <x:c r="AG346" t="n">
        <x:f>IF(ISNUMBER(I346),1,0)</x:f>
        <x:v>1</x:v>
      </x:c>
      <x:c r="AH346" t="str">
        <x:v>["1S01","1S01-WT","WT","白色"]</x:v>
      </x:c>
      <x:c r="AI346" t="n">
        <x:f>IF(ISNUMBER(G346),1,0)</x:f>
        <x:v>1</x:v>
      </x:c>
      <x:c r="AJ346" t="n">
        <x:f>IF(ISNUMBER(AD346),1,0)</x:f>
        <x:v>0</x:v>
      </x:c>
    </x:row>
    <x:row r="347" ht="30" customHeight="1">
      <x:c r="A347" s="3" t="str">
        <x:v>1S01-WT-37.5</x:v>
      </x:c>
      <x:c r="B347" s="3" t="str">
        <x:v>3店-SANDIEX-US</x:v>
      </x:c>
      <x:c r="C347" s="3" t="str">
        <x:v>徐新怡</x:v>
      </x:c>
      <x:c r="D347" s="3" t="str">
        <x:v>1S01</x:v>
      </x:c>
      <x:c r="E347" s="3" t="str">
        <x:f>IF(Z347="移出","已移出",IF(NOT(ISNUMBER(H347)),"数据待核",IF(H347=0,"断货",IF(NOT(ISNUMBER(G347)),"数据待核",IF(G347=0,"零日销待复核",IF(F347&lt;60,"补货提醒",IF(F347&lt;=90,"正常库存",IF(F347&lt;180,"促销",IF(F347&lt;=365,"红线促销","考虑清仓")))))))))</x:f>
        <x:v>断货</x:v>
      </x:c>
      <x:c r="F347" s="11" t="str">
        <x:f>IF(AND(ISNUMBER(H347),ISNUMBER(G347),G347&gt;0),H347/G347,"")</x:f>
      </x:c>
      <x:c r="G347" s="12" t="n">
        <x:f>IF(AND(COUNT(P347:R347)=3,MIN(P347:R347)&gt;=0,P347&lt;=Q347,Q347&lt;=R347),P347/7*0.5+Q347/14*0.3+R347/30*0.2,"")</x:f>
        <x:v>0</x:v>
      </x:c>
      <x:c r="H347" s="10" t="n">
        <x:f>IF(ISNUMBER(U347),U347,"")</x:f>
        <x:v>0</x:v>
      </x:c>
      <x:c r="I347" s="10"/>
      <x:c r="J347" s="11" t="str">
        <x:f>IF(AND(Z347="共同",ISNUMBER(F347),ISNUMBER(M347)),F347-M347,"")</x:f>
      </x:c>
      <x:c r="K347" s="13" t="str">
        <x:f>IF(AND(ISNUMBER(J347),M347&lt;&gt;0),J347/M347,"")</x:f>
      </x:c>
      <x:c r="L347" s="10"/>
      <x:c r="M347" s="11"/>
      <x:c r="N347" s="10" t="str">
        <x:f>IF(AND(Z347="共同",COUNT(H347:I347)=2),H347-I347,"")</x:f>
      </x:c>
      <x:c r="O347" s="10"/>
      <x:c r="P347" s="10" t="n">
        <x:v>0</x:v>
      </x:c>
      <x:c r="Q347" s="10" t="n">
        <x:v>0</x:v>
      </x:c>
      <x:c r="R347" s="10" t="n">
        <x:v>0</x:v>
      </x:c>
      <x:c r="S347" s="10" t="n">
        <x:v>0</x:v>
      </x:c>
      <x:c r="T347" s="10" t="n">
        <x:v>0</x:v>
      </x:c>
      <x:c r="U347" s="10" t="n">
        <x:f>IF(AND(ISNUMBER(X347),X347&gt;=0,Y347&lt;&gt;1),X347,"")</x:f>
        <x:v>0</x:v>
      </x:c>
      <x:c r="V347" s="10" t="n">
        <x:v>0</x:v>
      </x:c>
      <x:c r="W347" s="10" t="n">
        <x:v>0</x:v>
      </x:c>
      <x:c r="X347" s="10" t="n">
        <x:v>0</x:v>
      </x:c>
      <x:c r="Y347" s="3" t="n">
        <x:v>0</x:v>
      </x:c>
      <x:c r="Z347" s="3" t="str">
        <x:v>新增</x:v>
      </x:c>
      <x:c r="AA347" s="3" t="str">
        <x:v>停售</x:v>
      </x:c>
      <x:c r="AB347" s="12" t="str">
        <x:f>IF(AND(Z347="共同",ISNUMBER(G347),ISNUMBER(AD347)),G347-AD347,"")</x:f>
      </x:c>
      <x:c r="AC347" s="3" t="str">
        <x:v>近90天SKU销量未匹配，未按0处理</x:v>
      </x:c>
      <x:c r="AD347" s="12"/>
      <x:c r="AE347" s="3" t="str">
        <x:v>[6574,"1S01-WT-37.5"]</x:v>
      </x:c>
      <x:c r="AF347" t="n">
        <x:f>IF(ISNUMBER(H347),1,0)</x:f>
        <x:v>1</x:v>
      </x:c>
      <x:c r="AG347" t="n">
        <x:f>IF(ISNUMBER(I347),1,0)</x:f>
        <x:v>0</x:v>
      </x:c>
      <x:c r="AH347" t="str">
        <x:v>["1S01","1S01-WT","WT","白色"]</x:v>
      </x:c>
      <x:c r="AI347" t="n">
        <x:f>IF(ISNUMBER(G347),1,0)</x:f>
        <x:v>1</x:v>
      </x:c>
      <x:c r="AJ347" t="n">
        <x:f>IF(ISNUMBER(AD347),1,0)</x:f>
        <x:v>0</x:v>
      </x:c>
    </x:row>
    <x:row r="348" ht="30" customHeight="1">
      <x:c r="A348" s="3" t="str">
        <x:v>1S01-WT-38.5</x:v>
      </x:c>
      <x:c r="B348" s="3" t="str">
        <x:v>3店-SANDIEX-US</x:v>
      </x:c>
      <x:c r="C348" s="3" t="str">
        <x:v>徐新怡</x:v>
      </x:c>
      <x:c r="D348" s="3" t="str">
        <x:v>1S01</x:v>
      </x:c>
      <x:c r="E348" s="3" t="str">
        <x:f>IF(Z348="移出","已移出",IF(NOT(ISNUMBER(H348)),"数据待核",IF(H348=0,"断货",IF(NOT(ISNUMBER(G348)),"数据待核",IF(G348=0,"零日销待复核",IF(F348&lt;60,"补货提醒",IF(F348&lt;=90,"正常库存",IF(F348&lt;180,"促销",IF(F348&lt;=365,"红线促销","考虑清仓")))))))))</x:f>
        <x:v>断货</x:v>
      </x:c>
      <x:c r="F348" s="11" t="str">
        <x:f>IF(AND(ISNUMBER(H348),ISNUMBER(G348),G348&gt;0),H348/G348,"")</x:f>
      </x:c>
      <x:c r="G348" s="12" t="n">
        <x:f>IF(AND(COUNT(P348:R348)=3,MIN(P348:R348)&gt;=0,P348&lt;=Q348,Q348&lt;=R348),P348/7*0.5+Q348/14*0.3+R348/30*0.2,"")</x:f>
        <x:v>0</x:v>
      </x:c>
      <x:c r="H348" s="10" t="n">
        <x:f>IF(ISNUMBER(U348),U348,"")</x:f>
        <x:v>0</x:v>
      </x:c>
      <x:c r="I348" s="10"/>
      <x:c r="J348" s="11" t="str">
        <x:f>IF(AND(Z348="共同",ISNUMBER(F348),ISNUMBER(M348)),F348-M348,"")</x:f>
      </x:c>
      <x:c r="K348" s="13" t="str">
        <x:f>IF(AND(ISNUMBER(J348),M348&lt;&gt;0),J348/M348,"")</x:f>
      </x:c>
      <x:c r="L348" s="10"/>
      <x:c r="M348" s="11"/>
      <x:c r="N348" s="10" t="str">
        <x:f>IF(AND(Z348="共同",COUNT(H348:I348)=2),H348-I348,"")</x:f>
      </x:c>
      <x:c r="O348" s="10"/>
      <x:c r="P348" s="10" t="n">
        <x:v>0</x:v>
      </x:c>
      <x:c r="Q348" s="10" t="n">
        <x:v>0</x:v>
      </x:c>
      <x:c r="R348" s="10" t="n">
        <x:v>0</x:v>
      </x:c>
      <x:c r="S348" s="10" t="n">
        <x:v>0</x:v>
      </x:c>
      <x:c r="T348" s="10" t="n">
        <x:v>0</x:v>
      </x:c>
      <x:c r="U348" s="10" t="n">
        <x:f>IF(AND(ISNUMBER(X348),X348&gt;=0,Y348&lt;&gt;1),X348,"")</x:f>
        <x:v>0</x:v>
      </x:c>
      <x:c r="V348" s="10" t="n">
        <x:v>0</x:v>
      </x:c>
      <x:c r="W348" s="10" t="n">
        <x:v>0</x:v>
      </x:c>
      <x:c r="X348" s="10" t="n">
        <x:v>0</x:v>
      </x:c>
      <x:c r="Y348" s="3" t="n">
        <x:v>0</x:v>
      </x:c>
      <x:c r="Z348" s="3" t="str">
        <x:v>新增</x:v>
      </x:c>
      <x:c r="AA348" s="3" t="str">
        <x:v>停售</x:v>
      </x:c>
      <x:c r="AB348" s="12" t="str">
        <x:f>IF(AND(Z348="共同",ISNUMBER(G348),ISNUMBER(AD348)),G348-AD348,"")</x:f>
      </x:c>
      <x:c r="AC348" s="3" t="str">
        <x:v>近90天SKU销量未匹配，未按0处理</x:v>
      </x:c>
      <x:c r="AD348" s="12"/>
      <x:c r="AE348" s="3" t="str">
        <x:v>[6574,"1S01-WT-38.5"]</x:v>
      </x:c>
      <x:c r="AF348" t="n">
        <x:f>IF(ISNUMBER(H348),1,0)</x:f>
        <x:v>1</x:v>
      </x:c>
      <x:c r="AG348" t="n">
        <x:f>IF(ISNUMBER(I348),1,0)</x:f>
        <x:v>0</x:v>
      </x:c>
      <x:c r="AH348" t="str">
        <x:v>["1S01","1S01-WT","WT","白色"]</x:v>
      </x:c>
      <x:c r="AI348" t="n">
        <x:f>IF(ISNUMBER(G348),1,0)</x:f>
        <x:v>1</x:v>
      </x:c>
      <x:c r="AJ348" t="n">
        <x:f>IF(ISNUMBER(AD348),1,0)</x:f>
        <x:v>0</x:v>
      </x:c>
    </x:row>
    <x:row r="349" ht="30" customHeight="1">
      <x:c r="A349" s="3" t="str">
        <x:v>1S01-WT-39.5</x:v>
      </x:c>
      <x:c r="B349" s="3" t="str">
        <x:v>3店-SANDIEX-US</x:v>
      </x:c>
      <x:c r="C349" s="3" t="str">
        <x:v>徐新怡</x:v>
      </x:c>
      <x:c r="D349" s="3" t="str">
        <x:v>1S01</x:v>
      </x:c>
      <x:c r="E349" s="3" t="str">
        <x:f>IF(Z349="移出","已移出",IF(NOT(ISNUMBER(H349)),"数据待核",IF(H349=0,"断货",IF(NOT(ISNUMBER(G349)),"数据待核",IF(G349=0,"零日销待复核",IF(F349&lt;60,"补货提醒",IF(F349&lt;=90,"正常库存",IF(F349&lt;180,"促销",IF(F349&lt;=365,"红线促销","考虑清仓")))))))))</x:f>
        <x:v>断货</x:v>
      </x:c>
      <x:c r="F349" s="11" t="str">
        <x:f>IF(AND(ISNUMBER(H349),ISNUMBER(G349),G349&gt;0),H349/G349,"")</x:f>
      </x:c>
      <x:c r="G349" s="12" t="n">
        <x:f>IF(AND(COUNT(P349:R349)=3,MIN(P349:R349)&gt;=0,P349&lt;=Q349,Q349&lt;=R349),P349/7*0.5+Q349/14*0.3+R349/30*0.2,"")</x:f>
        <x:v>0</x:v>
      </x:c>
      <x:c r="H349" s="10" t="n">
        <x:f>IF(ISNUMBER(U349),U349,"")</x:f>
        <x:v>0</x:v>
      </x:c>
      <x:c r="I349" s="10"/>
      <x:c r="J349" s="11" t="str">
        <x:f>IF(AND(Z349="共同",ISNUMBER(F349),ISNUMBER(M349)),F349-M349,"")</x:f>
      </x:c>
      <x:c r="K349" s="13" t="str">
        <x:f>IF(AND(ISNUMBER(J349),M349&lt;&gt;0),J349/M349,"")</x:f>
      </x:c>
      <x:c r="L349" s="10"/>
      <x:c r="M349" s="11"/>
      <x:c r="N349" s="10" t="str">
        <x:f>IF(AND(Z349="共同",COUNT(H349:I349)=2),H349-I349,"")</x:f>
      </x:c>
      <x:c r="O349" s="10" t="n">
        <x:v>0</x:v>
      </x:c>
      <x:c r="P349" s="10" t="n">
        <x:v>0</x:v>
      </x:c>
      <x:c r="Q349" s="10" t="n">
        <x:v>0</x:v>
      </x:c>
      <x:c r="R349" s="10" t="n">
        <x:v>0</x:v>
      </x:c>
      <x:c r="S349" s="10" t="n">
        <x:v>0</x:v>
      </x:c>
      <x:c r="T349" s="10" t="n">
        <x:v>0</x:v>
      </x:c>
      <x:c r="U349" s="10" t="n">
        <x:f>IF(AND(ISNUMBER(X349),X349&gt;=0,Y349&lt;&gt;1),X349,"")</x:f>
        <x:v>0</x:v>
      </x:c>
      <x:c r="V349" s="10" t="n">
        <x:v>0</x:v>
      </x:c>
      <x:c r="W349" s="10" t="n">
        <x:v>0</x:v>
      </x:c>
      <x:c r="X349" s="10" t="n">
        <x:v>0</x:v>
      </x:c>
      <x:c r="Y349" s="3" t="n">
        <x:v>0</x:v>
      </x:c>
      <x:c r="Z349" s="3" t="str">
        <x:v>新增</x:v>
      </x:c>
      <x:c r="AA349" s="3" t="str">
        <x:v>停售</x:v>
      </x:c>
      <x:c r="AB349" s="12" t="str">
        <x:f>IF(AND(Z349="共同",ISNUMBER(G349),ISNUMBER(AD349)),G349-AD349,"")</x:f>
      </x:c>
      <x:c r="AC349" s="3" t="str">
        <x:v>近90天SKU销量未匹配，未按0处理</x:v>
      </x:c>
      <x:c r="AD349" s="12"/>
      <x:c r="AE349" s="3" t="str">
        <x:v>[6574,"1S01-WT-39.5"]</x:v>
      </x:c>
      <x:c r="AF349" t="n">
        <x:f>IF(ISNUMBER(H349),1,0)</x:f>
        <x:v>1</x:v>
      </x:c>
      <x:c r="AG349" t="n">
        <x:f>IF(ISNUMBER(I349),1,0)</x:f>
        <x:v>0</x:v>
      </x:c>
      <x:c r="AH349" t="str">
        <x:v>["1S01","1S01-WT","WT","白色"]</x:v>
      </x:c>
      <x:c r="AI349" t="n">
        <x:f>IF(ISNUMBER(G349),1,0)</x:f>
        <x:v>1</x:v>
      </x:c>
      <x:c r="AJ349" t="n">
        <x:f>IF(ISNUMBER(AD349),1,0)</x:f>
        <x:v>0</x:v>
      </x:c>
    </x:row>
    <x:row r="350" ht="30" customHeight="1">
      <x:c r="A350" s="3" t="str">
        <x:v>1S01-WT-40.5</x:v>
      </x:c>
      <x:c r="B350" s="3" t="str">
        <x:v>3店-SANDIEX-US</x:v>
      </x:c>
      <x:c r="C350" s="3" t="str">
        <x:v>徐新怡</x:v>
      </x:c>
      <x:c r="D350" s="3" t="str">
        <x:v>1S01</x:v>
      </x:c>
      <x:c r="E350" s="3" t="str">
        <x:f>IF(Z350="移出","已移出",IF(NOT(ISNUMBER(H350)),"数据待核",IF(H350=0,"断货",IF(NOT(ISNUMBER(G350)),"数据待核",IF(G350=0,"零日销待复核",IF(F350&lt;60,"补货提醒",IF(F350&lt;=90,"正常库存",IF(F350&lt;180,"促销",IF(F350&lt;=365,"红线促销","考虑清仓")))))))))</x:f>
        <x:v>断货</x:v>
      </x:c>
      <x:c r="F350" s="11" t="str">
        <x:f>IF(AND(ISNUMBER(H350),ISNUMBER(G350),G350&gt;0),H350/G350,"")</x:f>
      </x:c>
      <x:c r="G350" s="12" t="n">
        <x:f>IF(AND(COUNT(P350:R350)=3,MIN(P350:R350)&gt;=0,P350&lt;=Q350,Q350&lt;=R350),P350/7*0.5+Q350/14*0.3+R350/30*0.2,"")</x:f>
        <x:v>0</x:v>
      </x:c>
      <x:c r="H350" s="10" t="n">
        <x:f>IF(ISNUMBER(U350),U350,"")</x:f>
        <x:v>0</x:v>
      </x:c>
      <x:c r="I350" s="10"/>
      <x:c r="J350" s="11" t="str">
        <x:f>IF(AND(Z350="共同",ISNUMBER(F350),ISNUMBER(M350)),F350-M350,"")</x:f>
      </x:c>
      <x:c r="K350" s="13" t="str">
        <x:f>IF(AND(ISNUMBER(J350),M350&lt;&gt;0),J350/M350,"")</x:f>
      </x:c>
      <x:c r="L350" s="10"/>
      <x:c r="M350" s="11"/>
      <x:c r="N350" s="10" t="str">
        <x:f>IF(AND(Z350="共同",COUNT(H350:I350)=2),H350-I350,"")</x:f>
      </x:c>
      <x:c r="O350" s="10"/>
      <x:c r="P350" s="10" t="n">
        <x:v>0</x:v>
      </x:c>
      <x:c r="Q350" s="10" t="n">
        <x:v>0</x:v>
      </x:c>
      <x:c r="R350" s="10" t="n">
        <x:v>0</x:v>
      </x:c>
      <x:c r="S350" s="10" t="n">
        <x:v>0</x:v>
      </x:c>
      <x:c r="T350" s="10" t="n">
        <x:v>0</x:v>
      </x:c>
      <x:c r="U350" s="10" t="n">
        <x:f>IF(AND(ISNUMBER(X350),X350&gt;=0,Y350&lt;&gt;1),X350,"")</x:f>
        <x:v>0</x:v>
      </x:c>
      <x:c r="V350" s="10" t="n">
        <x:v>0</x:v>
      </x:c>
      <x:c r="W350" s="10" t="n">
        <x:v>0</x:v>
      </x:c>
      <x:c r="X350" s="10" t="n">
        <x:v>0</x:v>
      </x:c>
      <x:c r="Y350" s="3" t="n">
        <x:v>0</x:v>
      </x:c>
      <x:c r="Z350" s="3" t="str">
        <x:v>新增</x:v>
      </x:c>
      <x:c r="AA350" s="3" t="str">
        <x:v>停售</x:v>
      </x:c>
      <x:c r="AB350" s="12" t="str">
        <x:f>IF(AND(Z350="共同",ISNUMBER(G350),ISNUMBER(AD350)),G350-AD350,"")</x:f>
      </x:c>
      <x:c r="AC350" s="3" t="str">
        <x:v>近90天SKU销量未匹配，未按0处理</x:v>
      </x:c>
      <x:c r="AD350" s="12"/>
      <x:c r="AE350" s="3" t="str">
        <x:v>[6574,"1S01-WT-40.5"]</x:v>
      </x:c>
      <x:c r="AF350" t="n">
        <x:f>IF(ISNUMBER(H350),1,0)</x:f>
        <x:v>1</x:v>
      </x:c>
      <x:c r="AG350" t="n">
        <x:f>IF(ISNUMBER(I350),1,0)</x:f>
        <x:v>0</x:v>
      </x:c>
      <x:c r="AH350" t="str">
        <x:v>["1S01","1S01-WT","WT","白色"]</x:v>
      </x:c>
      <x:c r="AI350" t="n">
        <x:f>IF(ISNUMBER(G350),1,0)</x:f>
        <x:v>1</x:v>
      </x:c>
      <x:c r="AJ350" t="n">
        <x:f>IF(ISNUMBER(AD350),1,0)</x:f>
        <x:v>0</x:v>
      </x:c>
    </x:row>
    <x:row r="351" ht="30" customHeight="1">
      <x:c r="A351" s="3" t="str">
        <x:v>1S01-WT-41.5</x:v>
      </x:c>
      <x:c r="B351" s="3" t="str">
        <x:v>3店-SANDIEX-US</x:v>
      </x:c>
      <x:c r="C351" s="3" t="str">
        <x:v>徐新怡</x:v>
      </x:c>
      <x:c r="D351" s="3" t="str">
        <x:v>1S01</x:v>
      </x:c>
      <x:c r="E351" s="3" t="str">
        <x:f>IF(Z351="移出","已移出",IF(NOT(ISNUMBER(H351)),"数据待核",IF(H351=0,"断货",IF(NOT(ISNUMBER(G351)),"数据待核",IF(G351=0,"零日销待复核",IF(F351&lt;60,"补货提醒",IF(F351&lt;=90,"正常库存",IF(F351&lt;180,"促销",IF(F351&lt;=365,"红线促销","考虑清仓")))))))))</x:f>
        <x:v>断货</x:v>
      </x:c>
      <x:c r="F351" s="11" t="str">
        <x:f>IF(AND(ISNUMBER(H351),ISNUMBER(G351),G351&gt;0),H351/G351,"")</x:f>
      </x:c>
      <x:c r="G351" s="12" t="n">
        <x:f>IF(AND(COUNT(P351:R351)=3,MIN(P351:R351)&gt;=0,P351&lt;=Q351,Q351&lt;=R351),P351/7*0.5+Q351/14*0.3+R351/30*0.2,"")</x:f>
        <x:v>0</x:v>
      </x:c>
      <x:c r="H351" s="10" t="n">
        <x:f>IF(ISNUMBER(U351),U351,"")</x:f>
        <x:v>0</x:v>
      </x:c>
      <x:c r="I351" s="10"/>
      <x:c r="J351" s="11" t="str">
        <x:f>IF(AND(Z351="共同",ISNUMBER(F351),ISNUMBER(M351)),F351-M351,"")</x:f>
      </x:c>
      <x:c r="K351" s="13" t="str">
        <x:f>IF(AND(ISNUMBER(J351),M351&lt;&gt;0),J351/M351,"")</x:f>
      </x:c>
      <x:c r="L351" s="10"/>
      <x:c r="M351" s="11"/>
      <x:c r="N351" s="10" t="str">
        <x:f>IF(AND(Z351="共同",COUNT(H351:I351)=2),H351-I351,"")</x:f>
      </x:c>
      <x:c r="O351" s="10" t="n">
        <x:v>0</x:v>
      </x:c>
      <x:c r="P351" s="10" t="n">
        <x:v>0</x:v>
      </x:c>
      <x:c r="Q351" s="10" t="n">
        <x:v>0</x:v>
      </x:c>
      <x:c r="R351" s="10" t="n">
        <x:v>0</x:v>
      </x:c>
      <x:c r="S351" s="10" t="n">
        <x:v>0</x:v>
      </x:c>
      <x:c r="T351" s="10" t="n">
        <x:v>0</x:v>
      </x:c>
      <x:c r="U351" s="10" t="n">
        <x:f>IF(AND(ISNUMBER(X351),X351&gt;=0,Y351&lt;&gt;1),X351,"")</x:f>
        <x:v>0</x:v>
      </x:c>
      <x:c r="V351" s="10" t="n">
        <x:v>0</x:v>
      </x:c>
      <x:c r="W351" s="10" t="n">
        <x:v>0</x:v>
      </x:c>
      <x:c r="X351" s="10" t="n">
        <x:v>0</x:v>
      </x:c>
      <x:c r="Y351" s="3" t="n">
        <x:v>0</x:v>
      </x:c>
      <x:c r="Z351" s="3" t="str">
        <x:v>新增</x:v>
      </x:c>
      <x:c r="AA351" s="3" t="str">
        <x:v>停售</x:v>
      </x:c>
      <x:c r="AB351" s="12" t="str">
        <x:f>IF(AND(Z351="共同",ISNUMBER(G351),ISNUMBER(AD351)),G351-AD351,"")</x:f>
      </x:c>
      <x:c r="AC351" s="3" t="str">
        <x:v>近90天SKU销量未匹配，未按0处理</x:v>
      </x:c>
      <x:c r="AD351" s="12"/>
      <x:c r="AE351" s="3" t="str">
        <x:v>[6574,"1S01-WT-41.5"]</x:v>
      </x:c>
      <x:c r="AF351" t="n">
        <x:f>IF(ISNUMBER(H351),1,0)</x:f>
        <x:v>1</x:v>
      </x:c>
      <x:c r="AG351" t="n">
        <x:f>IF(ISNUMBER(I351),1,0)</x:f>
        <x:v>0</x:v>
      </x:c>
      <x:c r="AH351" t="str">
        <x:v>["1S01","1S01-WT","WT","白色"]</x:v>
      </x:c>
      <x:c r="AI351" t="n">
        <x:f>IF(ISNUMBER(G351),1,0)</x:f>
        <x:v>1</x:v>
      </x:c>
      <x:c r="AJ351" t="n">
        <x:f>IF(ISNUMBER(AD351),1,0)</x:f>
        <x:v>0</x:v>
      </x:c>
    </x:row>
    <x:row r="352" ht="30" customHeight="1">
      <x:c r="A352" s="3" t="str">
        <x:v>1S01-WT-6</x:v>
      </x:c>
      <x:c r="B352" s="3" t="str">
        <x:v>3店-SANDIEX-US</x:v>
      </x:c>
      <x:c r="C352" s="3" t="str">
        <x:v>徐新怡</x:v>
      </x:c>
      <x:c r="D352" s="3" t="str">
        <x:v>1S01</x:v>
      </x:c>
      <x:c r="E352" s="3" t="str">
        <x:f>IF(Z352="移出","已移出",IF(NOT(ISNUMBER(H352)),"数据待核",IF(H352=0,"断货",IF(NOT(ISNUMBER(G352)),"数据待核",IF(G352=0,"零日销待复核",IF(F352&lt;60,"补货提醒",IF(F352&lt;=90,"正常库存",IF(F352&lt;180,"促销",IF(F352&lt;=365,"红线促销","考虑清仓")))))))))</x:f>
        <x:v>断货</x:v>
      </x:c>
      <x:c r="F352" s="11" t="str">
        <x:f>IF(AND(ISNUMBER(H352),ISNUMBER(G352),G352&gt;0),H352/G352,"")</x:f>
      </x:c>
      <x:c r="G352" s="12" t="n">
        <x:f>IF(AND(COUNT(P352:R352)=3,MIN(P352:R352)&gt;=0,P352&lt;=Q352,Q352&lt;=R352),P352/7*0.5+Q352/14*0.3+R352/30*0.2,"")</x:f>
        <x:v>0</x:v>
      </x:c>
      <x:c r="H352" s="10" t="n">
        <x:f>IF(ISNUMBER(U352),U352,"")</x:f>
        <x:v>0</x:v>
      </x:c>
      <x:c r="I352" s="10" t="n">
        <x:v>0</x:v>
      </x:c>
      <x:c r="J352" s="11" t="str">
        <x:f>IF(AND(Z352="共同",ISNUMBER(F352),ISNUMBER(M352)),F352-M352,"")</x:f>
      </x:c>
      <x:c r="K352" s="13" t="str">
        <x:f>IF(AND(ISNUMBER(J352),M352&lt;&gt;0),J352/M352,"")</x:f>
      </x:c>
      <x:c r="L352" s="10" t="str">
        <x:v>断货</x:v>
      </x:c>
      <x:c r="M352" s="11"/>
      <x:c r="N352" s="10" t="n">
        <x:f>IF(AND(Z352="共同",COUNT(H352:I352)=2),H352-I352,"")</x:f>
        <x:v>0</x:v>
      </x:c>
      <x:c r="O352" s="10" t="n">
        <x:v>0</x:v>
      </x:c>
      <x:c r="P352" s="10" t="n">
        <x:v>0</x:v>
      </x:c>
      <x:c r="Q352" s="10" t="n">
        <x:v>0</x:v>
      </x:c>
      <x:c r="R352" s="10" t="n">
        <x:v>0</x:v>
      </x:c>
      <x:c r="S352" s="10" t="n">
        <x:v>0</x:v>
      </x:c>
      <x:c r="T352" s="10" t="n">
        <x:v>0</x:v>
      </x:c>
      <x:c r="U352" s="10" t="n">
        <x:f>IF(AND(ISNUMBER(X352),X352&gt;=0,Y352&lt;&gt;1),X352,"")</x:f>
        <x:v>0</x:v>
      </x:c>
      <x:c r="V352" s="10" t="n">
        <x:v>0</x:v>
      </x:c>
      <x:c r="W352" s="10" t="n">
        <x:v>0</x:v>
      </x:c>
      <x:c r="X352" s="10" t="n">
        <x:v>0</x:v>
      </x:c>
      <x:c r="Y352" s="3" t="n">
        <x:v>0</x:v>
      </x:c>
      <x:c r="Z352" s="3" t="str">
        <x:v>共同</x:v>
      </x:c>
      <x:c r="AA352" s="3" t="str">
        <x:v>停售</x:v>
      </x:c>
      <x:c r="AB352" s="12" t="str">
        <x:f>IF(AND(Z352="共同",ISNUMBER(G352),ISNUMBER(AD352)),G352-AD352,"")</x:f>
      </x:c>
      <x:c r="AC352" s="3" t="str">
        <x:v>近90天SKU销量未匹配，未按0处理</x:v>
      </x:c>
      <x:c r="AD352" s="12"/>
      <x:c r="AE352" s="3" t="str">
        <x:v>[6574,"1S01-WT-6"]</x:v>
      </x:c>
      <x:c r="AF352" t="n">
        <x:f>IF(ISNUMBER(H352),1,0)</x:f>
        <x:v>1</x:v>
      </x:c>
      <x:c r="AG352" t="n">
        <x:f>IF(ISNUMBER(I352),1,0)</x:f>
        <x:v>1</x:v>
      </x:c>
      <x:c r="AH352" t="str">
        <x:v>["1S01","1S01-WT","WT","白色"]</x:v>
      </x:c>
      <x:c r="AI352" t="n">
        <x:f>IF(ISNUMBER(G352),1,0)</x:f>
        <x:v>1</x:v>
      </x:c>
      <x:c r="AJ352" t="n">
        <x:f>IF(ISNUMBER(AD352),1,0)</x:f>
        <x:v>0</x:v>
      </x:c>
    </x:row>
    <x:row r="353" ht="30" customHeight="1">
      <x:c r="A353" s="3" t="str">
        <x:v>1S01-WT-7</x:v>
      </x:c>
      <x:c r="B353" s="3" t="str">
        <x:v>3店-SANDIEX-US</x:v>
      </x:c>
      <x:c r="C353" s="3" t="str">
        <x:v>徐新怡</x:v>
      </x:c>
      <x:c r="D353" s="3" t="str">
        <x:v>1S01</x:v>
      </x:c>
      <x:c r="E353" s="3" t="str">
        <x:f>IF(Z353="移出","已移出",IF(NOT(ISNUMBER(H353)),"数据待核",IF(H353=0,"断货",IF(NOT(ISNUMBER(G353)),"数据待核",IF(G353=0,"零日销待复核",IF(F353&lt;60,"补货提醒",IF(F353&lt;=90,"正常库存",IF(F353&lt;180,"促销",IF(F353&lt;=365,"红线促销","考虑清仓")))))))))</x:f>
        <x:v>断货</x:v>
      </x:c>
      <x:c r="F353" s="11" t="str">
        <x:f>IF(AND(ISNUMBER(H353),ISNUMBER(G353),G353&gt;0),H353/G353,"")</x:f>
      </x:c>
      <x:c r="G353" s="12" t="n">
        <x:f>IF(AND(COUNT(P353:R353)=3,MIN(P353:R353)&gt;=0,P353&lt;=Q353,Q353&lt;=R353),P353/7*0.5+Q353/14*0.3+R353/30*0.2,"")</x:f>
        <x:v>0</x:v>
      </x:c>
      <x:c r="H353" s="10" t="n">
        <x:f>IF(ISNUMBER(U353),U353,"")</x:f>
        <x:v>0</x:v>
      </x:c>
      <x:c r="I353" s="10" t="n">
        <x:v>0</x:v>
      </x:c>
      <x:c r="J353" s="11" t="str">
        <x:f>IF(AND(Z353="共同",ISNUMBER(F353),ISNUMBER(M353)),F353-M353,"")</x:f>
      </x:c>
      <x:c r="K353" s="13" t="str">
        <x:f>IF(AND(ISNUMBER(J353),M353&lt;&gt;0),J353/M353,"")</x:f>
      </x:c>
      <x:c r="L353" s="10" t="str">
        <x:v>断货</x:v>
      </x:c>
      <x:c r="M353" s="11"/>
      <x:c r="N353" s="10" t="n">
        <x:f>IF(AND(Z353="共同",COUNT(H353:I353)=2),H353-I353,"")</x:f>
        <x:v>0</x:v>
      </x:c>
      <x:c r="O353" s="10" t="n">
        <x:v>0</x:v>
      </x:c>
      <x:c r="P353" s="10" t="n">
        <x:v>0</x:v>
      </x:c>
      <x:c r="Q353" s="10" t="n">
        <x:v>0</x:v>
      </x:c>
      <x:c r="R353" s="10" t="n">
        <x:v>0</x:v>
      </x:c>
      <x:c r="S353" s="10" t="n">
        <x:v>0</x:v>
      </x:c>
      <x:c r="T353" s="10" t="n">
        <x:v>0</x:v>
      </x:c>
      <x:c r="U353" s="10" t="n">
        <x:f>IF(AND(ISNUMBER(X353),X353&gt;=0,Y353&lt;&gt;1),X353,"")</x:f>
        <x:v>0</x:v>
      </x:c>
      <x:c r="V353" s="10" t="n">
        <x:v>0</x:v>
      </x:c>
      <x:c r="W353" s="10" t="n">
        <x:v>0</x:v>
      </x:c>
      <x:c r="X353" s="10" t="n">
        <x:v>0</x:v>
      </x:c>
      <x:c r="Y353" s="3" t="n">
        <x:v>0</x:v>
      </x:c>
      <x:c r="Z353" s="3" t="str">
        <x:v>共同</x:v>
      </x:c>
      <x:c r="AA353" s="3" t="str">
        <x:v>停售</x:v>
      </x:c>
      <x:c r="AB353" s="12" t="str">
        <x:f>IF(AND(Z353="共同",ISNUMBER(G353),ISNUMBER(AD353)),G353-AD353,"")</x:f>
      </x:c>
      <x:c r="AC353" s="3" t="str">
        <x:v>近90天SKU销量未匹配，未按0处理</x:v>
      </x:c>
      <x:c r="AD353" s="12"/>
      <x:c r="AE353" s="3" t="str">
        <x:v>[6574,"1S01-WT-7"]</x:v>
      </x:c>
      <x:c r="AF353" t="n">
        <x:f>IF(ISNUMBER(H353),1,0)</x:f>
        <x:v>1</x:v>
      </x:c>
      <x:c r="AG353" t="n">
        <x:f>IF(ISNUMBER(I353),1,0)</x:f>
        <x:v>1</x:v>
      </x:c>
      <x:c r="AH353" t="str">
        <x:v>["1S01","1S01-WT","WT","白色"]</x:v>
      </x:c>
      <x:c r="AI353" t="n">
        <x:f>IF(ISNUMBER(G353),1,0)</x:f>
        <x:v>1</x:v>
      </x:c>
      <x:c r="AJ353" t="n">
        <x:f>IF(ISNUMBER(AD353),1,0)</x:f>
        <x:v>0</x:v>
      </x:c>
    </x:row>
    <x:row r="354" ht="30" customHeight="1">
      <x:c r="A354" s="3" t="str">
        <x:v>1S01-WT-8</x:v>
      </x:c>
      <x:c r="B354" s="3" t="str">
        <x:v>3店-SANDIEX-US</x:v>
      </x:c>
      <x:c r="C354" s="3" t="str">
        <x:v>徐新怡</x:v>
      </x:c>
      <x:c r="D354" s="3" t="str">
        <x:v>1S01</x:v>
      </x:c>
      <x:c r="E354" s="3" t="str">
        <x:f>IF(Z354="移出","已移出",IF(NOT(ISNUMBER(H354)),"数据待核",IF(H354=0,"断货",IF(NOT(ISNUMBER(G354)),"数据待核",IF(G354=0,"零日销待复核",IF(F354&lt;60,"补货提醒",IF(F354&lt;=90,"正常库存",IF(F354&lt;180,"促销",IF(F354&lt;=365,"红线促销","考虑清仓")))))))))</x:f>
        <x:v>断货</x:v>
      </x:c>
      <x:c r="F354" s="11" t="str">
        <x:f>IF(AND(ISNUMBER(H354),ISNUMBER(G354),G354&gt;0),H354/G354,"")</x:f>
      </x:c>
      <x:c r="G354" s="12" t="n">
        <x:f>IF(AND(COUNT(P354:R354)=3,MIN(P354:R354)&gt;=0,P354&lt;=Q354,Q354&lt;=R354),P354/7*0.5+Q354/14*0.3+R354/30*0.2,"")</x:f>
        <x:v>0</x:v>
      </x:c>
      <x:c r="H354" s="10" t="n">
        <x:f>IF(ISNUMBER(U354),U354,"")</x:f>
        <x:v>0</x:v>
      </x:c>
      <x:c r="I354" s="10" t="n">
        <x:v>0</x:v>
      </x:c>
      <x:c r="J354" s="11" t="str">
        <x:f>IF(AND(Z354="共同",ISNUMBER(F354),ISNUMBER(M354)),F354-M354,"")</x:f>
      </x:c>
      <x:c r="K354" s="13" t="str">
        <x:f>IF(AND(ISNUMBER(J354),M354&lt;&gt;0),J354/M354,"")</x:f>
      </x:c>
      <x:c r="L354" s="10" t="str">
        <x:v>断货</x:v>
      </x:c>
      <x:c r="M354" s="11"/>
      <x:c r="N354" s="10" t="n">
        <x:f>IF(AND(Z354="共同",COUNT(H354:I354)=2),H354-I354,"")</x:f>
        <x:v>0</x:v>
      </x:c>
      <x:c r="O354" s="10" t="n">
        <x:v>0</x:v>
      </x:c>
      <x:c r="P354" s="10" t="n">
        <x:v>0</x:v>
      </x:c>
      <x:c r="Q354" s="10" t="n">
        <x:v>0</x:v>
      </x:c>
      <x:c r="R354" s="10" t="n">
        <x:v>0</x:v>
      </x:c>
      <x:c r="S354" s="10" t="n">
        <x:v>0</x:v>
      </x:c>
      <x:c r="T354" s="10" t="n">
        <x:v>0</x:v>
      </x:c>
      <x:c r="U354" s="10" t="n">
        <x:f>IF(AND(ISNUMBER(X354),X354&gt;=0,Y354&lt;&gt;1),X354,"")</x:f>
        <x:v>0</x:v>
      </x:c>
      <x:c r="V354" s="10" t="n">
        <x:v>0</x:v>
      </x:c>
      <x:c r="W354" s="10" t="n">
        <x:v>0</x:v>
      </x:c>
      <x:c r="X354" s="10" t="n">
        <x:v>0</x:v>
      </x:c>
      <x:c r="Y354" s="3" t="n">
        <x:v>0</x:v>
      </x:c>
      <x:c r="Z354" s="3" t="str">
        <x:v>共同</x:v>
      </x:c>
      <x:c r="AA354" s="3" t="str">
        <x:v>停售</x:v>
      </x:c>
      <x:c r="AB354" s="12" t="str">
        <x:f>IF(AND(Z354="共同",ISNUMBER(G354),ISNUMBER(AD354)),G354-AD354,"")</x:f>
      </x:c>
      <x:c r="AC354" s="3" t="str">
        <x:v>近90天SKU销量未匹配，未按0处理</x:v>
      </x:c>
      <x:c r="AD354" s="12"/>
      <x:c r="AE354" s="3" t="str">
        <x:v>[6574,"1S01-WT-8"]</x:v>
      </x:c>
      <x:c r="AF354" t="n">
        <x:f>IF(ISNUMBER(H354),1,0)</x:f>
        <x:v>1</x:v>
      </x:c>
      <x:c r="AG354" t="n">
        <x:f>IF(ISNUMBER(I354),1,0)</x:f>
        <x:v>1</x:v>
      </x:c>
      <x:c r="AH354" t="str">
        <x:v>["1S01","1S01-WT","WT","白色"]</x:v>
      </x:c>
      <x:c r="AI354" t="n">
        <x:f>IF(ISNUMBER(G354),1,0)</x:f>
        <x:v>1</x:v>
      </x:c>
      <x:c r="AJ354" t="n">
        <x:f>IF(ISNUMBER(AD354),1,0)</x:f>
        <x:v>0</x:v>
      </x:c>
    </x:row>
    <x:row r="355" ht="30" customHeight="1">
      <x:c r="A355" s="3" t="str">
        <x:v>1S01-WT-9</x:v>
      </x:c>
      <x:c r="B355" s="3" t="str">
        <x:v>3店-SANDIEX-US</x:v>
      </x:c>
      <x:c r="C355" s="3" t="str">
        <x:v>徐新怡</x:v>
      </x:c>
      <x:c r="D355" s="3" t="str">
        <x:v>1S01</x:v>
      </x:c>
      <x:c r="E355" s="3" t="str">
        <x:f>IF(Z355="移出","已移出",IF(NOT(ISNUMBER(H355)),"数据待核",IF(H355=0,"断货",IF(NOT(ISNUMBER(G355)),"数据待核",IF(G355=0,"零日销待复核",IF(F355&lt;60,"补货提醒",IF(F355&lt;=90,"正常库存",IF(F355&lt;180,"促销",IF(F355&lt;=365,"红线促销","考虑清仓")))))))))</x:f>
        <x:v>断货</x:v>
      </x:c>
      <x:c r="F355" s="11" t="str">
        <x:f>IF(AND(ISNUMBER(H355),ISNUMBER(G355),G355&gt;0),H355/G355,"")</x:f>
      </x:c>
      <x:c r="G355" s="12" t="n">
        <x:f>IF(AND(COUNT(P355:R355)=3,MIN(P355:R355)&gt;=0,P355&lt;=Q355,Q355&lt;=R355),P355/7*0.5+Q355/14*0.3+R355/30*0.2,"")</x:f>
        <x:v>0</x:v>
      </x:c>
      <x:c r="H355" s="10" t="n">
        <x:f>IF(ISNUMBER(U355),U355,"")</x:f>
        <x:v>0</x:v>
      </x:c>
      <x:c r="I355" s="10" t="n">
        <x:v>0</x:v>
      </x:c>
      <x:c r="J355" s="11" t="str">
        <x:f>IF(AND(Z355="共同",ISNUMBER(F355),ISNUMBER(M355)),F355-M355,"")</x:f>
      </x:c>
      <x:c r="K355" s="13" t="str">
        <x:f>IF(AND(ISNUMBER(J355),M355&lt;&gt;0),J355/M355,"")</x:f>
      </x:c>
      <x:c r="L355" s="10" t="str">
        <x:v>断货</x:v>
      </x:c>
      <x:c r="M355" s="11"/>
      <x:c r="N355" s="10" t="n">
        <x:f>IF(AND(Z355="共同",COUNT(H355:I355)=2),H355-I355,"")</x:f>
        <x:v>0</x:v>
      </x:c>
      <x:c r="O355" s="10" t="n">
        <x:v>0</x:v>
      </x:c>
      <x:c r="P355" s="10" t="n">
        <x:v>0</x:v>
      </x:c>
      <x:c r="Q355" s="10" t="n">
        <x:v>0</x:v>
      </x:c>
      <x:c r="R355" s="10" t="n">
        <x:v>0</x:v>
      </x:c>
      <x:c r="S355" s="10" t="n">
        <x:v>0</x:v>
      </x:c>
      <x:c r="T355" s="10" t="n">
        <x:v>0</x:v>
      </x:c>
      <x:c r="U355" s="10" t="n">
        <x:f>IF(AND(ISNUMBER(X355),X355&gt;=0,Y355&lt;&gt;1),X355,"")</x:f>
        <x:v>0</x:v>
      </x:c>
      <x:c r="V355" s="10" t="n">
        <x:v>0</x:v>
      </x:c>
      <x:c r="W355" s="10" t="n">
        <x:v>0</x:v>
      </x:c>
      <x:c r="X355" s="10" t="n">
        <x:v>0</x:v>
      </x:c>
      <x:c r="Y355" s="3" t="n">
        <x:v>0</x:v>
      </x:c>
      <x:c r="Z355" s="3" t="str">
        <x:v>共同</x:v>
      </x:c>
      <x:c r="AA355" s="3" t="str">
        <x:v>停售</x:v>
      </x:c>
      <x:c r="AB355" s="12" t="str">
        <x:f>IF(AND(Z355="共同",ISNUMBER(G355),ISNUMBER(AD355)),G355-AD355,"")</x:f>
      </x:c>
      <x:c r="AC355" s="3" t="str">
        <x:v>近90天SKU销量未匹配，未按0处理</x:v>
      </x:c>
      <x:c r="AD355" s="12"/>
      <x:c r="AE355" s="3" t="str">
        <x:v>[6574,"1S01-WT-9"]</x:v>
      </x:c>
      <x:c r="AF355" t="n">
        <x:f>IF(ISNUMBER(H355),1,0)</x:f>
        <x:v>1</x:v>
      </x:c>
      <x:c r="AG355" t="n">
        <x:f>IF(ISNUMBER(I355),1,0)</x:f>
        <x:v>1</x:v>
      </x:c>
      <x:c r="AH355" t="str">
        <x:v>["1S01","1S01-WT","WT","白色"]</x:v>
      </x:c>
      <x:c r="AI355" t="n">
        <x:f>IF(ISNUMBER(G355),1,0)</x:f>
        <x:v>1</x:v>
      </x:c>
      <x:c r="AJ355" t="n">
        <x:f>IF(ISNUMBER(AD355),1,0)</x:f>
        <x:v>0</x:v>
      </x:c>
    </x:row>
    <x:row r="356" ht="30" customHeight="1">
      <x:c r="A356" s="3" t="str">
        <x:v>2302153-BG-P-Z-37</x:v>
      </x:c>
      <x:c r="B356" s="3" t="str">
        <x:v>3店-SANDIEX-US</x:v>
      </x:c>
      <x:c r="C356" s="3" t="str">
        <x:v>徐新怡</x:v>
      </x:c>
      <x:c r="D356" s="3" t="str">
        <x:v>2302153</x:v>
      </x:c>
      <x:c r="E356" s="3" t="str">
        <x:f>IF(Z356="移出","已移出",IF(NOT(ISNUMBER(H356)),"数据待核",IF(H356=0,"断货",IF(NOT(ISNUMBER(G356)),"数据待核",IF(G356=0,"零日销待复核",IF(F356&lt;60,"补货提醒",IF(F356&lt;=90,"正常库存",IF(F356&lt;180,"促销",IF(F356&lt;=365,"红线促销","考虑清仓")))))))))</x:f>
        <x:v>断货</x:v>
      </x:c>
      <x:c r="F356" s="11" t="n">
        <x:f>IF(AND(ISNUMBER(H356),ISNUMBER(G356),G356&gt;0),H356/G356,"")</x:f>
        <x:v>0</x:v>
      </x:c>
      <x:c r="G356" s="12" t="n">
        <x:f>IF(AND(COUNT(P356:R356)=3,MIN(P356:R356)&gt;=0,P356&lt;=Q356,Q356&lt;=R356),P356/7*0.5+Q356/14*0.3+R356/30*0.2,"")</x:f>
        <x:v>0.2319047619047619</x:v>
      </x:c>
      <x:c r="H356" s="10" t="n">
        <x:f>IF(ISNUMBER(U356),U356,"")</x:f>
        <x:v>0</x:v>
      </x:c>
      <x:c r="I356" s="10" t="n">
        <x:v>0</x:v>
      </x:c>
      <x:c r="J356" s="11" t="n">
        <x:f>IF(AND(Z356="共同",ISNUMBER(F356),ISNUMBER(M356)),F356-M356,"")</x:f>
        <x:v>0</x:v>
      </x:c>
      <x:c r="K356" s="13" t="str">
        <x:f>IF(AND(ISNUMBER(J356),M356&lt;&gt;0),J356/M356,"")</x:f>
      </x:c>
      <x:c r="L356" s="10" t="str">
        <x:v>断货</x:v>
      </x:c>
      <x:c r="M356" s="11" t="n">
        <x:v>0</x:v>
      </x:c>
      <x:c r="N356" s="10" t="n">
        <x:f>IF(AND(Z356="共同",COUNT(H356:I356)=2),H356-I356,"")</x:f>
        <x:v>0</x:v>
      </x:c>
      <x:c r="O356" s="10" t="n">
        <x:v>50</x:v>
      </x:c>
      <x:c r="P356" s="10" t="n">
        <x:v>1</x:v>
      </x:c>
      <x:c r="Q356" s="10" t="n">
        <x:v>5</x:v>
      </x:c>
      <x:c r="R356" s="10" t="n">
        <x:v>8</x:v>
      </x:c>
      <x:c r="S356" s="10" t="n">
        <x:v>4</x:v>
      </x:c>
      <x:c r="T356" s="10" t="n">
        <x:v>0</x:v>
      </x:c>
      <x:c r="U356" s="10" t="n">
        <x:f>IF(AND(ISNUMBER(X356),X356&gt;=0,Y356&lt;&gt;1),X356,"")</x:f>
        <x:v>0</x:v>
      </x:c>
      <x:c r="V356" s="10" t="n">
        <x:v>0</x:v>
      </x:c>
      <x:c r="W356" s="10" t="n">
        <x:v>40</x:v>
      </x:c>
      <x:c r="X356" s="10" t="n">
        <x:v>0</x:v>
      </x:c>
      <x:c r="Y356" s="3" t="n">
        <x:v>0</x:v>
      </x:c>
      <x:c r="Z356" s="3" t="str">
        <x:v>共同</x:v>
      </x:c>
      <x:c r="AA356" s="3" t="str">
        <x:v>在售</x:v>
      </x:c>
      <x:c r="AB356" s="12" t="n">
        <x:f>IF(AND(Z356="共同",ISNUMBER(G356),ISNUMBER(AD356)),G356-AD356,"")</x:f>
        <x:v>0.06285714285714286</x:v>
      </x:c>
      <x:c r="AC356" s="3" t="str"/>
      <x:c r="AD356" s="12" t="n">
        <x:v>0.16904761904761903</x:v>
      </x:c>
      <x:c r="AE356" s="3" t="str">
        <x:v>[6574,"2302153-BG-P-Z-37"]</x:v>
      </x:c>
      <x:c r="AF356" t="n">
        <x:f>IF(ISNUMBER(H356),1,0)</x:f>
        <x:v>1</x:v>
      </x:c>
      <x:c r="AG356" t="n">
        <x:f>IF(ISNUMBER(I356),1,0)</x:f>
        <x:v>1</x:v>
      </x:c>
      <x:c r="AH356" t="str">
        <x:v>["2302153","2302153-BG-P-Z","BG-P","米白"]</x:v>
      </x:c>
      <x:c r="AI356" t="n">
        <x:f>IF(ISNUMBER(G356),1,0)</x:f>
        <x:v>1</x:v>
      </x:c>
      <x:c r="AJ356" t="n">
        <x:f>IF(ISNUMBER(AD356),1,0)</x:f>
        <x:v>1</x:v>
      </x:c>
    </x:row>
    <x:row r="357" ht="30" customHeight="1">
      <x:c r="A357" s="3" t="str">
        <x:v>2302153-BG-P-Z-37.5</x:v>
      </x:c>
      <x:c r="B357" s="3" t="str">
        <x:v>3店-SANDIEX-US</x:v>
      </x:c>
      <x:c r="C357" s="3" t="str">
        <x:v>徐新怡</x:v>
      </x:c>
      <x:c r="D357" s="3" t="str">
        <x:v>2302153</x:v>
      </x:c>
      <x:c r="E357" s="3" t="str">
        <x:f>IF(Z357="移出","已移出",IF(NOT(ISNUMBER(H357)),"数据待核",IF(H357=0,"断货",IF(NOT(ISNUMBER(G357)),"数据待核",IF(G357=0,"零日销待复核",IF(F357&lt;60,"补货提醒",IF(F357&lt;=90,"正常库存",IF(F357&lt;180,"促销",IF(F357&lt;=365,"红线促销","考虑清仓")))))))))</x:f>
        <x:v>断货</x:v>
      </x:c>
      <x:c r="F357" s="11" t="n">
        <x:f>IF(AND(ISNUMBER(H357),ISNUMBER(G357),G357&gt;0),H357/G357,"")</x:f>
        <x:v>0</x:v>
      </x:c>
      <x:c r="G357" s="12" t="n">
        <x:f>IF(AND(COUNT(P357:R357)=3,MIN(P357:R357)&gt;=0,P357&lt;=Q357,Q357&lt;=R357),P357/7*0.5+Q357/14*0.3+R357/30*0.2,"")</x:f>
        <x:v>0.2257142857142857</x:v>
      </x:c>
      <x:c r="H357" s="10" t="n">
        <x:f>IF(ISNUMBER(U357),U357,"")</x:f>
        <x:v>0</x:v>
      </x:c>
      <x:c r="I357" s="10" t="n">
        <x:v>0</x:v>
      </x:c>
      <x:c r="J357" s="11" t="n">
        <x:f>IF(AND(Z357="共同",ISNUMBER(F357),ISNUMBER(M357)),F357-M357,"")</x:f>
        <x:v>0</x:v>
      </x:c>
      <x:c r="K357" s="13" t="str">
        <x:f>IF(AND(ISNUMBER(J357),M357&lt;&gt;0),J357/M357,"")</x:f>
      </x:c>
      <x:c r="L357" s="10" t="str">
        <x:v>断货</x:v>
      </x:c>
      <x:c r="M357" s="11" t="n">
        <x:v>0</x:v>
      </x:c>
      <x:c r="N357" s="10" t="n">
        <x:f>IF(AND(Z357="共同",COUNT(H357:I357)=2),H357-I357,"")</x:f>
        <x:v>0</x:v>
      </x:c>
      <x:c r="O357" s="10" t="n">
        <x:v>20</x:v>
      </x:c>
      <x:c r="P357" s="10" t="n">
        <x:v>2</x:v>
      </x:c>
      <x:c r="Q357" s="10" t="n">
        <x:v>2</x:v>
      </x:c>
      <x:c r="R357" s="10" t="n">
        <x:v>6</x:v>
      </x:c>
      <x:c r="S357" s="10" t="n">
        <x:v>3</x:v>
      </x:c>
      <x:c r="T357" s="10" t="n">
        <x:v>2</x:v>
      </x:c>
      <x:c r="U357" s="10" t="n">
        <x:f>IF(AND(ISNUMBER(X357),X357&gt;=0,Y357&lt;&gt;1),X357,"")</x:f>
        <x:v>0</x:v>
      </x:c>
      <x:c r="V357" s="10" t="n">
        <x:v>0</x:v>
      </x:c>
      <x:c r="W357" s="10" t="n">
        <x:v>20</x:v>
      </x:c>
      <x:c r="X357" s="10" t="n">
        <x:v>0</x:v>
      </x:c>
      <x:c r="Y357" s="3" t="n">
        <x:v>0</x:v>
      </x:c>
      <x:c r="Z357" s="3" t="str">
        <x:v>共同</x:v>
      </x:c>
      <x:c r="AA357" s="3" t="str">
        <x:v>在售</x:v>
      </x:c>
      <x:c r="AB357" s="12" t="n">
        <x:f>IF(AND(Z357="共同",ISNUMBER(G357),ISNUMBER(AD357)),G357-AD357,"")</x:f>
        <x:v>0.10285714285714284</x:v>
      </x:c>
      <x:c r="AC357" s="3" t="str"/>
      <x:c r="AD357" s="12" t="n">
        <x:v>0.12285714285714286</x:v>
      </x:c>
      <x:c r="AE357" s="3" t="str">
        <x:v>[6574,"2302153-BG-P-Z-37.5"]</x:v>
      </x:c>
      <x:c r="AF357" t="n">
        <x:f>IF(ISNUMBER(H357),1,0)</x:f>
        <x:v>1</x:v>
      </x:c>
      <x:c r="AG357" t="n">
        <x:f>IF(ISNUMBER(I357),1,0)</x:f>
        <x:v>1</x:v>
      </x:c>
      <x:c r="AH357" t="str">
        <x:v>["2302153","2302153-BG-P-Z","BG-P","米白"]</x:v>
      </x:c>
      <x:c r="AI357" t="n">
        <x:f>IF(ISNUMBER(G357),1,0)</x:f>
        <x:v>1</x:v>
      </x:c>
      <x:c r="AJ357" t="n">
        <x:f>IF(ISNUMBER(AD357),1,0)</x:f>
        <x:v>1</x:v>
      </x:c>
    </x:row>
    <x:row r="358" ht="30" customHeight="1">
      <x:c r="A358" s="3" t="str">
        <x:v>2302153-BG-P-Z-38</x:v>
      </x:c>
      <x:c r="B358" s="3" t="str">
        <x:v>3店-SANDIEX-US</x:v>
      </x:c>
      <x:c r="C358" s="3" t="str">
        <x:v>徐新怡</x:v>
      </x:c>
      <x:c r="D358" s="3" t="str">
        <x:v>2302153</x:v>
      </x:c>
      <x:c r="E358" s="3" t="str">
        <x:f>IF(Z358="移出","已移出",IF(NOT(ISNUMBER(H358)),"数据待核",IF(H358=0,"断货",IF(NOT(ISNUMBER(G358)),"数据待核",IF(G358=0,"零日销待复核",IF(F358&lt;60,"补货提醒",IF(F358&lt;=90,"正常库存",IF(F358&lt;180,"促销",IF(F358&lt;=365,"红线促销","考虑清仓")))))))))</x:f>
        <x:v>断货</x:v>
      </x:c>
      <x:c r="F358" s="11" t="n">
        <x:f>IF(AND(ISNUMBER(H358),ISNUMBER(G358),G358&gt;0),H358/G358,"")</x:f>
        <x:v>0</x:v>
      </x:c>
      <x:c r="G358" s="12" t="n">
        <x:f>IF(AND(COUNT(P358:R358)=3,MIN(P358:R358)&gt;=0,P358&lt;=Q358,Q358&lt;=R358),P358/7*0.5+Q358/14*0.3+R358/30*0.2,"")</x:f>
        <x:v>0.15428571428571428</x:v>
      </x:c>
      <x:c r="H358" s="10" t="n">
        <x:f>IF(ISNUMBER(U358),U358,"")</x:f>
        <x:v>0</x:v>
      </x:c>
      <x:c r="I358" s="10" t="n">
        <x:v>0</x:v>
      </x:c>
      <x:c r="J358" s="11" t="n">
        <x:f>IF(AND(Z358="共同",ISNUMBER(F358),ISNUMBER(M358)),F358-M358,"")</x:f>
        <x:v>0</x:v>
      </x:c>
      <x:c r="K358" s="13" t="str">
        <x:f>IF(AND(ISNUMBER(J358),M358&lt;&gt;0),J358/M358,"")</x:f>
      </x:c>
      <x:c r="L358" s="10" t="str">
        <x:v>断货</x:v>
      </x:c>
      <x:c r="M358" s="11" t="n">
        <x:v>0</x:v>
      </x:c>
      <x:c r="N358" s="10" t="n">
        <x:f>IF(AND(Z358="共同",COUNT(H358:I358)=2),H358-I358,"")</x:f>
        <x:v>0</x:v>
      </x:c>
      <x:c r="O358" s="10" t="n">
        <x:v>72</x:v>
      </x:c>
      <x:c r="P358" s="10" t="n">
        <x:v>1</x:v>
      </x:c>
      <x:c r="Q358" s="10" t="n">
        <x:v>2</x:v>
      </x:c>
      <x:c r="R358" s="10" t="n">
        <x:v>6</x:v>
      </x:c>
      <x:c r="S358" s="10" t="n">
        <x:v>1</x:v>
      </x:c>
      <x:c r="T358" s="10" t="n">
        <x:v>1</x:v>
      </x:c>
      <x:c r="U358" s="10" t="n">
        <x:f>IF(AND(ISNUMBER(X358),X358&gt;=0,Y358&lt;&gt;1),X358,"")</x:f>
        <x:v>0</x:v>
      </x:c>
      <x:c r="V358" s="10" t="n">
        <x:v>0</x:v>
      </x:c>
      <x:c r="W358" s="10" t="n">
        <x:v>71</x:v>
      </x:c>
      <x:c r="X358" s="10" t="n">
        <x:v>0</x:v>
      </x:c>
      <x:c r="Y358" s="3" t="n">
        <x:v>0</x:v>
      </x:c>
      <x:c r="Z358" s="3" t="str">
        <x:v>共同</x:v>
      </x:c>
      <x:c r="AA358" s="3" t="str">
        <x:v>停售</x:v>
      </x:c>
      <x:c r="AB358" s="12" t="n">
        <x:f>IF(AND(Z358="共同",ISNUMBER(G358),ISNUMBER(AD358)),G358-AD358,"")</x:f>
        <x:v>-0.13809523809523808</x:v>
      </x:c>
      <x:c r="AC358" s="3" t="str"/>
      <x:c r="AD358" s="12" t="n">
        <x:v>0.29238095238095235</x:v>
      </x:c>
      <x:c r="AE358" s="3" t="str">
        <x:v>[6574,"2302153-BG-P-Z-38"]</x:v>
      </x:c>
      <x:c r="AF358" t="n">
        <x:f>IF(ISNUMBER(H358),1,0)</x:f>
        <x:v>1</x:v>
      </x:c>
      <x:c r="AG358" t="n">
        <x:f>IF(ISNUMBER(I358),1,0)</x:f>
        <x:v>1</x:v>
      </x:c>
      <x:c r="AH358" t="str">
        <x:v>["2302153","2302153-BG-P-Z","BG-P","米白"]</x:v>
      </x:c>
      <x:c r="AI358" t="n">
        <x:f>IF(ISNUMBER(G358),1,0)</x:f>
        <x:v>1</x:v>
      </x:c>
      <x:c r="AJ358" t="n">
        <x:f>IF(ISNUMBER(AD358),1,0)</x:f>
        <x:v>1</x:v>
      </x:c>
    </x:row>
    <x:row r="359" ht="30" customHeight="1">
      <x:c r="A359" s="3" t="str">
        <x:v>2302153-BG-P-Z-38.5</x:v>
      </x:c>
      <x:c r="B359" s="3" t="str">
        <x:v>3店-SANDIEX-US</x:v>
      </x:c>
      <x:c r="C359" s="3" t="str">
        <x:v>徐新怡</x:v>
      </x:c>
      <x:c r="D359" s="3" t="str">
        <x:v>2302153</x:v>
      </x:c>
      <x:c r="E359" s="3" t="str">
        <x:f>IF(Z359="移出","已移出",IF(NOT(ISNUMBER(H359)),"数据待核",IF(H359=0,"断货",IF(NOT(ISNUMBER(G359)),"数据待核",IF(G359=0,"零日销待复核",IF(F359&lt;60,"补货提醒",IF(F359&lt;=90,"正常库存",IF(F359&lt;180,"促销",IF(F359&lt;=365,"红线促销","考虑清仓")))))))))</x:f>
        <x:v>断货</x:v>
      </x:c>
      <x:c r="F359" s="11" t="n">
        <x:f>IF(AND(ISNUMBER(H359),ISNUMBER(G359),G359&gt;0),H359/G359,"")</x:f>
        <x:v>0</x:v>
      </x:c>
      <x:c r="G359" s="12" t="n">
        <x:f>IF(AND(COUNT(P359:R359)=3,MIN(P359:R359)&gt;=0,P359&lt;=Q359,Q359&lt;=R359),P359/7*0.5+Q359/14*0.3+R359/30*0.2,"")</x:f>
        <x:v>0.19047619047619047</x:v>
      </x:c>
      <x:c r="H359" s="10" t="n">
        <x:f>IF(ISNUMBER(U359),U359,"")</x:f>
        <x:v>0</x:v>
      </x:c>
      <x:c r="I359" s="10" t="n">
        <x:v>0</x:v>
      </x:c>
      <x:c r="J359" s="11" t="n">
        <x:f>IF(AND(Z359="共同",ISNUMBER(F359),ISNUMBER(M359)),F359-M359,"")</x:f>
        <x:v>0</x:v>
      </x:c>
      <x:c r="K359" s="13" t="str">
        <x:f>IF(AND(ISNUMBER(J359),M359&lt;&gt;0),J359/M359,"")</x:f>
      </x:c>
      <x:c r="L359" s="10" t="str">
        <x:v>断货</x:v>
      </x:c>
      <x:c r="M359" s="11" t="n">
        <x:v>0</x:v>
      </x:c>
      <x:c r="N359" s="10" t="n">
        <x:f>IF(AND(Z359="共同",COUNT(H359:I359)=2),H359-I359,"")</x:f>
        <x:v>0</x:v>
      </x:c>
      <x:c r="O359" s="10" t="n">
        <x:v>69</x:v>
      </x:c>
      <x:c r="P359" s="10" t="n">
        <x:v>1</x:v>
      </x:c>
      <x:c r="Q359" s="10" t="n">
        <x:v>4</x:v>
      </x:c>
      <x:c r="R359" s="10" t="n">
        <x:v>5</x:v>
      </x:c>
      <x:c r="S359" s="10" t="n">
        <x:v>4</x:v>
      </x:c>
      <x:c r="T359" s="10" t="n">
        <x:v>3</x:v>
      </x:c>
      <x:c r="U359" s="10" t="n">
        <x:f>IF(AND(ISNUMBER(X359),X359&gt;=0,Y359&lt;&gt;1),X359,"")</x:f>
        <x:v>0</x:v>
      </x:c>
      <x:c r="V359" s="10" t="n">
        <x:v>0</x:v>
      </x:c>
      <x:c r="W359" s="10" t="n">
        <x:v>67</x:v>
      </x:c>
      <x:c r="X359" s="10" t="n">
        <x:v>0</x:v>
      </x:c>
      <x:c r="Y359" s="3" t="n">
        <x:v>0</x:v>
      </x:c>
      <x:c r="Z359" s="3" t="str">
        <x:v>共同</x:v>
      </x:c>
      <x:c r="AA359" s="3" t="str">
        <x:v>在售</x:v>
      </x:c>
      <x:c r="AB359" s="12" t="n">
        <x:f>IF(AND(Z359="共同",ISNUMBER(G359),ISNUMBER(AD359)),G359-AD359,"")</x:f>
        <x:v>-0.09523809523809523</x:v>
      </x:c>
      <x:c r="AC359" s="3" t="str"/>
      <x:c r="AD359" s="12" t="n">
        <x:v>0.2857142857142857</x:v>
      </x:c>
      <x:c r="AE359" s="3" t="str">
        <x:v>[6574,"2302153-BG-P-Z-38.5"]</x:v>
      </x:c>
      <x:c r="AF359" t="n">
        <x:f>IF(ISNUMBER(H359),1,0)</x:f>
        <x:v>1</x:v>
      </x:c>
      <x:c r="AG359" t="n">
        <x:f>IF(ISNUMBER(I359),1,0)</x:f>
        <x:v>1</x:v>
      </x:c>
      <x:c r="AH359" t="str">
        <x:v>["2302153","2302153-BG-P-Z","BG-P","米白"]</x:v>
      </x:c>
      <x:c r="AI359" t="n">
        <x:f>IF(ISNUMBER(G359),1,0)</x:f>
        <x:v>1</x:v>
      </x:c>
      <x:c r="AJ359" t="n">
        <x:f>IF(ISNUMBER(AD359),1,0)</x:f>
        <x:v>1</x:v>
      </x:c>
    </x:row>
    <x:row r="360" ht="30" customHeight="1">
      <x:c r="A360" s="3" t="str">
        <x:v>2302153-BG-P-Z-39</x:v>
      </x:c>
      <x:c r="B360" s="3" t="str">
        <x:v>3店-SANDIEX-US</x:v>
      </x:c>
      <x:c r="C360" s="3" t="str">
        <x:v>徐新怡</x:v>
      </x:c>
      <x:c r="D360" s="3" t="str">
        <x:v>2302153</x:v>
      </x:c>
      <x:c r="E360" s="3" t="str">
        <x:f>IF(Z360="移出","已移出",IF(NOT(ISNUMBER(H360)),"数据待核",IF(H360=0,"断货",IF(NOT(ISNUMBER(G360)),"数据待核",IF(G360=0,"零日销待复核",IF(F360&lt;60,"补货提醒",IF(F360&lt;=90,"正常库存",IF(F360&lt;180,"促销",IF(F360&lt;=365,"红线促销","考虑清仓")))))))))</x:f>
        <x:v>断货</x:v>
      </x:c>
      <x:c r="F360" s="11" t="n">
        <x:f>IF(AND(ISNUMBER(H360),ISNUMBER(G360),G360&gt;0),H360/G360,"")</x:f>
        <x:v>0</x:v>
      </x:c>
      <x:c r="G360" s="12" t="n">
        <x:f>IF(AND(COUNT(P360:R360)=3,MIN(P360:R360)&gt;=0,P360&lt;=Q360,Q360&lt;=R360),P360/7*0.5+Q360/14*0.3+R360/30*0.2,"")</x:f>
        <x:v>0.2538095238095238</x:v>
      </x:c>
      <x:c r="H360" s="10" t="n">
        <x:f>IF(ISNUMBER(U360),U360,"")</x:f>
        <x:v>0</x:v>
      </x:c>
      <x:c r="I360" s="10" t="n">
        <x:v>0</x:v>
      </x:c>
      <x:c r="J360" s="11" t="n">
        <x:f>IF(AND(Z360="共同",ISNUMBER(F360),ISNUMBER(M360)),F360-M360,"")</x:f>
        <x:v>0</x:v>
      </x:c>
      <x:c r="K360" s="13" t="str">
        <x:f>IF(AND(ISNUMBER(J360),M360&lt;&gt;0),J360/M360,"")</x:f>
      </x:c>
      <x:c r="L360" s="10" t="str">
        <x:v>断货</x:v>
      </x:c>
      <x:c r="M360" s="11" t="n">
        <x:v>0</x:v>
      </x:c>
      <x:c r="N360" s="10" t="n">
        <x:f>IF(AND(Z360="共同",COUNT(H360:I360)=2),H360-I360,"")</x:f>
        <x:v>0</x:v>
      </x:c>
      <x:c r="O360" s="10" t="n">
        <x:v>151</x:v>
      </x:c>
      <x:c r="P360" s="10" t="n">
        <x:v>2</x:v>
      </x:c>
      <x:c r="Q360" s="10" t="n">
        <x:v>3</x:v>
      </x:c>
      <x:c r="R360" s="10" t="n">
        <x:v>7</x:v>
      </x:c>
      <x:c r="S360" s="10" t="n">
        <x:v>3</x:v>
      </x:c>
      <x:c r="T360" s="10" t="n">
        <x:v>2</x:v>
      </x:c>
      <x:c r="U360" s="10" t="n">
        <x:f>IF(AND(ISNUMBER(X360),X360&gt;=0,Y360&lt;&gt;1),X360,"")</x:f>
        <x:v>0</x:v>
      </x:c>
      <x:c r="V360" s="10" t="n">
        <x:v>0</x:v>
      </x:c>
      <x:c r="W360" s="10" t="n">
        <x:v>100</x:v>
      </x:c>
      <x:c r="X360" s="10" t="n">
        <x:v>0</x:v>
      </x:c>
      <x:c r="Y360" s="3" t="n">
        <x:v>0</x:v>
      </x:c>
      <x:c r="Z360" s="3" t="str">
        <x:v>共同</x:v>
      </x:c>
      <x:c r="AA360" s="3" t="str">
        <x:v>在售</x:v>
      </x:c>
      <x:c r="AB360" s="12" t="n">
        <x:f>IF(AND(Z360="共同",ISNUMBER(G360),ISNUMBER(AD360)),G360-AD360,"")</x:f>
        <x:v>0.03285714285714286</x:v>
      </x:c>
      <x:c r="AC360" s="3" t="str"/>
      <x:c r="AD360" s="12" t="n">
        <x:v>0.22095238095238096</x:v>
      </x:c>
      <x:c r="AE360" s="3" t="str">
        <x:v>[6574,"2302153-BG-P-Z-39"]</x:v>
      </x:c>
      <x:c r="AF360" t="n">
        <x:f>IF(ISNUMBER(H360),1,0)</x:f>
        <x:v>1</x:v>
      </x:c>
      <x:c r="AG360" t="n">
        <x:f>IF(ISNUMBER(I360),1,0)</x:f>
        <x:v>1</x:v>
      </x:c>
      <x:c r="AH360" t="str">
        <x:v>["2302153","2302153-BG-P-Z","BG-P","米白"]</x:v>
      </x:c>
      <x:c r="AI360" t="n">
        <x:f>IF(ISNUMBER(G360),1,0)</x:f>
        <x:v>1</x:v>
      </x:c>
      <x:c r="AJ360" t="n">
        <x:f>IF(ISNUMBER(AD360),1,0)</x:f>
        <x:v>1</x:v>
      </x:c>
    </x:row>
    <x:row r="361" ht="30" customHeight="1">
      <x:c r="A361" s="3" t="str">
        <x:v>2302153-BG-P-Z-39.5</x:v>
      </x:c>
      <x:c r="B361" s="3" t="str">
        <x:v>3店-SANDIEX-US</x:v>
      </x:c>
      <x:c r="C361" s="3" t="str">
        <x:v>徐新怡</x:v>
      </x:c>
      <x:c r="D361" s="3" t="str">
        <x:v>2302153</x:v>
      </x:c>
      <x:c r="E361" s="3" t="str">
        <x:f>IF(Z361="移出","已移出",IF(NOT(ISNUMBER(H361)),"数据待核",IF(H361=0,"断货",IF(NOT(ISNUMBER(G361)),"数据待核",IF(G361=0,"零日销待复核",IF(F361&lt;60,"补货提醒",IF(F361&lt;=90,"正常库存",IF(F361&lt;180,"促销",IF(F361&lt;=365,"红线促销","考虑清仓")))))))))</x:f>
        <x:v>断货</x:v>
      </x:c>
      <x:c r="F361" s="11" t="n">
        <x:f>IF(AND(ISNUMBER(H361),ISNUMBER(G361),G361&gt;0),H361/G361,"")</x:f>
        <x:v>0</x:v>
      </x:c>
      <x:c r="G361" s="12" t="n">
        <x:f>IF(AND(COUNT(P361:R361)=3,MIN(P361:R361)&gt;=0,P361&lt;=Q361,Q361&lt;=R361),P361/7*0.5+Q361/14*0.3+R361/30*0.2,"")</x:f>
        <x:v>0.30047619047619045</x:v>
      </x:c>
      <x:c r="H361" s="10" t="n">
        <x:f>IF(ISNUMBER(U361),U361,"")</x:f>
        <x:v>0</x:v>
      </x:c>
      <x:c r="I361" s="10" t="n">
        <x:v>0</x:v>
      </x:c>
      <x:c r="J361" s="11" t="n">
        <x:f>IF(AND(Z361="共同",ISNUMBER(F361),ISNUMBER(M361)),F361-M361,"")</x:f>
        <x:v>0</x:v>
      </x:c>
      <x:c r="K361" s="13" t="str">
        <x:f>IF(AND(ISNUMBER(J361),M361&lt;&gt;0),J361/M361,"")</x:f>
      </x:c>
      <x:c r="L361" s="10" t="str">
        <x:v>断货</x:v>
      </x:c>
      <x:c r="M361" s="11" t="n">
        <x:v>0</x:v>
      </x:c>
      <x:c r="N361" s="10" t="n">
        <x:f>IF(AND(Z361="共同",COUNT(H361:I361)=2),H361-I361,"")</x:f>
        <x:v>0</x:v>
      </x:c>
      <x:c r="O361" s="10" t="n">
        <x:v>95</x:v>
      </x:c>
      <x:c r="P361" s="10" t="n">
        <x:v>2</x:v>
      </x:c>
      <x:c r="Q361" s="10" t="n">
        <x:v>3</x:v>
      </x:c>
      <x:c r="R361" s="10" t="n">
        <x:v>14</x:v>
      </x:c>
      <x:c r="S361" s="10" t="n">
        <x:v>1</x:v>
      </x:c>
      <x:c r="T361" s="10" t="n">
        <x:v>1</x:v>
      </x:c>
      <x:c r="U361" s="10" t="n">
        <x:f>IF(AND(ISNUMBER(X361),X361&gt;=0,Y361&lt;&gt;1),X361,"")</x:f>
        <x:v>0</x:v>
      </x:c>
      <x:c r="V361" s="10" t="n">
        <x:v>0</x:v>
      </x:c>
      <x:c r="W361" s="10" t="n">
        <x:v>60</x:v>
      </x:c>
      <x:c r="X361" s="10" t="n">
        <x:v>0</x:v>
      </x:c>
      <x:c r="Y361" s="3" t="n">
        <x:v>0</x:v>
      </x:c>
      <x:c r="Z361" s="3" t="str">
        <x:v>共同</x:v>
      </x:c>
      <x:c r="AA361" s="3" t="str">
        <x:v>停售</x:v>
      </x:c>
      <x:c r="AB361" s="12" t="n">
        <x:f>IF(AND(Z361="共同",ISNUMBER(G361),ISNUMBER(AD361)),G361-AD361,"")</x:f>
        <x:v>-0.3828571428571429</x:v>
      </x:c>
      <x:c r="AC361" s="3" t="str"/>
      <x:c r="AD361" s="12" t="n">
        <x:v>0.6833333333333333</x:v>
      </x:c>
      <x:c r="AE361" s="3" t="str">
        <x:v>[6574,"2302153-BG-P-Z-39.5"]</x:v>
      </x:c>
      <x:c r="AF361" t="n">
        <x:f>IF(ISNUMBER(H361),1,0)</x:f>
        <x:v>1</x:v>
      </x:c>
      <x:c r="AG361" t="n">
        <x:f>IF(ISNUMBER(I361),1,0)</x:f>
        <x:v>1</x:v>
      </x:c>
      <x:c r="AH361" t="str">
        <x:v>["2302153","2302153-BG-P-Z","BG-P","米白"]</x:v>
      </x:c>
      <x:c r="AI361" t="n">
        <x:f>IF(ISNUMBER(G361),1,0)</x:f>
        <x:v>1</x:v>
      </x:c>
      <x:c r="AJ361" t="n">
        <x:f>IF(ISNUMBER(AD361),1,0)</x:f>
        <x:v>1</x:v>
      </x:c>
    </x:row>
    <x:row r="362" ht="30" customHeight="1">
      <x:c r="A362" s="3" t="str">
        <x:v>2302153-BG-P-Z-40</x:v>
      </x:c>
      <x:c r="B362" s="3" t="str">
        <x:v>3店-SANDIEX-US</x:v>
      </x:c>
      <x:c r="C362" s="3" t="str">
        <x:v>徐新怡</x:v>
      </x:c>
      <x:c r="D362" s="3" t="str">
        <x:v>2302153</x:v>
      </x:c>
      <x:c r="E362" s="3" t="str">
        <x:f>IF(Z362="移出","已移出",IF(NOT(ISNUMBER(H362)),"数据待核",IF(H362=0,"断货",IF(NOT(ISNUMBER(G362)),"数据待核",IF(G362=0,"零日销待复核",IF(F362&lt;60,"补货提醒",IF(F362&lt;=90,"正常库存",IF(F362&lt;180,"促销",IF(F362&lt;=365,"红线促销","考虑清仓")))))))))</x:f>
        <x:v>断货</x:v>
      </x:c>
      <x:c r="F362" s="11" t="n">
        <x:f>IF(AND(ISNUMBER(H362),ISNUMBER(G362),G362&gt;0),H362/G362,"")</x:f>
        <x:v>0</x:v>
      </x:c>
      <x:c r="G362" s="12" t="n">
        <x:f>IF(AND(COUNT(P362:R362)=3,MIN(P362:R362)&gt;=0,P362&lt;=Q362,Q362&lt;=R362),P362/7*0.5+Q362/14*0.3+R362/30*0.2,"")</x:f>
        <x:v>0.6171428571428571</x:v>
      </x:c>
      <x:c r="H362" s="10" t="n">
        <x:f>IF(ISNUMBER(U362),U362,"")</x:f>
        <x:v>0</x:v>
      </x:c>
      <x:c r="I362" s="10" t="n">
        <x:v>5</x:v>
      </x:c>
      <x:c r="J362" s="11" t="n">
        <x:f>IF(AND(Z362="共同",ISNUMBER(F362),ISNUMBER(M362)),F362-M362,"")</x:f>
        <x:v>-5.134474327628363</x:v>
      </x:c>
      <x:c r="K362" s="13" t="n">
        <x:f>IF(AND(ISNUMBER(J362),M362&lt;&gt;0),J362/M362,"")</x:f>
        <x:v>-1</x:v>
      </x:c>
      <x:c r="L362" s="10" t="str">
        <x:v>补货提醒</x:v>
      </x:c>
      <x:c r="M362" s="11" t="n">
        <x:v>5.134474327628363</x:v>
      </x:c>
      <x:c r="N362" s="10" t="n">
        <x:f>IF(AND(Z362="共同",COUNT(H362:I362)=2),H362-I362,"")</x:f>
        <x:v>-5</x:v>
      </x:c>
      <x:c r="O362" s="10" t="n">
        <x:v>99</x:v>
      </x:c>
      <x:c r="P362" s="10" t="n">
        <x:v>4</x:v>
      </x:c>
      <x:c r="Q362" s="10" t="n">
        <x:v>8</x:v>
      </x:c>
      <x:c r="R362" s="10" t="n">
        <x:v>24</x:v>
      </x:c>
      <x:c r="S362" s="10" t="n">
        <x:v>1</x:v>
      </x:c>
      <x:c r="T362" s="10" t="n">
        <x:v>0</x:v>
      </x:c>
      <x:c r="U362" s="10" t="n">
        <x:f>IF(AND(ISNUMBER(X362),X362&gt;=0,Y362&lt;&gt;1),X362,"")</x:f>
        <x:v>0</x:v>
      </x:c>
      <x:c r="V362" s="10" t="n">
        <x:v>0</x:v>
      </x:c>
      <x:c r="W362" s="10" t="n">
        <x:v>80</x:v>
      </x:c>
      <x:c r="X362" s="10" t="n">
        <x:v>0</x:v>
      </x:c>
      <x:c r="Y362" s="3" t="n">
        <x:v>0</x:v>
      </x:c>
      <x:c r="Z362" s="3" t="str">
        <x:v>共同</x:v>
      </x:c>
      <x:c r="AA362" s="3" t="str">
        <x:v>在售</x:v>
      </x:c>
      <x:c r="AB362" s="12" t="n">
        <x:f>IF(AND(Z362="共同",ISNUMBER(G362),ISNUMBER(AD362)),G362-AD362,"")</x:f>
        <x:v>-0.3566666666666666</x:v>
      </x:c>
      <x:c r="AC362" s="3" t="str"/>
      <x:c r="AD362" s="12" t="n">
        <x:v>0.9738095238095237</x:v>
      </x:c>
      <x:c r="AE362" s="3" t="str">
        <x:v>[6574,"2302153-BG-P-Z-40"]</x:v>
      </x:c>
      <x:c r="AF362" t="n">
        <x:f>IF(ISNUMBER(H362),1,0)</x:f>
        <x:v>1</x:v>
      </x:c>
      <x:c r="AG362" t="n">
        <x:f>IF(ISNUMBER(I362),1,0)</x:f>
        <x:v>1</x:v>
      </x:c>
      <x:c r="AH362" t="str">
        <x:v>["2302153","2302153-BG-P-Z","BG-P","米白"]</x:v>
      </x:c>
      <x:c r="AI362" t="n">
        <x:f>IF(ISNUMBER(G362),1,0)</x:f>
        <x:v>1</x:v>
      </x:c>
      <x:c r="AJ362" t="n">
        <x:f>IF(ISNUMBER(AD362),1,0)</x:f>
        <x:v>1</x:v>
      </x:c>
    </x:row>
    <x:row r="363" ht="30" customHeight="1">
      <x:c r="A363" s="3" t="str">
        <x:v>2302153-BG-P-Z-41</x:v>
      </x:c>
      <x:c r="B363" s="3" t="str">
        <x:v>3店-SANDIEX-US</x:v>
      </x:c>
      <x:c r="C363" s="3" t="str">
        <x:v>徐新怡</x:v>
      </x:c>
      <x:c r="D363" s="3" t="str">
        <x:v>2302153</x:v>
      </x:c>
      <x:c r="E363" s="3" t="str">
        <x:f>IF(Z363="移出","已移出",IF(NOT(ISNUMBER(H363)),"数据待核",IF(H363=0,"断货",IF(NOT(ISNUMBER(G363)),"数据待核",IF(G363=0,"零日销待复核",IF(F363&lt;60,"补货提醒",IF(F363&lt;=90,"正常库存",IF(F363&lt;180,"促销",IF(F363&lt;=365,"红线促销","考虑清仓")))))))))</x:f>
        <x:v>断货</x:v>
      </x:c>
      <x:c r="F363" s="11" t="n">
        <x:f>IF(AND(ISNUMBER(H363),ISNUMBER(G363),G363&gt;0),H363/G363,"")</x:f>
        <x:v>0</x:v>
      </x:c>
      <x:c r="G363" s="12" t="n">
        <x:f>IF(AND(COUNT(P363:R363)=3,MIN(P363:R363)&gt;=0,P363&lt;=Q363,Q363&lt;=R363),P363/7*0.5+Q363/14*0.3+R363/30*0.2,"")</x:f>
        <x:v>0.32047619047619047</x:v>
      </x:c>
      <x:c r="H363" s="10" t="n">
        <x:f>IF(ISNUMBER(U363),U363,"")</x:f>
        <x:v>0</x:v>
      </x:c>
      <x:c r="I363" s="10" t="n">
        <x:v>0</x:v>
      </x:c>
      <x:c r="J363" s="11" t="n">
        <x:f>IF(AND(Z363="共同",ISNUMBER(F363),ISNUMBER(M363)),F363-M363,"")</x:f>
        <x:v>0</x:v>
      </x:c>
      <x:c r="K363" s="13" t="str">
        <x:f>IF(AND(ISNUMBER(J363),M363&lt;&gt;0),J363/M363,"")</x:f>
      </x:c>
      <x:c r="L363" s="10" t="str">
        <x:v>断货</x:v>
      </x:c>
      <x:c r="M363" s="11" t="n">
        <x:v>0</x:v>
      </x:c>
      <x:c r="N363" s="10" t="n">
        <x:f>IF(AND(Z363="共同",COUNT(H363:I363)=2),H363-I363,"")</x:f>
        <x:v>0</x:v>
      </x:c>
      <x:c r="O363" s="10" t="n">
        <x:v>19</x:v>
      </x:c>
      <x:c r="P363" s="10" t="n">
        <x:v>2</x:v>
      </x:c>
      <x:c r="Q363" s="10" t="n">
        <x:v>3</x:v>
      </x:c>
      <x:c r="R363" s="10" t="n">
        <x:v>17</x:v>
      </x:c>
      <x:c r="S363" s="10" t="n">
        <x:v>1</x:v>
      </x:c>
      <x:c r="T363" s="10" t="n">
        <x:v>1</x:v>
      </x:c>
      <x:c r="U363" s="10" t="n">
        <x:f>IF(AND(ISNUMBER(X363),X363&gt;=0,Y363&lt;&gt;1),X363,"")</x:f>
        <x:v>0</x:v>
      </x:c>
      <x:c r="V363" s="10" t="n">
        <x:v>0</x:v>
      </x:c>
      <x:c r="W363" s="10" t="n">
        <x:v>19</x:v>
      </x:c>
      <x:c r="X363" s="10" t="n">
        <x:v>0</x:v>
      </x:c>
      <x:c r="Y363" s="3" t="n">
        <x:v>0</x:v>
      </x:c>
      <x:c r="Z363" s="3" t="str">
        <x:v>共同</x:v>
      </x:c>
      <x:c r="AA363" s="3" t="str">
        <x:v>在售</x:v>
      </x:c>
      <x:c r="AB363" s="12" t="n">
        <x:f>IF(AND(Z363="共同",ISNUMBER(G363),ISNUMBER(AD363)),G363-AD363,"")</x:f>
        <x:v>-0.7542857142857143</x:v>
      </x:c>
      <x:c r="AC363" s="3" t="str"/>
      <x:c r="AD363" s="12" t="n">
        <x:v>1.0747619047619048</x:v>
      </x:c>
      <x:c r="AE363" s="3" t="str">
        <x:v>[6574,"2302153-BG-P-Z-41"]</x:v>
      </x:c>
      <x:c r="AF363" t="n">
        <x:f>IF(ISNUMBER(H363),1,0)</x:f>
        <x:v>1</x:v>
      </x:c>
      <x:c r="AG363" t="n">
        <x:f>IF(ISNUMBER(I363),1,0)</x:f>
        <x:v>1</x:v>
      </x:c>
      <x:c r="AH363" t="str">
        <x:v>["2302153","2302153-BG-P-Z","BG-P","米白"]</x:v>
      </x:c>
      <x:c r="AI363" t="n">
        <x:f>IF(ISNUMBER(G363),1,0)</x:f>
        <x:v>1</x:v>
      </x:c>
      <x:c r="AJ363" t="n">
        <x:f>IF(ISNUMBER(AD363),1,0)</x:f>
        <x:v>1</x:v>
      </x:c>
    </x:row>
    <x:row r="364" ht="30" customHeight="1">
      <x:c r="A364" s="3" t="str">
        <x:v>2302153-BG-P-Z-42</x:v>
      </x:c>
      <x:c r="B364" s="3" t="str">
        <x:v>3店-SANDIEX-US</x:v>
      </x:c>
      <x:c r="C364" s="3" t="str">
        <x:v>徐新怡</x:v>
      </x:c>
      <x:c r="D364" s="3" t="str">
        <x:v>2302153</x:v>
      </x:c>
      <x:c r="E364" s="3" t="str">
        <x:f>IF(Z364="移出","已移出",IF(NOT(ISNUMBER(H364)),"数据待核",IF(H364=0,"断货",IF(NOT(ISNUMBER(G364)),"数据待核",IF(G364=0,"零日销待复核",IF(F364&lt;60,"补货提醒",IF(F364&lt;=90,"正常库存",IF(F364&lt;180,"促销",IF(F364&lt;=365,"红线促销","考虑清仓")))))))))</x:f>
        <x:v>断货</x:v>
      </x:c>
      <x:c r="F364" s="11" t="n">
        <x:f>IF(AND(ISNUMBER(H364),ISNUMBER(G364),G364&gt;0),H364/G364,"")</x:f>
        <x:v>0</x:v>
      </x:c>
      <x:c r="G364" s="12" t="n">
        <x:f>IF(AND(COUNT(P364:R364)=3,MIN(P364:R364)&gt;=0,P364&lt;=Q364,Q364&lt;=R364),P364/7*0.5+Q364/14*0.3+R364/30*0.2,"")</x:f>
        <x:v>0.2985714285714286</x:v>
      </x:c>
      <x:c r="H364" s="10" t="n">
        <x:f>IF(ISNUMBER(U364),U364,"")</x:f>
        <x:v>0</x:v>
      </x:c>
      <x:c r="I364" s="10" t="n">
        <x:v>0</x:v>
      </x:c>
      <x:c r="J364" s="11" t="str">
        <x:f>IF(AND(Z364="共同",ISNUMBER(F364),ISNUMBER(M364)),F364-M364,"")</x:f>
      </x:c>
      <x:c r="K364" s="13" t="str">
        <x:f>IF(AND(ISNUMBER(J364),M364&lt;&gt;0),J364/M364,"")</x:f>
      </x:c>
      <x:c r="L364" s="10" t="str">
        <x:v>断货</x:v>
      </x:c>
      <x:c r="M364" s="11"/>
      <x:c r="N364" s="10" t="n">
        <x:f>IF(AND(Z364="共同",COUNT(H364:I364)=2),H364-I364,"")</x:f>
        <x:v>0</x:v>
      </x:c>
      <x:c r="O364" s="10" t="n">
        <x:v>20</x:v>
      </x:c>
      <x:c r="P364" s="10" t="n">
        <x:v>3</x:v>
      </x:c>
      <x:c r="Q364" s="10" t="n">
        <x:v>3</x:v>
      </x:c>
      <x:c r="R364" s="10" t="n">
        <x:v>3</x:v>
      </x:c>
      <x:c r="S364" s="10" t="n">
        <x:v>10</x:v>
      </x:c>
      <x:c r="T364" s="10" t="n">
        <x:v>3</x:v>
      </x:c>
      <x:c r="U364" s="10" t="n">
        <x:f>IF(AND(ISNUMBER(X364),X364&gt;=0,Y364&lt;&gt;1),X364,"")</x:f>
        <x:v>0</x:v>
      </x:c>
      <x:c r="V364" s="10" t="n">
        <x:v>2</x:v>
      </x:c>
      <x:c r="W364" s="10" t="n">
        <x:v>29</x:v>
      </x:c>
      <x:c r="X364" s="10" t="n">
        <x:v>0</x:v>
      </x:c>
      <x:c r="Y364" s="3" t="n">
        <x:v>0</x:v>
      </x:c>
      <x:c r="Z364" s="3" t="str">
        <x:v>共同</x:v>
      </x:c>
      <x:c r="AA364" s="3" t="str">
        <x:v>在售</x:v>
      </x:c>
      <x:c r="AB364" s="12" t="n">
        <x:f>IF(AND(Z364="共同",ISNUMBER(G364),ISNUMBER(AD364)),G364-AD364,"")</x:f>
        <x:v>0.2985714285714286</x:v>
      </x:c>
      <x:c r="AC364" s="3" t="str"/>
      <x:c r="AD364" s="12" t="n">
        <x:v>0</x:v>
      </x:c>
      <x:c r="AE364" s="3" t="str">
        <x:v>[6574,"2302153-BG-P-Z-42"]</x:v>
      </x:c>
      <x:c r="AF364" t="n">
        <x:f>IF(ISNUMBER(H364),1,0)</x:f>
        <x:v>1</x:v>
      </x:c>
      <x:c r="AG364" t="n">
        <x:f>IF(ISNUMBER(I364),1,0)</x:f>
        <x:v>1</x:v>
      </x:c>
      <x:c r="AH364" t="str">
        <x:v>["2302153","2302153-BG-P-Z","BG-P","米白"]</x:v>
      </x:c>
      <x:c r="AI364" t="n">
        <x:f>IF(ISNUMBER(G364),1,0)</x:f>
        <x:v>1</x:v>
      </x:c>
      <x:c r="AJ364" t="n">
        <x:f>IF(ISNUMBER(AD364),1,0)</x:f>
        <x:v>1</x:v>
      </x:c>
    </x:row>
    <x:row r="365" ht="30" customHeight="1">
      <x:c r="A365" s="3" t="str">
        <x:v>2302153-BK-P-Z-10</x:v>
      </x:c>
      <x:c r="B365" s="3" t="str">
        <x:v>3店-SANDIEX-US</x:v>
      </x:c>
      <x:c r="C365" s="3" t="str">
        <x:v>徐新怡</x:v>
      </x:c>
      <x:c r="D365" s="3" t="str">
        <x:v>2302153</x:v>
      </x:c>
      <x:c r="E365" s="3" t="str">
        <x:f>IF(Z365="移出","已移出",IF(NOT(ISNUMBER(H365)),"数据待核",IF(H365=0,"断货",IF(NOT(ISNUMBER(G365)),"数据待核",IF(G365=0,"零日销待复核",IF(F365&lt;60,"补货提醒",IF(F365&lt;=90,"正常库存",IF(F365&lt;180,"促销",IF(F365&lt;=365,"红线促销","考虑清仓")))))))))</x:f>
        <x:v>断货</x:v>
      </x:c>
      <x:c r="F365" s="11" t="n">
        <x:f>IF(AND(ISNUMBER(H365),ISNUMBER(G365),G365&gt;0),H365/G365,"")</x:f>
        <x:v>0</x:v>
      </x:c>
      <x:c r="G365" s="12" t="n">
        <x:f>IF(AND(COUNT(P365:R365)=3,MIN(P365:R365)&gt;=0,P365&lt;=Q365,Q365&lt;=R365),P365/7*0.5+Q365/14*0.3+R365/30*0.2,"")</x:f>
        <x:v>0.0680952380952381</x:v>
      </x:c>
      <x:c r="H365" s="10" t="n">
        <x:f>IF(ISNUMBER(U365),U365,"")</x:f>
        <x:v>0</x:v>
      </x:c>
      <x:c r="I365" s="10" t="n">
        <x:v>0</x:v>
      </x:c>
      <x:c r="J365" s="11" t="n">
        <x:f>IF(AND(Z365="共同",ISNUMBER(F365),ISNUMBER(M365)),F365-M365,"")</x:f>
        <x:v>0</x:v>
      </x:c>
      <x:c r="K365" s="13" t="str">
        <x:f>IF(AND(ISNUMBER(J365),M365&lt;&gt;0),J365/M365,"")</x:f>
      </x:c>
      <x:c r="L365" s="10" t="str">
        <x:v>断货</x:v>
      </x:c>
      <x:c r="M365" s="11" t="n">
        <x:v>0</x:v>
      </x:c>
      <x:c r="N365" s="10" t="n">
        <x:f>IF(AND(Z365="共同",COUNT(H365:I365)=2),H365-I365,"")</x:f>
        <x:v>0</x:v>
      </x:c>
      <x:c r="O365" s="10" t="n">
        <x:v>0</x:v>
      </x:c>
      <x:c r="P365" s="10" t="n">
        <x:v>0</x:v>
      </x:c>
      <x:c r="Q365" s="10" t="n">
        <x:v>1</x:v>
      </x:c>
      <x:c r="R365" s="10" t="n">
        <x:v>7</x:v>
      </x:c>
      <x:c r="S365" s="10" t="n">
        <x:v>2</x:v>
      </x:c>
      <x:c r="T365" s="10" t="n">
        <x:v>2</x:v>
      </x:c>
      <x:c r="U365" s="10" t="n">
        <x:f>IF(AND(ISNUMBER(X365),X365&gt;=0,Y365&lt;&gt;1),X365,"")</x:f>
        <x:v>0</x:v>
      </x:c>
      <x:c r="V365" s="10" t="n">
        <x:v>0</x:v>
      </x:c>
      <x:c r="W365" s="10" t="n">
        <x:v>63</x:v>
      </x:c>
      <x:c r="X365" s="10" t="n">
        <x:v>0</x:v>
      </x:c>
      <x:c r="Y365" s="3" t="n">
        <x:v>0</x:v>
      </x:c>
      <x:c r="Z365" s="3" t="str">
        <x:v>共同</x:v>
      </x:c>
      <x:c r="AA365" s="3" t="str">
        <x:v>在售</x:v>
      </x:c>
      <x:c r="AB365" s="12" t="n">
        <x:f>IF(AND(Z365="共同",ISNUMBER(G365),ISNUMBER(AD365)),G365-AD365,"")</x:f>
        <x:v>-0.08571428571428569</x:v>
      </x:c>
      <x:c r="AC365" s="3" t="str"/>
      <x:c r="AD365" s="12" t="n">
        <x:v>0.15380952380952378</x:v>
      </x:c>
      <x:c r="AE365" s="3" t="str">
        <x:v>[6574,"2302153-BK-P-Z-10"]</x:v>
      </x:c>
      <x:c r="AF365" t="n">
        <x:f>IF(ISNUMBER(H365),1,0)</x:f>
        <x:v>1</x:v>
      </x:c>
      <x:c r="AG365" t="n">
        <x:f>IF(ISNUMBER(I365),1,0)</x:f>
        <x:v>1</x:v>
      </x:c>
      <x:c r="AH365" t="str">
        <x:v>["2302153","2302153-BK-P-Z","BK-P","黑色"]</x:v>
      </x:c>
      <x:c r="AI365" t="n">
        <x:f>IF(ISNUMBER(G365),1,0)</x:f>
        <x:v>1</x:v>
      </x:c>
      <x:c r="AJ365" t="n">
        <x:f>IF(ISNUMBER(AD365),1,0)</x:f>
        <x:v>1</x:v>
      </x:c>
    </x:row>
    <x:row r="366" ht="30" customHeight="1">
      <x:c r="A366" s="3" t="str">
        <x:v>2302153-BK-P-Z-10.5</x:v>
      </x:c>
      <x:c r="B366" s="3" t="str">
        <x:v>3店-SANDIEX-US</x:v>
      </x:c>
      <x:c r="C366" s="3" t="str">
        <x:v>徐新怡</x:v>
      </x:c>
      <x:c r="D366" s="3" t="str">
        <x:v>2302153</x:v>
      </x:c>
      <x:c r="E366" s="3" t="str">
        <x:f>IF(Z366="移出","已移出",IF(NOT(ISNUMBER(H366)),"数据待核",IF(H366=0,"断货",IF(NOT(ISNUMBER(G366)),"数据待核",IF(G366=0,"零日销待复核",IF(F366&lt;60,"补货提醒",IF(F366&lt;=90,"正常库存",IF(F366&lt;180,"促销",IF(F366&lt;=365,"红线促销","考虑清仓")))))))))</x:f>
        <x:v>断货</x:v>
      </x:c>
      <x:c r="F366" s="11" t="n">
        <x:f>IF(AND(ISNUMBER(H366),ISNUMBER(G366),G366&gt;0),H366/G366,"")</x:f>
        <x:v>0</x:v>
      </x:c>
      <x:c r="G366" s="12" t="n">
        <x:f>IF(AND(COUNT(P366:R366)=3,MIN(P366:R366)&gt;=0,P366&lt;=Q366,Q366&lt;=R366),P366/7*0.5+Q366/14*0.3+R366/30*0.2,"")</x:f>
        <x:v>0.21904761904761902</x:v>
      </x:c>
      <x:c r="H366" s="10" t="n">
        <x:f>IF(ISNUMBER(U366),U366,"")</x:f>
        <x:v>0</x:v>
      </x:c>
      <x:c r="I366" s="10" t="n">
        <x:v>1</x:v>
      </x:c>
      <x:c r="J366" s="11" t="n">
        <x:f>IF(AND(Z366="共同",ISNUMBER(F366),ISNUMBER(M366)),F366-M366,"")</x:f>
        <x:v>-4.9411764705882355</x:v>
      </x:c>
      <x:c r="K366" s="13" t="n">
        <x:f>IF(AND(ISNUMBER(J366),M366&lt;&gt;0),J366/M366,"")</x:f>
        <x:v>-1</x:v>
      </x:c>
      <x:c r="L366" s="10" t="str">
        <x:v>补货提醒</x:v>
      </x:c>
      <x:c r="M366" s="11" t="n">
        <x:v>4.9411764705882355</x:v>
      </x:c>
      <x:c r="N366" s="10" t="n">
        <x:f>IF(AND(Z366="共同",COUNT(H366:I366)=2),H366-I366,"")</x:f>
        <x:v>-1</x:v>
      </x:c>
      <x:c r="O366" s="10" t="n">
        <x:v>4</x:v>
      </x:c>
      <x:c r="P366" s="10" t="n">
        <x:v>2</x:v>
      </x:c>
      <x:c r="Q366" s="10" t="n">
        <x:v>2</x:v>
      </x:c>
      <x:c r="R366" s="10" t="n">
        <x:v>5</x:v>
      </x:c>
      <x:c r="S366" s="10" t="n">
        <x:v>0</x:v>
      </x:c>
      <x:c r="T366" s="10" t="n">
        <x:v>0</x:v>
      </x:c>
      <x:c r="U366" s="10" t="n">
        <x:f>IF(AND(ISNUMBER(X366),X366&gt;=0,Y366&lt;&gt;1),X366,"")</x:f>
        <x:v>0</x:v>
      </x:c>
      <x:c r="V366" s="10" t="n">
        <x:v>0</x:v>
      </x:c>
      <x:c r="W366" s="10" t="n">
        <x:v>21</x:v>
      </x:c>
      <x:c r="X366" s="10" t="n">
        <x:v>0</x:v>
      </x:c>
      <x:c r="Y366" s="3" t="n">
        <x:v>0</x:v>
      </x:c>
      <x:c r="Z366" s="3" t="str">
        <x:v>共同</x:v>
      </x:c>
      <x:c r="AA366" s="3" t="str">
        <x:v>在售</x:v>
      </x:c>
      <x:c r="AB366" s="12" t="n">
        <x:f>IF(AND(Z366="共同",ISNUMBER(G366),ISNUMBER(AD366)),G366-AD366,"")</x:f>
        <x:v>0.016666666666666635</x:v>
      </x:c>
      <x:c r="AC366" s="3" t="str"/>
      <x:c r="AD366" s="12" t="n">
        <x:v>0.20238095238095238</x:v>
      </x:c>
      <x:c r="AE366" s="3" t="str">
        <x:v>[6574,"2302153-BK-P-Z-10.5"]</x:v>
      </x:c>
      <x:c r="AF366" t="n">
        <x:f>IF(ISNUMBER(H366),1,0)</x:f>
        <x:v>1</x:v>
      </x:c>
      <x:c r="AG366" t="n">
        <x:f>IF(ISNUMBER(I366),1,0)</x:f>
        <x:v>1</x:v>
      </x:c>
      <x:c r="AH366" t="str">
        <x:v>["2302153","2302153-BK-P-Z","BK-P","黑色"]</x:v>
      </x:c>
      <x:c r="AI366" t="n">
        <x:f>IF(ISNUMBER(G366),1,0)</x:f>
        <x:v>1</x:v>
      </x:c>
      <x:c r="AJ366" t="n">
        <x:f>IF(ISNUMBER(AD366),1,0)</x:f>
        <x:v>1</x:v>
      </x:c>
    </x:row>
    <x:row r="367" ht="30" customHeight="1">
      <x:c r="A367" s="3" t="str">
        <x:v>2302153-BK-P-Z-11</x:v>
      </x:c>
      <x:c r="B367" s="3" t="str">
        <x:v>3店-SANDIEX-US</x:v>
      </x:c>
      <x:c r="C367" s="3" t="str">
        <x:v>徐新怡</x:v>
      </x:c>
      <x:c r="D367" s="3" t="str">
        <x:v>2302153</x:v>
      </x:c>
      <x:c r="E367" s="3" t="str">
        <x:f>IF(Z367="移出","已移出",IF(NOT(ISNUMBER(H367)),"数据待核",IF(H367=0,"断货",IF(NOT(ISNUMBER(G367)),"数据待核",IF(G367=0,"零日销待复核",IF(F367&lt;60,"补货提醒",IF(F367&lt;=90,"正常库存",IF(F367&lt;180,"促销",IF(F367&lt;=365,"红线促销","考虑清仓")))))))))</x:f>
        <x:v>断货</x:v>
      </x:c>
      <x:c r="F367" s="11" t="n">
        <x:f>IF(AND(ISNUMBER(H367),ISNUMBER(G367),G367&gt;0),H367/G367,"")</x:f>
        <x:v>0</x:v>
      </x:c>
      <x:c r="G367" s="12" t="n">
        <x:f>IF(AND(COUNT(P367:R367)=3,MIN(P367:R367)&gt;=0,P367&lt;=Q367,Q367&lt;=R367),P367/7*0.5+Q367/14*0.3+R367/30*0.2,"")</x:f>
        <x:v>0.14095238095238094</x:v>
      </x:c>
      <x:c r="H367" s="10" t="n">
        <x:f>IF(ISNUMBER(U367),U367,"")</x:f>
        <x:v>0</x:v>
      </x:c>
      <x:c r="I367" s="10" t="n">
        <x:v>3</x:v>
      </x:c>
      <x:c r="J367" s="11" t="n">
        <x:f>IF(AND(Z367="共同",ISNUMBER(F367),ISNUMBER(M367)),F367-M367,"")</x:f>
        <x:v>-20.322580645161295</x:v>
      </x:c>
      <x:c r="K367" s="13" t="n">
        <x:f>IF(AND(ISNUMBER(J367),M367&lt;&gt;0),J367/M367,"")</x:f>
        <x:v>-1</x:v>
      </x:c>
      <x:c r="L367" s="10" t="str">
        <x:v>补货提醒</x:v>
      </x:c>
      <x:c r="M367" s="11" t="n">
        <x:v>20.322580645161295</x:v>
      </x:c>
      <x:c r="N367" s="10" t="n">
        <x:f>IF(AND(Z367="共同",COUNT(H367:I367)=2),H367-I367,"")</x:f>
        <x:v>-3</x:v>
      </x:c>
      <x:c r="O367" s="10" t="n">
        <x:v>0</x:v>
      </x:c>
      <x:c r="P367" s="10" t="n">
        <x:v>1</x:v>
      </x:c>
      <x:c r="Q367" s="10" t="n">
        <x:v>2</x:v>
      </x:c>
      <x:c r="R367" s="10" t="n">
        <x:v>4</x:v>
      </x:c>
      <x:c r="S367" s="10" t="n">
        <x:v>2</x:v>
      </x:c>
      <x:c r="T367" s="10" t="n">
        <x:v>1</x:v>
      </x:c>
      <x:c r="U367" s="10" t="n">
        <x:f>IF(AND(ISNUMBER(X367),X367&gt;=0,Y367&lt;&gt;1),X367,"")</x:f>
        <x:v>0</x:v>
      </x:c>
      <x:c r="V367" s="10" t="n">
        <x:v>0</x:v>
      </x:c>
      <x:c r="W367" s="10" t="n">
        <x:v>61</x:v>
      </x:c>
      <x:c r="X367" s="10" t="n">
        <x:v>0</x:v>
      </x:c>
      <x:c r="Y367" s="3" t="n">
        <x:v>0</x:v>
      </x:c>
      <x:c r="Z367" s="3" t="str">
        <x:v>共同</x:v>
      </x:c>
      <x:c r="AA367" s="3" t="str">
        <x:v>在售</x:v>
      </x:c>
      <x:c r="AB367" s="12" t="n">
        <x:f>IF(AND(Z367="共同",ISNUMBER(G367),ISNUMBER(AD367)),G367-AD367,"")</x:f>
        <x:v>-0.006666666666666654</x:v>
      </x:c>
      <x:c r="AC367" s="3" t="str"/>
      <x:c r="AD367" s="12" t="n">
        <x:v>0.1476190476190476</x:v>
      </x:c>
      <x:c r="AE367" s="3" t="str">
        <x:v>[6574,"2302153-BK-P-Z-11"]</x:v>
      </x:c>
      <x:c r="AF367" t="n">
        <x:f>IF(ISNUMBER(H367),1,0)</x:f>
        <x:v>1</x:v>
      </x:c>
      <x:c r="AG367" t="n">
        <x:f>IF(ISNUMBER(I367),1,0)</x:f>
        <x:v>1</x:v>
      </x:c>
      <x:c r="AH367" t="str">
        <x:v>["2302153","2302153-BK-P-Z","BK-P","黑色"]</x:v>
      </x:c>
      <x:c r="AI367" t="n">
        <x:f>IF(ISNUMBER(G367),1,0)</x:f>
        <x:v>1</x:v>
      </x:c>
      <x:c r="AJ367" t="n">
        <x:f>IF(ISNUMBER(AD367),1,0)</x:f>
        <x:v>1</x:v>
      </x:c>
    </x:row>
    <x:row r="368" ht="30" customHeight="1">
      <x:c r="A368" s="3" t="str">
        <x:v>2302153-BK-P-Z-6.5</x:v>
      </x:c>
      <x:c r="B368" s="3" t="str">
        <x:v>3店-SANDIEX-US</x:v>
      </x:c>
      <x:c r="C368" s="3" t="str">
        <x:v>徐新怡</x:v>
      </x:c>
      <x:c r="D368" s="3" t="str">
        <x:v>2302153</x:v>
      </x:c>
      <x:c r="E368" s="3" t="str">
        <x:f>IF(Z368="移出","已移出",IF(NOT(ISNUMBER(H368)),"数据待核",IF(H368=0,"断货",IF(NOT(ISNUMBER(G368)),"数据待核",IF(G368=0,"零日销待复核",IF(F368&lt;60,"补货提醒",IF(F368&lt;=90,"正常库存",IF(F368&lt;180,"促销",IF(F368&lt;=365,"红线促销","考虑清仓")))))))))</x:f>
        <x:v>断货</x:v>
      </x:c>
      <x:c r="F368" s="11" t="n">
        <x:f>IF(AND(ISNUMBER(H368),ISNUMBER(G368),G368&gt;0),H368/G368,"")</x:f>
        <x:v>0</x:v>
      </x:c>
      <x:c r="G368" s="12" t="n">
        <x:f>IF(AND(COUNT(P368:R368)=3,MIN(P368:R368)&gt;=0,P368&lt;=Q368,Q368&lt;=R368),P368/7*0.5+Q368/14*0.3+R368/30*0.2,"")</x:f>
        <x:v>0.3185714285714286</x:v>
      </x:c>
      <x:c r="H368" s="10" t="n">
        <x:f>IF(ISNUMBER(U368),U368,"")</x:f>
        <x:v>0</x:v>
      </x:c>
      <x:c r="I368" s="10" t="n">
        <x:v>0</x:v>
      </x:c>
      <x:c r="J368" s="11" t="n">
        <x:f>IF(AND(Z368="共同",ISNUMBER(F368),ISNUMBER(M368)),F368-M368,"")</x:f>
        <x:v>0</x:v>
      </x:c>
      <x:c r="K368" s="13" t="str">
        <x:f>IF(AND(ISNUMBER(J368),M368&lt;&gt;0),J368/M368,"")</x:f>
      </x:c>
      <x:c r="L368" s="10" t="str">
        <x:v>断货</x:v>
      </x:c>
      <x:c r="M368" s="11" t="n">
        <x:v>0</x:v>
      </x:c>
      <x:c r="N368" s="10" t="n">
        <x:f>IF(AND(Z368="共同",COUNT(H368:I368)=2),H368-I368,"")</x:f>
        <x:v>0</x:v>
      </x:c>
      <x:c r="O368" s="10" t="n">
        <x:v>0</x:v>
      </x:c>
      <x:c r="P368" s="10" t="n">
        <x:v>3</x:v>
      </x:c>
      <x:c r="Q368" s="10" t="n">
        <x:v>3</x:v>
      </x:c>
      <x:c r="R368" s="10" t="n">
        <x:v>6</x:v>
      </x:c>
      <x:c r="S368" s="10" t="n">
        <x:v>2</x:v>
      </x:c>
      <x:c r="T368" s="10" t="n">
        <x:v>2</x:v>
      </x:c>
      <x:c r="U368" s="10" t="n">
        <x:f>IF(AND(ISNUMBER(X368),X368&gt;=0,Y368&lt;&gt;1),X368,"")</x:f>
        <x:v>0</x:v>
      </x:c>
      <x:c r="V368" s="10" t="n">
        <x:v>0</x:v>
      </x:c>
      <x:c r="W368" s="10" t="n">
        <x:v>61</x:v>
      </x:c>
      <x:c r="X368" s="10" t="n">
        <x:v>0</x:v>
      </x:c>
      <x:c r="Y368" s="3" t="n">
        <x:v>0</x:v>
      </x:c>
      <x:c r="Z368" s="3" t="str">
        <x:v>共同</x:v>
      </x:c>
      <x:c r="AA368" s="3" t="str">
        <x:v>在售</x:v>
      </x:c>
      <x:c r="AB368" s="12" t="n">
        <x:f>IF(AND(Z368="共同",ISNUMBER(G368),ISNUMBER(AD368)),G368-AD368,"")</x:f>
        <x:v>0.024761904761904818</x:v>
      </x:c>
      <x:c r="AC368" s="3" t="str"/>
      <x:c r="AD368" s="12" t="n">
        <x:v>0.2938095238095238</x:v>
      </x:c>
      <x:c r="AE368" s="3" t="str">
        <x:v>[6574,"2302153-BK-P-Z-6.5"]</x:v>
      </x:c>
      <x:c r="AF368" t="n">
        <x:f>IF(ISNUMBER(H368),1,0)</x:f>
        <x:v>1</x:v>
      </x:c>
      <x:c r="AG368" t="n">
        <x:f>IF(ISNUMBER(I368),1,0)</x:f>
        <x:v>1</x:v>
      </x:c>
      <x:c r="AH368" t="str">
        <x:v>["2302153","2302153-BK-P-Z","BK-P","黑色"]</x:v>
      </x:c>
      <x:c r="AI368" t="n">
        <x:f>IF(ISNUMBER(G368),1,0)</x:f>
        <x:v>1</x:v>
      </x:c>
      <x:c r="AJ368" t="n">
        <x:f>IF(ISNUMBER(AD368),1,0)</x:f>
        <x:v>1</x:v>
      </x:c>
    </x:row>
    <x:row r="369" ht="30" customHeight="1">
      <x:c r="A369" s="3" t="str">
        <x:v>2302153-BK-P-Z-7</x:v>
      </x:c>
      <x:c r="B369" s="3" t="str">
        <x:v>3店-SANDIEX-US</x:v>
      </x:c>
      <x:c r="C369" s="3" t="str">
        <x:v>徐新怡</x:v>
      </x:c>
      <x:c r="D369" s="3" t="str">
        <x:v>2302153</x:v>
      </x:c>
      <x:c r="E369" s="3" t="str">
        <x:f>IF(Z369="移出","已移出",IF(NOT(ISNUMBER(H369)),"数据待核",IF(H369=0,"断货",IF(NOT(ISNUMBER(G369)),"数据待核",IF(G369=0,"零日销待复核",IF(F369&lt;60,"补货提醒",IF(F369&lt;=90,"正常库存",IF(F369&lt;180,"促销",IF(F369&lt;=365,"红线促销","考虑清仓")))))))))</x:f>
        <x:v>断货</x:v>
      </x:c>
      <x:c r="F369" s="11" t="n">
        <x:f>IF(AND(ISNUMBER(H369),ISNUMBER(G369),G369&gt;0),H369/G369,"")</x:f>
        <x:v>0</x:v>
      </x:c>
      <x:c r="G369" s="12" t="n">
        <x:f>IF(AND(COUNT(P369:R369)=3,MIN(P369:R369)&gt;=0,P369&lt;=Q369,Q369&lt;=R369),P369/7*0.5+Q369/14*0.3+R369/30*0.2,"")</x:f>
        <x:v>0.3419047619047619</x:v>
      </x:c>
      <x:c r="H369" s="10" t="n">
        <x:f>IF(ISNUMBER(U369),U369,"")</x:f>
        <x:v>0</x:v>
      </x:c>
      <x:c r="I369" s="10" t="n">
        <x:v>0</x:v>
      </x:c>
      <x:c r="J369" s="11" t="n">
        <x:f>IF(AND(Z369="共同",ISNUMBER(F369),ISNUMBER(M369)),F369-M369,"")</x:f>
        <x:v>0</x:v>
      </x:c>
      <x:c r="K369" s="13" t="str">
        <x:f>IF(AND(ISNUMBER(J369),M369&lt;&gt;0),J369/M369,"")</x:f>
      </x:c>
      <x:c r="L369" s="10" t="str">
        <x:v>断货</x:v>
      </x:c>
      <x:c r="M369" s="11" t="n">
        <x:v>0</x:v>
      </x:c>
      <x:c r="N369" s="10" t="n">
        <x:f>IF(AND(Z369="共同",COUNT(H369:I369)=2),H369-I369,"")</x:f>
        <x:v>0</x:v>
      </x:c>
      <x:c r="O369" s="10" t="n">
        <x:v>0</x:v>
      </x:c>
      <x:c r="P369" s="10" t="n">
        <x:v>2</x:v>
      </x:c>
      <x:c r="Q369" s="10" t="n">
        <x:v>4</x:v>
      </x:c>
      <x:c r="R369" s="10" t="n">
        <x:v>17</x:v>
      </x:c>
      <x:c r="S369" s="10" t="n">
        <x:v>5</x:v>
      </x:c>
      <x:c r="T369" s="10" t="n">
        <x:v>4</x:v>
      </x:c>
      <x:c r="U369" s="10" t="n">
        <x:f>IF(AND(ISNUMBER(X369),X369&gt;=0,Y369&lt;&gt;1),X369,"")</x:f>
        <x:v>0</x:v>
      </x:c>
      <x:c r="V369" s="10" t="n">
        <x:v>0</x:v>
      </x:c>
      <x:c r="W369" s="10" t="n">
        <x:v>103</x:v>
      </x:c>
      <x:c r="X369" s="10" t="n">
        <x:v>0</x:v>
      </x:c>
      <x:c r="Y369" s="3" t="n">
        <x:v>0</x:v>
      </x:c>
      <x:c r="Z369" s="3" t="str">
        <x:v>共同</x:v>
      </x:c>
      <x:c r="AA369" s="3" t="str">
        <x:v>在售</x:v>
      </x:c>
      <x:c r="AB369" s="12" t="n">
        <x:f>IF(AND(Z369="共同",ISNUMBER(G369),ISNUMBER(AD369)),G369-AD369,"")</x:f>
        <x:v>-0.2580952380952381</x:v>
      </x:c>
      <x:c r="AC369" s="3" t="str"/>
      <x:c r="AD369" s="12" t="n">
        <x:v>0.6</x:v>
      </x:c>
      <x:c r="AE369" s="3" t="str">
        <x:v>[6574,"2302153-BK-P-Z-7"]</x:v>
      </x:c>
      <x:c r="AF369" t="n">
        <x:f>IF(ISNUMBER(H369),1,0)</x:f>
        <x:v>1</x:v>
      </x:c>
      <x:c r="AG369" t="n">
        <x:f>IF(ISNUMBER(I369),1,0)</x:f>
        <x:v>1</x:v>
      </x:c>
      <x:c r="AH369" t="str">
        <x:v>["2302153","2302153-BK-P-Z","BK-P","黑色"]</x:v>
      </x:c>
      <x:c r="AI369" t="n">
        <x:f>IF(ISNUMBER(G369),1,0)</x:f>
        <x:v>1</x:v>
      </x:c>
      <x:c r="AJ369" t="n">
        <x:f>IF(ISNUMBER(AD369),1,0)</x:f>
        <x:v>1</x:v>
      </x:c>
    </x:row>
    <x:row r="370" ht="30" customHeight="1">
      <x:c r="A370" s="3" t="str">
        <x:v>2302153-BK-P-Z-8</x:v>
      </x:c>
      <x:c r="B370" s="3" t="str">
        <x:v>3店-SANDIEX-US</x:v>
      </x:c>
      <x:c r="C370" s="3" t="str">
        <x:v>徐新怡</x:v>
      </x:c>
      <x:c r="D370" s="3" t="str">
        <x:v>2302153</x:v>
      </x:c>
      <x:c r="E370" s="3" t="str">
        <x:f>IF(Z370="移出","已移出",IF(NOT(ISNUMBER(H370)),"数据待核",IF(H370=0,"断货",IF(NOT(ISNUMBER(G370)),"数据待核",IF(G370=0,"零日销待复核",IF(F370&lt;60,"补货提醒",IF(F370&lt;=90,"正常库存",IF(F370&lt;180,"促销",IF(F370&lt;=365,"红线促销","考虑清仓")))))))))</x:f>
        <x:v>断货</x:v>
      </x:c>
      <x:c r="F370" s="11" t="n">
        <x:f>IF(AND(ISNUMBER(H370),ISNUMBER(G370),G370&gt;0),H370/G370,"")</x:f>
        <x:v>0</x:v>
      </x:c>
      <x:c r="G370" s="12" t="n">
        <x:f>IF(AND(COUNT(P370:R370)=3,MIN(P370:R370)&gt;=0,P370&lt;=Q370,Q370&lt;=R370),P370/7*0.5+Q370/14*0.3+R370/30*0.2,"")</x:f>
        <x:v>1.6419047619047618</x:v>
      </x:c>
      <x:c r="H370" s="10" t="n">
        <x:f>IF(ISNUMBER(U370),U370,"")</x:f>
        <x:v>0</x:v>
      </x:c>
      <x:c r="I370" s="10" t="n">
        <x:v>0</x:v>
      </x:c>
      <x:c r="J370" s="11" t="n">
        <x:f>IF(AND(Z370="共同",ISNUMBER(F370),ISNUMBER(M370)),F370-M370,"")</x:f>
        <x:v>0</x:v>
      </x:c>
      <x:c r="K370" s="13" t="str">
        <x:f>IF(AND(ISNUMBER(J370),M370&lt;&gt;0),J370/M370,"")</x:f>
      </x:c>
      <x:c r="L370" s="10" t="str">
        <x:v>断货</x:v>
      </x:c>
      <x:c r="M370" s="11" t="n">
        <x:v>0</x:v>
      </x:c>
      <x:c r="N370" s="10" t="n">
        <x:f>IF(AND(Z370="共同",COUNT(H370:I370)=2),H370-I370,"")</x:f>
        <x:v>0</x:v>
      </x:c>
      <x:c r="O370" s="10" t="n">
        <x:v>65</x:v>
      </x:c>
      <x:c r="P370" s="10" t="n">
        <x:v>12</x:v>
      </x:c>
      <x:c r="Q370" s="10" t="n">
        <x:v>22</x:v>
      </x:c>
      <x:c r="R370" s="10" t="n">
        <x:v>47</x:v>
      </x:c>
      <x:c r="S370" s="10" t="n">
        <x:v>10</x:v>
      </x:c>
      <x:c r="T370" s="10" t="n">
        <x:v>9</x:v>
      </x:c>
      <x:c r="U370" s="10" t="n">
        <x:f>IF(AND(ISNUMBER(X370),X370&gt;=0,Y370&lt;&gt;1),X370,"")</x:f>
        <x:v>0</x:v>
      </x:c>
      <x:c r="V370" s="10" t="n">
        <x:v>0</x:v>
      </x:c>
      <x:c r="W370" s="10" t="n">
        <x:v>201</x:v>
      </x:c>
      <x:c r="X370" s="10" t="n">
        <x:v>0</x:v>
      </x:c>
      <x:c r="Y370" s="3" t="n">
        <x:v>0</x:v>
      </x:c>
      <x:c r="Z370" s="3" t="str">
        <x:v>共同</x:v>
      </x:c>
      <x:c r="AA370" s="3" t="str">
        <x:v>在售</x:v>
      </x:c>
      <x:c r="AB370" s="12" t="n">
        <x:f>IF(AND(Z370="共同",ISNUMBER(G370),ISNUMBER(AD370)),G370-AD370,"")</x:f>
        <x:v>0.273333333333333</x:v>
      </x:c>
      <x:c r="AC370" s="3" t="str"/>
      <x:c r="AD370" s="12" t="n">
        <x:v>1.3685714285714288</x:v>
      </x:c>
      <x:c r="AE370" s="3" t="str">
        <x:v>[6574,"2302153-BK-P-Z-8"]</x:v>
      </x:c>
      <x:c r="AF370" t="n">
        <x:f>IF(ISNUMBER(H370),1,0)</x:f>
        <x:v>1</x:v>
      </x:c>
      <x:c r="AG370" t="n">
        <x:f>IF(ISNUMBER(I370),1,0)</x:f>
        <x:v>1</x:v>
      </x:c>
      <x:c r="AH370" t="str">
        <x:v>["2302153","2302153-BK-P-Z","BK-P","黑色"]</x:v>
      </x:c>
      <x:c r="AI370" t="n">
        <x:f>IF(ISNUMBER(G370),1,0)</x:f>
        <x:v>1</x:v>
      </x:c>
      <x:c r="AJ370" t="n">
        <x:f>IF(ISNUMBER(AD370),1,0)</x:f>
        <x:v>1</x:v>
      </x:c>
    </x:row>
    <x:row r="371" ht="30" customHeight="1">
      <x:c r="A371" s="3" t="str">
        <x:v>2302153-BK-P-Z-8.5</x:v>
      </x:c>
      <x:c r="B371" s="3" t="str">
        <x:v>3店-SANDIEX-US</x:v>
      </x:c>
      <x:c r="C371" s="3" t="str">
        <x:v>徐新怡</x:v>
      </x:c>
      <x:c r="D371" s="3" t="str">
        <x:v>2302153</x:v>
      </x:c>
      <x:c r="E371" s="3" t="str">
        <x:f>IF(Z371="移出","已移出",IF(NOT(ISNUMBER(H371)),"数据待核",IF(H371=0,"断货",IF(NOT(ISNUMBER(G371)),"数据待核",IF(G371=0,"零日销待复核",IF(F371&lt;60,"补货提醒",IF(F371&lt;=90,"正常库存",IF(F371&lt;180,"促销",IF(F371&lt;=365,"红线促销","考虑清仓")))))))))</x:f>
        <x:v>断货</x:v>
      </x:c>
      <x:c r="F371" s="11" t="n">
        <x:f>IF(AND(ISNUMBER(H371),ISNUMBER(G371),G371&gt;0),H371/G371,"")</x:f>
        <x:v>0</x:v>
      </x:c>
      <x:c r="G371" s="12" t="n">
        <x:f>IF(AND(COUNT(P371:R371)=3,MIN(P371:R371)&gt;=0,P371&lt;=Q371,Q371&lt;=R371),P371/7*0.5+Q371/14*0.3+R371/30*0.2,"")</x:f>
        <x:v>0.730952380952381</x:v>
      </x:c>
      <x:c r="H371" s="10" t="n">
        <x:f>IF(ISNUMBER(U371),U371,"")</x:f>
        <x:v>0</x:v>
      </x:c>
      <x:c r="I371" s="10" t="n">
        <x:v>0</x:v>
      </x:c>
      <x:c r="J371" s="11" t="n">
        <x:f>IF(AND(Z371="共同",ISNUMBER(F371),ISNUMBER(M371)),F371-M371,"")</x:f>
        <x:v>0</x:v>
      </x:c>
      <x:c r="K371" s="13" t="str">
        <x:f>IF(AND(ISNUMBER(J371),M371&lt;&gt;0),J371/M371,"")</x:f>
      </x:c>
      <x:c r="L371" s="10" t="str">
        <x:v>断货</x:v>
      </x:c>
      <x:c r="M371" s="11" t="n">
        <x:v>0</x:v>
      </x:c>
      <x:c r="N371" s="10" t="n">
        <x:f>IF(AND(Z371="共同",COUNT(H371:I371)=2),H371-I371,"")</x:f>
        <x:v>0</x:v>
      </x:c>
      <x:c r="O371" s="10" t="n">
        <x:v>71</x:v>
      </x:c>
      <x:c r="P371" s="10" t="n">
        <x:v>3</x:v>
      </x:c>
      <x:c r="Q371" s="10" t="n">
        <x:v>7</x:v>
      </x:c>
      <x:c r="R371" s="10" t="n">
        <x:v>55</x:v>
      </x:c>
      <x:c r="S371" s="10" t="n">
        <x:v>9</x:v>
      </x:c>
      <x:c r="T371" s="10" t="n">
        <x:v>8</x:v>
      </x:c>
      <x:c r="U371" s="10" t="n">
        <x:f>IF(AND(ISNUMBER(X371),X371&gt;=0,Y371&lt;&gt;1),X371,"")</x:f>
        <x:v>0</x:v>
      </x:c>
      <x:c r="V371" s="10" t="n">
        <x:v>0</x:v>
      </x:c>
      <x:c r="W371" s="10" t="n">
        <x:v>180</x:v>
      </x:c>
      <x:c r="X371" s="10" t="n">
        <x:v>0</x:v>
      </x:c>
      <x:c r="Y371" s="3" t="n">
        <x:v>0</x:v>
      </x:c>
      <x:c r="Z371" s="3" t="str">
        <x:v>共同</x:v>
      </x:c>
      <x:c r="AA371" s="3" t="str">
        <x:v>在售</x:v>
      </x:c>
      <x:c r="AB371" s="12" t="n">
        <x:f>IF(AND(Z371="共同",ISNUMBER(G371),ISNUMBER(AD371)),G371-AD371,"")</x:f>
        <x:v>-2.4266666666666667</x:v>
      </x:c>
      <x:c r="AC371" s="3" t="str"/>
      <x:c r="AD371" s="12" t="n">
        <x:v>3.1576190476190478</x:v>
      </x:c>
      <x:c r="AE371" s="3" t="str">
        <x:v>[6574,"2302153-BK-P-Z-8.5"]</x:v>
      </x:c>
      <x:c r="AF371" t="n">
        <x:f>IF(ISNUMBER(H371),1,0)</x:f>
        <x:v>1</x:v>
      </x:c>
      <x:c r="AG371" t="n">
        <x:f>IF(ISNUMBER(I371),1,0)</x:f>
        <x:v>1</x:v>
      </x:c>
      <x:c r="AH371" t="str">
        <x:v>["2302153","2302153-BK-P-Z","BK-P","黑色"]</x:v>
      </x:c>
      <x:c r="AI371" t="n">
        <x:f>IF(ISNUMBER(G371),1,0)</x:f>
        <x:v>1</x:v>
      </x:c>
      <x:c r="AJ371" t="n">
        <x:f>IF(ISNUMBER(AD371),1,0)</x:f>
        <x:v>1</x:v>
      </x:c>
    </x:row>
    <x:row r="372" ht="30" customHeight="1">
      <x:c r="A372" s="3" t="str">
        <x:v>2302153-BK-P-Z-9</x:v>
      </x:c>
      <x:c r="B372" s="3" t="str">
        <x:v>3店-SANDIEX-US</x:v>
      </x:c>
      <x:c r="C372" s="3" t="str">
        <x:v>徐新怡</x:v>
      </x:c>
      <x:c r="D372" s="3" t="str">
        <x:v>2302153</x:v>
      </x:c>
      <x:c r="E372" s="3" t="str">
        <x:f>IF(Z372="移出","已移出",IF(NOT(ISNUMBER(H372)),"数据待核",IF(H372=0,"断货",IF(NOT(ISNUMBER(G372)),"数据待核",IF(G372=0,"零日销待复核",IF(F372&lt;60,"补货提醒",IF(F372&lt;=90,"正常库存",IF(F372&lt;180,"促销",IF(F372&lt;=365,"红线促销","考虑清仓")))))))))</x:f>
        <x:v>断货</x:v>
      </x:c>
      <x:c r="F372" s="11" t="n">
        <x:f>IF(AND(ISNUMBER(H372),ISNUMBER(G372),G372&gt;0),H372/G372,"")</x:f>
        <x:v>0</x:v>
      </x:c>
      <x:c r="G372" s="12" t="n">
        <x:f>IF(AND(COUNT(P372:R372)=3,MIN(P372:R372)&gt;=0,P372&lt;=Q372,Q372&lt;=R372),P372/7*0.5+Q372/14*0.3+R372/30*0.2,"")</x:f>
        <x:v>0.6785714285714286</x:v>
      </x:c>
      <x:c r="H372" s="10" t="n">
        <x:f>IF(ISNUMBER(U372),U372,"")</x:f>
        <x:v>0</x:v>
      </x:c>
      <x:c r="I372" s="10" t="n">
        <x:v>0</x:v>
      </x:c>
      <x:c r="J372" s="11" t="n">
        <x:f>IF(AND(Z372="共同",ISNUMBER(F372),ISNUMBER(M372)),F372-M372,"")</x:f>
        <x:v>0</x:v>
      </x:c>
      <x:c r="K372" s="13" t="str">
        <x:f>IF(AND(ISNUMBER(J372),M372&lt;&gt;0),J372/M372,"")</x:f>
      </x:c>
      <x:c r="L372" s="10" t="str">
        <x:v>断货</x:v>
      </x:c>
      <x:c r="M372" s="11" t="n">
        <x:v>0</x:v>
      </x:c>
      <x:c r="N372" s="10" t="n">
        <x:f>IF(AND(Z372="共同",COUNT(H372:I372)=2),H372-I372,"")</x:f>
        <x:v>0</x:v>
      </x:c>
      <x:c r="O372" s="10" t="n">
        <x:v>37</x:v>
      </x:c>
      <x:c r="P372" s="10" t="n">
        <x:v>2</x:v>
      </x:c>
      <x:c r="Q372" s="10" t="n">
        <x:v>11</x:v>
      </x:c>
      <x:c r="R372" s="10" t="n">
        <x:v>45</x:v>
      </x:c>
      <x:c r="S372" s="10" t="n">
        <x:v>11</x:v>
      </x:c>
      <x:c r="T372" s="10" t="n">
        <x:v>3</x:v>
      </x:c>
      <x:c r="U372" s="10" t="n">
        <x:f>IF(AND(ISNUMBER(X372),X372&gt;=0,Y372&lt;&gt;1),X372,"")</x:f>
        <x:v>0</x:v>
      </x:c>
      <x:c r="V372" s="10" t="n">
        <x:v>0</x:v>
      </x:c>
      <x:c r="W372" s="10" t="n">
        <x:v>184</x:v>
      </x:c>
      <x:c r="X372" s="10" t="n">
        <x:v>0</x:v>
      </x:c>
      <x:c r="Y372" s="3" t="n">
        <x:v>0</x:v>
      </x:c>
      <x:c r="Z372" s="3" t="str">
        <x:v>共同</x:v>
      </x:c>
      <x:c r="AA372" s="3" t="str">
        <x:v>在售</x:v>
      </x:c>
      <x:c r="AB372" s="12" t="n">
        <x:f>IF(AND(Z372="共同",ISNUMBER(G372),ISNUMBER(AD372)),G372-AD372,"")</x:f>
        <x:v>-1.3514285714285716</x:v>
      </x:c>
      <x:c r="AC372" s="3" t="str"/>
      <x:c r="AD372" s="12" t="n">
        <x:v>2.0300000000000002</x:v>
      </x:c>
      <x:c r="AE372" s="3" t="str">
        <x:v>[6574,"2302153-BK-P-Z-9"]</x:v>
      </x:c>
      <x:c r="AF372" t="n">
        <x:f>IF(ISNUMBER(H372),1,0)</x:f>
        <x:v>1</x:v>
      </x:c>
      <x:c r="AG372" t="n">
        <x:f>IF(ISNUMBER(I372),1,0)</x:f>
        <x:v>1</x:v>
      </x:c>
      <x:c r="AH372" t="str">
        <x:v>["2302153","2302153-BK-P-Z","BK-P","黑色"]</x:v>
      </x:c>
      <x:c r="AI372" t="n">
        <x:f>IF(ISNUMBER(G372),1,0)</x:f>
        <x:v>1</x:v>
      </x:c>
      <x:c r="AJ372" t="n">
        <x:f>IF(ISNUMBER(AD372),1,0)</x:f>
        <x:v>1</x:v>
      </x:c>
    </x:row>
    <x:row r="373" ht="30" customHeight="1">
      <x:c r="A373" s="3" t="str">
        <x:v>2302153-BK-S-Z-10.5</x:v>
      </x:c>
      <x:c r="B373" s="3" t="str">
        <x:v>3店-SANDIEX-US</x:v>
      </x:c>
      <x:c r="C373" s="3" t="str">
        <x:v>徐新怡</x:v>
      </x:c>
      <x:c r="D373" s="3" t="str">
        <x:v>2302153</x:v>
      </x:c>
      <x:c r="E373" s="3" t="str">
        <x:f>IF(Z373="移出","已移出",IF(NOT(ISNUMBER(H373)),"数据待核",IF(H373=0,"断货",IF(NOT(ISNUMBER(G373)),"数据待核",IF(G373=0,"零日销待复核",IF(F373&lt;60,"补货提醒",IF(F373&lt;=90,"正常库存",IF(F373&lt;180,"促销",IF(F373&lt;=365,"红线促销","考虑清仓")))))))))</x:f>
        <x:v>断货</x:v>
      </x:c>
      <x:c r="F373" s="11" t="n">
        <x:f>IF(AND(ISNUMBER(H373),ISNUMBER(G373),G373&gt;0),H373/G373,"")</x:f>
        <x:v>0</x:v>
      </x:c>
      <x:c r="G373" s="12" t="n">
        <x:f>IF(AND(COUNT(P373:R373)=3,MIN(P373:R373)&gt;=0,P373&lt;=Q373,Q373&lt;=R373),P373/7*0.5+Q373/14*0.3+R373/30*0.2,"")</x:f>
        <x:v>0.4957142857142857</x:v>
      </x:c>
      <x:c r="H373" s="10" t="n">
        <x:f>IF(ISNUMBER(U373),U373,"")</x:f>
        <x:v>0</x:v>
      </x:c>
      <x:c r="I373" s="10" t="n">
        <x:v>0</x:v>
      </x:c>
      <x:c r="J373" s="11" t="n">
        <x:f>IF(AND(Z373="共同",ISNUMBER(F373),ISNUMBER(M373)),F373-M373,"")</x:f>
        <x:v>0</x:v>
      </x:c>
      <x:c r="K373" s="13" t="str">
        <x:f>IF(AND(ISNUMBER(J373),M373&lt;&gt;0),J373/M373,"")</x:f>
      </x:c>
      <x:c r="L373" s="10" t="str">
        <x:v>断货</x:v>
      </x:c>
      <x:c r="M373" s="11" t="n">
        <x:v>0</x:v>
      </x:c>
      <x:c r="N373" s="10" t="n">
        <x:f>IF(AND(Z373="共同",COUNT(H373:I373)=2),H373-I373,"")</x:f>
        <x:v>0</x:v>
      </x:c>
      <x:c r="O373" s="10" t="n">
        <x:v>0</x:v>
      </x:c>
      <x:c r="P373" s="10" t="n">
        <x:v>4</x:v>
      </x:c>
      <x:c r="Q373" s="10" t="n">
        <x:v>7</x:v>
      </x:c>
      <x:c r="R373" s="10" t="n">
        <x:v>9</x:v>
      </x:c>
      <x:c r="S373" s="10" t="n">
        <x:v>10</x:v>
      </x:c>
      <x:c r="T373" s="10" t="n">
        <x:v>8</x:v>
      </x:c>
      <x:c r="U373" s="10" t="n">
        <x:f>IF(AND(ISNUMBER(X373),X373&gt;=0,Y373&lt;&gt;1),X373,"")</x:f>
        <x:v>0</x:v>
      </x:c>
      <x:c r="V373" s="10" t="n">
        <x:v>0</x:v>
      </x:c>
      <x:c r="W373" s="10" t="n">
        <x:v>10</x:v>
      </x:c>
      <x:c r="X373" s="10" t="n">
        <x:v>0</x:v>
      </x:c>
      <x:c r="Y373" s="3" t="n">
        <x:v>0</x:v>
      </x:c>
      <x:c r="Z373" s="3" t="str">
        <x:v>共同</x:v>
      </x:c>
      <x:c r="AA373" s="3" t="str">
        <x:v>在售</x:v>
      </x:c>
      <x:c r="AB373" s="12" t="n">
        <x:f>IF(AND(Z373="共同",ISNUMBER(G373),ISNUMBER(AD373)),G373-AD373,"")</x:f>
        <x:v>0.29000000000000004</x:v>
      </x:c>
      <x:c r="AC373" s="3" t="str"/>
      <x:c r="AD373" s="12" t="n">
        <x:v>0.20571428571428568</x:v>
      </x:c>
      <x:c r="AE373" s="3" t="str">
        <x:v>[6574,"2302153-BK-S-Z-10.5"]</x:v>
      </x:c>
      <x:c r="AF373" t="n">
        <x:f>IF(ISNUMBER(H373),1,0)</x:f>
        <x:v>1</x:v>
      </x:c>
      <x:c r="AG373" t="n">
        <x:f>IF(ISNUMBER(I373),1,0)</x:f>
        <x:v>1</x:v>
      </x:c>
      <x:c r="AH373" t="str">
        <x:v>["2302153","2302153-BK-S-Z","BK","黑色"]</x:v>
      </x:c>
      <x:c r="AI373" t="n">
        <x:f>IF(ISNUMBER(G373),1,0)</x:f>
        <x:v>1</x:v>
      </x:c>
      <x:c r="AJ373" t="n">
        <x:f>IF(ISNUMBER(AD373),1,0)</x:f>
        <x:v>1</x:v>
      </x:c>
    </x:row>
    <x:row r="374" ht="30" customHeight="1">
      <x:c r="A374" s="3" t="str">
        <x:v>2302153-CC-P-Z-10</x:v>
      </x:c>
      <x:c r="B374" s="3" t="str">
        <x:v>3店-SANDIEX-US</x:v>
      </x:c>
      <x:c r="C374" s="3" t="str">
        <x:v>徐新怡</x:v>
      </x:c>
      <x:c r="D374" s="3" t="str">
        <x:v>2302153</x:v>
      </x:c>
      <x:c r="E374" s="3" t="str">
        <x:f>IF(Z374="移出","已移出",IF(NOT(ISNUMBER(H374)),"数据待核",IF(H374=0,"断货",IF(NOT(ISNUMBER(G374)),"数据待核",IF(G374=0,"零日销待复核",IF(F374&lt;60,"补货提醒",IF(F374&lt;=90,"正常库存",IF(F374&lt;180,"促销",IF(F374&lt;=365,"红线促销","考虑清仓")))))))))</x:f>
        <x:v>断货</x:v>
      </x:c>
      <x:c r="F374" s="11" t="n">
        <x:f>IF(AND(ISNUMBER(H374),ISNUMBER(G374),G374&gt;0),H374/G374,"")</x:f>
        <x:v>0</x:v>
      </x:c>
      <x:c r="G374" s="12" t="n">
        <x:f>IF(AND(COUNT(P374:R374)=3,MIN(P374:R374)&gt;=0,P374&lt;=Q374,Q374&lt;=R374),P374/7*0.5+Q374/14*0.3+R374/30*0.2,"")</x:f>
        <x:v>0.6038095238095238</x:v>
      </x:c>
      <x:c r="H374" s="10" t="n">
        <x:f>IF(ISNUMBER(U374),U374,"")</x:f>
        <x:v>0</x:v>
      </x:c>
      <x:c r="I374" s="10" t="n">
        <x:v>0</x:v>
      </x:c>
      <x:c r="J374" s="11" t="n">
        <x:f>IF(AND(Z374="共同",ISNUMBER(F374),ISNUMBER(M374)),F374-M374,"")</x:f>
        <x:v>0</x:v>
      </x:c>
      <x:c r="K374" s="13" t="str">
        <x:f>IF(AND(ISNUMBER(J374),M374&lt;&gt;0),J374/M374,"")</x:f>
      </x:c>
      <x:c r="L374" s="10" t="str">
        <x:v>断货</x:v>
      </x:c>
      <x:c r="M374" s="11" t="n">
        <x:v>0</x:v>
      </x:c>
      <x:c r="N374" s="10" t="n">
        <x:f>IF(AND(Z374="共同",COUNT(H374:I374)=2),H374-I374,"")</x:f>
        <x:v>0</x:v>
      </x:c>
      <x:c r="O374" s="10" t="n">
        <x:v>12</x:v>
      </x:c>
      <x:c r="P374" s="10" t="n">
        <x:v>4</x:v>
      </x:c>
      <x:c r="Q374" s="10" t="n">
        <x:v>8</x:v>
      </x:c>
      <x:c r="R374" s="10" t="n">
        <x:v>22</x:v>
      </x:c>
      <x:c r="S374" s="10" t="n">
        <x:v>19</x:v>
      </x:c>
      <x:c r="T374" s="10" t="n">
        <x:v>10</x:v>
      </x:c>
      <x:c r="U374" s="10" t="n">
        <x:f>IF(AND(ISNUMBER(X374),X374&gt;=0,Y374&lt;&gt;1),X374,"")</x:f>
        <x:v>0</x:v>
      </x:c>
      <x:c r="V374" s="10" t="n">
        <x:v>0</x:v>
      </x:c>
      <x:c r="W374" s="10" t="n">
        <x:v>32</x:v>
      </x:c>
      <x:c r="X374" s="10" t="n">
        <x:v>0</x:v>
      </x:c>
      <x:c r="Y374" s="3" t="n">
        <x:v>0</x:v>
      </x:c>
      <x:c r="Z374" s="3" t="str">
        <x:v>共同</x:v>
      </x:c>
      <x:c r="AA374" s="3" t="str">
        <x:v>在售</x:v>
      </x:c>
      <x:c r="AB374" s="12" t="n">
        <x:f>IF(AND(Z374="共同",ISNUMBER(G374),ISNUMBER(AD374)),G374-AD374,"")</x:f>
        <x:v>-0.07904761904761892</x:v>
      </x:c>
      <x:c r="AC374" s="3" t="str"/>
      <x:c r="AD374" s="12" t="n">
        <x:v>0.6828571428571427</x:v>
      </x:c>
      <x:c r="AE374" s="3" t="str">
        <x:v>[6574,"2302153-CC-P-Z-10"]</x:v>
      </x:c>
      <x:c r="AF374" t="n">
        <x:f>IF(ISNUMBER(H374),1,0)</x:f>
        <x:v>1</x:v>
      </x:c>
      <x:c r="AG374" t="n">
        <x:f>IF(ISNUMBER(I374),1,0)</x:f>
        <x:v>1</x:v>
      </x:c>
      <x:c r="AH374" t="str">
        <x:v>["2302153","2302153-CC-P-Z","CC-P","驼色"]</x:v>
      </x:c>
      <x:c r="AI374" t="n">
        <x:f>IF(ISNUMBER(G374),1,0)</x:f>
        <x:v>1</x:v>
      </x:c>
      <x:c r="AJ374" t="n">
        <x:f>IF(ISNUMBER(AD374),1,0)</x:f>
        <x:v>1</x:v>
      </x:c>
    </x:row>
    <x:row r="375" ht="30" customHeight="1">
      <x:c r="A375" s="3" t="str">
        <x:v>2302153-CC-P-Z-11</x:v>
      </x:c>
      <x:c r="B375" s="3" t="str">
        <x:v>3店-SANDIEX-US</x:v>
      </x:c>
      <x:c r="C375" s="3" t="str">
        <x:v>徐新怡</x:v>
      </x:c>
      <x:c r="D375" s="3" t="str">
        <x:v>2302153</x:v>
      </x:c>
      <x:c r="E375" s="3" t="str">
        <x:f>IF(Z375="移出","已移出",IF(NOT(ISNUMBER(H375)),"数据待核",IF(H375=0,"断货",IF(NOT(ISNUMBER(G375)),"数据待核",IF(G375=0,"零日销待复核",IF(F375&lt;60,"补货提醒",IF(F375&lt;=90,"正常库存",IF(F375&lt;180,"促销",IF(F375&lt;=365,"红线促销","考虑清仓")))))))))</x:f>
        <x:v>断货</x:v>
      </x:c>
      <x:c r="F375" s="11" t="n">
        <x:f>IF(AND(ISNUMBER(H375),ISNUMBER(G375),G375&gt;0),H375/G375,"")</x:f>
        <x:v>0</x:v>
      </x:c>
      <x:c r="G375" s="12" t="n">
        <x:f>IF(AND(COUNT(P375:R375)=3,MIN(P375:R375)&gt;=0,P375&lt;=Q375,Q375&lt;=R375),P375/7*0.5+Q375/14*0.3+R375/30*0.2,"")</x:f>
        <x:v>0.24857142857142855</x:v>
      </x:c>
      <x:c r="H375" s="10" t="n">
        <x:f>IF(ISNUMBER(U375),U375,"")</x:f>
        <x:v>0</x:v>
      </x:c>
      <x:c r="I375" s="10" t="n">
        <x:v>3</x:v>
      </x:c>
      <x:c r="J375" s="11" t="n">
        <x:f>IF(AND(Z375="共同",ISNUMBER(F375),ISNUMBER(M375)),F375-M375,"")</x:f>
        <x:v>-3.8508557457212715</x:v>
      </x:c>
      <x:c r="K375" s="13" t="n">
        <x:f>IF(AND(ISNUMBER(J375),M375&lt;&gt;0),J375/M375,"")</x:f>
        <x:v>-1</x:v>
      </x:c>
      <x:c r="L375" s="10" t="str">
        <x:v>补货提醒</x:v>
      </x:c>
      <x:c r="M375" s="11" t="n">
        <x:v>3.8508557457212715</x:v>
      </x:c>
      <x:c r="N375" s="10" t="n">
        <x:f>IF(AND(Z375="共同",COUNT(H375:I375)=2),H375-I375,"")</x:f>
        <x:v>-3</x:v>
      </x:c>
      <x:c r="O375" s="10" t="n">
        <x:v>20</x:v>
      </x:c>
      <x:c r="P375" s="10" t="n">
        <x:v>0</x:v>
      </x:c>
      <x:c r="Q375" s="10" t="n">
        <x:v>6</x:v>
      </x:c>
      <x:c r="R375" s="10" t="n">
        <x:v>18</x:v>
      </x:c>
      <x:c r="S375" s="10" t="n">
        <x:v>9</x:v>
      </x:c>
      <x:c r="T375" s="10" t="n">
        <x:v>2</x:v>
      </x:c>
      <x:c r="U375" s="10" t="n">
        <x:f>IF(AND(ISNUMBER(X375),X375&gt;=0,Y375&lt;&gt;1),X375,"")</x:f>
        <x:v>0</x:v>
      </x:c>
      <x:c r="V375" s="10" t="n">
        <x:v>0</x:v>
      </x:c>
      <x:c r="W375" s="10" t="n">
        <x:v>40</x:v>
      </x:c>
      <x:c r="X375" s="10" t="n">
        <x:v>0</x:v>
      </x:c>
      <x:c r="Y375" s="3" t="n">
        <x:v>0</x:v>
      </x:c>
      <x:c r="Z375" s="3" t="str">
        <x:v>共同</x:v>
      </x:c>
      <x:c r="AA375" s="3" t="str">
        <x:v>在售</x:v>
      </x:c>
      <x:c r="AB375" s="12" t="n">
        <x:f>IF(AND(Z375="共同",ISNUMBER(G375),ISNUMBER(AD375)),G375-AD375,"")</x:f>
        <x:v>-0.5304761904761904</x:v>
      </x:c>
      <x:c r="AC375" s="3" t="str"/>
      <x:c r="AD375" s="12" t="n">
        <x:v>0.779047619047619</x:v>
      </x:c>
      <x:c r="AE375" s="3" t="str">
        <x:v>[6574,"2302153-CC-P-Z-11"]</x:v>
      </x:c>
      <x:c r="AF375" t="n">
        <x:f>IF(ISNUMBER(H375),1,0)</x:f>
        <x:v>1</x:v>
      </x:c>
      <x:c r="AG375" t="n">
        <x:f>IF(ISNUMBER(I375),1,0)</x:f>
        <x:v>1</x:v>
      </x:c>
      <x:c r="AH375" t="str">
        <x:v>["2302153","2302153-CC-P-Z","CC-P","驼色"]</x:v>
      </x:c>
      <x:c r="AI375" t="n">
        <x:f>IF(ISNUMBER(G375),1,0)</x:f>
        <x:v>1</x:v>
      </x:c>
      <x:c r="AJ375" t="n">
        <x:f>IF(ISNUMBER(AD375),1,0)</x:f>
        <x:v>1</x:v>
      </x:c>
    </x:row>
    <x:row r="376" ht="30" customHeight="1">
      <x:c r="A376" s="3" t="str">
        <x:v>2302153-CC-P-Z-6.5</x:v>
      </x:c>
      <x:c r="B376" s="3" t="str">
        <x:v>3店-SANDIEX-US</x:v>
      </x:c>
      <x:c r="C376" s="3" t="str">
        <x:v>徐新怡</x:v>
      </x:c>
      <x:c r="D376" s="3" t="str">
        <x:v>2302153</x:v>
      </x:c>
      <x:c r="E376" s="3" t="str">
        <x:f>IF(Z376="移出","已移出",IF(NOT(ISNUMBER(H376)),"数据待核",IF(H376=0,"断货",IF(NOT(ISNUMBER(G376)),"数据待核",IF(G376=0,"零日销待复核",IF(F376&lt;60,"补货提醒",IF(F376&lt;=90,"正常库存",IF(F376&lt;180,"促销",IF(F376&lt;=365,"红线促销","考虑清仓")))))))))</x:f>
        <x:v>断货</x:v>
      </x:c>
      <x:c r="F376" s="11" t="n">
        <x:f>IF(AND(ISNUMBER(H376),ISNUMBER(G376),G376&gt;0),H376/G376,"")</x:f>
        <x:v>0</x:v>
      </x:c>
      <x:c r="G376" s="12" t="n">
        <x:f>IF(AND(COUNT(P376:R376)=3,MIN(P376:R376)&gt;=0,P376&lt;=Q376,Q376&lt;=R376),P376/7*0.5+Q376/14*0.3+R376/30*0.2,"")</x:f>
        <x:v>0.5457142857142857</x:v>
      </x:c>
      <x:c r="H376" s="10" t="n">
        <x:f>IF(ISNUMBER(U376),U376,"")</x:f>
        <x:v>0</x:v>
      </x:c>
      <x:c r="I376" s="10" t="n">
        <x:v>0</x:v>
      </x:c>
      <x:c r="J376" s="11" t="n">
        <x:f>IF(AND(Z376="共同",ISNUMBER(F376),ISNUMBER(M376)),F376-M376,"")</x:f>
        <x:v>0</x:v>
      </x:c>
      <x:c r="K376" s="13" t="str">
        <x:f>IF(AND(ISNUMBER(J376),M376&lt;&gt;0),J376/M376,"")</x:f>
      </x:c>
      <x:c r="L376" s="10" t="str">
        <x:v>断货</x:v>
      </x:c>
      <x:c r="M376" s="11" t="n">
        <x:v>0</x:v>
      </x:c>
      <x:c r="N376" s="10" t="n">
        <x:f>IF(AND(Z376="共同",COUNT(H376:I376)=2),H376-I376,"")</x:f>
        <x:v>0</x:v>
      </x:c>
      <x:c r="O376" s="10" t="n">
        <x:v>13</x:v>
      </x:c>
      <x:c r="P376" s="10" t="n">
        <x:v>5</x:v>
      </x:c>
      <x:c r="Q376" s="10" t="n">
        <x:v>6</x:v>
      </x:c>
      <x:c r="R376" s="10" t="n">
        <x:v>9</x:v>
      </x:c>
      <x:c r="S376" s="10" t="n">
        <x:v>19</x:v>
      </x:c>
      <x:c r="T376" s="10" t="n">
        <x:v>5</x:v>
      </x:c>
      <x:c r="U376" s="10" t="n">
        <x:f>IF(AND(ISNUMBER(X376),X376&gt;=0,Y376&lt;&gt;1),X376,"")</x:f>
        <x:v>0</x:v>
      </x:c>
      <x:c r="V376" s="10" t="n">
        <x:v>1</x:v>
      </x:c>
      <x:c r="W376" s="10" t="n">
        <x:v>32</x:v>
      </x:c>
      <x:c r="X376" s="10" t="n">
        <x:v>0</x:v>
      </x:c>
      <x:c r="Y376" s="3" t="n">
        <x:v>0</x:v>
      </x:c>
      <x:c r="Z376" s="3" t="str">
        <x:v>共同</x:v>
      </x:c>
      <x:c r="AA376" s="3" t="str">
        <x:v>在售</x:v>
      </x:c>
      <x:c r="AB376" s="12" t="n">
        <x:f>IF(AND(Z376="共同",ISNUMBER(G376),ISNUMBER(AD376)),G376-AD376,"")</x:f>
        <x:v>0.30523809523809525</x:v>
      </x:c>
      <x:c r="AC376" s="3" t="str"/>
      <x:c r="AD376" s="12" t="n">
        <x:v>0.24047619047619045</x:v>
      </x:c>
      <x:c r="AE376" s="3" t="str">
        <x:v>[6574,"2302153-CC-P-Z-6.5"]</x:v>
      </x:c>
      <x:c r="AF376" t="n">
        <x:f>IF(ISNUMBER(H376),1,0)</x:f>
        <x:v>1</x:v>
      </x:c>
      <x:c r="AG376" t="n">
        <x:f>IF(ISNUMBER(I376),1,0)</x:f>
        <x:v>1</x:v>
      </x:c>
      <x:c r="AH376" t="str">
        <x:v>["2302153","2302153-CC-P-Z","CC-P","驼色"]</x:v>
      </x:c>
      <x:c r="AI376" t="n">
        <x:f>IF(ISNUMBER(G376),1,0)</x:f>
        <x:v>1</x:v>
      </x:c>
      <x:c r="AJ376" t="n">
        <x:f>IF(ISNUMBER(AD376),1,0)</x:f>
        <x:v>1</x:v>
      </x:c>
    </x:row>
    <x:row r="377" ht="30" customHeight="1">
      <x:c r="A377" s="3" t="str">
        <x:v>2302153-CC-P-Z-7</x:v>
      </x:c>
      <x:c r="B377" s="3" t="str">
        <x:v>3店-SANDIEX-US</x:v>
      </x:c>
      <x:c r="C377" s="3" t="str">
        <x:v>徐新怡</x:v>
      </x:c>
      <x:c r="D377" s="3" t="str">
        <x:v>2302153</x:v>
      </x:c>
      <x:c r="E377" s="3" t="str">
        <x:f>IF(Z377="移出","已移出",IF(NOT(ISNUMBER(H377)),"数据待核",IF(H377=0,"断货",IF(NOT(ISNUMBER(G377)),"数据待核",IF(G377=0,"零日销待复核",IF(F377&lt;60,"补货提醒",IF(F377&lt;=90,"正常库存",IF(F377&lt;180,"促销",IF(F377&lt;=365,"红线促销","考虑清仓")))))))))</x:f>
        <x:v>断货</x:v>
      </x:c>
      <x:c r="F377" s="11" t="n">
        <x:f>IF(AND(ISNUMBER(H377),ISNUMBER(G377),G377&gt;0),H377/G377,"")</x:f>
        <x:v>0</x:v>
      </x:c>
      <x:c r="G377" s="12" t="n">
        <x:f>IF(AND(COUNT(P377:R377)=3,MIN(P377:R377)&gt;=0,P377&lt;=Q377,Q377&lt;=R377),P377/7*0.5+Q377/14*0.3+R377/30*0.2,"")</x:f>
        <x:v>0.9804761904761905</x:v>
      </x:c>
      <x:c r="H377" s="10" t="n">
        <x:f>IF(ISNUMBER(U377),U377,"")</x:f>
        <x:v>0</x:v>
      </x:c>
      <x:c r="I377" s="10" t="n">
        <x:v>0</x:v>
      </x:c>
      <x:c r="J377" s="11" t="n">
        <x:f>IF(AND(Z377="共同",ISNUMBER(F377),ISNUMBER(M377)),F377-M377,"")</x:f>
        <x:v>0</x:v>
      </x:c>
      <x:c r="K377" s="13" t="str">
        <x:f>IF(AND(ISNUMBER(J377),M377&lt;&gt;0),J377/M377,"")</x:f>
      </x:c>
      <x:c r="L377" s="10" t="str">
        <x:v>断货</x:v>
      </x:c>
      <x:c r="M377" s="11" t="n">
        <x:v>0</x:v>
      </x:c>
      <x:c r="N377" s="10" t="n">
        <x:f>IF(AND(Z377="共同",COUNT(H377:I377)=2),H377-I377,"")</x:f>
        <x:v>0</x:v>
      </x:c>
      <x:c r="O377" s="10" t="n">
        <x:v>58</x:v>
      </x:c>
      <x:c r="P377" s="10" t="n">
        <x:v>8</x:v>
      </x:c>
      <x:c r="Q377" s="10" t="n">
        <x:v>11</x:v>
      </x:c>
      <x:c r="R377" s="10" t="n">
        <x:v>26</x:v>
      </x:c>
      <x:c r="S377" s="10" t="n">
        <x:v>23</x:v>
      </x:c>
      <x:c r="T377" s="10" t="n">
        <x:v>4</x:v>
      </x:c>
      <x:c r="U377" s="10" t="n">
        <x:f>IF(AND(ISNUMBER(X377),X377&gt;=0,Y377&lt;&gt;1),X377,"")</x:f>
        <x:v>0</x:v>
      </x:c>
      <x:c r="V377" s="10" t="n">
        <x:v>0</x:v>
      </x:c>
      <x:c r="W377" s="10" t="n">
        <x:v>78</x:v>
      </x:c>
      <x:c r="X377" s="10" t="n">
        <x:v>0</x:v>
      </x:c>
      <x:c r="Y377" s="3" t="n">
        <x:v>0</x:v>
      </x:c>
      <x:c r="Z377" s="3" t="str">
        <x:v>共同</x:v>
      </x:c>
      <x:c r="AA377" s="3" t="str">
        <x:v>在售</x:v>
      </x:c>
      <x:c r="AB377" s="12" t="n">
        <x:f>IF(AND(Z377="共同",ISNUMBER(G377),ISNUMBER(AD377)),G377-AD377,"")</x:f>
        <x:v>-0.10952380952380958</x:v>
      </x:c>
      <x:c r="AC377" s="3" t="str"/>
      <x:c r="AD377" s="12" t="n">
        <x:v>1.09</x:v>
      </x:c>
      <x:c r="AE377" s="3" t="str">
        <x:v>[6574,"2302153-CC-P-Z-7"]</x:v>
      </x:c>
      <x:c r="AF377" t="n">
        <x:f>IF(ISNUMBER(H377),1,0)</x:f>
        <x:v>1</x:v>
      </x:c>
      <x:c r="AG377" t="n">
        <x:f>IF(ISNUMBER(I377),1,0)</x:f>
        <x:v>1</x:v>
      </x:c>
      <x:c r="AH377" t="str">
        <x:v>["2302153","2302153-CC-P-Z","CC-P","驼色"]</x:v>
      </x:c>
      <x:c r="AI377" t="n">
        <x:f>IF(ISNUMBER(G377),1,0)</x:f>
        <x:v>1</x:v>
      </x:c>
      <x:c r="AJ377" t="n">
        <x:f>IF(ISNUMBER(AD377),1,0)</x:f>
        <x:v>1</x:v>
      </x:c>
    </x:row>
    <x:row r="378" ht="30" customHeight="1">
      <x:c r="A378" s="3" t="str">
        <x:v>2302153-CC-P-Z-7.5</x:v>
      </x:c>
      <x:c r="B378" s="3" t="str">
        <x:v>3店-SANDIEX-US</x:v>
      </x:c>
      <x:c r="C378" s="3" t="str">
        <x:v>徐新怡</x:v>
      </x:c>
      <x:c r="D378" s="3" t="str">
        <x:v>2302153</x:v>
      </x:c>
      <x:c r="E378" s="3" t="str">
        <x:f>IF(Z378="移出","已移出",IF(NOT(ISNUMBER(H378)),"数据待核",IF(H378=0,"断货",IF(NOT(ISNUMBER(G378)),"数据待核",IF(G378=0,"零日销待复核",IF(F378&lt;60,"补货提醒",IF(F378&lt;=90,"正常库存",IF(F378&lt;180,"促销",IF(F378&lt;=365,"红线促销","考虑清仓")))))))))</x:f>
        <x:v>断货</x:v>
      </x:c>
      <x:c r="F378" s="11" t="n">
        <x:f>IF(AND(ISNUMBER(H378),ISNUMBER(G378),G378&gt;0),H378/G378,"")</x:f>
        <x:v>0</x:v>
      </x:c>
      <x:c r="G378" s="12" t="n">
        <x:f>IF(AND(COUNT(P378:R378)=3,MIN(P378:R378)&gt;=0,P378&lt;=Q378,Q378&lt;=R378),P378/7*0.5+Q378/14*0.3+R378/30*0.2,"")</x:f>
        <x:v>0.7347619047619047</x:v>
      </x:c>
      <x:c r="H378" s="10" t="n">
        <x:f>IF(ISNUMBER(U378),U378,"")</x:f>
        <x:v>0</x:v>
      </x:c>
      <x:c r="I378" s="10" t="n">
        <x:v>0</x:v>
      </x:c>
      <x:c r="J378" s="11" t="n">
        <x:f>IF(AND(Z378="共同",ISNUMBER(F378),ISNUMBER(M378)),F378-M378,"")</x:f>
        <x:v>0</x:v>
      </x:c>
      <x:c r="K378" s="13" t="str">
        <x:f>IF(AND(ISNUMBER(J378),M378&lt;&gt;0),J378/M378,"")</x:f>
      </x:c>
      <x:c r="L378" s="10" t="str">
        <x:v>断货</x:v>
      </x:c>
      <x:c r="M378" s="11" t="n">
        <x:v>0</x:v>
      </x:c>
      <x:c r="N378" s="10" t="n">
        <x:f>IF(AND(Z378="共同",COUNT(H378:I378)=2),H378-I378,"")</x:f>
        <x:v>0</x:v>
      </x:c>
      <x:c r="O378" s="10" t="n">
        <x:v>74</x:v>
      </x:c>
      <x:c r="P378" s="10" t="n">
        <x:v>6</x:v>
      </x:c>
      <x:c r="Q378" s="10" t="n">
        <x:v>9</x:v>
      </x:c>
      <x:c r="R378" s="10" t="n">
        <x:v>17</x:v>
      </x:c>
      <x:c r="S378" s="10" t="n">
        <x:v>20</x:v>
      </x:c>
      <x:c r="T378" s="10" t="n">
        <x:v>17</x:v>
      </x:c>
      <x:c r="U378" s="10" t="n">
        <x:f>IF(AND(ISNUMBER(X378),X378&gt;=0,Y378&lt;&gt;1),X378,"")</x:f>
        <x:v>0</x:v>
      </x:c>
      <x:c r="V378" s="10" t="n">
        <x:v>0</x:v>
      </x:c>
      <x:c r="W378" s="10" t="n">
        <x:v>60</x:v>
      </x:c>
      <x:c r="X378" s="10" t="n">
        <x:v>0</x:v>
      </x:c>
      <x:c r="Y378" s="3" t="n">
        <x:v>0</x:v>
      </x:c>
      <x:c r="Z378" s="3" t="str">
        <x:v>共同</x:v>
      </x:c>
      <x:c r="AA378" s="3" t="str">
        <x:v>在售</x:v>
      </x:c>
      <x:c r="AB378" s="12" t="n">
        <x:f>IF(AND(Z378="共同",ISNUMBER(G378),ISNUMBER(AD378)),G378-AD378,"")</x:f>
        <x:v>0.2176190476190476</x:v>
      </x:c>
      <x:c r="AC378" s="3" t="str"/>
      <x:c r="AD378" s="12" t="n">
        <x:v>0.5171428571428571</x:v>
      </x:c>
      <x:c r="AE378" s="3" t="str">
        <x:v>[6574,"2302153-CC-P-Z-7.5"]</x:v>
      </x:c>
      <x:c r="AF378" t="n">
        <x:f>IF(ISNUMBER(H378),1,0)</x:f>
        <x:v>1</x:v>
      </x:c>
      <x:c r="AG378" t="n">
        <x:f>IF(ISNUMBER(I378),1,0)</x:f>
        <x:v>1</x:v>
      </x:c>
      <x:c r="AH378" t="str">
        <x:v>["2302153","2302153-CC-P-Z","CC-P","驼色"]</x:v>
      </x:c>
      <x:c r="AI378" t="n">
        <x:f>IF(ISNUMBER(G378),1,0)</x:f>
        <x:v>1</x:v>
      </x:c>
      <x:c r="AJ378" t="n">
        <x:f>IF(ISNUMBER(AD378),1,0)</x:f>
        <x:v>1</x:v>
      </x:c>
    </x:row>
    <x:row r="379" ht="30" customHeight="1">
      <x:c r="A379" s="3" t="str">
        <x:v>2302153-CC-P-Z-8</x:v>
      </x:c>
      <x:c r="B379" s="3" t="str">
        <x:v>3店-SANDIEX-US</x:v>
      </x:c>
      <x:c r="C379" s="3" t="str">
        <x:v>徐新怡</x:v>
      </x:c>
      <x:c r="D379" s="3" t="str">
        <x:v>2302153</x:v>
      </x:c>
      <x:c r="E379" s="3" t="str">
        <x:f>IF(Z379="移出","已移出",IF(NOT(ISNUMBER(H379)),"数据待核",IF(H379=0,"断货",IF(NOT(ISNUMBER(G379)),"数据待核",IF(G379=0,"零日销待复核",IF(F379&lt;60,"补货提醒",IF(F379&lt;=90,"正常库存",IF(F379&lt;180,"促销",IF(F379&lt;=365,"红线促销","考虑清仓")))))))))</x:f>
        <x:v>断货</x:v>
      </x:c>
      <x:c r="F379" s="11" t="n">
        <x:f>IF(AND(ISNUMBER(H379),ISNUMBER(G379),G379&gt;0),H379/G379,"")</x:f>
        <x:v>0</x:v>
      </x:c>
      <x:c r="G379" s="12" t="n">
        <x:f>IF(AND(COUNT(P379:R379)=3,MIN(P379:R379)&gt;=0,P379&lt;=Q379,Q379&lt;=R379),P379/7*0.5+Q379/14*0.3+R379/30*0.2,"")</x:f>
        <x:v>0.44285714285714284</x:v>
      </x:c>
      <x:c r="H379" s="10" t="n">
        <x:f>IF(ISNUMBER(U379),U379,"")</x:f>
        <x:v>0</x:v>
      </x:c>
      <x:c r="I379" s="10" t="n">
        <x:v>0</x:v>
      </x:c>
      <x:c r="J379" s="11" t="n">
        <x:f>IF(AND(Z379="共同",ISNUMBER(F379),ISNUMBER(M379)),F379-M379,"")</x:f>
        <x:v>0</x:v>
      </x:c>
      <x:c r="K379" s="13" t="str">
        <x:f>IF(AND(ISNUMBER(J379),M379&lt;&gt;0),J379/M379,"")</x:f>
      </x:c>
      <x:c r="L379" s="10" t="str">
        <x:v>断货</x:v>
      </x:c>
      <x:c r="M379" s="11" t="n">
        <x:v>0</x:v>
      </x:c>
      <x:c r="N379" s="10" t="n">
        <x:f>IF(AND(Z379="共同",COUNT(H379:I379)=2),H379-I379,"")</x:f>
        <x:v>0</x:v>
      </x:c>
      <x:c r="O379" s="10" t="n">
        <x:v>117</x:v>
      </x:c>
      <x:c r="P379" s="10" t="n">
        <x:v>3</x:v>
      </x:c>
      <x:c r="Q379" s="10" t="n">
        <x:v>6</x:v>
      </x:c>
      <x:c r="R379" s="10" t="n">
        <x:v>15</x:v>
      </x:c>
      <x:c r="S379" s="10" t="n">
        <x:v>41</x:v>
      </x:c>
      <x:c r="T379" s="10" t="n">
        <x:v>13</x:v>
      </x:c>
      <x:c r="U379" s="10" t="n">
        <x:f>IF(AND(ISNUMBER(X379),X379&gt;=0,Y379&lt;&gt;1),X379,"")</x:f>
        <x:v>0</x:v>
      </x:c>
      <x:c r="V379" s="10" t="n">
        <x:v>6</x:v>
      </x:c>
      <x:c r="W379" s="10" t="n">
        <x:v>84</x:v>
      </x:c>
      <x:c r="X379" s="10" t="n">
        <x:v>0</x:v>
      </x:c>
      <x:c r="Y379" s="3" t="n">
        <x:v>0</x:v>
      </x:c>
      <x:c r="Z379" s="3" t="str">
        <x:v>共同</x:v>
      </x:c>
      <x:c r="AA379" s="3" t="str">
        <x:v>在售</x:v>
      </x:c>
      <x:c r="AB379" s="12" t="n">
        <x:f>IF(AND(Z379="共同",ISNUMBER(G379),ISNUMBER(AD379)),G379-AD379,"")</x:f>
        <x:v>-0.078095238095238</x:v>
      </x:c>
      <x:c r="AC379" s="3" t="str"/>
      <x:c r="AD379" s="12" t="n">
        <x:v>0.5209523809523808</x:v>
      </x:c>
      <x:c r="AE379" s="3" t="str">
        <x:v>[6574,"2302153-CC-P-Z-8"]</x:v>
      </x:c>
      <x:c r="AF379" t="n">
        <x:f>IF(ISNUMBER(H379),1,0)</x:f>
        <x:v>1</x:v>
      </x:c>
      <x:c r="AG379" t="n">
        <x:f>IF(ISNUMBER(I379),1,0)</x:f>
        <x:v>1</x:v>
      </x:c>
      <x:c r="AH379" t="str">
        <x:v>["2302153","2302153-CC-P-Z","CC-P","驼色"]</x:v>
      </x:c>
      <x:c r="AI379" t="n">
        <x:f>IF(ISNUMBER(G379),1,0)</x:f>
        <x:v>1</x:v>
      </x:c>
      <x:c r="AJ379" t="n">
        <x:f>IF(ISNUMBER(AD379),1,0)</x:f>
        <x:v>1</x:v>
      </x:c>
    </x:row>
    <x:row r="380" ht="30" customHeight="1">
      <x:c r="A380" s="3" t="str">
        <x:v>2302153-CC-P-Z-8.5</x:v>
      </x:c>
      <x:c r="B380" s="3" t="str">
        <x:v>3店-SANDIEX-US</x:v>
      </x:c>
      <x:c r="C380" s="3" t="str">
        <x:v>徐新怡</x:v>
      </x:c>
      <x:c r="D380" s="3" t="str">
        <x:v>2302153</x:v>
      </x:c>
      <x:c r="E380" s="3" t="str">
        <x:f>IF(Z380="移出","已移出",IF(NOT(ISNUMBER(H380)),"数据待核",IF(H380=0,"断货",IF(NOT(ISNUMBER(G380)),"数据待核",IF(G380=0,"零日销待复核",IF(F380&lt;60,"补货提醒",IF(F380&lt;=90,"正常库存",IF(F380&lt;180,"促销",IF(F380&lt;=365,"红线促销","考虑清仓")))))))))</x:f>
        <x:v>断货</x:v>
      </x:c>
      <x:c r="F380" s="11" t="n">
        <x:f>IF(AND(ISNUMBER(H380),ISNUMBER(G380),G380&gt;0),H380/G380,"")</x:f>
        <x:v>0</x:v>
      </x:c>
      <x:c r="G380" s="12" t="n">
        <x:f>IF(AND(COUNT(P380:R380)=3,MIN(P380:R380)&gt;=0,P380&lt;=Q380,Q380&lt;=R380),P380/7*0.5+Q380/14*0.3+R380/30*0.2,"")</x:f>
        <x:v>0.5704761904761904</x:v>
      </x:c>
      <x:c r="H380" s="10" t="n">
        <x:f>IF(ISNUMBER(U380),U380,"")</x:f>
        <x:v>0</x:v>
      </x:c>
      <x:c r="I380" s="10" t="n">
        <x:v>0</x:v>
      </x:c>
      <x:c r="J380" s="11" t="n">
        <x:f>IF(AND(Z380="共同",ISNUMBER(F380),ISNUMBER(M380)),F380-M380,"")</x:f>
        <x:v>0</x:v>
      </x:c>
      <x:c r="K380" s="13" t="str">
        <x:f>IF(AND(ISNUMBER(J380),M380&lt;&gt;0),J380/M380,"")</x:f>
      </x:c>
      <x:c r="L380" s="10" t="str">
        <x:v>断货</x:v>
      </x:c>
      <x:c r="M380" s="11" t="n">
        <x:v>0</x:v>
      </x:c>
      <x:c r="N380" s="10" t="n">
        <x:f>IF(AND(Z380="共同",COUNT(H380:I380)=2),H380-I380,"")</x:f>
        <x:v>0</x:v>
      </x:c>
      <x:c r="O380" s="10" t="n">
        <x:v>65</x:v>
      </x:c>
      <x:c r="P380" s="10" t="n">
        <x:v>4</x:v>
      </x:c>
      <x:c r="Q380" s="10" t="n">
        <x:v>8</x:v>
      </x:c>
      <x:c r="R380" s="10" t="n">
        <x:v>17</x:v>
      </x:c>
      <x:c r="S380" s="10" t="n">
        <x:v>24</x:v>
      </x:c>
      <x:c r="T380" s="10" t="n">
        <x:v>14</x:v>
      </x:c>
      <x:c r="U380" s="10" t="n">
        <x:f>IF(AND(ISNUMBER(X380),X380&gt;=0,Y380&lt;&gt;1),X380,"")</x:f>
        <x:v>0</x:v>
      </x:c>
      <x:c r="V380" s="10" t="n">
        <x:v>0</x:v>
      </x:c>
      <x:c r="W380" s="10" t="n">
        <x:v>80</x:v>
      </x:c>
      <x:c r="X380" s="10" t="n">
        <x:v>0</x:v>
      </x:c>
      <x:c r="Y380" s="3" t="n">
        <x:v>0</x:v>
      </x:c>
      <x:c r="Z380" s="3" t="str">
        <x:v>共同</x:v>
      </x:c>
      <x:c r="AA380" s="3" t="str">
        <x:v>在售</x:v>
      </x:c>
      <x:c r="AB380" s="12" t="n">
        <x:f>IF(AND(Z380="共同",ISNUMBER(G380),ISNUMBER(AD380)),G380-AD380,"")</x:f>
        <x:v>0.09666666666666657</x:v>
      </x:c>
      <x:c r="AC380" s="3" t="str"/>
      <x:c r="AD380" s="12" t="n">
        <x:v>0.4738095238095238</x:v>
      </x:c>
      <x:c r="AE380" s="3" t="str">
        <x:v>[6574,"2302153-CC-P-Z-8.5"]</x:v>
      </x:c>
      <x:c r="AF380" t="n">
        <x:f>IF(ISNUMBER(H380),1,0)</x:f>
        <x:v>1</x:v>
      </x:c>
      <x:c r="AG380" t="n">
        <x:f>IF(ISNUMBER(I380),1,0)</x:f>
        <x:v>1</x:v>
      </x:c>
      <x:c r="AH380" t="str">
        <x:v>["2302153","2302153-CC-P-Z","CC-P","驼色"]</x:v>
      </x:c>
      <x:c r="AI380" t="n">
        <x:f>IF(ISNUMBER(G380),1,0)</x:f>
        <x:v>1</x:v>
      </x:c>
      <x:c r="AJ380" t="n">
        <x:f>IF(ISNUMBER(AD380),1,0)</x:f>
        <x:v>1</x:v>
      </x:c>
    </x:row>
    <x:row r="381" ht="30" customHeight="1">
      <x:c r="A381" s="3" t="str">
        <x:v>2302153-CC-P-Z-9</x:v>
      </x:c>
      <x:c r="B381" s="3" t="str">
        <x:v>3店-SANDIEX-US</x:v>
      </x:c>
      <x:c r="C381" s="3" t="str">
        <x:v>徐新怡</x:v>
      </x:c>
      <x:c r="D381" s="3" t="str">
        <x:v>2302153</x:v>
      </x:c>
      <x:c r="E381" s="3" t="str">
        <x:f>IF(Z381="移出","已移出",IF(NOT(ISNUMBER(H381)),"数据待核",IF(H381=0,"断货",IF(NOT(ISNUMBER(G381)),"数据待核",IF(G381=0,"零日销待复核",IF(F381&lt;60,"补货提醒",IF(F381&lt;=90,"正常库存",IF(F381&lt;180,"促销",IF(F381&lt;=365,"红线促销","考虑清仓")))))))))</x:f>
        <x:v>断货</x:v>
      </x:c>
      <x:c r="F381" s="11" t="n">
        <x:f>IF(AND(ISNUMBER(H381),ISNUMBER(G381),G381&gt;0),H381/G381,"")</x:f>
        <x:v>0</x:v>
      </x:c>
      <x:c r="G381" s="12" t="n">
        <x:f>IF(AND(COUNT(P381:R381)=3,MIN(P381:R381)&gt;=0,P381&lt;=Q381,Q381&lt;=R381),P381/7*0.5+Q381/14*0.3+R381/30*0.2,"")</x:f>
        <x:v>0.9852380952380952</x:v>
      </x:c>
      <x:c r="H381" s="10" t="n">
        <x:f>IF(ISNUMBER(U381),U381,"")</x:f>
        <x:v>0</x:v>
      </x:c>
      <x:c r="I381" s="10" t="n">
        <x:v>0</x:v>
      </x:c>
      <x:c r="J381" s="11" t="n">
        <x:f>IF(AND(Z381="共同",ISNUMBER(F381),ISNUMBER(M381)),F381-M381,"")</x:f>
        <x:v>0</x:v>
      </x:c>
      <x:c r="K381" s="13" t="str">
        <x:f>IF(AND(ISNUMBER(J381),M381&lt;&gt;0),J381/M381,"")</x:f>
      </x:c>
      <x:c r="L381" s="10" t="str">
        <x:v>断货</x:v>
      </x:c>
      <x:c r="M381" s="11" t="n">
        <x:v>0</x:v>
      </x:c>
      <x:c r="N381" s="10" t="n">
        <x:f>IF(AND(Z381="共同",COUNT(H381:I381)=2),H381-I381,"")</x:f>
        <x:v>0</x:v>
      </x:c>
      <x:c r="O381" s="10" t="n">
        <x:v>85</x:v>
      </x:c>
      <x:c r="P381" s="10" t="n">
        <x:v>7</x:v>
      </x:c>
      <x:c r="Q381" s="10" t="n">
        <x:v>13</x:v>
      </x:c>
      <x:c r="R381" s="10" t="n">
        <x:v>31</x:v>
      </x:c>
      <x:c r="S381" s="10" t="n">
        <x:v>46</x:v>
      </x:c>
      <x:c r="T381" s="10" t="n">
        <x:v>7</x:v>
      </x:c>
      <x:c r="U381" s="10" t="n">
        <x:f>IF(AND(ISNUMBER(X381),X381&gt;=0,Y381&lt;&gt;1),X381,"")</x:f>
        <x:v>0</x:v>
      </x:c>
      <x:c r="V381" s="10" t="n">
        <x:v>6</x:v>
      </x:c>
      <x:c r="W381" s="10" t="n">
        <x:v>121</x:v>
      </x:c>
      <x:c r="X381" s="10" t="n">
        <x:v>0</x:v>
      </x:c>
      <x:c r="Y381" s="3" t="n">
        <x:v>0</x:v>
      </x:c>
      <x:c r="Z381" s="3" t="str">
        <x:v>共同</x:v>
      </x:c>
      <x:c r="AA381" s="3" t="str">
        <x:v>在售</x:v>
      </x:c>
      <x:c r="AB381" s="12" t="n">
        <x:f>IF(AND(Z381="共同",ISNUMBER(G381),ISNUMBER(AD381)),G381-AD381,"")</x:f>
        <x:v>0.09476190476190471</x:v>
      </x:c>
      <x:c r="AC381" s="3" t="str"/>
      <x:c r="AD381" s="12" t="n">
        <x:v>0.8904761904761905</x:v>
      </x:c>
      <x:c r="AE381" s="3" t="str">
        <x:v>[6574,"2302153-CC-P-Z-9"]</x:v>
      </x:c>
      <x:c r="AF381" t="n">
        <x:f>IF(ISNUMBER(H381),1,0)</x:f>
        <x:v>1</x:v>
      </x:c>
      <x:c r="AG381" t="n">
        <x:f>IF(ISNUMBER(I381),1,0)</x:f>
        <x:v>1</x:v>
      </x:c>
      <x:c r="AH381" t="str">
        <x:v>["2302153","2302153-CC-P-Z","CC-P","驼色"]</x:v>
      </x:c>
      <x:c r="AI381" t="n">
        <x:f>IF(ISNUMBER(G381),1,0)</x:f>
        <x:v>1</x:v>
      </x:c>
      <x:c r="AJ381" t="n">
        <x:f>IF(ISNUMBER(AD381),1,0)</x:f>
        <x:v>1</x:v>
      </x:c>
    </x:row>
    <x:row r="382" ht="30" customHeight="1">
      <x:c r="A382" s="3" t="str">
        <x:v>2302153-CC-S-Z-10</x:v>
      </x:c>
      <x:c r="B382" s="3" t="str">
        <x:v>3店-SANDIEX-US</x:v>
      </x:c>
      <x:c r="C382" s="3" t="str">
        <x:v>徐新怡</x:v>
      </x:c>
      <x:c r="D382" s="3" t="str">
        <x:v>2302153</x:v>
      </x:c>
      <x:c r="E382" s="3" t="str">
        <x:f>IF(Z382="移出","已移出",IF(NOT(ISNUMBER(H382)),"数据待核",IF(H382=0,"断货",IF(NOT(ISNUMBER(G382)),"数据待核",IF(G382=0,"零日销待复核",IF(F382&lt;60,"补货提醒",IF(F382&lt;=90,"正常库存",IF(F382&lt;180,"促销",IF(F382&lt;=365,"红线促销","考虑清仓")))))))))</x:f>
        <x:v>断货</x:v>
      </x:c>
      <x:c r="F382" s="11" t="n">
        <x:f>IF(AND(ISNUMBER(H382),ISNUMBER(G382),G382&gt;0),H382/G382,"")</x:f>
        <x:v>0</x:v>
      </x:c>
      <x:c r="G382" s="12" t="n">
        <x:f>IF(AND(COUNT(P382:R382)=3,MIN(P382:R382)&gt;=0,P382&lt;=Q382,Q382&lt;=R382),P382/7*0.5+Q382/14*0.3+R382/30*0.2,"")</x:f>
        <x:v>0.49476190476190474</x:v>
      </x:c>
      <x:c r="H382" s="10" t="n">
        <x:f>IF(ISNUMBER(U382),U382,"")</x:f>
        <x:v>0</x:v>
      </x:c>
      <x:c r="I382" s="10" t="n">
        <x:v>0</x:v>
      </x:c>
      <x:c r="J382" s="11" t="n">
        <x:f>IF(AND(Z382="共同",ISNUMBER(F382),ISNUMBER(M382)),F382-M382,"")</x:f>
        <x:v>0</x:v>
      </x:c>
      <x:c r="K382" s="13" t="str">
        <x:f>IF(AND(ISNUMBER(J382),M382&lt;&gt;0),J382/M382,"")</x:f>
      </x:c>
      <x:c r="L382" s="10" t="str">
        <x:v>断货</x:v>
      </x:c>
      <x:c r="M382" s="11" t="n">
        <x:v>0</x:v>
      </x:c>
      <x:c r="N382" s="10" t="n">
        <x:f>IF(AND(Z382="共同",COUNT(H382:I382)=2),H382-I382,"")</x:f>
        <x:v>0</x:v>
      </x:c>
      <x:c r="O382" s="10" t="n">
        <x:v>28</x:v>
      </x:c>
      <x:c r="P382" s="10" t="n">
        <x:v>3</x:v>
      </x:c>
      <x:c r="Q382" s="10" t="n">
        <x:v>5</x:v>
      </x:c>
      <x:c r="R382" s="10" t="n">
        <x:v>26</x:v>
      </x:c>
      <x:c r="S382" s="10" t="n">
        <x:v>1</x:v>
      </x:c>
      <x:c r="T382" s="10" t="n">
        <x:v>1</x:v>
      </x:c>
      <x:c r="U382" s="10" t="n">
        <x:f>IF(AND(ISNUMBER(X382),X382&gt;=0,Y382&lt;&gt;1),X382,"")</x:f>
        <x:v>0</x:v>
      </x:c>
      <x:c r="V382" s="10" t="n">
        <x:v>0</x:v>
      </x:c>
      <x:c r="W382" s="10" t="n">
        <x:v>28</x:v>
      </x:c>
      <x:c r="X382" s="10" t="n">
        <x:v>0</x:v>
      </x:c>
      <x:c r="Y382" s="3" t="n">
        <x:v>0</x:v>
      </x:c>
      <x:c r="Z382" s="3" t="str">
        <x:v>共同</x:v>
      </x:c>
      <x:c r="AA382" s="3" t="str">
        <x:v>在售</x:v>
      </x:c>
      <x:c r="AB382" s="12" t="n">
        <x:f>IF(AND(Z382="共同",ISNUMBER(G382),ISNUMBER(AD382)),G382-AD382,"")</x:f>
        <x:v>-0.8133333333333335</x:v>
      </x:c>
      <x:c r="AC382" s="3" t="str"/>
      <x:c r="AD382" s="12" t="n">
        <x:v>1.3080952380952382</x:v>
      </x:c>
      <x:c r="AE382" s="3" t="str">
        <x:v>[6574,"2302153-CC-S-Z-10"]</x:v>
      </x:c>
      <x:c r="AF382" t="n">
        <x:f>IF(ISNUMBER(H382),1,0)</x:f>
        <x:v>1</x:v>
      </x:c>
      <x:c r="AG382" t="n">
        <x:f>IF(ISNUMBER(I382),1,0)</x:f>
        <x:v>1</x:v>
      </x:c>
      <x:c r="AH382" t="str">
        <x:v>["2302153","2302153-CC-S-Z","CC","驼色"]</x:v>
      </x:c>
      <x:c r="AI382" t="n">
        <x:f>IF(ISNUMBER(G382),1,0)</x:f>
        <x:v>1</x:v>
      </x:c>
      <x:c r="AJ382" t="n">
        <x:f>IF(ISNUMBER(AD382),1,0)</x:f>
        <x:v>1</x:v>
      </x:c>
    </x:row>
    <x:row r="383" ht="30" customHeight="1">
      <x:c r="A383" s="3" t="str">
        <x:v>2302153-CC-S-Z-11</x:v>
      </x:c>
      <x:c r="B383" s="3" t="str">
        <x:v>3店-SANDIEX-US</x:v>
      </x:c>
      <x:c r="C383" s="3" t="str">
        <x:v>徐新怡</x:v>
      </x:c>
      <x:c r="D383" s="3" t="str">
        <x:v>2302153</x:v>
      </x:c>
      <x:c r="E383" s="3" t="str">
        <x:f>IF(Z383="移出","已移出",IF(NOT(ISNUMBER(H383)),"数据待核",IF(H383=0,"断货",IF(NOT(ISNUMBER(G383)),"数据待核",IF(G383=0,"零日销待复核",IF(F383&lt;60,"补货提醒",IF(F383&lt;=90,"正常库存",IF(F383&lt;180,"促销",IF(F383&lt;=365,"红线促销","考虑清仓")))))))))</x:f>
        <x:v>断货</x:v>
      </x:c>
      <x:c r="F383" s="11" t="n">
        <x:f>IF(AND(ISNUMBER(H383),ISNUMBER(G383),G383&gt;0),H383/G383,"")</x:f>
        <x:v>0</x:v>
      </x:c>
      <x:c r="G383" s="12" t="n">
        <x:f>IF(AND(COUNT(P383:R383)=3,MIN(P383:R383)&gt;=0,P383&lt;=Q383,Q383&lt;=R383),P383/7*0.5+Q383/14*0.3+R383/30*0.2,"")</x:f>
        <x:v>0.2523809523809524</x:v>
      </x:c>
      <x:c r="H383" s="10" t="n">
        <x:f>IF(ISNUMBER(U383),U383,"")</x:f>
        <x:v>0</x:v>
      </x:c>
      <x:c r="I383" s="10" t="n">
        <x:v>0</x:v>
      </x:c>
      <x:c r="J383" s="11" t="n">
        <x:f>IF(AND(Z383="共同",ISNUMBER(F383),ISNUMBER(M383)),F383-M383,"")</x:f>
        <x:v>0</x:v>
      </x:c>
      <x:c r="K383" s="13" t="str">
        <x:f>IF(AND(ISNUMBER(J383),M383&lt;&gt;0),J383/M383,"")</x:f>
      </x:c>
      <x:c r="L383" s="10" t="str">
        <x:v>断货</x:v>
      </x:c>
      <x:c r="M383" s="11" t="n">
        <x:v>0</x:v>
      </x:c>
      <x:c r="N383" s="10" t="n">
        <x:f>IF(AND(Z383="共同",COUNT(H383:I383)=2),H383-I383,"")</x:f>
        <x:v>0</x:v>
      </x:c>
      <x:c r="O383" s="10" t="n">
        <x:v>20</x:v>
      </x:c>
      <x:c r="P383" s="10" t="n">
        <x:v>2</x:v>
      </x:c>
      <x:c r="Q383" s="10" t="n">
        <x:v>2</x:v>
      </x:c>
      <x:c r="R383" s="10" t="n">
        <x:v>10</x:v>
      </x:c>
      <x:c r="S383" s="10" t="n">
        <x:v>1</x:v>
      </x:c>
      <x:c r="T383" s="10" t="n">
        <x:v>1</x:v>
      </x:c>
      <x:c r="U383" s="10" t="n">
        <x:f>IF(AND(ISNUMBER(X383),X383&gt;=0,Y383&lt;&gt;1),X383,"")</x:f>
        <x:v>0</x:v>
      </x:c>
      <x:c r="V383" s="10" t="n">
        <x:v>0</x:v>
      </x:c>
      <x:c r="W383" s="10" t="n">
        <x:v>20</x:v>
      </x:c>
      <x:c r="X383" s="10" t="n">
        <x:v>0</x:v>
      </x:c>
      <x:c r="Y383" s="3" t="n">
        <x:v>0</x:v>
      </x:c>
      <x:c r="Z383" s="3" t="str">
        <x:v>共同</x:v>
      </x:c>
      <x:c r="AA383" s="3" t="str">
        <x:v>在售</x:v>
      </x:c>
      <x:c r="AB383" s="12" t="n">
        <x:f>IF(AND(Z383="共同",ISNUMBER(G383),ISNUMBER(AD383)),G383-AD383,"")</x:f>
        <x:v>-0.21857142857142858</x:v>
      </x:c>
      <x:c r="AC383" s="3" t="str"/>
      <x:c r="AD383" s="12" t="n">
        <x:v>0.47095238095238096</x:v>
      </x:c>
      <x:c r="AE383" s="3" t="str">
        <x:v>[6574,"2302153-CC-S-Z-11"]</x:v>
      </x:c>
      <x:c r="AF383" t="n">
        <x:f>IF(ISNUMBER(H383),1,0)</x:f>
        <x:v>1</x:v>
      </x:c>
      <x:c r="AG383" t="n">
        <x:f>IF(ISNUMBER(I383),1,0)</x:f>
        <x:v>1</x:v>
      </x:c>
      <x:c r="AH383" t="str">
        <x:v>["2302153","2302153-CC-S-Z","CC","驼色"]</x:v>
      </x:c>
      <x:c r="AI383" t="n">
        <x:f>IF(ISNUMBER(G383),1,0)</x:f>
        <x:v>1</x:v>
      </x:c>
      <x:c r="AJ383" t="n">
        <x:f>IF(ISNUMBER(AD383),1,0)</x:f>
        <x:v>1</x:v>
      </x:c>
    </x:row>
    <x:row r="384" ht="30" customHeight="1">
      <x:c r="A384" s="3" t="str">
        <x:v>2302153-CC-S-Z-6</x:v>
      </x:c>
      <x:c r="B384" s="3" t="str">
        <x:v>3店-SANDIEX-US</x:v>
      </x:c>
      <x:c r="C384" s="3" t="str">
        <x:v>徐新怡</x:v>
      </x:c>
      <x:c r="D384" s="3" t="str">
        <x:v>2302153</x:v>
      </x:c>
      <x:c r="E384" s="3" t="str">
        <x:f>IF(Z384="移出","已移出",IF(NOT(ISNUMBER(H384)),"数据待核",IF(H384=0,"断货",IF(NOT(ISNUMBER(G384)),"数据待核",IF(G384=0,"零日销待复核",IF(F384&lt;60,"补货提醒",IF(F384&lt;=90,"正常库存",IF(F384&lt;180,"促销",IF(F384&lt;=365,"红线促销","考虑清仓")))))))))</x:f>
        <x:v>断货</x:v>
      </x:c>
      <x:c r="F384" s="11" t="n">
        <x:f>IF(AND(ISNUMBER(H384),ISNUMBER(G384),G384&gt;0),H384/G384,"")</x:f>
        <x:v>0</x:v>
      </x:c>
      <x:c r="G384" s="12" t="n">
        <x:f>IF(AND(COUNT(P384:R384)=3,MIN(P384:R384)&gt;=0,P384&lt;=Q384,Q384&lt;=R384),P384/7*0.5+Q384/14*0.3+R384/30*0.2,"")</x:f>
        <x:v>0.2952380952380952</x:v>
      </x:c>
      <x:c r="H384" s="10" t="n">
        <x:f>IF(ISNUMBER(U384),U384,"")</x:f>
        <x:v>0</x:v>
      </x:c>
      <x:c r="I384" s="10" t="n">
        <x:v>0</x:v>
      </x:c>
      <x:c r="J384" s="11" t="n">
        <x:f>IF(AND(Z384="共同",ISNUMBER(F384),ISNUMBER(M384)),F384-M384,"")</x:f>
        <x:v>0</x:v>
      </x:c>
      <x:c r="K384" s="13" t="str">
        <x:f>IF(AND(ISNUMBER(J384),M384&lt;&gt;0),J384/M384,"")</x:f>
      </x:c>
      <x:c r="L384" s="10" t="str">
        <x:v>断货</x:v>
      </x:c>
      <x:c r="M384" s="11" t="n">
        <x:v>0</x:v>
      </x:c>
      <x:c r="N384" s="10" t="n">
        <x:f>IF(AND(Z384="共同",COUNT(H384:I384)=2),H384-I384,"")</x:f>
        <x:v>0</x:v>
      </x:c>
      <x:c r="O384" s="10" t="n">
        <x:v>20</x:v>
      </x:c>
      <x:c r="P384" s="10" t="n">
        <x:v>2</x:v>
      </x:c>
      <x:c r="Q384" s="10" t="n">
        <x:v>4</x:v>
      </x:c>
      <x:c r="R384" s="10" t="n">
        <x:v>10</x:v>
      </x:c>
      <x:c r="S384" s="10" t="n">
        <x:v>3</x:v>
      </x:c>
      <x:c r="T384" s="10" t="n">
        <x:v>1</x:v>
      </x:c>
      <x:c r="U384" s="10" t="n">
        <x:f>IF(AND(ISNUMBER(X384),X384&gt;=0,Y384&lt;&gt;1),X384,"")</x:f>
        <x:v>0</x:v>
      </x:c>
      <x:c r="V384" s="10" t="n">
        <x:v>0</x:v>
      </x:c>
      <x:c r="W384" s="10" t="n">
        <x:v>20</x:v>
      </x:c>
      <x:c r="X384" s="10" t="n">
        <x:v>0</x:v>
      </x:c>
      <x:c r="Y384" s="3" t="n">
        <x:v>0</x:v>
      </x:c>
      <x:c r="Z384" s="3" t="str">
        <x:v>共同</x:v>
      </x:c>
      <x:c r="AA384" s="3" t="str">
        <x:v>在售</x:v>
      </x:c>
      <x:c r="AB384" s="12" t="n">
        <x:f>IF(AND(Z384="共同",ISNUMBER(G384),ISNUMBER(AD384)),G384-AD384,"")</x:f>
        <x:v>-0.04142857142857148</x:v>
      </x:c>
      <x:c r="AC384" s="3" t="str"/>
      <x:c r="AD384" s="12" t="n">
        <x:v>0.33666666666666667</x:v>
      </x:c>
      <x:c r="AE384" s="3" t="str">
        <x:v>[6574,"2302153-CC-S-Z-6"]</x:v>
      </x:c>
      <x:c r="AF384" t="n">
        <x:f>IF(ISNUMBER(H384),1,0)</x:f>
        <x:v>1</x:v>
      </x:c>
      <x:c r="AG384" t="n">
        <x:f>IF(ISNUMBER(I384),1,0)</x:f>
        <x:v>1</x:v>
      </x:c>
      <x:c r="AH384" t="str">
        <x:v>["2302153","2302153-CC-S-Z","CC","驼色"]</x:v>
      </x:c>
      <x:c r="AI384" t="n">
        <x:f>IF(ISNUMBER(G384),1,0)</x:f>
        <x:v>1</x:v>
      </x:c>
      <x:c r="AJ384" t="n">
        <x:f>IF(ISNUMBER(AD384),1,0)</x:f>
        <x:v>1</x:v>
      </x:c>
    </x:row>
    <x:row r="385" ht="30" customHeight="1">
      <x:c r="A385" s="3" t="str">
        <x:v>2302153-CC-S-Z-7</x:v>
      </x:c>
      <x:c r="B385" s="3" t="str">
        <x:v>3店-SANDIEX-US</x:v>
      </x:c>
      <x:c r="C385" s="3" t="str">
        <x:v>徐新怡</x:v>
      </x:c>
      <x:c r="D385" s="3" t="str">
        <x:v>2302153</x:v>
      </x:c>
      <x:c r="E385" s="3" t="str">
        <x:f>IF(Z385="移出","已移出",IF(NOT(ISNUMBER(H385)),"数据待核",IF(H385=0,"断货",IF(NOT(ISNUMBER(G385)),"数据待核",IF(G385=0,"零日销待复核",IF(F385&lt;60,"补货提醒",IF(F385&lt;=90,"正常库存",IF(F385&lt;180,"促销",IF(F385&lt;=365,"红线促销","考虑清仓")))))))))</x:f>
        <x:v>断货</x:v>
      </x:c>
      <x:c r="F385" s="11" t="n">
        <x:f>IF(AND(ISNUMBER(H385),ISNUMBER(G385),G385&gt;0),H385/G385,"")</x:f>
        <x:v>0</x:v>
      </x:c>
      <x:c r="G385" s="12" t="n">
        <x:f>IF(AND(COUNT(P385:R385)=3,MIN(P385:R385)&gt;=0,P385&lt;=Q385,Q385&lt;=R385),P385/7*0.5+Q385/14*0.3+R385/30*0.2,"")</x:f>
        <x:v>0.14095238095238094</x:v>
      </x:c>
      <x:c r="H385" s="10" t="n">
        <x:f>IF(ISNUMBER(U385),U385,"")</x:f>
        <x:v>0</x:v>
      </x:c>
      <x:c r="I385" s="10" t="n">
        <x:v>0</x:v>
      </x:c>
      <x:c r="J385" s="11" t="n">
        <x:f>IF(AND(Z385="共同",ISNUMBER(F385),ISNUMBER(M385)),F385-M385,"")</x:f>
        <x:v>0</x:v>
      </x:c>
      <x:c r="K385" s="13" t="str">
        <x:f>IF(AND(ISNUMBER(J385),M385&lt;&gt;0),J385/M385,"")</x:f>
      </x:c>
      <x:c r="L385" s="10" t="str">
        <x:v>断货</x:v>
      </x:c>
      <x:c r="M385" s="11" t="n">
        <x:v>0</x:v>
      </x:c>
      <x:c r="N385" s="10" t="n">
        <x:f>IF(AND(Z385="共同",COUNT(H385:I385)=2),H385-I385,"")</x:f>
        <x:v>0</x:v>
      </x:c>
      <x:c r="O385" s="10" t="n">
        <x:v>70</x:v>
      </x:c>
      <x:c r="P385" s="10" t="n">
        <x:v>1</x:v>
      </x:c>
      <x:c r="Q385" s="10" t="n">
        <x:v>2</x:v>
      </x:c>
      <x:c r="R385" s="10" t="n">
        <x:v>4</x:v>
      </x:c>
      <x:c r="S385" s="10" t="n">
        <x:v>1</x:v>
      </x:c>
      <x:c r="T385" s="10" t="n">
        <x:v>0</x:v>
      </x:c>
      <x:c r="U385" s="10" t="n">
        <x:f>IF(AND(ISNUMBER(X385),X385&gt;=0,Y385&lt;&gt;1),X385,"")</x:f>
        <x:v>0</x:v>
      </x:c>
      <x:c r="V385" s="10" t="n">
        <x:v>0</x:v>
      </x:c>
      <x:c r="W385" s="10" t="n">
        <x:v>70</x:v>
      </x:c>
      <x:c r="X385" s="10" t="n">
        <x:v>0</x:v>
      </x:c>
      <x:c r="Y385" s="3" t="n">
        <x:v>0</x:v>
      </x:c>
      <x:c r="Z385" s="3" t="str">
        <x:v>共同</x:v>
      </x:c>
      <x:c r="AA385" s="3" t="str">
        <x:v>在售</x:v>
      </x:c>
      <x:c r="AB385" s="12" t="n">
        <x:f>IF(AND(Z385="共同",ISNUMBER(G385),ISNUMBER(AD385)),G385-AD385,"")</x:f>
        <x:v>0.07142857142857142</x:v>
      </x:c>
      <x:c r="AC385" s="3" t="str"/>
      <x:c r="AD385" s="12" t="n">
        <x:v>0.06952380952380952</x:v>
      </x:c>
      <x:c r="AE385" s="3" t="str">
        <x:v>[6574,"2302153-CC-S-Z-7"]</x:v>
      </x:c>
      <x:c r="AF385" t="n">
        <x:f>IF(ISNUMBER(H385),1,0)</x:f>
        <x:v>1</x:v>
      </x:c>
      <x:c r="AG385" t="n">
        <x:f>IF(ISNUMBER(I385),1,0)</x:f>
        <x:v>1</x:v>
      </x:c>
      <x:c r="AH385" t="str">
        <x:v>["2302153","2302153-CC-S-Z","CC","驼色"]</x:v>
      </x:c>
      <x:c r="AI385" t="n">
        <x:f>IF(ISNUMBER(G385),1,0)</x:f>
        <x:v>1</x:v>
      </x:c>
      <x:c r="AJ385" t="n">
        <x:f>IF(ISNUMBER(AD385),1,0)</x:f>
        <x:v>1</x:v>
      </x:c>
    </x:row>
    <x:row r="386" ht="30" customHeight="1">
      <x:c r="A386" s="3" t="str">
        <x:v>2302153-CC-S-Z-8</x:v>
      </x:c>
      <x:c r="B386" s="3" t="str">
        <x:v>3店-SANDIEX-US</x:v>
      </x:c>
      <x:c r="C386" s="3" t="str">
        <x:v>徐新怡</x:v>
      </x:c>
      <x:c r="D386" s="3" t="str">
        <x:v>2302153</x:v>
      </x:c>
      <x:c r="E386" s="3" t="str">
        <x:f>IF(Z386="移出","已移出",IF(NOT(ISNUMBER(H386)),"数据待核",IF(H386=0,"断货",IF(NOT(ISNUMBER(G386)),"数据待核",IF(G386=0,"零日销待复核",IF(F386&lt;60,"补货提醒",IF(F386&lt;=90,"正常库存",IF(F386&lt;180,"促销",IF(F386&lt;=365,"红线促销","考虑清仓")))))))))</x:f>
        <x:v>断货</x:v>
      </x:c>
      <x:c r="F386" s="11" t="n">
        <x:f>IF(AND(ISNUMBER(H386),ISNUMBER(G386),G386&gt;0),H386/G386,"")</x:f>
        <x:v>0</x:v>
      </x:c>
      <x:c r="G386" s="12" t="n">
        <x:f>IF(AND(COUNT(P386:R386)=3,MIN(P386:R386)&gt;=0,P386&lt;=Q386,Q386&lt;=R386),P386/7*0.5+Q386/14*0.3+R386/30*0.2,"")</x:f>
        <x:v>0.6457142857142857</x:v>
      </x:c>
      <x:c r="H386" s="10" t="n">
        <x:f>IF(ISNUMBER(U386),U386,"")</x:f>
        <x:v>0</x:v>
      </x:c>
      <x:c r="I386" s="10" t="n">
        <x:v>0</x:v>
      </x:c>
      <x:c r="J386" s="11" t="n">
        <x:f>IF(AND(Z386="共同",ISNUMBER(F386),ISNUMBER(M386)),F386-M386,"")</x:f>
        <x:v>0</x:v>
      </x:c>
      <x:c r="K386" s="13" t="str">
        <x:f>IF(AND(ISNUMBER(J386),M386&lt;&gt;0),J386/M386,"")</x:f>
      </x:c>
      <x:c r="L386" s="10" t="str">
        <x:v>断货</x:v>
      </x:c>
      <x:c r="M386" s="11" t="n">
        <x:v>0</x:v>
      </x:c>
      <x:c r="N386" s="10" t="n">
        <x:f>IF(AND(Z386="共同",COUNT(H386:I386)=2),H386-I386,"")</x:f>
        <x:v>0</x:v>
      </x:c>
      <x:c r="O386" s="10" t="n">
        <x:v>167</x:v>
      </x:c>
      <x:c r="P386" s="10" t="n">
        <x:v>5</x:v>
      </x:c>
      <x:c r="Q386" s="10" t="n">
        <x:v>6</x:v>
      </x:c>
      <x:c r="R386" s="10" t="n">
        <x:v>24</x:v>
      </x:c>
      <x:c r="S386" s="10" t="n">
        <x:v>6</x:v>
      </x:c>
      <x:c r="T386" s="10" t="n">
        <x:v>5</x:v>
      </x:c>
      <x:c r="U386" s="10" t="n">
        <x:f>IF(AND(ISNUMBER(X386),X386&gt;=0,Y386&lt;&gt;1),X386,"")</x:f>
        <x:v>0</x:v>
      </x:c>
      <x:c r="V386" s="10" t="n">
        <x:v>0</x:v>
      </x:c>
      <x:c r="W386" s="10" t="n">
        <x:v>110</x:v>
      </x:c>
      <x:c r="X386" s="10" t="n">
        <x:v>0</x:v>
      </x:c>
      <x:c r="Y386" s="3" t="n">
        <x:v>0</x:v>
      </x:c>
      <x:c r="Z386" s="3" t="str">
        <x:v>共同</x:v>
      </x:c>
      <x:c r="AA386" s="3" t="str">
        <x:v>在售</x:v>
      </x:c>
      <x:c r="AB386" s="12" t="n">
        <x:f>IF(AND(Z386="共同",ISNUMBER(G386),ISNUMBER(AD386)),G386-AD386,"")</x:f>
        <x:v>-0.14857142857142858</x:v>
      </x:c>
      <x:c r="AC386" s="3" t="str"/>
      <x:c r="AD386" s="12" t="n">
        <x:v>0.7942857142857143</x:v>
      </x:c>
      <x:c r="AE386" s="3" t="str">
        <x:v>[6574,"2302153-CC-S-Z-8"]</x:v>
      </x:c>
      <x:c r="AF386" t="n">
        <x:f>IF(ISNUMBER(H386),1,0)</x:f>
        <x:v>1</x:v>
      </x:c>
      <x:c r="AG386" t="n">
        <x:f>IF(ISNUMBER(I386),1,0)</x:f>
        <x:v>1</x:v>
      </x:c>
      <x:c r="AH386" t="str">
        <x:v>["2302153","2302153-CC-S-Z","CC","驼色"]</x:v>
      </x:c>
      <x:c r="AI386" t="n">
        <x:f>IF(ISNUMBER(G386),1,0)</x:f>
        <x:v>1</x:v>
      </x:c>
      <x:c r="AJ386" t="n">
        <x:f>IF(ISNUMBER(AD386),1,0)</x:f>
        <x:v>1</x:v>
      </x:c>
    </x:row>
    <x:row r="387" ht="30" customHeight="1">
      <x:c r="A387" s="3" t="str">
        <x:v>2302153-CC-S-Z-9</x:v>
      </x:c>
      <x:c r="B387" s="3" t="str">
        <x:v>3店-SANDIEX-US</x:v>
      </x:c>
      <x:c r="C387" s="3" t="str">
        <x:v>徐新怡</x:v>
      </x:c>
      <x:c r="D387" s="3" t="str">
        <x:v>2302153</x:v>
      </x:c>
      <x:c r="E387" s="3" t="str">
        <x:f>IF(Z387="移出","已移出",IF(NOT(ISNUMBER(H387)),"数据待核",IF(H387=0,"断货",IF(NOT(ISNUMBER(G387)),"数据待核",IF(G387=0,"零日销待复核",IF(F387&lt;60,"补货提醒",IF(F387&lt;=90,"正常库存",IF(F387&lt;180,"促销",IF(F387&lt;=365,"红线促销","考虑清仓")))))))))</x:f>
        <x:v>断货</x:v>
      </x:c>
      <x:c r="F387" s="11" t="n">
        <x:f>IF(AND(ISNUMBER(H387),ISNUMBER(G387),G387&gt;0),H387/G387,"")</x:f>
        <x:v>0</x:v>
      </x:c>
      <x:c r="G387" s="12" t="n">
        <x:f>IF(AND(COUNT(P387:R387)=3,MIN(P387:R387)&gt;=0,P387&lt;=Q387,Q387&lt;=R387),P387/7*0.5+Q387/14*0.3+R387/30*0.2,"")</x:f>
        <x:v>0.5376190476190477</x:v>
      </x:c>
      <x:c r="H387" s="10" t="n">
        <x:f>IF(ISNUMBER(U387),U387,"")</x:f>
        <x:v>0</x:v>
      </x:c>
      <x:c r="I387" s="10" t="n">
        <x:v>0</x:v>
      </x:c>
      <x:c r="J387" s="11" t="n">
        <x:f>IF(AND(Z387="共同",ISNUMBER(F387),ISNUMBER(M387)),F387-M387,"")</x:f>
        <x:v>0</x:v>
      </x:c>
      <x:c r="K387" s="13" t="str">
        <x:f>IF(AND(ISNUMBER(J387),M387&lt;&gt;0),J387/M387,"")</x:f>
      </x:c>
      <x:c r="L387" s="10" t="str">
        <x:v>断货</x:v>
      </x:c>
      <x:c r="M387" s="11" t="n">
        <x:v>0</x:v>
      </x:c>
      <x:c r="N387" s="10" t="n">
        <x:f>IF(AND(Z387="共同",COUNT(H387:I387)=2),H387-I387,"")</x:f>
        <x:v>0</x:v>
      </x:c>
      <x:c r="O387" s="10" t="n">
        <x:v>120</x:v>
      </x:c>
      <x:c r="P387" s="10" t="n">
        <x:v>3</x:v>
      </x:c>
      <x:c r="Q387" s="10" t="n">
        <x:v>7</x:v>
      </x:c>
      <x:c r="R387" s="10" t="n">
        <x:v>26</x:v>
      </x:c>
      <x:c r="S387" s="10" t="n">
        <x:v>7</x:v>
      </x:c>
      <x:c r="T387" s="10" t="n">
        <x:v>6</x:v>
      </x:c>
      <x:c r="U387" s="10" t="n">
        <x:f>IF(AND(ISNUMBER(X387),X387&gt;=0,Y387&lt;&gt;1),X387,"")</x:f>
        <x:v>0</x:v>
      </x:c>
      <x:c r="V387" s="10" t="n">
        <x:v>0</x:v>
      </x:c>
      <x:c r="W387" s="10" t="n">
        <x:v>80</x:v>
      </x:c>
      <x:c r="X387" s="10" t="n">
        <x:v>0</x:v>
      </x:c>
      <x:c r="Y387" s="3" t="n">
        <x:v>0</x:v>
      </x:c>
      <x:c r="Z387" s="3" t="str">
        <x:v>共同</x:v>
      </x:c>
      <x:c r="AA387" s="3" t="str">
        <x:v>在售</x:v>
      </x:c>
      <x:c r="AB387" s="12" t="n">
        <x:f>IF(AND(Z387="共同",ISNUMBER(G387),ISNUMBER(AD387)),G387-AD387,"")</x:f>
        <x:v>-0.36761904761904773</x:v>
      </x:c>
      <x:c r="AC387" s="3" t="str"/>
      <x:c r="AD387" s="12" t="n">
        <x:v>0.9052380952380954</x:v>
      </x:c>
      <x:c r="AE387" s="3" t="str">
        <x:v>[6574,"2302153-CC-S-Z-9"]</x:v>
      </x:c>
      <x:c r="AF387" t="n">
        <x:f>IF(ISNUMBER(H387),1,0)</x:f>
        <x:v>1</x:v>
      </x:c>
      <x:c r="AG387" t="n">
        <x:f>IF(ISNUMBER(I387),1,0)</x:f>
        <x:v>1</x:v>
      </x:c>
      <x:c r="AH387" t="str">
        <x:v>["2302153","2302153-CC-S-Z","CC","驼色"]</x:v>
      </x:c>
      <x:c r="AI387" t="n">
        <x:f>IF(ISNUMBER(G387),1,0)</x:f>
        <x:v>1</x:v>
      </x:c>
      <x:c r="AJ387" t="n">
        <x:f>IF(ISNUMBER(AD387),1,0)</x:f>
        <x:v>1</x:v>
      </x:c>
    </x:row>
    <x:row r="388" ht="30" customHeight="1">
      <x:c r="A388" s="3" t="str">
        <x:v>2302153-LP-S-Z-10</x:v>
      </x:c>
      <x:c r="B388" s="3" t="str">
        <x:v>3店-SANDIEX-US</x:v>
      </x:c>
      <x:c r="C388" s="3" t="str">
        <x:v>徐新怡</x:v>
      </x:c>
      <x:c r="D388" s="3" t="str">
        <x:v>2302153</x:v>
      </x:c>
      <x:c r="E388" s="3" t="str">
        <x:f>IF(Z388="移出","已移出",IF(NOT(ISNUMBER(H388)),"数据待核",IF(H388=0,"断货",IF(NOT(ISNUMBER(G388)),"数据待核",IF(G388=0,"零日销待复核",IF(F388&lt;60,"补货提醒",IF(F388&lt;=90,"正常库存",IF(F388&lt;180,"促销",IF(F388&lt;=365,"红线促销","考虑清仓")))))))))</x:f>
        <x:v>断货</x:v>
      </x:c>
      <x:c r="F388" s="11" t="n">
        <x:f>IF(AND(ISNUMBER(H388),ISNUMBER(G388),G388&gt;0),H388/G388,"")</x:f>
        <x:v>0</x:v>
      </x:c>
      <x:c r="G388" s="12" t="n">
        <x:f>IF(AND(COUNT(P388:R388)=3,MIN(P388:R388)&gt;=0,P388&lt;=Q388,Q388&lt;=R388),P388/7*0.5+Q388/14*0.3+R388/30*0.2,"")</x:f>
        <x:v>0.29047619047619044</x:v>
      </x:c>
      <x:c r="H388" s="10" t="n">
        <x:f>IF(ISNUMBER(U388),U388,"")</x:f>
        <x:v>0</x:v>
      </x:c>
      <x:c r="I388" s="10" t="n">
        <x:v>0</x:v>
      </x:c>
      <x:c r="J388" s="11" t="n">
        <x:f>IF(AND(Z388="共同",ISNUMBER(F388),ISNUMBER(M388)),F388-M388,"")</x:f>
        <x:v>0</x:v>
      </x:c>
      <x:c r="K388" s="13" t="str">
        <x:f>IF(AND(ISNUMBER(J388),M388&lt;&gt;0),J388/M388,"")</x:f>
      </x:c>
      <x:c r="L388" s="10" t="str">
        <x:v>断货</x:v>
      </x:c>
      <x:c r="M388" s="11" t="n">
        <x:v>0</x:v>
      </x:c>
      <x:c r="N388" s="10" t="n">
        <x:f>IF(AND(Z388="共同",COUNT(H388:I388)=2),H388-I388,"")</x:f>
        <x:v>0</x:v>
      </x:c>
      <x:c r="O388" s="10" t="n">
        <x:v>33</x:v>
      </x:c>
      <x:c r="P388" s="10" t="n">
        <x:v>1</x:v>
      </x:c>
      <x:c r="Q388" s="10" t="n">
        <x:v>4</x:v>
      </x:c>
      <x:c r="R388" s="10" t="n">
        <x:v>20</x:v>
      </x:c>
      <x:c r="S388" s="10" t="n">
        <x:v>2</x:v>
      </x:c>
      <x:c r="T388" s="10" t="n">
        <x:v>2</x:v>
      </x:c>
      <x:c r="U388" s="10" t="n">
        <x:f>IF(AND(ISNUMBER(X388),X388&gt;=0,Y388&lt;&gt;1),X388,"")</x:f>
        <x:v>0</x:v>
      </x:c>
      <x:c r="V388" s="10" t="n">
        <x:v>2</x:v>
      </x:c>
      <x:c r="W388" s="10" t="n">
        <x:v>24</x:v>
      </x:c>
      <x:c r="X388" s="10" t="n">
        <x:v>0</x:v>
      </x:c>
      <x:c r="Y388" s="3" t="n">
        <x:v>0</x:v>
      </x:c>
      <x:c r="Z388" s="3" t="str">
        <x:v>共同</x:v>
      </x:c>
      <x:c r="AA388" s="3" t="str">
        <x:v>在售</x:v>
      </x:c>
      <x:c r="AB388" s="12" t="n">
        <x:f>IF(AND(Z388="共同",ISNUMBER(G388),ISNUMBER(AD388)),G388-AD388,"")</x:f>
        <x:v>-0.7476190476190475</x:v>
      </x:c>
      <x:c r="AC388" s="3" t="str"/>
      <x:c r="AD388" s="12" t="n">
        <x:v>1.038095238095238</x:v>
      </x:c>
      <x:c r="AE388" s="3" t="str">
        <x:v>[6574,"2302153-LP-S-Z-10"]</x:v>
      </x:c>
      <x:c r="AF388" t="n">
        <x:f>IF(ISNUMBER(H388),1,0)</x:f>
        <x:v>1</x:v>
      </x:c>
      <x:c r="AG388" t="n">
        <x:f>IF(ISNUMBER(I388),1,0)</x:f>
        <x:v>1</x:v>
      </x:c>
      <x:c r="AH388" t="str">
        <x:v>["2302153","2302153-LP-S-Z","LP","豹纹"]</x:v>
      </x:c>
      <x:c r="AI388" t="n">
        <x:f>IF(ISNUMBER(G388),1,0)</x:f>
        <x:v>1</x:v>
      </x:c>
      <x:c r="AJ388" t="n">
        <x:f>IF(ISNUMBER(AD388),1,0)</x:f>
        <x:v>1</x:v>
      </x:c>
    </x:row>
    <x:row r="389" ht="30" customHeight="1">
      <x:c r="A389" s="3" t="str">
        <x:v>2302153-LP-S-Z-10.5</x:v>
      </x:c>
      <x:c r="B389" s="3" t="str">
        <x:v>3店-SANDIEX-US</x:v>
      </x:c>
      <x:c r="C389" s="3" t="str">
        <x:v>徐新怡</x:v>
      </x:c>
      <x:c r="D389" s="3" t="str">
        <x:v>2302153</x:v>
      </x:c>
      <x:c r="E389" s="3" t="str">
        <x:f>IF(Z389="移出","已移出",IF(NOT(ISNUMBER(H389)),"数据待核",IF(H389=0,"断货",IF(NOT(ISNUMBER(G389)),"数据待核",IF(G389=0,"零日销待复核",IF(F389&lt;60,"补货提醒",IF(F389&lt;=90,"正常库存",IF(F389&lt;180,"促销",IF(F389&lt;=365,"红线促销","考虑清仓")))))))))</x:f>
        <x:v>断货</x:v>
      </x:c>
      <x:c r="F389" s="11" t="n">
        <x:f>IF(AND(ISNUMBER(H389),ISNUMBER(G389),G389&gt;0),H389/G389,"")</x:f>
        <x:v>0</x:v>
      </x:c>
      <x:c r="G389" s="12" t="n">
        <x:f>IF(AND(COUNT(P389:R389)=3,MIN(P389:R389)&gt;=0,P389&lt;=Q389,Q389&lt;=R389),P389/7*0.5+Q389/14*0.3+R389/30*0.2,"")</x:f>
        <x:v>0.028095238095238093</x:v>
      </x:c>
      <x:c r="H389" s="10" t="n">
        <x:f>IF(ISNUMBER(U389),U389,"")</x:f>
        <x:v>0</x:v>
      </x:c>
      <x:c r="I389" s="10" t="n">
        <x:v>0</x:v>
      </x:c>
      <x:c r="J389" s="11" t="n">
        <x:f>IF(AND(Z389="共同",ISNUMBER(F389),ISNUMBER(M389)),F389-M389,"")</x:f>
        <x:v>0</x:v>
      </x:c>
      <x:c r="K389" s="13" t="str">
        <x:f>IF(AND(ISNUMBER(J389),M389&lt;&gt;0),J389/M389,"")</x:f>
      </x:c>
      <x:c r="L389" s="10" t="str">
        <x:v>断货</x:v>
      </x:c>
      <x:c r="M389" s="11" t="n">
        <x:v>0</x:v>
      </x:c>
      <x:c r="N389" s="10" t="n">
        <x:f>IF(AND(Z389="共同",COUNT(H389:I389)=2),H389-I389,"")</x:f>
        <x:v>0</x:v>
      </x:c>
      <x:c r="O389" s="10" t="n">
        <x:v>0</x:v>
      </x:c>
      <x:c r="P389" s="10" t="n">
        <x:v>0</x:v>
      </x:c>
      <x:c r="Q389" s="10" t="n">
        <x:v>1</x:v>
      </x:c>
      <x:c r="R389" s="10" t="n">
        <x:v>1</x:v>
      </x:c>
      <x:c r="S389" s="10" t="n">
        <x:v>0</x:v>
      </x:c>
      <x:c r="T389" s="10" t="n">
        <x:v>0</x:v>
      </x:c>
      <x:c r="U389" s="10" t="n">
        <x:f>IF(AND(ISNUMBER(X389),X389&gt;=0,Y389&lt;&gt;1),X389,"")</x:f>
        <x:v>0</x:v>
      </x:c>
      <x:c r="V389" s="10" t="n">
        <x:v>0</x:v>
      </x:c>
      <x:c r="W389" s="10" t="n">
        <x:v>15</x:v>
      </x:c>
      <x:c r="X389" s="10" t="n">
        <x:v>0</x:v>
      </x:c>
      <x:c r="Y389" s="3" t="n">
        <x:v>0</x:v>
      </x:c>
      <x:c r="Z389" s="3" t="str">
        <x:v>共同</x:v>
      </x:c>
      <x:c r="AA389" s="3" t="str">
        <x:v>在售</x:v>
      </x:c>
      <x:c r="AB389" s="12" t="n">
        <x:f>IF(AND(Z389="共同",ISNUMBER(G389),ISNUMBER(AD389)),G389-AD389,"")</x:f>
        <x:v>0.01476190476190476</x:v>
      </x:c>
      <x:c r="AC389" s="3" t="str"/>
      <x:c r="AD389" s="12" t="n">
        <x:v>0.013333333333333332</x:v>
      </x:c>
      <x:c r="AE389" s="3" t="str">
        <x:v>[6574,"2302153-LP-S-Z-10.5"]</x:v>
      </x:c>
      <x:c r="AF389" t="n">
        <x:f>IF(ISNUMBER(H389),1,0)</x:f>
        <x:v>1</x:v>
      </x:c>
      <x:c r="AG389" t="n">
        <x:f>IF(ISNUMBER(I389),1,0)</x:f>
        <x:v>1</x:v>
      </x:c>
      <x:c r="AH389" t="str">
        <x:v>["2302153","2302153-LP-S-Z","LP","豹纹"]</x:v>
      </x:c>
      <x:c r="AI389" t="n">
        <x:f>IF(ISNUMBER(G389),1,0)</x:f>
        <x:v>1</x:v>
      </x:c>
      <x:c r="AJ389" t="n">
        <x:f>IF(ISNUMBER(AD389),1,0)</x:f>
        <x:v>1</x:v>
      </x:c>
    </x:row>
    <x:row r="390" ht="30" customHeight="1">
      <x:c r="A390" s="3" t="str">
        <x:v>2302153-LP-S-Z-11</x:v>
      </x:c>
      <x:c r="B390" s="3" t="str">
        <x:v>3店-SANDIEX-US</x:v>
      </x:c>
      <x:c r="C390" s="3" t="str">
        <x:v>徐新怡</x:v>
      </x:c>
      <x:c r="D390" s="3" t="str">
        <x:v>2302153</x:v>
      </x:c>
      <x:c r="E390" s="3" t="str">
        <x:f>IF(Z390="移出","已移出",IF(NOT(ISNUMBER(H390)),"数据待核",IF(H390=0,"断货",IF(NOT(ISNUMBER(G390)),"数据待核",IF(G390=0,"零日销待复核",IF(F390&lt;60,"补货提醒",IF(F390&lt;=90,"正常库存",IF(F390&lt;180,"促销",IF(F390&lt;=365,"红线促销","考虑清仓")))))))))</x:f>
        <x:v>断货</x:v>
      </x:c>
      <x:c r="F390" s="11" t="n">
        <x:f>IF(AND(ISNUMBER(H390),ISNUMBER(G390),G390&gt;0),H390/G390,"")</x:f>
        <x:v>0</x:v>
      </x:c>
      <x:c r="G390" s="12" t="n">
        <x:f>IF(AND(COUNT(P390:R390)=3,MIN(P390:R390)&gt;=0,P390&lt;=Q390,Q390&lt;=R390),P390/7*0.5+Q390/14*0.3+R390/30*0.2,"")</x:f>
        <x:v>0.43285714285714283</x:v>
      </x:c>
      <x:c r="H390" s="10" t="n">
        <x:f>IF(ISNUMBER(U390),U390,"")</x:f>
        <x:v>0</x:v>
      </x:c>
      <x:c r="I390" s="10" t="n">
        <x:v>0</x:v>
      </x:c>
      <x:c r="J390" s="11" t="n">
        <x:f>IF(AND(Z390="共同",ISNUMBER(F390),ISNUMBER(M390)),F390-M390,"")</x:f>
        <x:v>0</x:v>
      </x:c>
      <x:c r="K390" s="13" t="str">
        <x:f>IF(AND(ISNUMBER(J390),M390&lt;&gt;0),J390/M390,"")</x:f>
      </x:c>
      <x:c r="L390" s="10" t="str">
        <x:v>断货</x:v>
      </x:c>
      <x:c r="M390" s="11" t="n">
        <x:v>0</x:v>
      </x:c>
      <x:c r="N390" s="10" t="n">
        <x:f>IF(AND(Z390="共同",COUNT(H390:I390)=2),H390-I390,"")</x:f>
        <x:v>0</x:v>
      </x:c>
      <x:c r="O390" s="10" t="n">
        <x:v>0</x:v>
      </x:c>
      <x:c r="P390" s="10" t="n">
        <x:v>4</x:v>
      </x:c>
      <x:c r="Q390" s="10" t="n">
        <x:v>5</x:v>
      </x:c>
      <x:c r="R390" s="10" t="n">
        <x:v>6</x:v>
      </x:c>
      <x:c r="S390" s="10" t="n">
        <x:v>0</x:v>
      </x:c>
      <x:c r="T390" s="10" t="n">
        <x:v>0</x:v>
      </x:c>
      <x:c r="U390" s="10" t="n">
        <x:f>IF(AND(ISNUMBER(X390),X390&gt;=0,Y390&lt;&gt;1),X390,"")</x:f>
        <x:v>0</x:v>
      </x:c>
      <x:c r="V390" s="10" t="n">
        <x:v>4</x:v>
      </x:c>
      <x:c r="W390" s="10" t="n">
        <x:v>21</x:v>
      </x:c>
      <x:c r="X390" s="10" t="n">
        <x:v>0</x:v>
      </x:c>
      <x:c r="Y390" s="3" t="n">
        <x:v>0</x:v>
      </x:c>
      <x:c r="Z390" s="3" t="str">
        <x:v>共同</x:v>
      </x:c>
      <x:c r="AA390" s="3" t="str">
        <x:v>在售</x:v>
      </x:c>
      <x:c r="AB390" s="12" t="n">
        <x:f>IF(AND(Z390="共同",ISNUMBER(G390),ISNUMBER(AD390)),G390-AD390,"")</x:f>
        <x:v>0.39809523809523806</x:v>
      </x:c>
      <x:c r="AC390" s="3" t="str"/>
      <x:c r="AD390" s="12" t="n">
        <x:v>0.03476190476190476</x:v>
      </x:c>
      <x:c r="AE390" s="3" t="str">
        <x:v>[6574,"2302153-LP-S-Z-11"]</x:v>
      </x:c>
      <x:c r="AF390" t="n">
        <x:f>IF(ISNUMBER(H390),1,0)</x:f>
        <x:v>1</x:v>
      </x:c>
      <x:c r="AG390" t="n">
        <x:f>IF(ISNUMBER(I390),1,0)</x:f>
        <x:v>1</x:v>
      </x:c>
      <x:c r="AH390" t="str">
        <x:v>["2302153","2302153-LP-S-Z","LP","豹纹"]</x:v>
      </x:c>
      <x:c r="AI390" t="n">
        <x:f>IF(ISNUMBER(G390),1,0)</x:f>
        <x:v>1</x:v>
      </x:c>
      <x:c r="AJ390" t="n">
        <x:f>IF(ISNUMBER(AD390),1,0)</x:f>
        <x:v>1</x:v>
      </x:c>
    </x:row>
    <x:row r="391" ht="30" customHeight="1">
      <x:c r="A391" s="3" t="str">
        <x:v>2302153-LP-S-Z-7</x:v>
      </x:c>
      <x:c r="B391" s="3" t="str">
        <x:v>3店-SANDIEX-US</x:v>
      </x:c>
      <x:c r="C391" s="3" t="str">
        <x:v>徐新怡</x:v>
      </x:c>
      <x:c r="D391" s="3" t="str">
        <x:v>2302153</x:v>
      </x:c>
      <x:c r="E391" s="3" t="str">
        <x:f>IF(Z391="移出","已移出",IF(NOT(ISNUMBER(H391)),"数据待核",IF(H391=0,"断货",IF(NOT(ISNUMBER(G391)),"数据待核",IF(G391=0,"零日销待复核",IF(F391&lt;60,"补货提醒",IF(F391&lt;=90,"正常库存",IF(F391&lt;180,"促销",IF(F391&lt;=365,"红线促销","考虑清仓")))))))))</x:f>
        <x:v>断货</x:v>
      </x:c>
      <x:c r="F391" s="11" t="n">
        <x:f>IF(AND(ISNUMBER(H391),ISNUMBER(G391),G391&gt;0),H391/G391,"")</x:f>
        <x:v>0</x:v>
      </x:c>
      <x:c r="G391" s="12" t="n">
        <x:f>IF(AND(COUNT(P391:R391)=3,MIN(P391:R391)&gt;=0,P391&lt;=Q391,Q391&lt;=R391),P391/7*0.5+Q391/14*0.3+R391/30*0.2,"")</x:f>
        <x:v>0.43142857142857144</x:v>
      </x:c>
      <x:c r="H391" s="10" t="n">
        <x:f>IF(ISNUMBER(U391),U391,"")</x:f>
        <x:v>0</x:v>
      </x:c>
      <x:c r="I391" s="10" t="n">
        <x:v>0</x:v>
      </x:c>
      <x:c r="J391" s="11" t="n">
        <x:f>IF(AND(Z391="共同",ISNUMBER(F391),ISNUMBER(M391)),F391-M391,"")</x:f>
        <x:v>0</x:v>
      </x:c>
      <x:c r="K391" s="13" t="str">
        <x:f>IF(AND(ISNUMBER(J391),M391&lt;&gt;0),J391/M391,"")</x:f>
      </x:c>
      <x:c r="L391" s="10" t="str">
        <x:v>断货</x:v>
      </x:c>
      <x:c r="M391" s="11" t="n">
        <x:v>0</x:v>
      </x:c>
      <x:c r="N391" s="10" t="n">
        <x:f>IF(AND(Z391="共同",COUNT(H391:I391)=2),H391-I391,"")</x:f>
        <x:v>0</x:v>
      </x:c>
      <x:c r="O391" s="10" t="n">
        <x:v>29</x:v>
      </x:c>
      <x:c r="P391" s="10" t="n">
        <x:v>2</x:v>
      </x:c>
      <x:c r="Q391" s="10" t="n">
        <x:v>6</x:v>
      </x:c>
      <x:c r="R391" s="10" t="n">
        <x:v>24</x:v>
      </x:c>
      <x:c r="S391" s="10" t="n">
        <x:v>5</x:v>
      </x:c>
      <x:c r="T391" s="10" t="n">
        <x:v>5</x:v>
      </x:c>
      <x:c r="U391" s="10" t="n">
        <x:f>IF(AND(ISNUMBER(X391),X391&gt;=0,Y391&lt;&gt;1),X391,"")</x:f>
        <x:v>0</x:v>
      </x:c>
      <x:c r="V391" s="10" t="n">
        <x:v>2</x:v>
      </x:c>
      <x:c r="W391" s="10" t="n">
        <x:v>20</x:v>
      </x:c>
      <x:c r="X391" s="10" t="n">
        <x:v>0</x:v>
      </x:c>
      <x:c r="Y391" s="3" t="n">
        <x:v>0</x:v>
      </x:c>
      <x:c r="Z391" s="3" t="str">
        <x:v>共同</x:v>
      </x:c>
      <x:c r="AA391" s="3" t="str">
        <x:v>在售</x:v>
      </x:c>
      <x:c r="AB391" s="12" t="n">
        <x:f>IF(AND(Z391="共同",ISNUMBER(G391),ISNUMBER(AD391)),G391-AD391,"")</x:f>
        <x:v>-0.7709523809523808</x:v>
      </x:c>
      <x:c r="AC391" s="3" t="str"/>
      <x:c r="AD391" s="12" t="n">
        <x:v>1.2023809523809523</x:v>
      </x:c>
      <x:c r="AE391" s="3" t="str">
        <x:v>[6574,"2302153-LP-S-Z-7"]</x:v>
      </x:c>
      <x:c r="AF391" t="n">
        <x:f>IF(ISNUMBER(H391),1,0)</x:f>
        <x:v>1</x:v>
      </x:c>
      <x:c r="AG391" t="n">
        <x:f>IF(ISNUMBER(I391),1,0)</x:f>
        <x:v>1</x:v>
      </x:c>
      <x:c r="AH391" t="str">
        <x:v>["2302153","2302153-LP-S-Z","LP","豹纹"]</x:v>
      </x:c>
      <x:c r="AI391" t="n">
        <x:f>IF(ISNUMBER(G391),1,0)</x:f>
        <x:v>1</x:v>
      </x:c>
      <x:c r="AJ391" t="n">
        <x:f>IF(ISNUMBER(AD391),1,0)</x:f>
        <x:v>1</x:v>
      </x:c>
    </x:row>
    <x:row r="392" ht="30" customHeight="1">
      <x:c r="A392" s="3" t="str">
        <x:v>2302153-LP-S-Z-7.5</x:v>
      </x:c>
      <x:c r="B392" s="3" t="str">
        <x:v>3店-SANDIEX-US</x:v>
      </x:c>
      <x:c r="C392" s="3" t="str">
        <x:v>徐新怡</x:v>
      </x:c>
      <x:c r="D392" s="3" t="str">
        <x:v>2302153</x:v>
      </x:c>
      <x:c r="E392" s="3" t="str">
        <x:f>IF(Z392="移出","已移出",IF(NOT(ISNUMBER(H392)),"数据待核",IF(H392=0,"断货",IF(NOT(ISNUMBER(G392)),"数据待核",IF(G392=0,"零日销待复核",IF(F392&lt;60,"补货提醒",IF(F392&lt;=90,"正常库存",IF(F392&lt;180,"促销",IF(F392&lt;=365,"红线促销","考虑清仓")))))))))</x:f>
        <x:v>断货</x:v>
      </x:c>
      <x:c r="F392" s="11" t="n">
        <x:f>IF(AND(ISNUMBER(H392),ISNUMBER(G392),G392&gt;0),H392/G392,"")</x:f>
        <x:v>0</x:v>
      </x:c>
      <x:c r="G392" s="12" t="n">
        <x:f>IF(AND(COUNT(P392:R392)=3,MIN(P392:R392)&gt;=0,P392&lt;=Q392,Q392&lt;=R392),P392/7*0.5+Q392/14*0.3+R392/30*0.2,"")</x:f>
        <x:v>0.7866666666666666</x:v>
      </x:c>
      <x:c r="H392" s="10" t="n">
        <x:f>IF(ISNUMBER(U392),U392,"")</x:f>
        <x:v>0</x:v>
      </x:c>
      <x:c r="I392" s="10" t="n">
        <x:v>0</x:v>
      </x:c>
      <x:c r="J392" s="11" t="n">
        <x:f>IF(AND(Z392="共同",ISNUMBER(F392),ISNUMBER(M392)),F392-M392,"")</x:f>
        <x:v>0</x:v>
      </x:c>
      <x:c r="K392" s="13" t="str">
        <x:f>IF(AND(ISNUMBER(J392),M392&lt;&gt;0),J392/M392,"")</x:f>
      </x:c>
      <x:c r="L392" s="10" t="str">
        <x:v>断货</x:v>
      </x:c>
      <x:c r="M392" s="11" t="n">
        <x:v>0</x:v>
      </x:c>
      <x:c r="N392" s="10" t="n">
        <x:f>IF(AND(Z392="共同",COUNT(H392:I392)=2),H392-I392,"")</x:f>
        <x:v>0</x:v>
      </x:c>
      <x:c r="O392" s="10" t="n">
        <x:v>0</x:v>
      </x:c>
      <x:c r="P392" s="10" t="n">
        <x:v>6</x:v>
      </x:c>
      <x:c r="Q392" s="10" t="n">
        <x:v>8</x:v>
      </x:c>
      <x:c r="R392" s="10" t="n">
        <x:v>28</x:v>
      </x:c>
      <x:c r="S392" s="10" t="n">
        <x:v>20</x:v>
      </x:c>
      <x:c r="T392" s="10" t="n">
        <x:v>9</x:v>
      </x:c>
      <x:c r="U392" s="10" t="n">
        <x:f>IF(AND(ISNUMBER(X392),X392&gt;=0,Y392&lt;&gt;1),X392,"")</x:f>
        <x:v>0</x:v>
      </x:c>
      <x:c r="V392" s="10" t="n">
        <x:v>4</x:v>
      </x:c>
      <x:c r="W392" s="10" t="n">
        <x:v>35</x:v>
      </x:c>
      <x:c r="X392" s="10" t="n">
        <x:v>0</x:v>
      </x:c>
      <x:c r="Y392" s="3" t="n">
        <x:v>0</x:v>
      </x:c>
      <x:c r="Z392" s="3" t="str">
        <x:v>共同</x:v>
      </x:c>
      <x:c r="AA392" s="3" t="str">
        <x:v>在售</x:v>
      </x:c>
      <x:c r="AB392" s="12" t="n">
        <x:f>IF(AND(Z392="共同",ISNUMBER(G392),ISNUMBER(AD392)),G392-AD392,"")</x:f>
        <x:v>-0.441904761904762</x:v>
      </x:c>
      <x:c r="AC392" s="3" t="str"/>
      <x:c r="AD392" s="12" t="n">
        <x:v>1.2285714285714286</x:v>
      </x:c>
      <x:c r="AE392" s="3" t="str">
        <x:v>[6574,"2302153-LP-S-Z-7.5"]</x:v>
      </x:c>
      <x:c r="AF392" t="n">
        <x:f>IF(ISNUMBER(H392),1,0)</x:f>
        <x:v>1</x:v>
      </x:c>
      <x:c r="AG392" t="n">
        <x:f>IF(ISNUMBER(I392),1,0)</x:f>
        <x:v>1</x:v>
      </x:c>
      <x:c r="AH392" t="str">
        <x:v>["2302153","2302153-LP-S-Z","LP","豹纹"]</x:v>
      </x:c>
      <x:c r="AI392" t="n">
        <x:f>IF(ISNUMBER(G392),1,0)</x:f>
        <x:v>1</x:v>
      </x:c>
      <x:c r="AJ392" t="n">
        <x:f>IF(ISNUMBER(AD392),1,0)</x:f>
        <x:v>1</x:v>
      </x:c>
    </x:row>
    <x:row r="393" ht="30" customHeight="1">
      <x:c r="A393" s="3" t="str">
        <x:v>2302153-LP-S-Z-8</x:v>
      </x:c>
      <x:c r="B393" s="3" t="str">
        <x:v>3店-SANDIEX-US</x:v>
      </x:c>
      <x:c r="C393" s="3" t="str">
        <x:v>徐新怡</x:v>
      </x:c>
      <x:c r="D393" s="3" t="str">
        <x:v>2302153</x:v>
      </x:c>
      <x:c r="E393" s="3" t="str">
        <x:f>IF(Z393="移出","已移出",IF(NOT(ISNUMBER(H393)),"数据待核",IF(H393=0,"断货",IF(NOT(ISNUMBER(G393)),"数据待核",IF(G393=0,"零日销待复核",IF(F393&lt;60,"补货提醒",IF(F393&lt;=90,"正常库存",IF(F393&lt;180,"促销",IF(F393&lt;=365,"红线促销","考虑清仓")))))))))</x:f>
        <x:v>断货</x:v>
      </x:c>
      <x:c r="F393" s="11" t="n">
        <x:f>IF(AND(ISNUMBER(H393),ISNUMBER(G393),G393&gt;0),H393/G393,"")</x:f>
        <x:v>0</x:v>
      </x:c>
      <x:c r="G393" s="12" t="n">
        <x:f>IF(AND(COUNT(P393:R393)=3,MIN(P393:R393)&gt;=0,P393&lt;=Q393,Q393&lt;=R393),P393/7*0.5+Q393/14*0.3+R393/30*0.2,"")</x:f>
        <x:v>0.47333333333333333</x:v>
      </x:c>
      <x:c r="H393" s="10" t="n">
        <x:f>IF(ISNUMBER(U393),U393,"")</x:f>
        <x:v>0</x:v>
      </x:c>
      <x:c r="I393" s="10" t="n">
        <x:v>0</x:v>
      </x:c>
      <x:c r="J393" s="11" t="n">
        <x:f>IF(AND(Z393="共同",ISNUMBER(F393),ISNUMBER(M393)),F393-M393,"")</x:f>
        <x:v>0</x:v>
      </x:c>
      <x:c r="K393" s="13" t="str">
        <x:f>IF(AND(ISNUMBER(J393),M393&lt;&gt;0),J393/M393,"")</x:f>
      </x:c>
      <x:c r="L393" s="10" t="str">
        <x:v>断货</x:v>
      </x:c>
      <x:c r="M393" s="11" t="n">
        <x:v>0</x:v>
      </x:c>
      <x:c r="N393" s="10" t="n">
        <x:f>IF(AND(Z393="共同",COUNT(H393:I393)=2),H393-I393,"")</x:f>
        <x:v>0</x:v>
      </x:c>
      <x:c r="O393" s="10" t="n">
        <x:v>10</x:v>
      </x:c>
      <x:c r="P393" s="10" t="n">
        <x:v>3</x:v>
      </x:c>
      <x:c r="Q393" s="10" t="n">
        <x:v>4</x:v>
      </x:c>
      <x:c r="R393" s="10" t="n">
        <x:v>26</x:v>
      </x:c>
      <x:c r="S393" s="10" t="n">
        <x:v>8</x:v>
      </x:c>
      <x:c r="T393" s="10" t="n">
        <x:v>7</x:v>
      </x:c>
      <x:c r="U393" s="10" t="n">
        <x:f>IF(AND(ISNUMBER(X393),X393&gt;=0,Y393&lt;&gt;1),X393,"")</x:f>
        <x:v>0</x:v>
      </x:c>
      <x:c r="V393" s="10" t="n">
        <x:v>5</x:v>
      </x:c>
      <x:c r="W393" s="10" t="n">
        <x:v>70</x:v>
      </x:c>
      <x:c r="X393" s="10" t="n">
        <x:v>0</x:v>
      </x:c>
      <x:c r="Y393" s="3" t="n">
        <x:v>0</x:v>
      </x:c>
      <x:c r="Z393" s="3" t="str">
        <x:v>共同</x:v>
      </x:c>
      <x:c r="AA393" s="3" t="str">
        <x:v>在售</x:v>
      </x:c>
      <x:c r="AB393" s="12" t="n">
        <x:f>IF(AND(Z393="共同",ISNUMBER(G393),ISNUMBER(AD393)),G393-AD393,"")</x:f>
        <x:v>-1.2152380952380952</x:v>
      </x:c>
      <x:c r="AC393" s="3" t="str"/>
      <x:c r="AD393" s="12" t="n">
        <x:v>1.6885714285714286</x:v>
      </x:c>
      <x:c r="AE393" s="3" t="str">
        <x:v>[6574,"2302153-LP-S-Z-8"]</x:v>
      </x:c>
      <x:c r="AF393" t="n">
        <x:f>IF(ISNUMBER(H393),1,0)</x:f>
        <x:v>1</x:v>
      </x:c>
      <x:c r="AG393" t="n">
        <x:f>IF(ISNUMBER(I393),1,0)</x:f>
        <x:v>1</x:v>
      </x:c>
      <x:c r="AH393" t="str">
        <x:v>["2302153","2302153-LP-S-Z","LP","豹纹"]</x:v>
      </x:c>
      <x:c r="AI393" t="n">
        <x:f>IF(ISNUMBER(G393),1,0)</x:f>
        <x:v>1</x:v>
      </x:c>
      <x:c r="AJ393" t="n">
        <x:f>IF(ISNUMBER(AD393),1,0)</x:f>
        <x:v>1</x:v>
      </x:c>
    </x:row>
    <x:row r="394" ht="30" customHeight="1">
      <x:c r="A394" s="3" t="str">
        <x:v>2302153-LP-S-Z-8.5</x:v>
      </x:c>
      <x:c r="B394" s="3" t="str">
        <x:v>3店-SANDIEX-US</x:v>
      </x:c>
      <x:c r="C394" s="3" t="str">
        <x:v>徐新怡</x:v>
      </x:c>
      <x:c r="D394" s="3" t="str">
        <x:v>2302153</x:v>
      </x:c>
      <x:c r="E394" s="3" t="str">
        <x:f>IF(Z394="移出","已移出",IF(NOT(ISNUMBER(H394)),"数据待核",IF(H394=0,"断货",IF(NOT(ISNUMBER(G394)),"数据待核",IF(G394=0,"零日销待复核",IF(F394&lt;60,"补货提醒",IF(F394&lt;=90,"正常库存",IF(F394&lt;180,"促销",IF(F394&lt;=365,"红线促销","考虑清仓")))))))))</x:f>
        <x:v>断货</x:v>
      </x:c>
      <x:c r="F394" s="11" t="n">
        <x:f>IF(AND(ISNUMBER(H394),ISNUMBER(G394),G394&gt;0),H394/G394,"")</x:f>
        <x:v>0</x:v>
      </x:c>
      <x:c r="G394" s="12" t="n">
        <x:f>IF(AND(COUNT(P394:R394)=3,MIN(P394:R394)&gt;=0,P394&lt;=Q394,Q394&lt;=R394),P394/7*0.5+Q394/14*0.3+R394/30*0.2,"")</x:f>
        <x:v>0.8509523809523809</x:v>
      </x:c>
      <x:c r="H394" s="10" t="n">
        <x:f>IF(ISNUMBER(U394),U394,"")</x:f>
        <x:v>0</x:v>
      </x:c>
      <x:c r="I394" s="10" t="n">
        <x:v>3</x:v>
      </x:c>
      <x:c r="J394" s="11" t="n">
        <x:f>IF(AND(Z394="共同",ISNUMBER(F394),ISNUMBER(M394)),F394-M394,"")</x:f>
        <x:v>-2.5620170801138675</x:v>
      </x:c>
      <x:c r="K394" s="13" t="n">
        <x:f>IF(AND(ISNUMBER(J394),M394&lt;&gt;0),J394/M394,"")</x:f>
        <x:v>-1</x:v>
      </x:c>
      <x:c r="L394" s="10" t="str">
        <x:v>补货提醒</x:v>
      </x:c>
      <x:c r="M394" s="11" t="n">
        <x:v>2.5620170801138675</x:v>
      </x:c>
      <x:c r="N394" s="10" t="n">
        <x:f>IF(AND(Z394="共同",COUNT(H394:I394)=2),H394-I394,"")</x:f>
        <x:v>-3</x:v>
      </x:c>
      <x:c r="O394" s="10" t="n">
        <x:v>0</x:v>
      </x:c>
      <x:c r="P394" s="10" t="n">
        <x:v>6</x:v>
      </x:c>
      <x:c r="Q394" s="10" t="n">
        <x:v>11</x:v>
      </x:c>
      <x:c r="R394" s="10" t="n">
        <x:v>28</x:v>
      </x:c>
      <x:c r="S394" s="10" t="n">
        <x:v>12</x:v>
      </x:c>
      <x:c r="T394" s="10" t="n">
        <x:v>5</x:v>
      </x:c>
      <x:c r="U394" s="10" t="n">
        <x:f>IF(AND(ISNUMBER(X394),X394&gt;=0,Y394&lt;&gt;1),X394,"")</x:f>
        <x:v>0</x:v>
      </x:c>
      <x:c r="V394" s="10" t="n">
        <x:v>1</x:v>
      </x:c>
      <x:c r="W394" s="10" t="n">
        <x:v>41</x:v>
      </x:c>
      <x:c r="X394" s="10" t="n">
        <x:v>0</x:v>
      </x:c>
      <x:c r="Y394" s="3" t="n">
        <x:v>0</x:v>
      </x:c>
      <x:c r="Z394" s="3" t="str">
        <x:v>共同</x:v>
      </x:c>
      <x:c r="AA394" s="3" t="str">
        <x:v>在售</x:v>
      </x:c>
      <x:c r="AB394" s="12" t="n">
        <x:f>IF(AND(Z394="共同",ISNUMBER(G394),ISNUMBER(AD394)),G394-AD394,"")</x:f>
        <x:v>-0.32000000000000006</x:v>
      </x:c>
      <x:c r="AC394" s="3" t="str"/>
      <x:c r="AD394" s="12" t="n">
        <x:v>1.170952380952381</x:v>
      </x:c>
      <x:c r="AE394" s="3" t="str">
        <x:v>[6574,"2302153-LP-S-Z-8.5"]</x:v>
      </x:c>
      <x:c r="AF394" t="n">
        <x:f>IF(ISNUMBER(H394),1,0)</x:f>
        <x:v>1</x:v>
      </x:c>
      <x:c r="AG394" t="n">
        <x:f>IF(ISNUMBER(I394),1,0)</x:f>
        <x:v>1</x:v>
      </x:c>
      <x:c r="AH394" t="str">
        <x:v>["2302153","2302153-LP-S-Z","LP","豹纹"]</x:v>
      </x:c>
      <x:c r="AI394" t="n">
        <x:f>IF(ISNUMBER(G394),1,0)</x:f>
        <x:v>1</x:v>
      </x:c>
      <x:c r="AJ394" t="n">
        <x:f>IF(ISNUMBER(AD394),1,0)</x:f>
        <x:v>1</x:v>
      </x:c>
    </x:row>
    <x:row r="395" ht="30" customHeight="1">
      <x:c r="A395" s="3" t="str">
        <x:v>2302153-LP-S-Z-9</x:v>
      </x:c>
      <x:c r="B395" s="3" t="str">
        <x:v>3店-SANDIEX-US</x:v>
      </x:c>
      <x:c r="C395" s="3" t="str">
        <x:v>徐新怡</x:v>
      </x:c>
      <x:c r="D395" s="3" t="str">
        <x:v>2302153</x:v>
      </x:c>
      <x:c r="E395" s="3" t="str">
        <x:f>IF(Z395="移出","已移出",IF(NOT(ISNUMBER(H395)),"数据待核",IF(H395=0,"断货",IF(NOT(ISNUMBER(G395)),"数据待核",IF(G395=0,"零日销待复核",IF(F395&lt;60,"补货提醒",IF(F395&lt;=90,"正常库存",IF(F395&lt;180,"促销",IF(F395&lt;=365,"红线促销","考虑清仓")))))))))</x:f>
        <x:v>断货</x:v>
      </x:c>
      <x:c r="F395" s="11" t="n">
        <x:f>IF(AND(ISNUMBER(H395),ISNUMBER(G395),G395&gt;0),H395/G395,"")</x:f>
        <x:v>0</x:v>
      </x:c>
      <x:c r="G395" s="12" t="n">
        <x:f>IF(AND(COUNT(P395:R395)=3,MIN(P395:R395)&gt;=0,P395&lt;=Q395,Q395&lt;=R395),P395/7*0.5+Q395/14*0.3+R395/30*0.2,"")</x:f>
        <x:v>0.8057142857142856</x:v>
      </x:c>
      <x:c r="H395" s="10" t="n">
        <x:f>IF(ISNUMBER(U395),U395,"")</x:f>
        <x:v>0</x:v>
      </x:c>
      <x:c r="I395" s="10" t="n">
        <x:v>0</x:v>
      </x:c>
      <x:c r="J395" s="11" t="n">
        <x:f>IF(AND(Z395="共同",ISNUMBER(F395),ISNUMBER(M395)),F395-M395,"")</x:f>
        <x:v>0</x:v>
      </x:c>
      <x:c r="K395" s="13" t="str">
        <x:f>IF(AND(ISNUMBER(J395),M395&lt;&gt;0),J395/M395,"")</x:f>
      </x:c>
      <x:c r="L395" s="10" t="str">
        <x:v>断货</x:v>
      </x:c>
      <x:c r="M395" s="11" t="n">
        <x:v>0</x:v>
      </x:c>
      <x:c r="N395" s="10" t="n">
        <x:f>IF(AND(Z395="共同",COUNT(H395:I395)=2),H395-I395,"")</x:f>
        <x:v>0</x:v>
      </x:c>
      <x:c r="O395" s="10" t="n">
        <x:v>0</x:v>
      </x:c>
      <x:c r="P395" s="10" t="n">
        <x:v>4</x:v>
      </x:c>
      <x:c r="Q395" s="10" t="n">
        <x:v>14</x:v>
      </x:c>
      <x:c r="R395" s="10" t="n">
        <x:v>33</x:v>
      </x:c>
      <x:c r="S395" s="10" t="n">
        <x:v>15</x:v>
      </x:c>
      <x:c r="T395" s="10" t="n">
        <x:v>13</x:v>
      </x:c>
      <x:c r="U395" s="10" t="n">
        <x:f>IF(AND(ISNUMBER(X395),X395&gt;=0,Y395&lt;&gt;1),X395,"")</x:f>
        <x:v>0</x:v>
      </x:c>
      <x:c r="V395" s="10" t="n">
        <x:v>0</x:v>
      </x:c>
      <x:c r="W395" s="10" t="n">
        <x:v>20</x:v>
      </x:c>
      <x:c r="X395" s="10" t="n">
        <x:v>0</x:v>
      </x:c>
      <x:c r="Y395" s="3" t="n">
        <x:v>0</x:v>
      </x:c>
      <x:c r="Z395" s="3" t="str">
        <x:v>共同</x:v>
      </x:c>
      <x:c r="AA395" s="3" t="str">
        <x:v>在售</x:v>
      </x:c>
      <x:c r="AB395" s="12" t="n">
        <x:f>IF(AND(Z395="共同",ISNUMBER(G395),ISNUMBER(AD395)),G395-AD395,"")</x:f>
        <x:v>-0.5342857142857145</x:v>
      </x:c>
      <x:c r="AC395" s="3" t="str"/>
      <x:c r="AD395" s="12" t="n">
        <x:v>1.34</x:v>
      </x:c>
      <x:c r="AE395" s="3" t="str">
        <x:v>[6574,"2302153-LP-S-Z-9"]</x:v>
      </x:c>
      <x:c r="AF395" t="n">
        <x:f>IF(ISNUMBER(H395),1,0)</x:f>
        <x:v>1</x:v>
      </x:c>
      <x:c r="AG395" t="n">
        <x:f>IF(ISNUMBER(I395),1,0)</x:f>
        <x:v>1</x:v>
      </x:c>
      <x:c r="AH395" t="str">
        <x:v>["2302153","2302153-LP-S-Z","LP","豹纹"]</x:v>
      </x:c>
      <x:c r="AI395" t="n">
        <x:f>IF(ISNUMBER(G395),1,0)</x:f>
        <x:v>1</x:v>
      </x:c>
      <x:c r="AJ395" t="n">
        <x:f>IF(ISNUMBER(AD395),1,0)</x:f>
        <x:v>1</x:v>
      </x:c>
    </x:row>
    <x:row r="396" ht="30" customHeight="1">
      <x:c r="A396" s="3" t="str">
        <x:v>2302153-LP-S-Z-9.5</x:v>
      </x:c>
      <x:c r="B396" s="3" t="str">
        <x:v>3店-SANDIEX-US</x:v>
      </x:c>
      <x:c r="C396" s="3" t="str">
        <x:v>徐新怡</x:v>
      </x:c>
      <x:c r="D396" s="3" t="str">
        <x:v>2302153</x:v>
      </x:c>
      <x:c r="E396" s="3" t="str">
        <x:f>IF(Z396="移出","已移出",IF(NOT(ISNUMBER(H396)),"数据待核",IF(H396=0,"断货",IF(NOT(ISNUMBER(G396)),"数据待核",IF(G396=0,"零日销待复核",IF(F396&lt;60,"补货提醒",IF(F396&lt;=90,"正常库存",IF(F396&lt;180,"促销",IF(F396&lt;=365,"红线促销","考虑清仓")))))))))</x:f>
        <x:v>断货</x:v>
      </x:c>
      <x:c r="F396" s="11" t="n">
        <x:f>IF(AND(ISNUMBER(H396),ISNUMBER(G396),G396&gt;0),H396/G396,"")</x:f>
        <x:v>0</x:v>
      </x:c>
      <x:c r="G396" s="12" t="n">
        <x:f>IF(AND(COUNT(P396:R396)=3,MIN(P396:R396)&gt;=0,P396&lt;=Q396,Q396&lt;=R396),P396/7*0.5+Q396/14*0.3+R396/30*0.2,"")</x:f>
        <x:v>0.2804761904761905</x:v>
      </x:c>
      <x:c r="H396" s="10" t="n">
        <x:f>IF(ISNUMBER(U396),U396,"")</x:f>
        <x:v>0</x:v>
      </x:c>
      <x:c r="I396" s="10" t="n">
        <x:v>0</x:v>
      </x:c>
      <x:c r="J396" s="11" t="n">
        <x:f>IF(AND(Z396="共同",ISNUMBER(F396),ISNUMBER(M396)),F396-M396,"")</x:f>
        <x:v>0</x:v>
      </x:c>
      <x:c r="K396" s="13" t="str">
        <x:f>IF(AND(ISNUMBER(J396),M396&lt;&gt;0),J396/M396,"")</x:f>
      </x:c>
      <x:c r="L396" s="10" t="str">
        <x:v>断货</x:v>
      </x:c>
      <x:c r="M396" s="11" t="n">
        <x:v>0</x:v>
      </x:c>
      <x:c r="N396" s="10" t="n">
        <x:f>IF(AND(Z396="共同",COUNT(H396:I396)=2),H396-I396,"")</x:f>
        <x:v>0</x:v>
      </x:c>
      <x:c r="O396" s="10" t="n">
        <x:v>59</x:v>
      </x:c>
      <x:c r="P396" s="10" t="n">
        <x:v>0</x:v>
      </x:c>
      <x:c r="Q396" s="10" t="n">
        <x:v>5</x:v>
      </x:c>
      <x:c r="R396" s="10" t="n">
        <x:v>26</x:v>
      </x:c>
      <x:c r="S396" s="10" t="n">
        <x:v>6</x:v>
      </x:c>
      <x:c r="T396" s="10" t="n">
        <x:v>4</x:v>
      </x:c>
      <x:c r="U396" s="10" t="n">
        <x:f>IF(AND(ISNUMBER(X396),X396&gt;=0,Y396&lt;&gt;1),X396,"")</x:f>
        <x:v>0</x:v>
      </x:c>
      <x:c r="V396" s="10" t="n">
        <x:v>0</x:v>
      </x:c>
      <x:c r="W396" s="10" t="n">
        <x:v>59</x:v>
      </x:c>
      <x:c r="X396" s="10" t="n">
        <x:v>0</x:v>
      </x:c>
      <x:c r="Y396" s="3" t="n">
        <x:v>0</x:v>
      </x:c>
      <x:c r="Z396" s="3" t="str">
        <x:v>共同</x:v>
      </x:c>
      <x:c r="AA396" s="3" t="str">
        <x:v>在售</x:v>
      </x:c>
      <x:c r="AB396" s="12" t="n">
        <x:f>IF(AND(Z396="共同",ISNUMBER(G396),ISNUMBER(AD396)),G396-AD396,"")</x:f>
        <x:v>-1.5723809523809522</x:v>
      </x:c>
      <x:c r="AC396" s="3" t="str"/>
      <x:c r="AD396" s="12" t="n">
        <x:v>1.8528571428571428</x:v>
      </x:c>
      <x:c r="AE396" s="3" t="str">
        <x:v>[6574,"2302153-LP-S-Z-9.5"]</x:v>
      </x:c>
      <x:c r="AF396" t="n">
        <x:f>IF(ISNUMBER(H396),1,0)</x:f>
        <x:v>1</x:v>
      </x:c>
      <x:c r="AG396" t="n">
        <x:f>IF(ISNUMBER(I396),1,0)</x:f>
        <x:v>1</x:v>
      </x:c>
      <x:c r="AH396" t="str">
        <x:v>["2302153","2302153-LP-S-Z","LP","豹纹"]</x:v>
      </x:c>
      <x:c r="AI396" t="n">
        <x:f>IF(ISNUMBER(G396),1,0)</x:f>
        <x:v>1</x:v>
      </x:c>
      <x:c r="AJ396" t="n">
        <x:f>IF(ISNUMBER(AD396),1,0)</x:f>
        <x:v>1</x:v>
      </x:c>
    </x:row>
    <x:row r="397" ht="30" customHeight="1">
      <x:c r="A397" s="3" t="str">
        <x:v>2302153-ND-S-Z-10</x:v>
      </x:c>
      <x:c r="B397" s="3" t="str">
        <x:v>3店-SANDIEX-US</x:v>
      </x:c>
      <x:c r="C397" s="3" t="str">
        <x:v>徐新怡</x:v>
      </x:c>
      <x:c r="D397" s="3" t="str">
        <x:v>2302153</x:v>
      </x:c>
      <x:c r="E397" s="3" t="str">
        <x:f>IF(Z397="移出","已移出",IF(NOT(ISNUMBER(H397)),"数据待核",IF(H397=0,"断货",IF(NOT(ISNUMBER(G397)),"数据待核",IF(G397=0,"零日销待复核",IF(F397&lt;60,"补货提醒",IF(F397&lt;=90,"正常库存",IF(F397&lt;180,"促销",IF(F397&lt;=365,"红线促销","考虑清仓")))))))))</x:f>
        <x:v>断货</x:v>
      </x:c>
      <x:c r="F397" s="11" t="n">
        <x:f>IF(AND(ISNUMBER(H397),ISNUMBER(G397),G397&gt;0),H397/G397,"")</x:f>
        <x:v>0</x:v>
      </x:c>
      <x:c r="G397" s="12" t="n">
        <x:f>IF(AND(COUNT(P397:R397)=3,MIN(P397:R397)&gt;=0,P397&lt;=Q397,Q397&lt;=R397),P397/7*0.5+Q397/14*0.3+R397/30*0.2,"")</x:f>
        <x:v>1.1614285714285715</x:v>
      </x:c>
      <x:c r="H397" s="10" t="n">
        <x:f>IF(ISNUMBER(U397),U397,"")</x:f>
        <x:v>0</x:v>
      </x:c>
      <x:c r="I397" s="10" t="n">
        <x:v>0</x:v>
      </x:c>
      <x:c r="J397" s="11" t="n">
        <x:f>IF(AND(Z397="共同",ISNUMBER(F397),ISNUMBER(M397)),F397-M397,"")</x:f>
        <x:v>0</x:v>
      </x:c>
      <x:c r="K397" s="13" t="str">
        <x:f>IF(AND(ISNUMBER(J397),M397&lt;&gt;0),J397/M397,"")</x:f>
      </x:c>
      <x:c r="L397" s="10" t="str">
        <x:v>断货</x:v>
      </x:c>
      <x:c r="M397" s="11" t="n">
        <x:v>0</x:v>
      </x:c>
      <x:c r="N397" s="10" t="n">
        <x:f>IF(AND(Z397="共同",COUNT(H397:I397)=2),H397-I397,"")</x:f>
        <x:v>0</x:v>
      </x:c>
      <x:c r="O397" s="10" t="n">
        <x:v>0</x:v>
      </x:c>
      <x:c r="P397" s="10" t="n">
        <x:v>7</x:v>
      </x:c>
      <x:c r="Q397" s="10" t="n">
        <x:v>15</x:v>
      </x:c>
      <x:c r="R397" s="10" t="n">
        <x:v>51</x:v>
      </x:c>
      <x:c r="S397" s="10" t="n">
        <x:v>96</x:v>
      </x:c>
      <x:c r="T397" s="10" t="n">
        <x:v>23</x:v>
      </x:c>
      <x:c r="U397" s="10" t="n">
        <x:f>IF(AND(ISNUMBER(X397),X397&gt;=0,Y397&lt;&gt;1),X397,"")</x:f>
        <x:v>0</x:v>
      </x:c>
      <x:c r="V397" s="10" t="n">
        <x:v>0</x:v>
      </x:c>
      <x:c r="W397" s="10" t="n">
        <x:v>55</x:v>
      </x:c>
      <x:c r="X397" s="10" t="n">
        <x:v>0</x:v>
      </x:c>
      <x:c r="Y397" s="3" t="n">
        <x:v>0</x:v>
      </x:c>
      <x:c r="Z397" s="3" t="str">
        <x:v>共同</x:v>
      </x:c>
      <x:c r="AA397" s="3" t="str">
        <x:v>在售</x:v>
      </x:c>
      <x:c r="AB397" s="12" t="n">
        <x:f>IF(AND(Z397="共同",ISNUMBER(G397),ISNUMBER(AD397)),G397-AD397,"")</x:f>
        <x:v>-0.9647619047619047</x:v>
      </x:c>
      <x:c r="AC397" s="3" t="str"/>
      <x:c r="AD397" s="12" t="n">
        <x:v>2.126190476190476</x:v>
      </x:c>
      <x:c r="AE397" s="3" t="str">
        <x:v>[6574,"2302153-ND-S-Z-10"]</x:v>
      </x:c>
      <x:c r="AF397" t="n">
        <x:f>IF(ISNUMBER(H397),1,0)</x:f>
        <x:v>1</x:v>
      </x:c>
      <x:c r="AG397" t="n">
        <x:f>IF(ISNUMBER(I397),1,0)</x:f>
        <x:v>1</x:v>
      </x:c>
      <x:c r="AH397" t="str">
        <x:v>["2302153","2302153-ND-S-Z","ND","裸色"]</x:v>
      </x:c>
      <x:c r="AI397" t="n">
        <x:f>IF(ISNUMBER(G397),1,0)</x:f>
        <x:v>1</x:v>
      </x:c>
      <x:c r="AJ397" t="n">
        <x:f>IF(ISNUMBER(AD397),1,0)</x:f>
        <x:v>1</x:v>
      </x:c>
    </x:row>
    <x:row r="398" ht="30" customHeight="1">
      <x:c r="A398" s="3" t="str">
        <x:v>2302153-ND-S-Z-6</x:v>
      </x:c>
      <x:c r="B398" s="3" t="str">
        <x:v>3店-SANDIEX-US</x:v>
      </x:c>
      <x:c r="C398" s="3" t="str">
        <x:v>徐新怡</x:v>
      </x:c>
      <x:c r="D398" s="3" t="str">
        <x:v>2302153</x:v>
      </x:c>
      <x:c r="E398" s="3" t="str">
        <x:f>IF(Z398="移出","已移出",IF(NOT(ISNUMBER(H398)),"数据待核",IF(H398=0,"断货",IF(NOT(ISNUMBER(G398)),"数据待核",IF(G398=0,"零日销待复核",IF(F398&lt;60,"补货提醒",IF(F398&lt;=90,"正常库存",IF(F398&lt;180,"促销",IF(F398&lt;=365,"红线促销","考虑清仓")))))))))</x:f>
        <x:v>断货</x:v>
      </x:c>
      <x:c r="F398" s="11" t="n">
        <x:f>IF(AND(ISNUMBER(H398),ISNUMBER(G398),G398&gt;0),H398/G398,"")</x:f>
        <x:v>0</x:v>
      </x:c>
      <x:c r="G398" s="12" t="n">
        <x:f>IF(AND(COUNT(P398:R398)=3,MIN(P398:R398)&gt;=0,P398&lt;=Q398,Q398&lt;=R398),P398/7*0.5+Q398/14*0.3+R398/30*0.2,"")</x:f>
        <x:v>1.1257142857142857</x:v>
      </x:c>
      <x:c r="H398" s="10" t="n">
        <x:f>IF(ISNUMBER(U398),U398,"")</x:f>
        <x:v>0</x:v>
      </x:c>
      <x:c r="I398" s="10" t="n">
        <x:v>1</x:v>
      </x:c>
      <x:c r="J398" s="11" t="n">
        <x:f>IF(AND(Z398="共同",ISNUMBER(F398),ISNUMBER(M398)),F398-M398,"")</x:f>
        <x:v>-0.8932369204593791</x:v>
      </x:c>
      <x:c r="K398" s="13" t="n">
        <x:f>IF(AND(ISNUMBER(J398),M398&lt;&gt;0),J398/M398,"")</x:f>
        <x:v>-1</x:v>
      </x:c>
      <x:c r="L398" s="10" t="str">
        <x:v>补货提醒</x:v>
      </x:c>
      <x:c r="M398" s="11" t="n">
        <x:v>0.8932369204593791</x:v>
      </x:c>
      <x:c r="N398" s="10" t="n">
        <x:f>IF(AND(Z398="共同",COUNT(H398:I398)=2),H398-I398,"")</x:f>
        <x:v>-1</x:v>
      </x:c>
      <x:c r="O398" s="10" t="n">
        <x:v>104</x:v>
      </x:c>
      <x:c r="P398" s="10" t="n">
        <x:v>7</x:v>
      </x:c>
      <x:c r="Q398" s="10" t="n">
        <x:v>18</x:v>
      </x:c>
      <x:c r="R398" s="10" t="n">
        <x:v>36</x:v>
      </x:c>
      <x:c r="S398" s="10" t="n">
        <x:v>107</x:v>
      </x:c>
      <x:c r="T398" s="10" t="n">
        <x:v>0</x:v>
      </x:c>
      <x:c r="U398" s="10" t="n">
        <x:f>IF(AND(ISNUMBER(X398),X398&gt;=0,Y398&lt;&gt;1),X398,"")</x:f>
        <x:v>0</x:v>
      </x:c>
      <x:c r="V398" s="10" t="n">
        <x:v>5</x:v>
      </x:c>
      <x:c r="W398" s="10" t="n">
        <x:v>103</x:v>
      </x:c>
      <x:c r="X398" s="10" t="n">
        <x:v>0</x:v>
      </x:c>
      <x:c r="Y398" s="3" t="n">
        <x:v>0</x:v>
      </x:c>
      <x:c r="Z398" s="3" t="str">
        <x:v>共同</x:v>
      </x:c>
      <x:c r="AA398" s="3" t="str">
        <x:v>在售</x:v>
      </x:c>
      <x:c r="AB398" s="12" t="n">
        <x:f>IF(AND(Z398="共同",ISNUMBER(G398),ISNUMBER(AD398)),G398-AD398,"")</x:f>
        <x:v>0.006190476190476302</x:v>
      </x:c>
      <x:c r="AC398" s="3" t="str"/>
      <x:c r="AD398" s="12" t="n">
        <x:v>1.1195238095238094</x:v>
      </x:c>
      <x:c r="AE398" s="3" t="str">
        <x:v>[6574,"2302153-ND-S-Z-6"]</x:v>
      </x:c>
      <x:c r="AF398" t="n">
        <x:f>IF(ISNUMBER(H398),1,0)</x:f>
        <x:v>1</x:v>
      </x:c>
      <x:c r="AG398" t="n">
        <x:f>IF(ISNUMBER(I398),1,0)</x:f>
        <x:v>1</x:v>
      </x:c>
      <x:c r="AH398" t="str">
        <x:v>["2302153","2302153-ND-S-Z","ND","裸色"]</x:v>
      </x:c>
      <x:c r="AI398" t="n">
        <x:f>IF(ISNUMBER(G398),1,0)</x:f>
        <x:v>1</x:v>
      </x:c>
      <x:c r="AJ398" t="n">
        <x:f>IF(ISNUMBER(AD398),1,0)</x:f>
        <x:v>1</x:v>
      </x:c>
    </x:row>
    <x:row r="399" ht="30" customHeight="1">
      <x:c r="A399" s="3" t="str">
        <x:v>2302153-ND-S-Z-6.5</x:v>
      </x:c>
      <x:c r="B399" s="3" t="str">
        <x:v>3店-SANDIEX-US</x:v>
      </x:c>
      <x:c r="C399" s="3" t="str">
        <x:v>徐新怡</x:v>
      </x:c>
      <x:c r="D399" s="3" t="str">
        <x:v>2302153</x:v>
      </x:c>
      <x:c r="E399" s="3" t="str">
        <x:f>IF(Z399="移出","已移出",IF(NOT(ISNUMBER(H399)),"数据待核",IF(H399=0,"断货",IF(NOT(ISNUMBER(G399)),"数据待核",IF(G399=0,"零日销待复核",IF(F399&lt;60,"补货提醒",IF(F399&lt;=90,"正常库存",IF(F399&lt;180,"促销",IF(F399&lt;=365,"红线促销","考虑清仓")))))))))</x:f>
        <x:v>断货</x:v>
      </x:c>
      <x:c r="F399" s="11" t="n">
        <x:f>IF(AND(ISNUMBER(H399),ISNUMBER(G399),G399&gt;0),H399/G399,"")</x:f>
        <x:v>0</x:v>
      </x:c>
      <x:c r="G399" s="12" t="n">
        <x:f>IF(AND(COUNT(P399:R399)=3,MIN(P399:R399)&gt;=0,P399&lt;=Q399,Q399&lt;=R399),P399/7*0.5+Q399/14*0.3+R399/30*0.2,"")</x:f>
        <x:v>0.9833333333333333</x:v>
      </x:c>
      <x:c r="H399" s="10" t="n">
        <x:f>IF(ISNUMBER(U399),U399,"")</x:f>
        <x:v>0</x:v>
      </x:c>
      <x:c r="I399" s="10" t="n">
        <x:v>0</x:v>
      </x:c>
      <x:c r="J399" s="11" t="n">
        <x:f>IF(AND(Z399="共同",ISNUMBER(F399),ISNUMBER(M399)),F399-M399,"")</x:f>
        <x:v>0</x:v>
      </x:c>
      <x:c r="K399" s="13" t="str">
        <x:f>IF(AND(ISNUMBER(J399),M399&lt;&gt;0),J399/M399,"")</x:f>
      </x:c>
      <x:c r="L399" s="10" t="str">
        <x:v>断货</x:v>
      </x:c>
      <x:c r="M399" s="11" t="n">
        <x:v>0</x:v>
      </x:c>
      <x:c r="N399" s="10" t="n">
        <x:f>IF(AND(Z399="共同",COUNT(H399:I399)=2),H399-I399,"")</x:f>
        <x:v>0</x:v>
      </x:c>
      <x:c r="O399" s="10" t="n">
        <x:v>84</x:v>
      </x:c>
      <x:c r="P399" s="10" t="n">
        <x:v>8</x:v>
      </x:c>
      <x:c r="Q399" s="10" t="n">
        <x:v>13</x:v>
      </x:c>
      <x:c r="R399" s="10" t="n">
        <x:v>20</x:v>
      </x:c>
      <x:c r="S399" s="10" t="n">
        <x:v>94</x:v>
      </x:c>
      <x:c r="T399" s="10" t="n">
        <x:v>10</x:v>
      </x:c>
      <x:c r="U399" s="10" t="n">
        <x:f>IF(AND(ISNUMBER(X399),X399&gt;=0,Y399&lt;&gt;1),X399,"")</x:f>
        <x:v>0</x:v>
      </x:c>
      <x:c r="V399" s="10" t="n">
        <x:v>5</x:v>
      </x:c>
      <x:c r="W399" s="10" t="n">
        <x:v>200</x:v>
      </x:c>
      <x:c r="X399" s="10" t="n">
        <x:v>0</x:v>
      </x:c>
      <x:c r="Y399" s="3" t="n">
        <x:v>0</x:v>
      </x:c>
      <x:c r="Z399" s="3" t="str">
        <x:v>共同</x:v>
      </x:c>
      <x:c r="AA399" s="3" t="str">
        <x:v>在售</x:v>
      </x:c>
      <x:c r="AB399" s="12" t="n">
        <x:f>IF(AND(Z399="共同",ISNUMBER(G399),ISNUMBER(AD399)),G399-AD399,"")</x:f>
        <x:v>0.440952380952381</x:v>
      </x:c>
      <x:c r="AC399" s="3" t="str"/>
      <x:c r="AD399" s="12" t="n">
        <x:v>0.5423809523809523</x:v>
      </x:c>
      <x:c r="AE399" s="3" t="str">
        <x:v>[6574,"2302153-ND-S-Z-6.5"]</x:v>
      </x:c>
      <x:c r="AF399" t="n">
        <x:f>IF(ISNUMBER(H399),1,0)</x:f>
        <x:v>1</x:v>
      </x:c>
      <x:c r="AG399" t="n">
        <x:f>IF(ISNUMBER(I399),1,0)</x:f>
        <x:v>1</x:v>
      </x:c>
      <x:c r="AH399" t="str">
        <x:v>["2302153","2302153-ND-S-Z","ND","裸色"]</x:v>
      </x:c>
      <x:c r="AI399" t="n">
        <x:f>IF(ISNUMBER(G399),1,0)</x:f>
        <x:v>1</x:v>
      </x:c>
      <x:c r="AJ399" t="n">
        <x:f>IF(ISNUMBER(AD399),1,0)</x:f>
        <x:v>1</x:v>
      </x:c>
    </x:row>
    <x:row r="400" ht="30" customHeight="1">
      <x:c r="A400" s="3" t="str">
        <x:v>2302153-ND-S-Z-7</x:v>
      </x:c>
      <x:c r="B400" s="3" t="str">
        <x:v>3店-SANDIEX-US</x:v>
      </x:c>
      <x:c r="C400" s="3" t="str">
        <x:v>徐新怡</x:v>
      </x:c>
      <x:c r="D400" s="3" t="str">
        <x:v>2302153</x:v>
      </x:c>
      <x:c r="E400" s="3" t="str">
        <x:f>IF(Z400="移出","已移出",IF(NOT(ISNUMBER(H400)),"数据待核",IF(H400=0,"断货",IF(NOT(ISNUMBER(G400)),"数据待核",IF(G400=0,"零日销待复核",IF(F400&lt;60,"补货提醒",IF(F400&lt;=90,"正常库存",IF(F400&lt;180,"促销",IF(F400&lt;=365,"红线促销","考虑清仓")))))))))</x:f>
        <x:v>断货</x:v>
      </x:c>
      <x:c r="F400" s="11" t="n">
        <x:f>IF(AND(ISNUMBER(H400),ISNUMBER(G400),G400&gt;0),H400/G400,"")</x:f>
        <x:v>0</x:v>
      </x:c>
      <x:c r="G400" s="12" t="n">
        <x:f>IF(AND(COUNT(P400:R400)=3,MIN(P400:R400)&gt;=0,P400&lt;=Q400,Q400&lt;=R400),P400/7*0.5+Q400/14*0.3+R400/30*0.2,"")</x:f>
        <x:v>2.2352380952380955</x:v>
      </x:c>
      <x:c r="H400" s="10" t="n">
        <x:f>IF(ISNUMBER(U400),U400,"")</x:f>
        <x:v>0</x:v>
      </x:c>
      <x:c r="I400" s="10" t="n">
        <x:v>0</x:v>
      </x:c>
      <x:c r="J400" s="11" t="n">
        <x:f>IF(AND(Z400="共同",ISNUMBER(F400),ISNUMBER(M400)),F400-M400,"")</x:f>
        <x:v>0</x:v>
      </x:c>
      <x:c r="K400" s="13" t="str">
        <x:f>IF(AND(ISNUMBER(J400),M400&lt;&gt;0),J400/M400,"")</x:f>
      </x:c>
      <x:c r="L400" s="10" t="str">
        <x:v>断货</x:v>
      </x:c>
      <x:c r="M400" s="11" t="n">
        <x:v>0</x:v>
      </x:c>
      <x:c r="N400" s="10" t="n">
        <x:f>IF(AND(Z400="共同",COUNT(H400:I400)=2),H400-I400,"")</x:f>
        <x:v>0</x:v>
      </x:c>
      <x:c r="O400" s="10" t="n">
        <x:v>213</x:v>
      </x:c>
      <x:c r="P400" s="10" t="n">
        <x:v>18</x:v>
      </x:c>
      <x:c r="Q400" s="10" t="n">
        <x:v>30</x:v>
      </x:c>
      <x:c r="R400" s="10" t="n">
        <x:v>46</x:v>
      </x:c>
      <x:c r="S400" s="10" t="n">
        <x:v>207</x:v>
      </x:c>
      <x:c r="T400" s="10" t="n">
        <x:v>40</x:v>
      </x:c>
      <x:c r="U400" s="10" t="n">
        <x:f>IF(AND(ISNUMBER(X400),X400&gt;=0,Y400&lt;&gt;1),X400,"")</x:f>
        <x:v>0</x:v>
      </x:c>
      <x:c r="V400" s="10" t="n">
        <x:v>8</x:v>
      </x:c>
      <x:c r="W400" s="10" t="n">
        <x:v>210</x:v>
      </x:c>
      <x:c r="X400" s="10" t="n">
        <x:v>0</x:v>
      </x:c>
      <x:c r="Y400" s="3" t="n">
        <x:v>0</x:v>
      </x:c>
      <x:c r="Z400" s="3" t="str">
        <x:v>共同</x:v>
      </x:c>
      <x:c r="AA400" s="3" t="str">
        <x:v>在售</x:v>
      </x:c>
      <x:c r="AB400" s="12" t="n">
        <x:f>IF(AND(Z400="共同",ISNUMBER(G400),ISNUMBER(AD400)),G400-AD400,"")</x:f>
        <x:v>0.9480952380952383</x:v>
      </x:c>
      <x:c r="AC400" s="3" t="str"/>
      <x:c r="AD400" s="12" t="n">
        <x:v>1.2871428571428571</x:v>
      </x:c>
      <x:c r="AE400" s="3" t="str">
        <x:v>[6574,"2302153-ND-S-Z-7"]</x:v>
      </x:c>
      <x:c r="AF400" t="n">
        <x:f>IF(ISNUMBER(H400),1,0)</x:f>
        <x:v>1</x:v>
      </x:c>
      <x:c r="AG400" t="n">
        <x:f>IF(ISNUMBER(I400),1,0)</x:f>
        <x:v>1</x:v>
      </x:c>
      <x:c r="AH400" t="str">
        <x:v>["2302153","2302153-ND-S-Z","ND","裸色"]</x:v>
      </x:c>
      <x:c r="AI400" t="n">
        <x:f>IF(ISNUMBER(G400),1,0)</x:f>
        <x:v>1</x:v>
      </x:c>
      <x:c r="AJ400" t="n">
        <x:f>IF(ISNUMBER(AD400),1,0)</x:f>
        <x:v>1</x:v>
      </x:c>
    </x:row>
    <x:row r="401" ht="30" customHeight="1">
      <x:c r="A401" s="3" t="str">
        <x:v>2302153-NY-37.5</x:v>
      </x:c>
      <x:c r="B401" s="3" t="str">
        <x:v>3店-SANDIEX-US</x:v>
      </x:c>
      <x:c r="C401" s="3" t="str">
        <x:v>徐新怡</x:v>
      </x:c>
      <x:c r="D401" s="3" t="str">
        <x:v>2302153</x:v>
      </x:c>
      <x:c r="E401" s="3" t="str">
        <x:f>IF(Z401="移出","已移出",IF(NOT(ISNUMBER(H401)),"数据待核",IF(H401=0,"断货",IF(NOT(ISNUMBER(G401)),"数据待核",IF(G401=0,"零日销待复核",IF(F401&lt;60,"补货提醒",IF(F401&lt;=90,"正常库存",IF(F401&lt;180,"促销",IF(F401&lt;=365,"红线促销","考虑清仓")))))))))</x:f>
        <x:v>断货</x:v>
      </x:c>
      <x:c r="F401" s="11" t="n">
        <x:f>IF(AND(ISNUMBER(H401),ISNUMBER(G401),G401&gt;0),H401/G401,"")</x:f>
        <x:v>0</x:v>
      </x:c>
      <x:c r="G401" s="12" t="n">
        <x:f>IF(AND(COUNT(P401:R401)=3,MIN(P401:R401)&gt;=0,P401&lt;=Q401,Q401&lt;=R401),P401/7*0.5+Q401/14*0.3+R401/30*0.2,"")</x:f>
        <x:v>0.06142857142857143</x:v>
      </x:c>
      <x:c r="H401" s="10" t="n">
        <x:f>IF(ISNUMBER(U401),U401,"")</x:f>
        <x:v>0</x:v>
      </x:c>
      <x:c r="I401" s="10" t="n">
        <x:v>0</x:v>
      </x:c>
      <x:c r="J401" s="11" t="n">
        <x:f>IF(AND(Z401="共同",ISNUMBER(F401),ISNUMBER(M401)),F401-M401,"")</x:f>
        <x:v>0</x:v>
      </x:c>
      <x:c r="K401" s="13" t="str">
        <x:f>IF(AND(ISNUMBER(J401),M401&lt;&gt;0),J401/M401,"")</x:f>
      </x:c>
      <x:c r="L401" s="10" t="str">
        <x:v>断货</x:v>
      </x:c>
      <x:c r="M401" s="11" t="n">
        <x:v>0</x:v>
      </x:c>
      <x:c r="N401" s="10" t="n">
        <x:f>IF(AND(Z401="共同",COUNT(H401:I401)=2),H401-I401,"")</x:f>
        <x:v>0</x:v>
      </x:c>
      <x:c r="O401" s="10" t="n">
        <x:v>19</x:v>
      </x:c>
      <x:c r="P401" s="10" t="n">
        <x:v>0</x:v>
      </x:c>
      <x:c r="Q401" s="10" t="n">
        <x:v>1</x:v>
      </x:c>
      <x:c r="R401" s="10" t="n">
        <x:v>6</x:v>
      </x:c>
      <x:c r="S401" s="10" t="n">
        <x:v>10</x:v>
      </x:c>
      <x:c r="T401" s="10" t="n">
        <x:v>0</x:v>
      </x:c>
      <x:c r="U401" s="10" t="n">
        <x:f>IF(AND(ISNUMBER(X401),X401&gt;=0,Y401&lt;&gt;1),X401,"")</x:f>
        <x:v>0</x:v>
      </x:c>
      <x:c r="V401" s="10" t="n">
        <x:v>0</x:v>
      </x:c>
      <x:c r="W401" s="10" t="n">
        <x:v>19</x:v>
      </x:c>
      <x:c r="X401" s="10" t="n">
        <x:v>0</x:v>
      </x:c>
      <x:c r="Y401" s="3" t="n">
        <x:v>0</x:v>
      </x:c>
      <x:c r="Z401" s="3" t="str">
        <x:v>共同</x:v>
      </x:c>
      <x:c r="AA401" s="3" t="str">
        <x:v>在售</x:v>
      </x:c>
      <x:c r="AB401" s="12" t="n">
        <x:f>IF(AND(Z401="共同",ISNUMBER(G401),ISNUMBER(AD401)),G401-AD401,"")</x:f>
        <x:v>-0.20714285714285713</x:v>
      </x:c>
      <x:c r="AC401" s="3" t="str"/>
      <x:c r="AD401" s="12" t="n">
        <x:v>0.26857142857142857</x:v>
      </x:c>
      <x:c r="AE401" s="3" t="str">
        <x:v>[6574,"2302153-NY-37.5"]</x:v>
      </x:c>
      <x:c r="AF401" t="n">
        <x:f>IF(ISNUMBER(H401),1,0)</x:f>
        <x:v>1</x:v>
      </x:c>
      <x:c r="AG401" t="n">
        <x:f>IF(ISNUMBER(I401),1,0)</x:f>
        <x:v>1</x:v>
      </x:c>
      <x:c r="AH401" t="str">
        <x:v>["2302153","2302153-NY","NY","藏青色"]</x:v>
      </x:c>
      <x:c r="AI401" t="n">
        <x:f>IF(ISNUMBER(G401),1,0)</x:f>
        <x:v>1</x:v>
      </x:c>
      <x:c r="AJ401" t="n">
        <x:f>IF(ISNUMBER(AD401),1,0)</x:f>
        <x:v>1</x:v>
      </x:c>
    </x:row>
    <x:row r="402" ht="30" customHeight="1">
      <x:c r="A402" s="3" t="str">
        <x:v>2302153-NY-39.5</x:v>
      </x:c>
      <x:c r="B402" s="3" t="str">
        <x:v>3店-SANDIEX-US</x:v>
      </x:c>
      <x:c r="C402" s="3" t="str">
        <x:v>徐新怡</x:v>
      </x:c>
      <x:c r="D402" s="3" t="str">
        <x:v>2302153</x:v>
      </x:c>
      <x:c r="E402" s="3" t="str">
        <x:f>IF(Z402="移出","已移出",IF(NOT(ISNUMBER(H402)),"数据待核",IF(H402=0,"断货",IF(NOT(ISNUMBER(G402)),"数据待核",IF(G402=0,"零日销待复核",IF(F402&lt;60,"补货提醒",IF(F402&lt;=90,"正常库存",IF(F402&lt;180,"促销",IF(F402&lt;=365,"红线促销","考虑清仓")))))))))</x:f>
        <x:v>断货</x:v>
      </x:c>
      <x:c r="F402" s="11" t="n">
        <x:f>IF(AND(ISNUMBER(H402),ISNUMBER(G402),G402&gt;0),H402/G402,"")</x:f>
        <x:v>0</x:v>
      </x:c>
      <x:c r="G402" s="12" t="n">
        <x:f>IF(AND(COUNT(P402:R402)=3,MIN(P402:R402)&gt;=0,P402&lt;=Q402,Q402&lt;=R402),P402/7*0.5+Q402/14*0.3+R402/30*0.2,"")</x:f>
        <x:v>0.4514285714285714</x:v>
      </x:c>
      <x:c r="H402" s="10" t="n">
        <x:f>IF(ISNUMBER(U402),U402,"")</x:f>
        <x:v>0</x:v>
      </x:c>
      <x:c r="I402" s="10" t="n">
        <x:v>0</x:v>
      </x:c>
      <x:c r="J402" s="11" t="n">
        <x:f>IF(AND(Z402="共同",ISNUMBER(F402),ISNUMBER(M402)),F402-M402,"")</x:f>
        <x:v>0</x:v>
      </x:c>
      <x:c r="K402" s="13" t="str">
        <x:f>IF(AND(ISNUMBER(J402),M402&lt;&gt;0),J402/M402,"")</x:f>
      </x:c>
      <x:c r="L402" s="10" t="str">
        <x:v>断货</x:v>
      </x:c>
      <x:c r="M402" s="11" t="n">
        <x:v>0</x:v>
      </x:c>
      <x:c r="N402" s="10" t="n">
        <x:f>IF(AND(Z402="共同",COUNT(H402:I402)=2),H402-I402,"")</x:f>
        <x:v>0</x:v>
      </x:c>
      <x:c r="O402" s="10" t="n">
        <x:v>43</x:v>
      </x:c>
      <x:c r="P402" s="10" t="n">
        <x:v>4</x:v>
      </x:c>
      <x:c r="Q402" s="10" t="n">
        <x:v>4</x:v>
      </x:c>
      <x:c r="R402" s="10" t="n">
        <x:v>12</x:v>
      </x:c>
      <x:c r="S402" s="10" t="n">
        <x:v>29</x:v>
      </x:c>
      <x:c r="T402" s="10" t="n">
        <x:v>2</x:v>
      </x:c>
      <x:c r="U402" s="10" t="n">
        <x:f>IF(AND(ISNUMBER(X402),X402&gt;=0,Y402&lt;&gt;1),X402,"")</x:f>
        <x:v>0</x:v>
      </x:c>
      <x:c r="V402" s="10" t="n">
        <x:v>0</x:v>
      </x:c>
      <x:c r="W402" s="10" t="n">
        <x:v>53</x:v>
      </x:c>
      <x:c r="X402" s="10" t="n">
        <x:v>0</x:v>
      </x:c>
      <x:c r="Y402" s="3" t="n">
        <x:v>0</x:v>
      </x:c>
      <x:c r="Z402" s="3" t="str">
        <x:v>共同</x:v>
      </x:c>
      <x:c r="AA402" s="3" t="str">
        <x:v>在售</x:v>
      </x:c>
      <x:c r="AB402" s="12" t="n">
        <x:f>IF(AND(Z402="共同",ISNUMBER(G402),ISNUMBER(AD402)),G402-AD402,"")</x:f>
        <x:v>0.1561904761904762</x:v>
      </x:c>
      <x:c r="AC402" s="3" t="str"/>
      <x:c r="AD402" s="12" t="n">
        <x:v>0.2952380952380952</x:v>
      </x:c>
      <x:c r="AE402" s="3" t="str">
        <x:v>[6574,"2302153-NY-39.5"]</x:v>
      </x:c>
      <x:c r="AF402" t="n">
        <x:f>IF(ISNUMBER(H402),1,0)</x:f>
        <x:v>1</x:v>
      </x:c>
      <x:c r="AG402" t="n">
        <x:f>IF(ISNUMBER(I402),1,0)</x:f>
        <x:v>1</x:v>
      </x:c>
      <x:c r="AH402" t="str">
        <x:v>["2302153","2302153-NY","NY","藏青色"]</x:v>
      </x:c>
      <x:c r="AI402" t="n">
        <x:f>IF(ISNUMBER(G402),1,0)</x:f>
        <x:v>1</x:v>
      </x:c>
      <x:c r="AJ402" t="n">
        <x:f>IF(ISNUMBER(AD402),1,0)</x:f>
        <x:v>1</x:v>
      </x:c>
    </x:row>
    <x:row r="403" ht="30" customHeight="1">
      <x:c r="A403" s="3" t="str">
        <x:v>2302153-NY-41</x:v>
      </x:c>
      <x:c r="B403" s="3" t="str">
        <x:v>3店-SANDIEX-US</x:v>
      </x:c>
      <x:c r="C403" s="3" t="str">
        <x:v>徐新怡</x:v>
      </x:c>
      <x:c r="D403" s="3" t="str">
        <x:v>2302153</x:v>
      </x:c>
      <x:c r="E403" s="3" t="str">
        <x:f>IF(Z403="移出","已移出",IF(NOT(ISNUMBER(H403)),"数据待核",IF(H403=0,"断货",IF(NOT(ISNUMBER(G403)),"数据待核",IF(G403=0,"零日销待复核",IF(F403&lt;60,"补货提醒",IF(F403&lt;=90,"正常库存",IF(F403&lt;180,"促销",IF(F403&lt;=365,"红线促销","考虑清仓")))))))))</x:f>
        <x:v>断货</x:v>
      </x:c>
      <x:c r="F403" s="11" t="n">
        <x:f>IF(AND(ISNUMBER(H403),ISNUMBER(G403),G403&gt;0),H403/G403,"")</x:f>
        <x:v>0</x:v>
      </x:c>
      <x:c r="G403" s="12" t="n">
        <x:f>IF(AND(COUNT(P403:R403)=3,MIN(P403:R403)&gt;=0,P403&lt;=Q403,Q403&lt;=R403),P403/7*0.5+Q403/14*0.3+R403/30*0.2,"")</x:f>
        <x:v>0.5138095238095238</x:v>
      </x:c>
      <x:c r="H403" s="10" t="n">
        <x:f>IF(ISNUMBER(U403),U403,"")</x:f>
        <x:v>0</x:v>
      </x:c>
      <x:c r="I403" s="10" t="n">
        <x:v>6</x:v>
      </x:c>
      <x:c r="J403" s="11" t="n">
        <x:f>IF(AND(Z403="共同",ISNUMBER(F403),ISNUMBER(M403)),F403-M403,"")</x:f>
        <x:v>-10.606060606060606</x:v>
      </x:c>
      <x:c r="K403" s="13" t="n">
        <x:f>IF(AND(ISNUMBER(J403),M403&lt;&gt;0),J403/M403,"")</x:f>
        <x:v>-1</x:v>
      </x:c>
      <x:c r="L403" s="10" t="str">
        <x:v>补货提醒</x:v>
      </x:c>
      <x:c r="M403" s="11" t="n">
        <x:v>10.606060606060606</x:v>
      </x:c>
      <x:c r="N403" s="10" t="n">
        <x:f>IF(AND(Z403="共同",COUNT(H403:I403)=2),H403-I403,"")</x:f>
        <x:v>-6</x:v>
      </x:c>
      <x:c r="O403" s="10" t="n">
        <x:v>40</x:v>
      </x:c>
      <x:c r="P403" s="10" t="n">
        <x:v>3</x:v>
      </x:c>
      <x:c r="Q403" s="10" t="n">
        <x:v>9</x:v>
      </x:c>
      <x:c r="R403" s="10" t="n">
        <x:v>16</x:v>
      </x:c>
      <x:c r="S403" s="10" t="n">
        <x:v>1</x:v>
      </x:c>
      <x:c r="T403" s="10" t="n">
        <x:v>1</x:v>
      </x:c>
      <x:c r="U403" s="10" t="n">
        <x:f>IF(AND(ISNUMBER(X403),X403&gt;=0,Y403&lt;&gt;1),X403,"")</x:f>
        <x:v>0</x:v>
      </x:c>
      <x:c r="V403" s="10" t="n">
        <x:v>0</x:v>
      </x:c>
      <x:c r="W403" s="10" t="n">
        <x:v>40</x:v>
      </x:c>
      <x:c r="X403" s="10" t="n">
        <x:v>0</x:v>
      </x:c>
      <x:c r="Y403" s="3" t="n">
        <x:v>0</x:v>
      </x:c>
      <x:c r="Z403" s="3" t="str">
        <x:v>共同</x:v>
      </x:c>
      <x:c r="AA403" s="3" t="str">
        <x:v>在售</x:v>
      </x:c>
      <x:c r="AB403" s="12" t="n">
        <x:f>IF(AND(Z403="共同",ISNUMBER(G403),ISNUMBER(AD403)),G403-AD403,"")</x:f>
        <x:v>-0.0519047619047619</x:v>
      </x:c>
      <x:c r="AC403" s="3" t="str"/>
      <x:c r="AD403" s="12" t="n">
        <x:v>0.5657142857142857</x:v>
      </x:c>
      <x:c r="AE403" s="3" t="str">
        <x:v>[6574,"2302153-NY-41"]</x:v>
      </x:c>
      <x:c r="AF403" t="n">
        <x:f>IF(ISNUMBER(H403),1,0)</x:f>
        <x:v>1</x:v>
      </x:c>
      <x:c r="AG403" t="n">
        <x:f>IF(ISNUMBER(I403),1,0)</x:f>
        <x:v>1</x:v>
      </x:c>
      <x:c r="AH403" t="str">
        <x:v>["2302153","2302153-NY","NY","藏青色"]</x:v>
      </x:c>
      <x:c r="AI403" t="n">
        <x:f>IF(ISNUMBER(G403),1,0)</x:f>
        <x:v>1</x:v>
      </x:c>
      <x:c r="AJ403" t="n">
        <x:f>IF(ISNUMBER(AD403),1,0)</x:f>
        <x:v>1</x:v>
      </x:c>
    </x:row>
    <x:row r="404" ht="30" customHeight="1">
      <x:c r="A404" s="3" t="str">
        <x:v>2302153-NY-42</x:v>
      </x:c>
      <x:c r="B404" s="3" t="str">
        <x:v>3店-SANDIEX-US</x:v>
      </x:c>
      <x:c r="C404" s="3" t="str">
        <x:v>徐新怡</x:v>
      </x:c>
      <x:c r="D404" s="3" t="str">
        <x:v>2302153</x:v>
      </x:c>
      <x:c r="E404" s="3" t="str">
        <x:f>IF(Z404="移出","已移出",IF(NOT(ISNUMBER(H404)),"数据待核",IF(H404=0,"断货",IF(NOT(ISNUMBER(G404)),"数据待核",IF(G404=0,"零日销待复核",IF(F404&lt;60,"补货提醒",IF(F404&lt;=90,"正常库存",IF(F404&lt;180,"促销",IF(F404&lt;=365,"红线促销","考虑清仓")))))))))</x:f>
        <x:v>断货</x:v>
      </x:c>
      <x:c r="F404" s="11" t="n">
        <x:f>IF(AND(ISNUMBER(H404),ISNUMBER(G404),G404&gt;0),H404/G404,"")</x:f>
        <x:v>0</x:v>
      </x:c>
      <x:c r="G404" s="12" t="n">
        <x:f>IF(AND(COUNT(P404:R404)=3,MIN(P404:R404)&gt;=0,P404&lt;=Q404,Q404&lt;=R404),P404/7*0.5+Q404/14*0.3+R404/30*0.2,"")</x:f>
        <x:v>0.013333333333333334</x:v>
      </x:c>
      <x:c r="H404" s="10" t="n">
        <x:f>IF(ISNUMBER(U404),U404,"")</x:f>
        <x:v>0</x:v>
      </x:c>
      <x:c r="I404" s="10" t="n">
        <x:v>0</x:v>
      </x:c>
      <x:c r="J404" s="11" t="n">
        <x:f>IF(AND(Z404="共同",ISNUMBER(F404),ISNUMBER(M404)),F404-M404,"")</x:f>
        <x:v>0</x:v>
      </x:c>
      <x:c r="K404" s="13" t="str">
        <x:f>IF(AND(ISNUMBER(J404),M404&lt;&gt;0),J404/M404,"")</x:f>
      </x:c>
      <x:c r="L404" s="10" t="str">
        <x:v>断货</x:v>
      </x:c>
      <x:c r="M404" s="11" t="n">
        <x:v>0</x:v>
      </x:c>
      <x:c r="N404" s="10" t="n">
        <x:f>IF(AND(Z404="共同",COUNT(H404:I404)=2),H404-I404,"")</x:f>
        <x:v>0</x:v>
      </x:c>
      <x:c r="O404" s="10" t="n">
        <x:v>39</x:v>
      </x:c>
      <x:c r="P404" s="10" t="n">
        <x:v>0</x:v>
      </x:c>
      <x:c r="Q404" s="10" t="n">
        <x:v>0</x:v>
      </x:c>
      <x:c r="R404" s="10" t="n">
        <x:v>2</x:v>
      </x:c>
      <x:c r="S404" s="10" t="n">
        <x:v>0</x:v>
      </x:c>
      <x:c r="T404" s="10" t="n">
        <x:v>0</x:v>
      </x:c>
      <x:c r="U404" s="10" t="n">
        <x:f>IF(AND(ISNUMBER(X404),X404&gt;=0,Y404&lt;&gt;1),X404,"")</x:f>
        <x:v>0</x:v>
      </x:c>
      <x:c r="V404" s="10" t="n">
        <x:v>0</x:v>
      </x:c>
      <x:c r="W404" s="10" t="n">
        <x:v>39</x:v>
      </x:c>
      <x:c r="X404" s="10" t="n">
        <x:v>0</x:v>
      </x:c>
      <x:c r="Y404" s="3" t="n">
        <x:v>0</x:v>
      </x:c>
      <x:c r="Z404" s="3" t="str">
        <x:v>共同</x:v>
      </x:c>
      <x:c r="AA404" s="3" t="str">
        <x:v>在售</x:v>
      </x:c>
      <x:c r="AB404" s="12" t="n">
        <x:f>IF(AND(Z404="共同",ISNUMBER(G404),ISNUMBER(AD404)),G404-AD404,"")</x:f>
        <x:v>-0.02809523809523809</x:v>
      </x:c>
      <x:c r="AC404" s="3" t="str"/>
      <x:c r="AD404" s="12" t="n">
        <x:v>0.041428571428571426</x:v>
      </x:c>
      <x:c r="AE404" s="3" t="str">
        <x:v>[6574,"2302153-NY-42"]</x:v>
      </x:c>
      <x:c r="AF404" t="n">
        <x:f>IF(ISNUMBER(H404),1,0)</x:f>
        <x:v>1</x:v>
      </x:c>
      <x:c r="AG404" t="n">
        <x:f>IF(ISNUMBER(I404),1,0)</x:f>
        <x:v>1</x:v>
      </x:c>
      <x:c r="AH404" t="str">
        <x:v>["2302153","2302153-NY","NY","藏青色"]</x:v>
      </x:c>
      <x:c r="AI404" t="n">
        <x:f>IF(ISNUMBER(G404),1,0)</x:f>
        <x:v>1</x:v>
      </x:c>
      <x:c r="AJ404" t="n">
        <x:f>IF(ISNUMBER(AD404),1,0)</x:f>
        <x:v>1</x:v>
      </x:c>
    </x:row>
    <x:row r="405" ht="30" customHeight="1">
      <x:c r="A405" s="3" t="str">
        <x:v>2302153-RD-S-Z-6</x:v>
      </x:c>
      <x:c r="B405" s="3" t="str">
        <x:v>3店-SANDIEX-US</x:v>
      </x:c>
      <x:c r="C405" s="3" t="str">
        <x:v>徐新怡</x:v>
      </x:c>
      <x:c r="D405" s="3" t="str">
        <x:v>2302153</x:v>
      </x:c>
      <x:c r="E405" s="3" t="str">
        <x:f>IF(Z405="移出","已移出",IF(NOT(ISNUMBER(H405)),"数据待核",IF(H405=0,"断货",IF(NOT(ISNUMBER(G405)),"数据待核",IF(G405=0,"零日销待复核",IF(F405&lt;60,"补货提醒",IF(F405&lt;=90,"正常库存",IF(F405&lt;180,"促销",IF(F405&lt;=365,"红线促销","考虑清仓")))))))))</x:f>
        <x:v>断货</x:v>
      </x:c>
      <x:c r="F405" s="11" t="n">
        <x:f>IF(AND(ISNUMBER(H405),ISNUMBER(G405),G405&gt;0),H405/G405,"")</x:f>
        <x:v>0</x:v>
      </x:c>
      <x:c r="G405" s="12" t="n">
        <x:f>IF(AND(COUNT(P405:R405)=3,MIN(P405:R405)&gt;=0,P405&lt;=Q405,Q405&lt;=R405),P405/7*0.5+Q405/14*0.3+R405/30*0.2,"")</x:f>
        <x:v>0.006666666666666667</x:v>
      </x:c>
      <x:c r="H405" s="10" t="n">
        <x:f>IF(ISNUMBER(U405),U405,"")</x:f>
        <x:v>0</x:v>
      </x:c>
      <x:c r="I405" s="10" t="n">
        <x:v>0</x:v>
      </x:c>
      <x:c r="J405" s="11" t="n">
        <x:f>IF(AND(Z405="共同",ISNUMBER(F405),ISNUMBER(M405)),F405-M405,"")</x:f>
        <x:v>0</x:v>
      </x:c>
      <x:c r="K405" s="13" t="str">
        <x:f>IF(AND(ISNUMBER(J405),M405&lt;&gt;0),J405/M405,"")</x:f>
      </x:c>
      <x:c r="L405" s="10" t="str">
        <x:v>断货</x:v>
      </x:c>
      <x:c r="M405" s="11" t="n">
        <x:v>0</x:v>
      </x:c>
      <x:c r="N405" s="10" t="n">
        <x:f>IF(AND(Z405="共同",COUNT(H405:I405)=2),H405-I405,"")</x:f>
        <x:v>0</x:v>
      </x:c>
      <x:c r="O405" s="10" t="n">
        <x:v>20</x:v>
      </x:c>
      <x:c r="P405" s="10" t="n">
        <x:v>0</x:v>
      </x:c>
      <x:c r="Q405" s="10" t="n">
        <x:v>0</x:v>
      </x:c>
      <x:c r="R405" s="10" t="n">
        <x:v>1</x:v>
      </x:c>
      <x:c r="S405" s="10" t="n">
        <x:v>0</x:v>
      </x:c>
      <x:c r="T405" s="10" t="n">
        <x:v>0</x:v>
      </x:c>
      <x:c r="U405" s="10" t="n">
        <x:f>IF(AND(ISNUMBER(X405),X405&gt;=0,Y405&lt;&gt;1),X405,"")</x:f>
        <x:v>0</x:v>
      </x:c>
      <x:c r="V405" s="10" t="n">
        <x:v>0</x:v>
      </x:c>
      <x:c r="W405" s="10" t="n">
        <x:v>0</x:v>
      </x:c>
      <x:c r="X405" s="10" t="n">
        <x:v>0</x:v>
      </x:c>
      <x:c r="Y405" s="3" t="n">
        <x:v>0</x:v>
      </x:c>
      <x:c r="Z405" s="3" t="str">
        <x:v>共同</x:v>
      </x:c>
      <x:c r="AA405" s="3" t="str">
        <x:v>停售</x:v>
      </x:c>
      <x:c r="AB405" s="12" t="n">
        <x:f>IF(AND(Z405="共同",ISNUMBER(G405),ISNUMBER(AD405)),G405-AD405,"")</x:f>
        <x:v>-0.09285714285714285</x:v>
      </x:c>
      <x:c r="AC405" s="3" t="str"/>
      <x:c r="AD405" s="12" t="n">
        <x:v>0.09952380952380951</x:v>
      </x:c>
      <x:c r="AE405" s="3" t="str">
        <x:v>[6574,"2302153-RD-S-Z-6"]</x:v>
      </x:c>
      <x:c r="AF405" t="n">
        <x:f>IF(ISNUMBER(H405),1,0)</x:f>
        <x:v>1</x:v>
      </x:c>
      <x:c r="AG405" t="n">
        <x:f>IF(ISNUMBER(I405),1,0)</x:f>
        <x:v>1</x:v>
      </x:c>
      <x:c r="AH405" t="str">
        <x:v>["2302153","2302153-RD-S-Z","RD","红色"]</x:v>
      </x:c>
      <x:c r="AI405" t="n">
        <x:f>IF(ISNUMBER(G405),1,0)</x:f>
        <x:v>1</x:v>
      </x:c>
      <x:c r="AJ405" t="n">
        <x:f>IF(ISNUMBER(AD405),1,0)</x:f>
        <x:v>1</x:v>
      </x:c>
    </x:row>
    <x:row r="406" ht="30" customHeight="1">
      <x:c r="A406" s="3" t="str">
        <x:v>2302153-RD-S-Z-6.5</x:v>
      </x:c>
      <x:c r="B406" s="3" t="str">
        <x:v>3店-SANDIEX-US</x:v>
      </x:c>
      <x:c r="C406" s="3" t="str">
        <x:v>徐新怡</x:v>
      </x:c>
      <x:c r="D406" s="3" t="str">
        <x:v>2302153</x:v>
      </x:c>
      <x:c r="E406" s="3" t="str">
        <x:f>IF(Z406="移出","已移出",IF(NOT(ISNUMBER(H406)),"数据待核",IF(H406=0,"断货",IF(NOT(ISNUMBER(G406)),"数据待核",IF(G406=0,"零日销待复核",IF(F406&lt;60,"补货提醒",IF(F406&lt;=90,"正常库存",IF(F406&lt;180,"促销",IF(F406&lt;=365,"红线促销","考虑清仓")))))))))</x:f>
        <x:v>断货</x:v>
      </x:c>
      <x:c r="F406" s="11" t="str">
        <x:f>IF(AND(ISNUMBER(H406),ISNUMBER(G406),G406&gt;0),H406/G406,"")</x:f>
      </x:c>
      <x:c r="G406" s="12" t="n">
        <x:f>IF(AND(COUNT(P406:R406)=3,MIN(P406:R406)&gt;=0,P406&lt;=Q406,Q406&lt;=R406),P406/7*0.5+Q406/14*0.3+R406/30*0.2,"")</x:f>
        <x:v>0</x:v>
      </x:c>
      <x:c r="H406" s="10" t="n">
        <x:f>IF(ISNUMBER(U406),U406,"")</x:f>
        <x:v>0</x:v>
      </x:c>
      <x:c r="I406" s="10" t="n">
        <x:v>0</x:v>
      </x:c>
      <x:c r="J406" s="11" t="str">
        <x:f>IF(AND(Z406="共同",ISNUMBER(F406),ISNUMBER(M406)),F406-M406,"")</x:f>
      </x:c>
      <x:c r="K406" s="13" t="str">
        <x:f>IF(AND(ISNUMBER(J406),M406&lt;&gt;0),J406/M406,"")</x:f>
      </x:c>
      <x:c r="L406" s="10" t="str">
        <x:v>断货</x:v>
      </x:c>
      <x:c r="M406" s="11"/>
      <x:c r="N406" s="10" t="n">
        <x:f>IF(AND(Z406="共同",COUNT(H406:I406)=2),H406-I406,"")</x:f>
        <x:v>0</x:v>
      </x:c>
      <x:c r="O406" s="10"/>
      <x:c r="P406" s="10" t="n">
        <x:v>0</x:v>
      </x:c>
      <x:c r="Q406" s="10" t="n">
        <x:v>0</x:v>
      </x:c>
      <x:c r="R406" s="10" t="n">
        <x:v>0</x:v>
      </x:c>
      <x:c r="S406" s="10" t="n">
        <x:v>0</x:v>
      </x:c>
      <x:c r="T406" s="10" t="n">
        <x:v>0</x:v>
      </x:c>
      <x:c r="U406" s="10" t="n">
        <x:f>IF(AND(ISNUMBER(X406),X406&gt;=0,Y406&lt;&gt;1),X406,"")</x:f>
        <x:v>0</x:v>
      </x:c>
      <x:c r="V406" s="10" t="n">
        <x:v>0</x:v>
      </x:c>
      <x:c r="W406" s="10" t="n">
        <x:v>0</x:v>
      </x:c>
      <x:c r="X406" s="10" t="n">
        <x:v>0</x:v>
      </x:c>
      <x:c r="Y406" s="3" t="n">
        <x:v>0</x:v>
      </x:c>
      <x:c r="Z406" s="3" t="str">
        <x:v>共同</x:v>
      </x:c>
      <x:c r="AA406" s="3" t="str">
        <x:v>停售</x:v>
      </x:c>
      <x:c r="AB406" s="12" t="str">
        <x:f>IF(AND(Z406="共同",ISNUMBER(G406),ISNUMBER(AD406)),G406-AD406,"")</x:f>
      </x:c>
      <x:c r="AC406" s="3" t="str">
        <x:v>近90天SKU销量未匹配，未按0处理</x:v>
      </x:c>
      <x:c r="AD406" s="12"/>
      <x:c r="AE406" s="3" t="str">
        <x:v>[6574,"2302153-RD-S-Z-6.5"]</x:v>
      </x:c>
      <x:c r="AF406" t="n">
        <x:f>IF(ISNUMBER(H406),1,0)</x:f>
        <x:v>1</x:v>
      </x:c>
      <x:c r="AG406" t="n">
        <x:f>IF(ISNUMBER(I406),1,0)</x:f>
        <x:v>1</x:v>
      </x:c>
      <x:c r="AH406" t="str">
        <x:v>["2302153","2302153-RD-S-Z","RD","红色"]</x:v>
      </x:c>
      <x:c r="AI406" t="n">
        <x:f>IF(ISNUMBER(G406),1,0)</x:f>
        <x:v>1</x:v>
      </x:c>
      <x:c r="AJ406" t="n">
        <x:f>IF(ISNUMBER(AD406),1,0)</x:f>
        <x:v>0</x:v>
      </x:c>
    </x:row>
    <x:row r="407" ht="30" customHeight="1">
      <x:c r="A407" s="3" t="str">
        <x:v>2302153-RD-S-Z-7</x:v>
      </x:c>
      <x:c r="B407" s="3" t="str">
        <x:v>3店-SANDIEX-US</x:v>
      </x:c>
      <x:c r="C407" s="3" t="str">
        <x:v>徐新怡</x:v>
      </x:c>
      <x:c r="D407" s="3" t="str">
        <x:v>2302153</x:v>
      </x:c>
      <x:c r="E407" s="3" t="str">
        <x:f>IF(Z407="移出","已移出",IF(NOT(ISNUMBER(H407)),"数据待核",IF(H407=0,"断货",IF(NOT(ISNUMBER(G407)),"数据待核",IF(G407=0,"零日销待复核",IF(F407&lt;60,"补货提醒",IF(F407&lt;=90,"正常库存",IF(F407&lt;180,"促销",IF(F407&lt;=365,"红线促销","考虑清仓")))))))))</x:f>
        <x:v>断货</x:v>
      </x:c>
      <x:c r="F407" s="11" t="n">
        <x:f>IF(AND(ISNUMBER(H407),ISNUMBER(G407),G407&gt;0),H407/G407,"")</x:f>
        <x:v>0</x:v>
      </x:c>
      <x:c r="G407" s="12" t="n">
        <x:f>IF(AND(COUNT(P407:R407)=3,MIN(P407:R407)&gt;=0,P407&lt;=Q407,Q407&lt;=R407),P407/7*0.5+Q407/14*0.3+R407/30*0.2,"")</x:f>
        <x:v>0.056190476190476187</x:v>
      </x:c>
      <x:c r="H407" s="10" t="n">
        <x:f>IF(ISNUMBER(U407),U407,"")</x:f>
        <x:v>0</x:v>
      </x:c>
      <x:c r="I407" s="10" t="n">
        <x:v>2</x:v>
      </x:c>
      <x:c r="J407" s="11" t="str">
        <x:f>IF(AND(Z407="共同",ISNUMBER(F407),ISNUMBER(M407)),F407-M407,"")</x:f>
      </x:c>
      <x:c r="K407" s="13" t="str">
        <x:f>IF(AND(ISNUMBER(J407),M407&lt;&gt;0),J407/M407,"")</x:f>
      </x:c>
      <x:c r="L407" s="10" t="str">
        <x:v>零日销待复核</x:v>
      </x:c>
      <x:c r="M407" s="11"/>
      <x:c r="N407" s="10" t="n">
        <x:f>IF(AND(Z407="共同",COUNT(H407:I407)=2),H407-I407,"")</x:f>
        <x:v>-2</x:v>
      </x:c>
      <x:c r="O407" s="10" t="n">
        <x:v>0</x:v>
      </x:c>
      <x:c r="P407" s="10" t="n">
        <x:v>0</x:v>
      </x:c>
      <x:c r="Q407" s="10" t="n">
        <x:v>2</x:v>
      </x:c>
      <x:c r="R407" s="10" t="n">
        <x:v>2</x:v>
      </x:c>
      <x:c r="S407" s="10" t="n">
        <x:v>0</x:v>
      </x:c>
      <x:c r="T407" s="10" t="n">
        <x:v>0</x:v>
      </x:c>
      <x:c r="U407" s="10" t="n">
        <x:f>IF(AND(ISNUMBER(X407),X407&gt;=0,Y407&lt;&gt;1),X407,"")</x:f>
        <x:v>0</x:v>
      </x:c>
      <x:c r="V407" s="10" t="n">
        <x:v>0</x:v>
      </x:c>
      <x:c r="W407" s="10" t="n">
        <x:v>0</x:v>
      </x:c>
      <x:c r="X407" s="10" t="n">
        <x:v>0</x:v>
      </x:c>
      <x:c r="Y407" s="3" t="n">
        <x:v>0</x:v>
      </x:c>
      <x:c r="Z407" s="3" t="str">
        <x:v>共同</x:v>
      </x:c>
      <x:c r="AA407" s="3" t="str">
        <x:v>停售</x:v>
      </x:c>
      <x:c r="AB407" s="12" t="n">
        <x:f>IF(AND(Z407="共同",ISNUMBER(G407),ISNUMBER(AD407)),G407-AD407,"")</x:f>
        <x:v>0.056190476190476187</x:v>
      </x:c>
      <x:c r="AC407" s="3" t="str"/>
      <x:c r="AD407" s="12" t="n">
        <x:v>0</x:v>
      </x:c>
      <x:c r="AE407" s="3" t="str">
        <x:v>[6574,"2302153-RD-S-Z-7"]</x:v>
      </x:c>
      <x:c r="AF407" t="n">
        <x:f>IF(ISNUMBER(H407),1,0)</x:f>
        <x:v>1</x:v>
      </x:c>
      <x:c r="AG407" t="n">
        <x:f>IF(ISNUMBER(I407),1,0)</x:f>
        <x:v>1</x:v>
      </x:c>
      <x:c r="AH407" t="str">
        <x:v>["2302153","2302153-RD-S-Z","RD","红色"]</x:v>
      </x:c>
      <x:c r="AI407" t="n">
        <x:f>IF(ISNUMBER(G407),1,0)</x:f>
        <x:v>1</x:v>
      </x:c>
      <x:c r="AJ407" t="n">
        <x:f>IF(ISNUMBER(AD407),1,0)</x:f>
        <x:v>1</x:v>
      </x:c>
    </x:row>
    <x:row r="408" ht="30" customHeight="1">
      <x:c r="A408" s="3" t="str">
        <x:v>2302153-RD-S-Z-7.5</x:v>
      </x:c>
      <x:c r="B408" s="3" t="str">
        <x:v>3店-SANDIEX-US</x:v>
      </x:c>
      <x:c r="C408" s="3" t="str">
        <x:v>徐新怡</x:v>
      </x:c>
      <x:c r="D408" s="3" t="str">
        <x:v>2302153</x:v>
      </x:c>
      <x:c r="E408" s="3" t="str">
        <x:f>IF(Z408="移出","已移出",IF(NOT(ISNUMBER(H408)),"数据待核",IF(H408=0,"断货",IF(NOT(ISNUMBER(G408)),"数据待核",IF(G408=0,"零日销待复核",IF(F408&lt;60,"补货提醒",IF(F408&lt;=90,"正常库存",IF(F408&lt;180,"促销",IF(F408&lt;=365,"红线促销","考虑清仓")))))))))</x:f>
        <x:v>断货</x:v>
      </x:c>
      <x:c r="F408" s="11" t="str">
        <x:f>IF(AND(ISNUMBER(H408),ISNUMBER(G408),G408&gt;0),H408/G408,"")</x:f>
      </x:c>
      <x:c r="G408" s="12" t="n">
        <x:f>IF(AND(COUNT(P408:R408)=3,MIN(P408:R408)&gt;=0,P408&lt;=Q408,Q408&lt;=R408),P408/7*0.5+Q408/14*0.3+R408/30*0.2,"")</x:f>
        <x:v>0</x:v>
      </x:c>
      <x:c r="H408" s="10" t="n">
        <x:f>IF(ISNUMBER(U408),U408,"")</x:f>
        <x:v>0</x:v>
      </x:c>
      <x:c r="I408" s="10" t="n">
        <x:v>0</x:v>
      </x:c>
      <x:c r="J408" s="11" t="str">
        <x:f>IF(AND(Z408="共同",ISNUMBER(F408),ISNUMBER(M408)),F408-M408,"")</x:f>
      </x:c>
      <x:c r="K408" s="13" t="str">
        <x:f>IF(AND(ISNUMBER(J408),M408&lt;&gt;0),J408/M408,"")</x:f>
      </x:c>
      <x:c r="L408" s="10" t="str">
        <x:v>断货</x:v>
      </x:c>
      <x:c r="M408" s="11"/>
      <x:c r="N408" s="10" t="n">
        <x:f>IF(AND(Z408="共同",COUNT(H408:I408)=2),H408-I408,"")</x:f>
        <x:v>0</x:v>
      </x:c>
      <x:c r="O408" s="10"/>
      <x:c r="P408" s="10" t="n">
        <x:v>0</x:v>
      </x:c>
      <x:c r="Q408" s="10" t="n">
        <x:v>0</x:v>
      </x:c>
      <x:c r="R408" s="10" t="n">
        <x:v>0</x:v>
      </x:c>
      <x:c r="S408" s="10" t="n">
        <x:v>0</x:v>
      </x:c>
      <x:c r="T408" s="10" t="n">
        <x:v>0</x:v>
      </x:c>
      <x:c r="U408" s="10" t="n">
        <x:f>IF(AND(ISNUMBER(X408),X408&gt;=0,Y408&lt;&gt;1),X408,"")</x:f>
        <x:v>0</x:v>
      </x:c>
      <x:c r="V408" s="10" t="n">
        <x:v>0</x:v>
      </x:c>
      <x:c r="W408" s="10" t="n">
        <x:v>0</x:v>
      </x:c>
      <x:c r="X408" s="10" t="n">
        <x:v>0</x:v>
      </x:c>
      <x:c r="Y408" s="3" t="n">
        <x:v>0</x:v>
      </x:c>
      <x:c r="Z408" s="3" t="str">
        <x:v>共同</x:v>
      </x:c>
      <x:c r="AA408" s="3" t="str">
        <x:v>停售</x:v>
      </x:c>
      <x:c r="AB408" s="12" t="str">
        <x:f>IF(AND(Z408="共同",ISNUMBER(G408),ISNUMBER(AD408)),G408-AD408,"")</x:f>
      </x:c>
      <x:c r="AC408" s="3" t="str">
        <x:v>近90天SKU销量未匹配，未按0处理</x:v>
      </x:c>
      <x:c r="AD408" s="12"/>
      <x:c r="AE408" s="3" t="str">
        <x:v>[6574,"2302153-RD-S-Z-7.5"]</x:v>
      </x:c>
      <x:c r="AF408" t="n">
        <x:f>IF(ISNUMBER(H408),1,0)</x:f>
        <x:v>1</x:v>
      </x:c>
      <x:c r="AG408" t="n">
        <x:f>IF(ISNUMBER(I408),1,0)</x:f>
        <x:v>1</x:v>
      </x:c>
      <x:c r="AH408" t="str">
        <x:v>["2302153","2302153-RD-S-Z","RD","红色"]</x:v>
      </x:c>
      <x:c r="AI408" t="n">
        <x:f>IF(ISNUMBER(G408),1,0)</x:f>
        <x:v>1</x:v>
      </x:c>
      <x:c r="AJ408" t="n">
        <x:f>IF(ISNUMBER(AD408),1,0)</x:f>
        <x:v>0</x:v>
      </x:c>
    </x:row>
    <x:row r="409" ht="30" customHeight="1">
      <x:c r="A409" s="3" t="str">
        <x:v>230918-BK-S-Z-10</x:v>
      </x:c>
      <x:c r="B409" s="3" t="str">
        <x:v>1店-MUSSHOE-US</x:v>
      </x:c>
      <x:c r="C409" s="3" t="str">
        <x:v>艾年</x:v>
      </x:c>
      <x:c r="D409" s="3" t="str">
        <x:v>230918</x:v>
      </x:c>
      <x:c r="E409" s="3" t="str">
        <x:f>IF(Z409="移出","已移出",IF(NOT(ISNUMBER(H409)),"数据待核",IF(H409=0,"断货",IF(NOT(ISNUMBER(G409)),"数据待核",IF(G409=0,"零日销待复核",IF(F409&lt;60,"补货提醒",IF(F409&lt;=90,"正常库存",IF(F409&lt;180,"促销",IF(F409&lt;=365,"红线促销","考虑清仓")))))))))</x:f>
        <x:v>断货</x:v>
      </x:c>
      <x:c r="F409" s="11" t="n">
        <x:f>IF(AND(ISNUMBER(H409),ISNUMBER(G409),G409&gt;0),H409/G409,"")</x:f>
        <x:v>0</x:v>
      </x:c>
      <x:c r="G409" s="12" t="n">
        <x:f>IF(AND(COUNT(P409:R409)=3,MIN(P409:R409)&gt;=0,P409&lt;=Q409,Q409&lt;=R409),P409/7*0.5+Q409/14*0.3+R409/30*0.2,"")</x:f>
        <x:v>0.3385714285714286</x:v>
      </x:c>
      <x:c r="H409" s="10" t="n">
        <x:f>IF(ISNUMBER(U409),U409,"")</x:f>
        <x:v>0</x:v>
      </x:c>
      <x:c r="I409" s="10" t="n">
        <x:v>0</x:v>
      </x:c>
      <x:c r="J409" s="11" t="n">
        <x:f>IF(AND(Z409="共同",ISNUMBER(F409),ISNUMBER(M409)),F409-M409,"")</x:f>
        <x:v>0</x:v>
      </x:c>
      <x:c r="K409" s="13" t="str">
        <x:f>IF(AND(ISNUMBER(J409),M409&lt;&gt;0),J409/M409,"")</x:f>
      </x:c>
      <x:c r="L409" s="10" t="str">
        <x:v>断货</x:v>
      </x:c>
      <x:c r="M409" s="11" t="n">
        <x:v>0</x:v>
      </x:c>
      <x:c r="N409" s="10" t="n">
        <x:f>IF(AND(Z409="共同",COUNT(H409:I409)=2),H409-I409,"")</x:f>
        <x:v>0</x:v>
      </x:c>
      <x:c r="O409" s="10" t="n">
        <x:v>0</x:v>
      </x:c>
      <x:c r="P409" s="10" t="n">
        <x:v>3</x:v>
      </x:c>
      <x:c r="Q409" s="10" t="n">
        <x:v>3</x:v>
      </x:c>
      <x:c r="R409" s="10" t="n">
        <x:v>9</x:v>
      </x:c>
      <x:c r="S409" s="10" t="n">
        <x:v>7</x:v>
      </x:c>
      <x:c r="T409" s="10" t="n">
        <x:v>1</x:v>
      </x:c>
      <x:c r="U409" s="10" t="n">
        <x:f>IF(AND(ISNUMBER(X409),X409&gt;=0,Y409&lt;&gt;1),X409,"")</x:f>
        <x:v>0</x:v>
      </x:c>
      <x:c r="V409" s="10" t="n">
        <x:v>1</x:v>
      </x:c>
      <x:c r="W409" s="10" t="n">
        <x:v>40</x:v>
      </x:c>
      <x:c r="X409" s="10" t="n">
        <x:v>0</x:v>
      </x:c>
      <x:c r="Y409" s="3" t="n">
        <x:v>0</x:v>
      </x:c>
      <x:c r="Z409" s="3" t="str">
        <x:v>共同</x:v>
      </x:c>
      <x:c r="AA409" s="3" t="str">
        <x:v>在售</x:v>
      </x:c>
      <x:c r="AB409" s="12" t="n">
        <x:f>IF(AND(Z409="共同",ISNUMBER(G409),ISNUMBER(AD409)),G409-AD409,"")</x:f>
        <x:v>-0.13571428571428562</x:v>
      </x:c>
      <x:c r="AC409" s="3" t="str"/>
      <x:c r="AD409" s="12" t="n">
        <x:v>0.4742857142857142</x:v>
      </x:c>
      <x:c r="AE409" s="3" t="str">
        <x:v>[13120,"230918-BK-S-Z-10"]</x:v>
      </x:c>
      <x:c r="AF409" t="n">
        <x:f>IF(ISNUMBER(H409),1,0)</x:f>
        <x:v>1</x:v>
      </x:c>
      <x:c r="AG409" t="n">
        <x:f>IF(ISNUMBER(I409),1,0)</x:f>
        <x:v>1</x:v>
      </x:c>
      <x:c r="AH409" t="str">
        <x:v>["230918","230918-BK-S-Z","BK","黑色"]</x:v>
      </x:c>
      <x:c r="AI409" t="n">
        <x:f>IF(ISNUMBER(G409),1,0)</x:f>
        <x:v>1</x:v>
      </x:c>
      <x:c r="AJ409" t="n">
        <x:f>IF(ISNUMBER(AD409),1,0)</x:f>
        <x:v>1</x:v>
      </x:c>
    </x:row>
    <x:row r="410" ht="30" customHeight="1">
      <x:c r="A410" s="3" t="str">
        <x:v>230918-BK-S-Z-7</x:v>
      </x:c>
      <x:c r="B410" s="3" t="str">
        <x:v>1店-MUSSHOE-US</x:v>
      </x:c>
      <x:c r="C410" s="3" t="str">
        <x:v>艾年</x:v>
      </x:c>
      <x:c r="D410" s="3" t="str">
        <x:v>230918</x:v>
      </x:c>
      <x:c r="E410" s="3" t="str">
        <x:f>IF(Z410="移出","已移出",IF(NOT(ISNUMBER(H410)),"数据待核",IF(H410=0,"断货",IF(NOT(ISNUMBER(G410)),"数据待核",IF(G410=0,"零日销待复核",IF(F410&lt;60,"补货提醒",IF(F410&lt;=90,"正常库存",IF(F410&lt;180,"促销",IF(F410&lt;=365,"红线促销","考虑清仓")))))))))</x:f>
        <x:v>断货</x:v>
      </x:c>
      <x:c r="F410" s="11" t="n">
        <x:f>IF(AND(ISNUMBER(H410),ISNUMBER(G410),G410&gt;0),H410/G410,"")</x:f>
        <x:v>0</x:v>
      </x:c>
      <x:c r="G410" s="12" t="n">
        <x:f>IF(AND(COUNT(P410:R410)=3,MIN(P410:R410)&gt;=0,P410&lt;=Q410,Q410&lt;=R410),P410/7*0.5+Q410/14*0.3+R410/30*0.2,"")</x:f>
        <x:v>3.6123809523809522</x:v>
      </x:c>
      <x:c r="H410" s="10" t="n">
        <x:f>IF(ISNUMBER(U410),U410,"")</x:f>
        <x:v>0</x:v>
      </x:c>
      <x:c r="I410" s="10" t="n">
        <x:v>5</x:v>
      </x:c>
      <x:c r="J410" s="11" t="n">
        <x:f>IF(AND(Z410="共同",ISNUMBER(F410),ISNUMBER(M410)),F410-M410,"")</x:f>
        <x:v>-3.363228699551569</x:v>
      </x:c>
      <x:c r="K410" s="13" t="n">
        <x:f>IF(AND(ISNUMBER(J410),M410&lt;&gt;0),J410/M410,"")</x:f>
        <x:v>-1</x:v>
      </x:c>
      <x:c r="L410" s="10" t="str">
        <x:v>补货提醒</x:v>
      </x:c>
      <x:c r="M410" s="11" t="n">
        <x:v>3.363228699551569</x:v>
      </x:c>
      <x:c r="N410" s="10" t="n">
        <x:f>IF(AND(Z410="共同",COUNT(H410:I410)=2),H410-I410,"")</x:f>
        <x:v>-5</x:v>
      </x:c>
      <x:c r="O410" s="10" t="n">
        <x:v>11</x:v>
      </x:c>
      <x:c r="P410" s="10" t="n">
        <x:v>27</x:v>
      </x:c>
      <x:c r="Q410" s="10" t="n">
        <x:v>54</x:v>
      </x:c>
      <x:c r="R410" s="10" t="n">
        <x:v>79</x:v>
      </x:c>
      <x:c r="S410" s="10" t="n">
        <x:v>21</x:v>
      </x:c>
      <x:c r="T410" s="10" t="n">
        <x:v>4</x:v>
      </x:c>
      <x:c r="U410" s="10" t="n">
        <x:f>IF(AND(ISNUMBER(X410),X410&gt;=0,Y410&lt;&gt;1),X410,"")</x:f>
        <x:v>0</x:v>
      </x:c>
      <x:c r="V410" s="10" t="n">
        <x:v>21</x:v>
      </x:c>
      <x:c r="W410" s="10" t="n">
        <x:v>242</x:v>
      </x:c>
      <x:c r="X410" s="10" t="n">
        <x:v>0</x:v>
      </x:c>
      <x:c r="Y410" s="3" t="n">
        <x:v>0</x:v>
      </x:c>
      <x:c r="Z410" s="3" t="str">
        <x:v>共同</x:v>
      </x:c>
      <x:c r="AA410" s="3" t="str">
        <x:v>在售</x:v>
      </x:c>
      <x:c r="AB410" s="12" t="n">
        <x:f>IF(AND(Z410="共同",ISNUMBER(G410),ISNUMBER(AD410)),G410-AD410,"")</x:f>
        <x:v>2.1257142857142854</x:v>
      </x:c>
      <x:c r="AC410" s="3" t="str"/>
      <x:c r="AD410" s="12" t="n">
        <x:v>1.4866666666666668</x:v>
      </x:c>
      <x:c r="AE410" s="3" t="str">
        <x:v>[13120,"230918-BK-S-Z-7"]</x:v>
      </x:c>
      <x:c r="AF410" t="n">
        <x:f>IF(ISNUMBER(H410),1,0)</x:f>
        <x:v>1</x:v>
      </x:c>
      <x:c r="AG410" t="n">
        <x:f>IF(ISNUMBER(I410),1,0)</x:f>
        <x:v>1</x:v>
      </x:c>
      <x:c r="AH410" t="str">
        <x:v>["230918","230918-BK-S-Z","BK","黑色"]</x:v>
      </x:c>
      <x:c r="AI410" t="n">
        <x:f>IF(ISNUMBER(G410),1,0)</x:f>
        <x:v>1</x:v>
      </x:c>
      <x:c r="AJ410" t="n">
        <x:f>IF(ISNUMBER(AD410),1,0)</x:f>
        <x:v>1</x:v>
      </x:c>
    </x:row>
    <x:row r="411" ht="30" customHeight="1">
      <x:c r="A411" s="3" t="str">
        <x:v>230918-BW-S-Z-10</x:v>
      </x:c>
      <x:c r="B411" s="3" t="str">
        <x:v>1店-MUSSHOE-US</x:v>
      </x:c>
      <x:c r="C411" s="3" t="str">
        <x:v>艾年</x:v>
      </x:c>
      <x:c r="D411" s="3" t="str">
        <x:v>230918</x:v>
      </x:c>
      <x:c r="E411" s="3" t="str">
        <x:f>IF(Z411="移出","已移出",IF(NOT(ISNUMBER(H411)),"数据待核",IF(H411=0,"断货",IF(NOT(ISNUMBER(G411)),"数据待核",IF(G411=0,"零日销待复核",IF(F411&lt;60,"补货提醒",IF(F411&lt;=90,"正常库存",IF(F411&lt;180,"促销",IF(F411&lt;=365,"红线促销","考虑清仓")))))))))</x:f>
        <x:v>断货</x:v>
      </x:c>
      <x:c r="F411" s="11" t="n">
        <x:f>IF(AND(ISNUMBER(H411),ISNUMBER(G411),G411&gt;0),H411/G411,"")</x:f>
        <x:v>0</x:v>
      </x:c>
      <x:c r="G411" s="12" t="n">
        <x:f>IF(AND(COUNT(P411:R411)=3,MIN(P411:R411)&gt;=0,P411&lt;=Q411,Q411&lt;=R411),P411/7*0.5+Q411/14*0.3+R411/30*0.2,"")</x:f>
        <x:v>0.28857142857142853</x:v>
      </x:c>
      <x:c r="H411" s="10" t="n">
        <x:f>IF(ISNUMBER(U411),U411,"")</x:f>
        <x:v>0</x:v>
      </x:c>
      <x:c r="I411" s="10" t="n">
        <x:v>1</x:v>
      </x:c>
      <x:c r="J411" s="11" t="n">
        <x:f>IF(AND(Z411="共同",ISNUMBER(F411),ISNUMBER(M411)),F411-M411,"")</x:f>
        <x:v>-2.6217228464419473</x:v>
      </x:c>
      <x:c r="K411" s="13" t="n">
        <x:f>IF(AND(ISNUMBER(J411),M411&lt;&gt;0),J411/M411,"")</x:f>
        <x:v>-1</x:v>
      </x:c>
      <x:c r="L411" s="10" t="str">
        <x:v>补货提醒</x:v>
      </x:c>
      <x:c r="M411" s="11" t="n">
        <x:v>2.6217228464419473</x:v>
      </x:c>
      <x:c r="N411" s="10" t="n">
        <x:f>IF(AND(Z411="共同",COUNT(H411:I411)=2),H411-I411,"")</x:f>
        <x:v>-1</x:v>
      </x:c>
      <x:c r="O411" s="10" t="n">
        <x:v>0</x:v>
      </x:c>
      <x:c r="P411" s="10" t="n">
        <x:v>2</x:v>
      </x:c>
      <x:c r="Q411" s="10" t="n">
        <x:v>4</x:v>
      </x:c>
      <x:c r="R411" s="10" t="n">
        <x:v>9</x:v>
      </x:c>
      <x:c r="S411" s="10" t="n">
        <x:v>3</x:v>
      </x:c>
      <x:c r="T411" s="10" t="n">
        <x:v>2</x:v>
      </x:c>
      <x:c r="U411" s="10" t="n">
        <x:f>IF(AND(ISNUMBER(X411),X411&gt;=0,Y411&lt;&gt;1),X411,"")</x:f>
        <x:v>0</x:v>
      </x:c>
      <x:c r="V411" s="10" t="n">
        <x:v>0</x:v>
      </x:c>
      <x:c r="W411" s="10" t="n">
        <x:v>0</x:v>
      </x:c>
      <x:c r="X411" s="10" t="n">
        <x:v>0</x:v>
      </x:c>
      <x:c r="Y411" s="3" t="n">
        <x:v>0</x:v>
      </x:c>
      <x:c r="Z411" s="3" t="str">
        <x:v>共同</x:v>
      </x:c>
      <x:c r="AA411" s="3" t="str">
        <x:v>在售</x:v>
      </x:c>
      <x:c r="AB411" s="12" t="n">
        <x:f>IF(AND(Z411="共同",ISNUMBER(G411),ISNUMBER(AD411)),G411-AD411,"")</x:f>
        <x:v>-0.09285714285714292</x:v>
      </x:c>
      <x:c r="AC411" s="3" t="str"/>
      <x:c r="AD411" s="12" t="n">
        <x:v>0.38142857142857145</x:v>
      </x:c>
      <x:c r="AE411" s="3" t="str">
        <x:v>[13120,"230918-BW-S-Z-10"]</x:v>
      </x:c>
      <x:c r="AF411" t="n">
        <x:f>IF(ISNUMBER(H411),1,0)</x:f>
        <x:v>1</x:v>
      </x:c>
      <x:c r="AG411" t="n">
        <x:f>IF(ISNUMBER(I411),1,0)</x:f>
        <x:v>1</x:v>
      </x:c>
      <x:c r="AH411" t="str">
        <x:v>["230918","230918-BW-S-Z","BW","米白色PU"]</x:v>
      </x:c>
      <x:c r="AI411" t="n">
        <x:f>IF(ISNUMBER(G411),1,0)</x:f>
        <x:v>1</x:v>
      </x:c>
      <x:c r="AJ411" t="n">
        <x:f>IF(ISNUMBER(AD411),1,0)</x:f>
        <x:v>1</x:v>
      </x:c>
    </x:row>
    <x:row r="412" ht="30" customHeight="1">
      <x:c r="A412" s="3" t="str">
        <x:v>230918-LP-S-Z-10</x:v>
      </x:c>
      <x:c r="B412" s="3" t="str">
        <x:v>1店-MUSSHOE-US</x:v>
      </x:c>
      <x:c r="C412" s="3" t="str">
        <x:v>艾年</x:v>
      </x:c>
      <x:c r="D412" s="3" t="str">
        <x:v>230918</x:v>
      </x:c>
      <x:c r="E412" s="3" t="str">
        <x:f>IF(Z412="移出","已移出",IF(NOT(ISNUMBER(H412)),"数据待核",IF(H412=0,"断货",IF(NOT(ISNUMBER(G412)),"数据待核",IF(G412=0,"零日销待复核",IF(F412&lt;60,"补货提醒",IF(F412&lt;=90,"正常库存",IF(F412&lt;180,"促销",IF(F412&lt;=365,"红线促销","考虑清仓")))))))))</x:f>
        <x:v>断货</x:v>
      </x:c>
      <x:c r="F412" s="11" t="str">
        <x:f>IF(AND(ISNUMBER(H412),ISNUMBER(G412),G412&gt;0),H412/G412,"")</x:f>
      </x:c>
      <x:c r="G412" s="12" t="n">
        <x:f>IF(AND(COUNT(P412:R412)=3,MIN(P412:R412)&gt;=0,P412&lt;=Q412,Q412&lt;=R412),P412/7*0.5+Q412/14*0.3+R412/30*0.2,"")</x:f>
        <x:v>0</x:v>
      </x:c>
      <x:c r="H412" s="10" t="n">
        <x:f>IF(ISNUMBER(U412),U412,"")</x:f>
        <x:v>0</x:v>
      </x:c>
      <x:c r="I412" s="10" t="n">
        <x:v>0</x:v>
      </x:c>
      <x:c r="J412" s="11" t="str">
        <x:f>IF(AND(Z412="共同",ISNUMBER(F412),ISNUMBER(M412)),F412-M412,"")</x:f>
      </x:c>
      <x:c r="K412" s="13" t="str">
        <x:f>IF(AND(ISNUMBER(J412),M412&lt;&gt;0),J412/M412,"")</x:f>
      </x:c>
      <x:c r="L412" s="10" t="str">
        <x:v>断货</x:v>
      </x:c>
      <x:c r="M412" s="11"/>
      <x:c r="N412" s="10" t="n">
        <x:f>IF(AND(Z412="共同",COUNT(H412:I412)=2),H412-I412,"")</x:f>
        <x:v>0</x:v>
      </x:c>
      <x:c r="O412" s="10" t="n">
        <x:v>10</x:v>
      </x:c>
      <x:c r="P412" s="10" t="n">
        <x:v>0</x:v>
      </x:c>
      <x:c r="Q412" s="10" t="n">
        <x:v>0</x:v>
      </x:c>
      <x:c r="R412" s="10" t="n">
        <x:v>0</x:v>
      </x:c>
      <x:c r="S412" s="10" t="n">
        <x:v>0</x:v>
      </x:c>
      <x:c r="T412" s="10" t="n">
        <x:v>0</x:v>
      </x:c>
      <x:c r="U412" s="10" t="n">
        <x:f>IF(AND(ISNUMBER(X412),X412&gt;=0,Y412&lt;&gt;1),X412,"")</x:f>
        <x:v>0</x:v>
      </x:c>
      <x:c r="V412" s="10" t="n">
        <x:v>0</x:v>
      </x:c>
      <x:c r="W412" s="10" t="n">
        <x:v>0</x:v>
      </x:c>
      <x:c r="X412" s="10" t="n">
        <x:v>0</x:v>
      </x:c>
      <x:c r="Y412" s="3" t="n">
        <x:v>0</x:v>
      </x:c>
      <x:c r="Z412" s="3" t="str">
        <x:v>共同</x:v>
      </x:c>
      <x:c r="AA412" s="3" t="str">
        <x:v>停售</x:v>
      </x:c>
      <x:c r="AB412" s="12" t="str">
        <x:f>IF(AND(Z412="共同",ISNUMBER(G412),ISNUMBER(AD412)),G412-AD412,"")</x:f>
      </x:c>
      <x:c r="AC412" s="3" t="str">
        <x:v>近90天SKU销量未匹配，未按0处理</x:v>
      </x:c>
      <x:c r="AD412" s="12"/>
      <x:c r="AE412" s="3" t="str">
        <x:v>[13120,"230918-LP-S-Z-10"]</x:v>
      </x:c>
      <x:c r="AF412" t="n">
        <x:f>IF(ISNUMBER(H412),1,0)</x:f>
        <x:v>1</x:v>
      </x:c>
      <x:c r="AG412" t="n">
        <x:f>IF(ISNUMBER(I412),1,0)</x:f>
        <x:v>1</x:v>
      </x:c>
      <x:c r="AH412" t="str">
        <x:v>["230918","230918-LP-S-Z","LP","豹纹"]</x:v>
      </x:c>
      <x:c r="AI412" t="n">
        <x:f>IF(ISNUMBER(G412),1,0)</x:f>
        <x:v>1</x:v>
      </x:c>
      <x:c r="AJ412" t="n">
        <x:f>IF(ISNUMBER(AD412),1,0)</x:f>
        <x:v>0</x:v>
      </x:c>
    </x:row>
    <x:row r="413" ht="30" customHeight="1">
      <x:c r="A413" s="3" t="str">
        <x:v>230918-LP-S-Z-11</x:v>
      </x:c>
      <x:c r="B413" s="3" t="str">
        <x:v>1店-MUSSHOE-US</x:v>
      </x:c>
      <x:c r="C413" s="3" t="str">
        <x:v>艾年</x:v>
      </x:c>
      <x:c r="D413" s="3" t="str">
        <x:v>230918</x:v>
      </x:c>
      <x:c r="E413" s="3" t="str">
        <x:f>IF(Z413="移出","已移出",IF(NOT(ISNUMBER(H413)),"数据待核",IF(H413=0,"断货",IF(NOT(ISNUMBER(G413)),"数据待核",IF(G413=0,"零日销待复核",IF(F413&lt;60,"补货提醒",IF(F413&lt;=90,"正常库存",IF(F413&lt;180,"促销",IF(F413&lt;=365,"红线促销","考虑清仓")))))))))</x:f>
        <x:v>断货</x:v>
      </x:c>
      <x:c r="F413" s="11" t="str">
        <x:f>IF(AND(ISNUMBER(H413),ISNUMBER(G413),G413&gt;0),H413/G413,"")</x:f>
      </x:c>
      <x:c r="G413" s="12" t="n">
        <x:f>IF(AND(COUNT(P413:R413)=3,MIN(P413:R413)&gt;=0,P413&lt;=Q413,Q413&lt;=R413),P413/7*0.5+Q413/14*0.3+R413/30*0.2,"")</x:f>
        <x:v>0</x:v>
      </x:c>
      <x:c r="H413" s="10" t="n">
        <x:f>IF(ISNUMBER(U413),U413,"")</x:f>
        <x:v>0</x:v>
      </x:c>
      <x:c r="I413" s="10" t="n">
        <x:v>0</x:v>
      </x:c>
      <x:c r="J413" s="11" t="str">
        <x:f>IF(AND(Z413="共同",ISNUMBER(F413),ISNUMBER(M413)),F413-M413,"")</x:f>
      </x:c>
      <x:c r="K413" s="13" t="str">
        <x:f>IF(AND(ISNUMBER(J413),M413&lt;&gt;0),J413/M413,"")</x:f>
      </x:c>
      <x:c r="L413" s="10" t="str">
        <x:v>断货</x:v>
      </x:c>
      <x:c r="M413" s="11"/>
      <x:c r="N413" s="10" t="n">
        <x:f>IF(AND(Z413="共同",COUNT(H413:I413)=2),H413-I413,"")</x:f>
        <x:v>0</x:v>
      </x:c>
      <x:c r="O413" s="10" t="n">
        <x:v>0</x:v>
      </x:c>
      <x:c r="P413" s="10" t="n">
        <x:v>0</x:v>
      </x:c>
      <x:c r="Q413" s="10" t="n">
        <x:v>0</x:v>
      </x:c>
      <x:c r="R413" s="10" t="n">
        <x:v>0</x:v>
      </x:c>
      <x:c r="S413" s="10" t="n">
        <x:v>0</x:v>
      </x:c>
      <x:c r="T413" s="10" t="n">
        <x:v>0</x:v>
      </x:c>
      <x:c r="U413" s="10" t="n">
        <x:f>IF(AND(ISNUMBER(X413),X413&gt;=0,Y413&lt;&gt;1),X413,"")</x:f>
        <x:v>0</x:v>
      </x:c>
      <x:c r="V413" s="10" t="n">
        <x:v>0</x:v>
      </x:c>
      <x:c r="W413" s="10" t="n">
        <x:v>0</x:v>
      </x:c>
      <x:c r="X413" s="10" t="n">
        <x:v>0</x:v>
      </x:c>
      <x:c r="Y413" s="3" t="n">
        <x:v>0</x:v>
      </x:c>
      <x:c r="Z413" s="3" t="str">
        <x:v>共同</x:v>
      </x:c>
      <x:c r="AA413" s="3" t="str">
        <x:v>停售</x:v>
      </x:c>
      <x:c r="AB413" s="12" t="str">
        <x:f>IF(AND(Z413="共同",ISNUMBER(G413),ISNUMBER(AD413)),G413-AD413,"")</x:f>
      </x:c>
      <x:c r="AC413" s="3" t="str">
        <x:v>近90天SKU销量未匹配，未按0处理</x:v>
      </x:c>
      <x:c r="AD413" s="12"/>
      <x:c r="AE413" s="3" t="str">
        <x:v>[13120,"230918-LP-S-Z-11"]</x:v>
      </x:c>
      <x:c r="AF413" t="n">
        <x:f>IF(ISNUMBER(H413),1,0)</x:f>
        <x:v>1</x:v>
      </x:c>
      <x:c r="AG413" t="n">
        <x:f>IF(ISNUMBER(I413),1,0)</x:f>
        <x:v>1</x:v>
      </x:c>
      <x:c r="AH413" t="str">
        <x:v>["230918","230918-LP-S-Z","LP","豹纹"]</x:v>
      </x:c>
      <x:c r="AI413" t="n">
        <x:f>IF(ISNUMBER(G413),1,0)</x:f>
        <x:v>1</x:v>
      </x:c>
      <x:c r="AJ413" t="n">
        <x:f>IF(ISNUMBER(AD413),1,0)</x:f>
        <x:v>0</x:v>
      </x:c>
    </x:row>
    <x:row r="414" ht="30" customHeight="1">
      <x:c r="A414" s="3" t="str">
        <x:v>230918-LP-S-Z-7</x:v>
      </x:c>
      <x:c r="B414" s="3" t="str">
        <x:v>1店-MUSSHOE-US</x:v>
      </x:c>
      <x:c r="C414" s="3" t="str">
        <x:v>艾年</x:v>
      </x:c>
      <x:c r="D414" s="3" t="str">
        <x:v>230918</x:v>
      </x:c>
      <x:c r="E414" s="3" t="str">
        <x:f>IF(Z414="移出","已移出",IF(NOT(ISNUMBER(H414)),"数据待核",IF(H414=0,"断货",IF(NOT(ISNUMBER(G414)),"数据待核",IF(G414=0,"零日销待复核",IF(F414&lt;60,"补货提醒",IF(F414&lt;=90,"正常库存",IF(F414&lt;180,"促销",IF(F414&lt;=365,"红线促销","考虑清仓")))))))))</x:f>
        <x:v>断货</x:v>
      </x:c>
      <x:c r="F414" s="11" t="str">
        <x:f>IF(AND(ISNUMBER(H414),ISNUMBER(G414),G414&gt;0),H414/G414,"")</x:f>
      </x:c>
      <x:c r="G414" s="12" t="n">
        <x:f>IF(AND(COUNT(P414:R414)=3,MIN(P414:R414)&gt;=0,P414&lt;=Q414,Q414&lt;=R414),P414/7*0.5+Q414/14*0.3+R414/30*0.2,"")</x:f>
        <x:v>0</x:v>
      </x:c>
      <x:c r="H414" s="10" t="n">
        <x:f>IF(ISNUMBER(U414),U414,"")</x:f>
        <x:v>0</x:v>
      </x:c>
      <x:c r="I414" s="10" t="n">
        <x:v>0</x:v>
      </x:c>
      <x:c r="J414" s="11" t="str">
        <x:f>IF(AND(Z414="共同",ISNUMBER(F414),ISNUMBER(M414)),F414-M414,"")</x:f>
      </x:c>
      <x:c r="K414" s="13" t="str">
        <x:f>IF(AND(ISNUMBER(J414),M414&lt;&gt;0),J414/M414,"")</x:f>
      </x:c>
      <x:c r="L414" s="10" t="str">
        <x:v>断货</x:v>
      </x:c>
      <x:c r="M414" s="11" t="n">
        <x:v>0</x:v>
      </x:c>
      <x:c r="N414" s="10" t="n">
        <x:f>IF(AND(Z414="共同",COUNT(H414:I414)=2),H414-I414,"")</x:f>
        <x:v>0</x:v>
      </x:c>
      <x:c r="O414" s="10" t="n">
        <x:v>0</x:v>
      </x:c>
      <x:c r="P414" s="10" t="n">
        <x:v>0</x:v>
      </x:c>
      <x:c r="Q414" s="10" t="n">
        <x:v>0</x:v>
      </x:c>
      <x:c r="R414" s="10" t="n">
        <x:v>0</x:v>
      </x:c>
      <x:c r="S414" s="10" t="n">
        <x:v>1</x:v>
      </x:c>
      <x:c r="T414" s="10" t="n">
        <x:v>1</x:v>
      </x:c>
      <x:c r="U414" s="10" t="n">
        <x:f>IF(AND(ISNUMBER(X414),X414&gt;=0,Y414&lt;&gt;1),X414,"")</x:f>
        <x:v>0</x:v>
      </x:c>
      <x:c r="V414" s="10" t="n">
        <x:v>0</x:v>
      </x:c>
      <x:c r="W414" s="10" t="n">
        <x:v>63</x:v>
      </x:c>
      <x:c r="X414" s="10" t="n">
        <x:v>0</x:v>
      </x:c>
      <x:c r="Y414" s="3" t="n">
        <x:v>0</x:v>
      </x:c>
      <x:c r="Z414" s="3" t="str">
        <x:v>共同</x:v>
      </x:c>
      <x:c r="AA414" s="3" t="str">
        <x:v>停售</x:v>
      </x:c>
      <x:c r="AB414" s="12" t="n">
        <x:f>IF(AND(Z414="共同",ISNUMBER(G414),ISNUMBER(AD414)),G414-AD414,"")</x:f>
        <x:v>-0.006666666666666666</x:v>
      </x:c>
      <x:c r="AC414" s="3" t="str"/>
      <x:c r="AD414" s="12" t="n">
        <x:v>0.006666666666666666</x:v>
      </x:c>
      <x:c r="AE414" s="3" t="str">
        <x:v>[13120,"230918-LP-S-Z-7"]</x:v>
      </x:c>
      <x:c r="AF414" t="n">
        <x:f>IF(ISNUMBER(H414),1,0)</x:f>
        <x:v>1</x:v>
      </x:c>
      <x:c r="AG414" t="n">
        <x:f>IF(ISNUMBER(I414),1,0)</x:f>
        <x:v>1</x:v>
      </x:c>
      <x:c r="AH414" t="str">
        <x:v>["230918","230918-LP-S-Z","LP","豹纹"]</x:v>
      </x:c>
      <x:c r="AI414" t="n">
        <x:f>IF(ISNUMBER(G414),1,0)</x:f>
        <x:v>1</x:v>
      </x:c>
      <x:c r="AJ414" t="n">
        <x:f>IF(ISNUMBER(AD414),1,0)</x:f>
        <x:v>1</x:v>
      </x:c>
    </x:row>
    <x:row r="415" ht="30" customHeight="1">
      <x:c r="A415" s="3" t="str">
        <x:v>230918-LP-S-Z-8</x:v>
      </x:c>
      <x:c r="B415" s="3" t="str">
        <x:v>1店-MUSSHOE-US</x:v>
      </x:c>
      <x:c r="C415" s="3" t="str">
        <x:v>艾年</x:v>
      </x:c>
      <x:c r="D415" s="3" t="str">
        <x:v>230918</x:v>
      </x:c>
      <x:c r="E415" s="3" t="str">
        <x:f>IF(Z415="移出","已移出",IF(NOT(ISNUMBER(H415)),"数据待核",IF(H415=0,"断货",IF(NOT(ISNUMBER(G415)),"数据待核",IF(G415=0,"零日销待复核",IF(F415&lt;60,"补货提醒",IF(F415&lt;=90,"正常库存",IF(F415&lt;180,"促销",IF(F415&lt;=365,"红线促销","考虑清仓")))))))))</x:f>
        <x:v>断货</x:v>
      </x:c>
      <x:c r="F415" s="11" t="n">
        <x:f>IF(AND(ISNUMBER(H415),ISNUMBER(G415),G415&gt;0),H415/G415,"")</x:f>
        <x:v>0</x:v>
      </x:c>
      <x:c r="G415" s="12" t="n">
        <x:f>IF(AND(COUNT(P415:R415)=3,MIN(P415:R415)&gt;=0,P415&lt;=Q415,Q415&lt;=R415),P415/7*0.5+Q415/14*0.3+R415/30*0.2,"")</x:f>
        <x:v>0.02666666666666667</x:v>
      </x:c>
      <x:c r="H415" s="10" t="n">
        <x:f>IF(ISNUMBER(U415),U415,"")</x:f>
        <x:v>0</x:v>
      </x:c>
      <x:c r="I415" s="10" t="n">
        <x:v>0</x:v>
      </x:c>
      <x:c r="J415" s="11" t="n">
        <x:f>IF(AND(Z415="共同",ISNUMBER(F415),ISNUMBER(M415)),F415-M415,"")</x:f>
        <x:v>0</x:v>
      </x:c>
      <x:c r="K415" s="13" t="str">
        <x:f>IF(AND(ISNUMBER(J415),M415&lt;&gt;0),J415/M415,"")</x:f>
      </x:c>
      <x:c r="L415" s="10" t="str">
        <x:v>断货</x:v>
      </x:c>
      <x:c r="M415" s="11" t="n">
        <x:v>0</x:v>
      </x:c>
      <x:c r="N415" s="10" t="n">
        <x:f>IF(AND(Z415="共同",COUNT(H415:I415)=2),H415-I415,"")</x:f>
        <x:v>0</x:v>
      </x:c>
      <x:c r="O415" s="10" t="n">
        <x:v>60</x:v>
      </x:c>
      <x:c r="P415" s="10" t="n">
        <x:v>0</x:v>
      </x:c>
      <x:c r="Q415" s="10" t="n">
        <x:v>0</x:v>
      </x:c>
      <x:c r="R415" s="10" t="n">
        <x:v>4</x:v>
      </x:c>
      <x:c r="S415" s="10" t="n">
        <x:v>3</x:v>
      </x:c>
      <x:c r="T415" s="10" t="n">
        <x:v>0</x:v>
      </x:c>
      <x:c r="U415" s="10" t="n">
        <x:f>IF(AND(ISNUMBER(X415),X415&gt;=0,Y415&lt;&gt;1),X415,"")</x:f>
        <x:v>0</x:v>
      </x:c>
      <x:c r="V415" s="10" t="n">
        <x:v>0</x:v>
      </x:c>
      <x:c r="W415" s="10" t="n">
        <x:v>90</x:v>
      </x:c>
      <x:c r="X415" s="10" t="n">
        <x:v>0</x:v>
      </x:c>
      <x:c r="Y415" s="3" t="n">
        <x:v>0</x:v>
      </x:c>
      <x:c r="Z415" s="3" t="str">
        <x:v>共同</x:v>
      </x:c>
      <x:c r="AA415" s="3" t="str">
        <x:v>停售</x:v>
      </x:c>
      <x:c r="AB415" s="12" t="n">
        <x:f>IF(AND(Z415="共同",ISNUMBER(G415),ISNUMBER(AD415)),G415-AD415,"")</x:f>
        <x:v>-0.04952380952380951</x:v>
      </x:c>
      <x:c r="AC415" s="3" t="str"/>
      <x:c r="AD415" s="12" t="n">
        <x:v>0.07619047619047618</x:v>
      </x:c>
      <x:c r="AE415" s="3" t="str">
        <x:v>[13120,"230918-LP-S-Z-8"]</x:v>
      </x:c>
      <x:c r="AF415" t="n">
        <x:f>IF(ISNUMBER(H415),1,0)</x:f>
        <x:v>1</x:v>
      </x:c>
      <x:c r="AG415" t="n">
        <x:f>IF(ISNUMBER(I415),1,0)</x:f>
        <x:v>1</x:v>
      </x:c>
      <x:c r="AH415" t="str">
        <x:v>["230918","230918-LP-S-Z","LP","豹纹"]</x:v>
      </x:c>
      <x:c r="AI415" t="n">
        <x:f>IF(ISNUMBER(G415),1,0)</x:f>
        <x:v>1</x:v>
      </x:c>
      <x:c r="AJ415" t="n">
        <x:f>IF(ISNUMBER(AD415),1,0)</x:f>
        <x:v>1</x:v>
      </x:c>
    </x:row>
    <x:row r="416" ht="30" customHeight="1">
      <x:c r="A416" s="3" t="str">
        <x:v>230918-LP-S-Z-9</x:v>
      </x:c>
      <x:c r="B416" s="3" t="str">
        <x:v>1店-MUSSHOE-US</x:v>
      </x:c>
      <x:c r="C416" s="3" t="str">
        <x:v>艾年</x:v>
      </x:c>
      <x:c r="D416" s="3" t="str">
        <x:v>230918</x:v>
      </x:c>
      <x:c r="E416" s="3" t="str">
        <x:f>IF(Z416="移出","已移出",IF(NOT(ISNUMBER(H416)),"数据待核",IF(H416=0,"断货",IF(NOT(ISNUMBER(G416)),"数据待核",IF(G416=0,"零日销待复核",IF(F416&lt;60,"补货提醒",IF(F416&lt;=90,"正常库存",IF(F416&lt;180,"促销",IF(F416&lt;=365,"红线促销","考虑清仓")))))))))</x:f>
        <x:v>断货</x:v>
      </x:c>
      <x:c r="F416" s="11" t="n">
        <x:f>IF(AND(ISNUMBER(H416),ISNUMBER(G416),G416&gt;0),H416/G416,"")</x:f>
        <x:v>0</x:v>
      </x:c>
      <x:c r="G416" s="12" t="n">
        <x:f>IF(AND(COUNT(P416:R416)=3,MIN(P416:R416)&gt;=0,P416&lt;=Q416,Q416&lt;=R416),P416/7*0.5+Q416/14*0.3+R416/30*0.2,"")</x:f>
        <x:v>1.2104761904761905</x:v>
      </x:c>
      <x:c r="H416" s="10" t="n">
        <x:f>IF(ISNUMBER(U416),U416,"")</x:f>
        <x:v>0</x:v>
      </x:c>
      <x:c r="I416" s="10" t="n">
        <x:v>0</x:v>
      </x:c>
      <x:c r="J416" s="11" t="n">
        <x:f>IF(AND(Z416="共同",ISNUMBER(F416),ISNUMBER(M416)),F416-M416,"")</x:f>
        <x:v>0</x:v>
      </x:c>
      <x:c r="K416" s="13" t="str">
        <x:f>IF(AND(ISNUMBER(J416),M416&lt;&gt;0),J416/M416,"")</x:f>
      </x:c>
      <x:c r="L416" s="10" t="str">
        <x:v>断货</x:v>
      </x:c>
      <x:c r="M416" s="11" t="n">
        <x:v>0</x:v>
      </x:c>
      <x:c r="N416" s="10" t="n">
        <x:f>IF(AND(Z416="共同",COUNT(H416:I416)=2),H416-I416,"")</x:f>
        <x:v>0</x:v>
      </x:c>
      <x:c r="O416" s="10" t="n">
        <x:v>8</x:v>
      </x:c>
      <x:c r="P416" s="10" t="n">
        <x:v>8</x:v>
      </x:c>
      <x:c r="Q416" s="10" t="n">
        <x:v>18</x:v>
      </x:c>
      <x:c r="R416" s="10" t="n">
        <x:v>38</x:v>
      </x:c>
      <x:c r="S416" s="10" t="n">
        <x:v>20</x:v>
      </x:c>
      <x:c r="T416" s="10" t="n">
        <x:v>6</x:v>
      </x:c>
      <x:c r="U416" s="10" t="n">
        <x:f>IF(AND(ISNUMBER(X416),X416&gt;=0,Y416&lt;&gt;1),X416,"")</x:f>
        <x:v>0</x:v>
      </x:c>
      <x:c r="V416" s="10" t="n">
        <x:v>0</x:v>
      </x:c>
      <x:c r="W416" s="10" t="n">
        <x:v>51</x:v>
      </x:c>
      <x:c r="X416" s="10" t="n">
        <x:v>0</x:v>
      </x:c>
      <x:c r="Y416" s="3" t="n">
        <x:v>0</x:v>
      </x:c>
      <x:c r="Z416" s="3" t="str">
        <x:v>共同</x:v>
      </x:c>
      <x:c r="AA416" s="3" t="str">
        <x:v>在售</x:v>
      </x:c>
      <x:c r="AB416" s="12" t="n">
        <x:f>IF(AND(Z416="共同",ISNUMBER(G416),ISNUMBER(AD416)),G416-AD416,"")</x:f>
        <x:v>-0.1461904761904762</x:v>
      </x:c>
      <x:c r="AC416" s="3" t="str"/>
      <x:c r="AD416" s="12" t="n">
        <x:v>1.3566666666666667</x:v>
      </x:c>
      <x:c r="AE416" s="3" t="str">
        <x:v>[13120,"230918-LP-S-Z-9"]</x:v>
      </x:c>
      <x:c r="AF416" t="n">
        <x:f>IF(ISNUMBER(H416),1,0)</x:f>
        <x:v>1</x:v>
      </x:c>
      <x:c r="AG416" t="n">
        <x:f>IF(ISNUMBER(I416),1,0)</x:f>
        <x:v>1</x:v>
      </x:c>
      <x:c r="AH416" t="str">
        <x:v>["230918","230918-LP-S-Z","LP","豹纹"]</x:v>
      </x:c>
      <x:c r="AI416" t="n">
        <x:f>IF(ISNUMBER(G416),1,0)</x:f>
        <x:v>1</x:v>
      </x:c>
      <x:c r="AJ416" t="n">
        <x:f>IF(ISNUMBER(AD416),1,0)</x:f>
        <x:v>1</x:v>
      </x:c>
    </x:row>
    <x:row r="417" ht="30" customHeight="1">
      <x:c r="A417" s="3" t="str">
        <x:v>2311062-GD-P-O-6</x:v>
      </x:c>
      <x:c r="B417" s="3" t="str">
        <x:v>4店-彬郁-US</x:v>
      </x:c>
      <x:c r="C417" s="3" t="str">
        <x:v>陈晨</x:v>
      </x:c>
      <x:c r="D417" s="3" t="str">
        <x:v>2311062</x:v>
      </x:c>
      <x:c r="E417" s="3" t="str">
        <x:f>IF(Z417="移出","已移出",IF(NOT(ISNUMBER(H417)),"数据待核",IF(H417=0,"断货",IF(NOT(ISNUMBER(G417)),"数据待核",IF(G417=0,"零日销待复核",IF(F417&lt;60,"补货提醒",IF(F417&lt;=90,"正常库存",IF(F417&lt;180,"促销",IF(F417&lt;=365,"红线促销","考虑清仓")))))))))</x:f>
        <x:v>断货</x:v>
      </x:c>
      <x:c r="F417" s="11" t="n">
        <x:f>IF(AND(ISNUMBER(H417),ISNUMBER(G417),G417&gt;0),H417/G417,"")</x:f>
        <x:v>0</x:v>
      </x:c>
      <x:c r="G417" s="12" t="n">
        <x:f>IF(AND(COUNT(P417:R417)=3,MIN(P417:R417)&gt;=0,P417&lt;=Q417,Q417&lt;=R417),P417/7*0.5+Q417/14*0.3+R417/30*0.2,"")</x:f>
        <x:v>1.2252380952380952</x:v>
      </x:c>
      <x:c r="H417" s="10" t="n">
        <x:f>IF(ISNUMBER(U417),U417,"")</x:f>
        <x:v>0</x:v>
      </x:c>
      <x:c r="I417" s="10" t="n">
        <x:v>0</x:v>
      </x:c>
      <x:c r="J417" s="11" t="n">
        <x:f>IF(AND(Z417="共同",ISNUMBER(F417),ISNUMBER(M417)),F417-M417,"")</x:f>
        <x:v>0</x:v>
      </x:c>
      <x:c r="K417" s="13" t="str">
        <x:f>IF(AND(ISNUMBER(J417),M417&lt;&gt;0),J417/M417,"")</x:f>
      </x:c>
      <x:c r="L417" s="10" t="str">
        <x:v>断货</x:v>
      </x:c>
      <x:c r="M417" s="11" t="n">
        <x:v>0</x:v>
      </x:c>
      <x:c r="N417" s="10" t="n">
        <x:f>IF(AND(Z417="共同",COUNT(H417:I417)=2),H417-I417,"")</x:f>
        <x:v>0</x:v>
      </x:c>
      <x:c r="O417" s="10" t="n">
        <x:v>38</x:v>
      </x:c>
      <x:c r="P417" s="10" t="n">
        <x:v>10</x:v>
      </x:c>
      <x:c r="Q417" s="10" t="n">
        <x:v>17</x:v>
      </x:c>
      <x:c r="R417" s="10" t="n">
        <x:v>22</x:v>
      </x:c>
      <x:c r="S417" s="10" t="n">
        <x:v>22</x:v>
      </x:c>
      <x:c r="T417" s="10" t="n">
        <x:v>7</x:v>
      </x:c>
      <x:c r="U417" s="10" t="n">
        <x:f>IF(AND(ISNUMBER(X417),X417&gt;=0,Y417&lt;&gt;1),X417,"")</x:f>
        <x:v>0</x:v>
      </x:c>
      <x:c r="V417" s="10" t="n">
        <x:v>0</x:v>
      </x:c>
      <x:c r="W417" s="10" t="n">
        <x:v>69</x:v>
      </x:c>
      <x:c r="X417" s="10" t="n">
        <x:v>0</x:v>
      </x:c>
      <x:c r="Y417" s="3" t="n">
        <x:v>0</x:v>
      </x:c>
      <x:c r="Z417" s="3" t="str">
        <x:v>共同</x:v>
      </x:c>
      <x:c r="AA417" s="3" t="str">
        <x:v>在售</x:v>
      </x:c>
      <x:c r="AB417" s="12" t="n">
        <x:f>IF(AND(Z417="共同",ISNUMBER(G417),ISNUMBER(AD417)),G417-AD417,"")</x:f>
        <x:v>0.8766666666666667</x:v>
      </x:c>
      <x:c r="AC417" s="3" t="str"/>
      <x:c r="AD417" s="12" t="n">
        <x:v>0.3485714285714286</x:v>
      </x:c>
      <x:c r="AE417" s="3" t="str">
        <x:v>[13306,"2311062-GD-P-O-6"]</x:v>
      </x:c>
      <x:c r="AF417" t="n">
        <x:f>IF(ISNUMBER(H417),1,0)</x:f>
        <x:v>1</x:v>
      </x:c>
      <x:c r="AG417" t="n">
        <x:f>IF(ISNUMBER(I417),1,0)</x:f>
        <x:v>1</x:v>
      </x:c>
      <x:c r="AH417" t="str">
        <x:v>["2311062","2311062-GD-P-O","GD-P","金色 PU"]</x:v>
      </x:c>
      <x:c r="AI417" t="n">
        <x:f>IF(ISNUMBER(G417),1,0)</x:f>
        <x:v>1</x:v>
      </x:c>
      <x:c r="AJ417" t="n">
        <x:f>IF(ISNUMBER(AD417),1,0)</x:f>
        <x:v>1</x:v>
      </x:c>
    </x:row>
    <x:row r="418" ht="30" customHeight="1">
      <x:c r="A418" s="3" t="str">
        <x:v>2311062-RD-P-O-10</x:v>
      </x:c>
      <x:c r="B418" s="3" t="str">
        <x:v>4店-彬郁-US</x:v>
      </x:c>
      <x:c r="C418" s="3" t="str">
        <x:v>陈晨</x:v>
      </x:c>
      <x:c r="D418" s="3" t="str">
        <x:v>2311062</x:v>
      </x:c>
      <x:c r="E418" s="3" t="str">
        <x:f>IF(Z418="移出","已移出",IF(NOT(ISNUMBER(H418)),"数据待核",IF(H418=0,"断货",IF(NOT(ISNUMBER(G418)),"数据待核",IF(G418=0,"零日销待复核",IF(F418&lt;60,"补货提醒",IF(F418&lt;=90,"正常库存",IF(F418&lt;180,"促销",IF(F418&lt;=365,"红线促销","考虑清仓")))))))))</x:f>
        <x:v>断货</x:v>
      </x:c>
      <x:c r="F418" s="11" t="str">
        <x:f>IF(AND(ISNUMBER(H418),ISNUMBER(G418),G418&gt;0),H418/G418,"")</x:f>
      </x:c>
      <x:c r="G418" s="12" t="n">
        <x:f>IF(AND(COUNT(P418:R418)=3,MIN(P418:R418)&gt;=0,P418&lt;=Q418,Q418&lt;=R418),P418/7*0.5+Q418/14*0.3+R418/30*0.2,"")</x:f>
        <x:v>0</x:v>
      </x:c>
      <x:c r="H418" s="10" t="n">
        <x:f>IF(ISNUMBER(U418),U418,"")</x:f>
        <x:v>0</x:v>
      </x:c>
      <x:c r="I418" s="10"/>
      <x:c r="J418" s="11" t="str">
        <x:f>IF(AND(Z418="共同",ISNUMBER(F418),ISNUMBER(M418)),F418-M418,"")</x:f>
      </x:c>
      <x:c r="K418" s="13" t="str">
        <x:f>IF(AND(ISNUMBER(J418),M418&lt;&gt;0),J418/M418,"")</x:f>
      </x:c>
      <x:c r="L418" s="10"/>
      <x:c r="M418" s="11"/>
      <x:c r="N418" s="10" t="str">
        <x:f>IF(AND(Z418="共同",COUNT(H418:I418)=2),H418-I418,"")</x:f>
      </x:c>
      <x:c r="O418" s="10" t="n">
        <x:v>0</x:v>
      </x:c>
      <x:c r="P418" s="10" t="n">
        <x:v>0</x:v>
      </x:c>
      <x:c r="Q418" s="10" t="n">
        <x:v>0</x:v>
      </x:c>
      <x:c r="R418" s="10" t="n">
        <x:v>0</x:v>
      </x:c>
      <x:c r="S418" s="10" t="n">
        <x:v>0</x:v>
      </x:c>
      <x:c r="T418" s="10" t="n">
        <x:v>0</x:v>
      </x:c>
      <x:c r="U418" s="10" t="n">
        <x:f>IF(AND(ISNUMBER(X418),X418&gt;=0,Y418&lt;&gt;1),X418,"")</x:f>
        <x:v>0</x:v>
      </x:c>
      <x:c r="V418" s="10" t="n">
        <x:v>0</x:v>
      </x:c>
      <x:c r="W418" s="10" t="n">
        <x:v>0</x:v>
      </x:c>
      <x:c r="X418" s="10" t="n">
        <x:v>0</x:v>
      </x:c>
      <x:c r="Y418" s="3" t="n">
        <x:v>0</x:v>
      </x:c>
      <x:c r="Z418" s="3" t="str">
        <x:v>新增</x:v>
      </x:c>
      <x:c r="AA418" s="3" t="str">
        <x:v>停售</x:v>
      </x:c>
      <x:c r="AB418" s="12" t="str">
        <x:f>IF(AND(Z418="共同",ISNUMBER(G418),ISNUMBER(AD418)),G418-AD418,"")</x:f>
      </x:c>
      <x:c r="AC418" s="3" t="str">
        <x:v>近90天SKU销量未匹配，未按0处理</x:v>
      </x:c>
      <x:c r="AD418" s="12"/>
      <x:c r="AE418" s="3" t="str">
        <x:v>[13306,"2311062-RD-P-O-10"]</x:v>
      </x:c>
      <x:c r="AF418" t="n">
        <x:f>IF(ISNUMBER(H418),1,0)</x:f>
        <x:v>1</x:v>
      </x:c>
      <x:c r="AG418" t="n">
        <x:f>IF(ISNUMBER(I418),1,0)</x:f>
        <x:v>0</x:v>
      </x:c>
      <x:c r="AH418" t="str">
        <x:v>["2311062","2311062-RD-P-O","RD-P","酒红 PU"]</x:v>
      </x:c>
      <x:c r="AI418" t="n">
        <x:f>IF(ISNUMBER(G418),1,0)</x:f>
        <x:v>1</x:v>
      </x:c>
      <x:c r="AJ418" t="n">
        <x:f>IF(ISNUMBER(AD418),1,0)</x:f>
        <x:v>0</x:v>
      </x:c>
    </x:row>
    <x:row r="419" ht="30" customHeight="1">
      <x:c r="A419" s="3" t="str">
        <x:v>2311062-RD-P-O-6</x:v>
      </x:c>
      <x:c r="B419" s="3" t="str">
        <x:v>4店-彬郁-US</x:v>
      </x:c>
      <x:c r="C419" s="3" t="str">
        <x:v>陈晨</x:v>
      </x:c>
      <x:c r="D419" s="3" t="str">
        <x:v>2311062</x:v>
      </x:c>
      <x:c r="E419" s="3" t="str">
        <x:f>IF(Z419="移出","已移出",IF(NOT(ISNUMBER(H419)),"数据待核",IF(H419=0,"断货",IF(NOT(ISNUMBER(G419)),"数据待核",IF(G419=0,"零日销待复核",IF(F419&lt;60,"补货提醒",IF(F419&lt;=90,"正常库存",IF(F419&lt;180,"促销",IF(F419&lt;=365,"红线促销","考虑清仓")))))))))</x:f>
        <x:v>断货</x:v>
      </x:c>
      <x:c r="F419" s="11" t="str">
        <x:f>IF(AND(ISNUMBER(H419),ISNUMBER(G419),G419&gt;0),H419/G419,"")</x:f>
      </x:c>
      <x:c r="G419" s="12" t="n">
        <x:f>IF(AND(COUNT(P419:R419)=3,MIN(P419:R419)&gt;=0,P419&lt;=Q419,Q419&lt;=R419),P419/7*0.5+Q419/14*0.3+R419/30*0.2,"")</x:f>
        <x:v>0</x:v>
      </x:c>
      <x:c r="H419" s="10" t="n">
        <x:f>IF(ISNUMBER(U419),U419,"")</x:f>
        <x:v>0</x:v>
      </x:c>
      <x:c r="I419" s="10"/>
      <x:c r="J419" s="11" t="str">
        <x:f>IF(AND(Z419="共同",ISNUMBER(F419),ISNUMBER(M419)),F419-M419,"")</x:f>
      </x:c>
      <x:c r="K419" s="13" t="str">
        <x:f>IF(AND(ISNUMBER(J419),M419&lt;&gt;0),J419/M419,"")</x:f>
      </x:c>
      <x:c r="L419" s="10"/>
      <x:c r="M419" s="11"/>
      <x:c r="N419" s="10" t="str">
        <x:f>IF(AND(Z419="共同",COUNT(H419:I419)=2),H419-I419,"")</x:f>
      </x:c>
      <x:c r="O419" s="10" t="n">
        <x:v>0</x:v>
      </x:c>
      <x:c r="P419" s="10" t="n">
        <x:v>0</x:v>
      </x:c>
      <x:c r="Q419" s="10" t="n">
        <x:v>0</x:v>
      </x:c>
      <x:c r="R419" s="10" t="n">
        <x:v>0</x:v>
      </x:c>
      <x:c r="S419" s="10" t="n">
        <x:v>0</x:v>
      </x:c>
      <x:c r="T419" s="10" t="n">
        <x:v>0</x:v>
      </x:c>
      <x:c r="U419" s="10" t="n">
        <x:f>IF(AND(ISNUMBER(X419),X419&gt;=0,Y419&lt;&gt;1),X419,"")</x:f>
        <x:v>0</x:v>
      </x:c>
      <x:c r="V419" s="10" t="n">
        <x:v>0</x:v>
      </x:c>
      <x:c r="W419" s="10" t="n">
        <x:v>0</x:v>
      </x:c>
      <x:c r="X419" s="10" t="n">
        <x:v>0</x:v>
      </x:c>
      <x:c r="Y419" s="3" t="n">
        <x:v>0</x:v>
      </x:c>
      <x:c r="Z419" s="3" t="str">
        <x:v>新增</x:v>
      </x:c>
      <x:c r="AA419" s="3" t="str">
        <x:v>停售</x:v>
      </x:c>
      <x:c r="AB419" s="12" t="str">
        <x:f>IF(AND(Z419="共同",ISNUMBER(G419),ISNUMBER(AD419)),G419-AD419,"")</x:f>
      </x:c>
      <x:c r="AC419" s="3" t="str">
        <x:v>近90天SKU销量未匹配，未按0处理</x:v>
      </x:c>
      <x:c r="AD419" s="12"/>
      <x:c r="AE419" s="3" t="str">
        <x:v>[13306,"2311062-RD-P-O-6"]</x:v>
      </x:c>
      <x:c r="AF419" t="n">
        <x:f>IF(ISNUMBER(H419),1,0)</x:f>
        <x:v>1</x:v>
      </x:c>
      <x:c r="AG419" t="n">
        <x:f>IF(ISNUMBER(I419),1,0)</x:f>
        <x:v>0</x:v>
      </x:c>
      <x:c r="AH419" t="str">
        <x:v>["2311062","2311062-RD-P-O","RD-P","酒红 PU"]</x:v>
      </x:c>
      <x:c r="AI419" t="n">
        <x:f>IF(ISNUMBER(G419),1,0)</x:f>
        <x:v>1</x:v>
      </x:c>
      <x:c r="AJ419" t="n">
        <x:f>IF(ISNUMBER(AD419),1,0)</x:f>
        <x:v>0</x:v>
      </x:c>
    </x:row>
    <x:row r="420" ht="30" customHeight="1">
      <x:c r="A420" s="3" t="str">
        <x:v>2311062-RD-P-O-7</x:v>
      </x:c>
      <x:c r="B420" s="3" t="str">
        <x:v>4店-彬郁-US</x:v>
      </x:c>
      <x:c r="C420" s="3" t="str">
        <x:v>陈晨</x:v>
      </x:c>
      <x:c r="D420" s="3" t="str">
        <x:v>2311062</x:v>
      </x:c>
      <x:c r="E420" s="3" t="str">
        <x:f>IF(Z420="移出","已移出",IF(NOT(ISNUMBER(H420)),"数据待核",IF(H420=0,"断货",IF(NOT(ISNUMBER(G420)),"数据待核",IF(G420=0,"零日销待复核",IF(F420&lt;60,"补货提醒",IF(F420&lt;=90,"正常库存",IF(F420&lt;180,"促销",IF(F420&lt;=365,"红线促销","考虑清仓")))))))))</x:f>
        <x:v>断货</x:v>
      </x:c>
      <x:c r="F420" s="11" t="n">
        <x:f>IF(AND(ISNUMBER(H420),ISNUMBER(G420),G420&gt;0),H420/G420,"")</x:f>
        <x:v>0</x:v>
      </x:c>
      <x:c r="G420" s="12" t="n">
        <x:f>IF(AND(COUNT(P420:R420)=3,MIN(P420:R420)&gt;=0,P420&lt;=Q420,Q420&lt;=R420),P420/7*0.5+Q420/14*0.3+R420/30*0.2,"")</x:f>
        <x:v>0.10619047619047618</x:v>
      </x:c>
      <x:c r="H420" s="10" t="n">
        <x:f>IF(ISNUMBER(U420),U420,"")</x:f>
        <x:v>0</x:v>
      </x:c>
      <x:c r="I420" s="10" t="n">
        <x:v>0</x:v>
      </x:c>
      <x:c r="J420" s="11" t="n">
        <x:f>IF(AND(Z420="共同",ISNUMBER(F420),ISNUMBER(M420)),F420-M420,"")</x:f>
        <x:v>0</x:v>
      </x:c>
      <x:c r="K420" s="13" t="str">
        <x:f>IF(AND(ISNUMBER(J420),M420&lt;&gt;0),J420/M420,"")</x:f>
      </x:c>
      <x:c r="L420" s="10" t="str">
        <x:v>断货</x:v>
      </x:c>
      <x:c r="M420" s="11" t="n">
        <x:v>0</x:v>
      </x:c>
      <x:c r="N420" s="10" t="n">
        <x:f>IF(AND(Z420="共同",COUNT(H420:I420)=2),H420-I420,"")</x:f>
        <x:v>0</x:v>
      </x:c>
      <x:c r="O420" s="10" t="n">
        <x:v>0</x:v>
      </x:c>
      <x:c r="P420" s="10" t="n">
        <x:v>1</x:v>
      </x:c>
      <x:c r="Q420" s="10" t="n">
        <x:v>1</x:v>
      </x:c>
      <x:c r="R420" s="10" t="n">
        <x:v>2</x:v>
      </x:c>
      <x:c r="S420" s="10" t="n">
        <x:v>40</x:v>
      </x:c>
      <x:c r="T420" s="10" t="n">
        <x:v>2</x:v>
      </x:c>
      <x:c r="U420" s="10" t="n">
        <x:f>IF(AND(ISNUMBER(X420),X420&gt;=0,Y420&lt;&gt;1),X420,"")</x:f>
        <x:v>0</x:v>
      </x:c>
      <x:c r="V420" s="10" t="n">
        <x:v>0</x:v>
      </x:c>
      <x:c r="W420" s="10" t="n">
        <x:v>0</x:v>
      </x:c>
      <x:c r="X420" s="10" t="n">
        <x:v>0</x:v>
      </x:c>
      <x:c r="Y420" s="3" t="n">
        <x:v>0</x:v>
      </x:c>
      <x:c r="Z420" s="3" t="str">
        <x:v>共同</x:v>
      </x:c>
      <x:c r="AA420" s="3" t="str">
        <x:v>在售</x:v>
      </x:c>
      <x:c r="AB420" s="12" t="n">
        <x:f>IF(AND(Z420="共同",ISNUMBER(G420),ISNUMBER(AD420)),G420-AD420,"")</x:f>
        <x:v>0.07809523809523808</x:v>
      </x:c>
      <x:c r="AC420" s="3" t="str"/>
      <x:c r="AD420" s="12" t="n">
        <x:v>0.028095238095238097</x:v>
      </x:c>
      <x:c r="AE420" s="3" t="str">
        <x:v>[13306,"2311062-RD-P-O-7"]</x:v>
      </x:c>
      <x:c r="AF420" t="n">
        <x:f>IF(ISNUMBER(H420),1,0)</x:f>
        <x:v>1</x:v>
      </x:c>
      <x:c r="AG420" t="n">
        <x:f>IF(ISNUMBER(I420),1,0)</x:f>
        <x:v>1</x:v>
      </x:c>
      <x:c r="AH420" t="str">
        <x:v>["2311062","2311062-RD-P-O","RD-P","酒红 PU"]</x:v>
      </x:c>
      <x:c r="AI420" t="n">
        <x:f>IF(ISNUMBER(G420),1,0)</x:f>
        <x:v>1</x:v>
      </x:c>
      <x:c r="AJ420" t="n">
        <x:f>IF(ISNUMBER(AD420),1,0)</x:f>
        <x:v>1</x:v>
      </x:c>
    </x:row>
    <x:row r="421" ht="30" customHeight="1">
      <x:c r="A421" s="3" t="str">
        <x:v>2311062-RD-P-O-8</x:v>
      </x:c>
      <x:c r="B421" s="3" t="str">
        <x:v>4店-彬郁-US</x:v>
      </x:c>
      <x:c r="C421" s="3" t="str">
        <x:v>陈晨</x:v>
      </x:c>
      <x:c r="D421" s="3" t="str">
        <x:v>2311062</x:v>
      </x:c>
      <x:c r="E421" s="3" t="str">
        <x:f>IF(Z421="移出","已移出",IF(NOT(ISNUMBER(H421)),"数据待核",IF(H421=0,"断货",IF(NOT(ISNUMBER(G421)),"数据待核",IF(G421=0,"零日销待复核",IF(F421&lt;60,"补货提醒",IF(F421&lt;=90,"正常库存",IF(F421&lt;180,"促销",IF(F421&lt;=365,"红线促销","考虑清仓")))))))))</x:f>
        <x:v>断货</x:v>
      </x:c>
      <x:c r="F421" s="11" t="n">
        <x:f>IF(AND(ISNUMBER(H421),ISNUMBER(G421),G421&gt;0),H421/G421,"")</x:f>
        <x:v>0</x:v>
      </x:c>
      <x:c r="G421" s="12" t="n">
        <x:f>IF(AND(COUNT(P421:R421)=3,MIN(P421:R421)&gt;=0,P421&lt;=Q421,Q421&lt;=R421),P421/7*0.5+Q421/14*0.3+R421/30*0.2,"")</x:f>
        <x:v>0.10619047619047618</x:v>
      </x:c>
      <x:c r="H421" s="10" t="n">
        <x:f>IF(ISNUMBER(U421),U421,"")</x:f>
        <x:v>0</x:v>
      </x:c>
      <x:c r="I421" s="10" t="n">
        <x:v>0</x:v>
      </x:c>
      <x:c r="J421" s="11" t="n">
        <x:f>IF(AND(Z421="共同",ISNUMBER(F421),ISNUMBER(M421)),F421-M421,"")</x:f>
        <x:v>0</x:v>
      </x:c>
      <x:c r="K421" s="13" t="str">
        <x:f>IF(AND(ISNUMBER(J421),M421&lt;&gt;0),J421/M421,"")</x:f>
      </x:c>
      <x:c r="L421" s="10" t="str">
        <x:v>断货</x:v>
      </x:c>
      <x:c r="M421" s="11" t="n">
        <x:v>0</x:v>
      </x:c>
      <x:c r="N421" s="10" t="n">
        <x:f>IF(AND(Z421="共同",COUNT(H421:I421)=2),H421-I421,"")</x:f>
        <x:v>0</x:v>
      </x:c>
      <x:c r="O421" s="10" t="n">
        <x:v>0</x:v>
      </x:c>
      <x:c r="P421" s="10" t="n">
        <x:v>1</x:v>
      </x:c>
      <x:c r="Q421" s="10" t="n">
        <x:v>1</x:v>
      </x:c>
      <x:c r="R421" s="10" t="n">
        <x:v>2</x:v>
      </x:c>
      <x:c r="S421" s="10" t="n">
        <x:v>40</x:v>
      </x:c>
      <x:c r="T421" s="10" t="n">
        <x:v>1</x:v>
      </x:c>
      <x:c r="U421" s="10" t="n">
        <x:f>IF(AND(ISNUMBER(X421),X421&gt;=0,Y421&lt;&gt;1),X421,"")</x:f>
        <x:v>0</x:v>
      </x:c>
      <x:c r="V421" s="10" t="n">
        <x:v>0</x:v>
      </x:c>
      <x:c r="W421" s="10" t="n">
        <x:v>31</x:v>
      </x:c>
      <x:c r="X421" s="10" t="n">
        <x:v>0</x:v>
      </x:c>
      <x:c r="Y421" s="3" t="n">
        <x:v>0</x:v>
      </x:c>
      <x:c r="Z421" s="3" t="str">
        <x:v>共同</x:v>
      </x:c>
      <x:c r="AA421" s="3" t="str">
        <x:v>在售</x:v>
      </x:c>
      <x:c r="AB421" s="12" t="n">
        <x:f>IF(AND(Z421="共同",ISNUMBER(G421),ISNUMBER(AD421)),G421-AD421,"")</x:f>
        <x:v>-1.3877787807814457e-17</x:v>
      </x:c>
      <x:c r="AC421" s="3" t="str"/>
      <x:c r="AD421" s="12" t="n">
        <x:v>0.1061904761904762</x:v>
      </x:c>
      <x:c r="AE421" s="3" t="str">
        <x:v>[13306,"2311062-RD-P-O-8"]</x:v>
      </x:c>
      <x:c r="AF421" t="n">
        <x:f>IF(ISNUMBER(H421),1,0)</x:f>
        <x:v>1</x:v>
      </x:c>
      <x:c r="AG421" t="n">
        <x:f>IF(ISNUMBER(I421),1,0)</x:f>
        <x:v>1</x:v>
      </x:c>
      <x:c r="AH421" t="str">
        <x:v>["2311062","2311062-RD-P-O","RD-P","酒红 PU"]</x:v>
      </x:c>
      <x:c r="AI421" t="n">
        <x:f>IF(ISNUMBER(G421),1,0)</x:f>
        <x:v>1</x:v>
      </x:c>
      <x:c r="AJ421" t="n">
        <x:f>IF(ISNUMBER(AD421),1,0)</x:f>
        <x:v>1</x:v>
      </x:c>
    </x:row>
    <x:row r="422" ht="30" customHeight="1">
      <x:c r="A422" s="3" t="str">
        <x:v>2311062-RD-P-O-9</x:v>
      </x:c>
      <x:c r="B422" s="3" t="str">
        <x:v>4店-彬郁-US</x:v>
      </x:c>
      <x:c r="C422" s="3" t="str">
        <x:v>陈晨</x:v>
      </x:c>
      <x:c r="D422" s="3" t="str">
        <x:v>2311062</x:v>
      </x:c>
      <x:c r="E422" s="3" t="str">
        <x:f>IF(Z422="移出","已移出",IF(NOT(ISNUMBER(H422)),"数据待核",IF(H422=0,"断货",IF(NOT(ISNUMBER(G422)),"数据待核",IF(G422=0,"零日销待复核",IF(F422&lt;60,"补货提醒",IF(F422&lt;=90,"正常库存",IF(F422&lt;180,"促销",IF(F422&lt;=365,"红线促销","考虑清仓")))))))))</x:f>
        <x:v>断货</x:v>
      </x:c>
      <x:c r="F422" s="11" t="str">
        <x:f>IF(AND(ISNUMBER(H422),ISNUMBER(G422),G422&gt;0),H422/G422,"")</x:f>
      </x:c>
      <x:c r="G422" s="12" t="n">
        <x:f>IF(AND(COUNT(P422:R422)=3,MIN(P422:R422)&gt;=0,P422&lt;=Q422,Q422&lt;=R422),P422/7*0.5+Q422/14*0.3+R422/30*0.2,"")</x:f>
        <x:v>0</x:v>
      </x:c>
      <x:c r="H422" s="10" t="n">
        <x:f>IF(ISNUMBER(U422),U422,"")</x:f>
        <x:v>0</x:v>
      </x:c>
      <x:c r="I422" s="10" t="n">
        <x:v>0</x:v>
      </x:c>
      <x:c r="J422" s="11" t="str">
        <x:f>IF(AND(Z422="共同",ISNUMBER(F422),ISNUMBER(M422)),F422-M422,"")</x:f>
      </x:c>
      <x:c r="K422" s="13" t="str">
        <x:f>IF(AND(ISNUMBER(J422),M422&lt;&gt;0),J422/M422,"")</x:f>
      </x:c>
      <x:c r="L422" s="10" t="str">
        <x:v>断货</x:v>
      </x:c>
      <x:c r="M422" s="11" t="n">
        <x:v>0</x:v>
      </x:c>
      <x:c r="N422" s="10" t="n">
        <x:f>IF(AND(Z422="共同",COUNT(H422:I422)=2),H422-I422,"")</x:f>
        <x:v>0</x:v>
      </x:c>
      <x:c r="O422" s="10" t="n">
        <x:v>1</x:v>
      </x:c>
      <x:c r="P422" s="10" t="n">
        <x:v>0</x:v>
      </x:c>
      <x:c r="Q422" s="10" t="n">
        <x:v>0</x:v>
      </x:c>
      <x:c r="R422" s="10" t="n">
        <x:v>0</x:v>
      </x:c>
      <x:c r="S422" s="10" t="n">
        <x:v>40</x:v>
      </x:c>
      <x:c r="T422" s="10" t="n">
        <x:v>0</x:v>
      </x:c>
      <x:c r="U422" s="10" t="n">
        <x:f>IF(AND(ISNUMBER(X422),X422&gt;=0,Y422&lt;&gt;1),X422,"")</x:f>
        <x:v>0</x:v>
      </x:c>
      <x:c r="V422" s="10" t="n">
        <x:v>0</x:v>
      </x:c>
      <x:c r="W422" s="10" t="n">
        <x:v>40</x:v>
      </x:c>
      <x:c r="X422" s="10" t="n">
        <x:v>0</x:v>
      </x:c>
      <x:c r="Y422" s="3" t="n">
        <x:v>0</x:v>
      </x:c>
      <x:c r="Z422" s="3" t="str">
        <x:v>共同</x:v>
      </x:c>
      <x:c r="AA422" s="3" t="str">
        <x:v>在售</x:v>
      </x:c>
      <x:c r="AB422" s="12" t="n">
        <x:f>IF(AND(Z422="共同",ISNUMBER(G422),ISNUMBER(AD422)),G422-AD422,"")</x:f>
        <x:v>-0.006666666666666666</x:v>
      </x:c>
      <x:c r="AC422" s="3" t="str"/>
      <x:c r="AD422" s="12" t="n">
        <x:v>0.006666666666666666</x:v>
      </x:c>
      <x:c r="AE422" s="3" t="str">
        <x:v>[13306,"2311062-RD-P-O-9"]</x:v>
      </x:c>
      <x:c r="AF422" t="n">
        <x:f>IF(ISNUMBER(H422),1,0)</x:f>
        <x:v>1</x:v>
      </x:c>
      <x:c r="AG422" t="n">
        <x:f>IF(ISNUMBER(I422),1,0)</x:f>
        <x:v>1</x:v>
      </x:c>
      <x:c r="AH422" t="str">
        <x:v>["2311062","2311062-RD-P-O","RD-P","酒红 PU"]</x:v>
      </x:c>
      <x:c r="AI422" t="n">
        <x:f>IF(ISNUMBER(G422),1,0)</x:f>
        <x:v>1</x:v>
      </x:c>
      <x:c r="AJ422" t="n">
        <x:f>IF(ISNUMBER(AD422),1,0)</x:f>
        <x:v>1</x:v>
      </x:c>
    </x:row>
    <x:row r="423" ht="30" customHeight="1">
      <x:c r="A423" s="3" t="str">
        <x:v>2311062-TN-P-O-6</x:v>
      </x:c>
      <x:c r="B423" s="3" t="str">
        <x:v>4店-彬郁-US</x:v>
      </x:c>
      <x:c r="C423" s="3" t="str">
        <x:v>陈晨</x:v>
      </x:c>
      <x:c r="D423" s="3" t="str">
        <x:v>2311062</x:v>
      </x:c>
      <x:c r="E423" s="3" t="str">
        <x:f>IF(Z423="移出","已移出",IF(NOT(ISNUMBER(H423)),"数据待核",IF(H423=0,"断货",IF(NOT(ISNUMBER(G423)),"数据待核",IF(G423=0,"零日销待复核",IF(F423&lt;60,"补货提醒",IF(F423&lt;=90,"正常库存",IF(F423&lt;180,"促销",IF(F423&lt;=365,"红线促销","考虑清仓")))))))))</x:f>
        <x:v>断货</x:v>
      </x:c>
      <x:c r="F423" s="11" t="str">
        <x:f>IF(AND(ISNUMBER(H423),ISNUMBER(G423),G423&gt;0),H423/G423,"")</x:f>
      </x:c>
      <x:c r="G423" s="12" t="n">
        <x:f>IF(AND(COUNT(P423:R423)=3,MIN(P423:R423)&gt;=0,P423&lt;=Q423,Q423&lt;=R423),P423/7*0.5+Q423/14*0.3+R423/30*0.2,"")</x:f>
        <x:v>0</x:v>
      </x:c>
      <x:c r="H423" s="10" t="n">
        <x:f>IF(ISNUMBER(U423),U423,"")</x:f>
        <x:v>0</x:v>
      </x:c>
      <x:c r="I423" s="10"/>
      <x:c r="J423" s="11" t="str">
        <x:f>IF(AND(Z423="共同",ISNUMBER(F423),ISNUMBER(M423)),F423-M423,"")</x:f>
      </x:c>
      <x:c r="K423" s="13" t="str">
        <x:f>IF(AND(ISNUMBER(J423),M423&lt;&gt;0),J423/M423,"")</x:f>
      </x:c>
      <x:c r="L423" s="10"/>
      <x:c r="M423" s="11"/>
      <x:c r="N423" s="10" t="str">
        <x:f>IF(AND(Z423="共同",COUNT(H423:I423)=2),H423-I423,"")</x:f>
      </x:c>
      <x:c r="O423" s="10"/>
      <x:c r="P423" s="10" t="n">
        <x:v>0</x:v>
      </x:c>
      <x:c r="Q423" s="10" t="n">
        <x:v>0</x:v>
      </x:c>
      <x:c r="R423" s="10" t="n">
        <x:v>0</x:v>
      </x:c>
      <x:c r="S423" s="10" t="n">
        <x:v>0</x:v>
      </x:c>
      <x:c r="T423" s="10" t="n">
        <x:v>0</x:v>
      </x:c>
      <x:c r="U423" s="10" t="n">
        <x:f>IF(AND(ISNUMBER(X423),X423&gt;=0,Y423&lt;&gt;1),X423,"")</x:f>
        <x:v>0</x:v>
      </x:c>
      <x:c r="V423" s="10" t="n">
        <x:v>0</x:v>
      </x:c>
      <x:c r="W423" s="10" t="n">
        <x:v>0</x:v>
      </x:c>
      <x:c r="X423" s="10" t="n">
        <x:v>0</x:v>
      </x:c>
      <x:c r="Y423" s="3" t="n">
        <x:v>0</x:v>
      </x:c>
      <x:c r="Z423" s="3" t="str">
        <x:v>新增</x:v>
      </x:c>
      <x:c r="AA423" s="3" t="str">
        <x:v>停售</x:v>
      </x:c>
      <x:c r="AB423" s="12" t="str">
        <x:f>IF(AND(Z423="共同",ISNUMBER(G423),ISNUMBER(AD423)),G423-AD423,"")</x:f>
      </x:c>
      <x:c r="AC423" s="3" t="str">
        <x:v>近90天SKU销量未匹配，未按0处理</x:v>
      </x:c>
      <x:c r="AD423" s="12"/>
      <x:c r="AE423" s="3" t="str">
        <x:v>[13306,"2311062-TN-P-O-6"]</x:v>
      </x:c>
      <x:c r="AF423" t="n">
        <x:f>IF(ISNUMBER(H423),1,0)</x:f>
        <x:v>1</x:v>
      </x:c>
      <x:c r="AG423" t="n">
        <x:f>IF(ISNUMBER(I423),1,0)</x:f>
        <x:v>0</x:v>
      </x:c>
      <x:c r="AH423" t="str">
        <x:v>["2311062","2311062-TN-P-O","TN-P","驼色 PU"]</x:v>
      </x:c>
      <x:c r="AI423" t="n">
        <x:f>IF(ISNUMBER(G423),1,0)</x:f>
        <x:v>1</x:v>
      </x:c>
      <x:c r="AJ423" t="n">
        <x:f>IF(ISNUMBER(AD423),1,0)</x:f>
        <x:v>0</x:v>
      </x:c>
    </x:row>
    <x:row r="424" ht="30" customHeight="1">
      <x:c r="A424" s="3" t="str">
        <x:v>2311062-WT-P-O-11</x:v>
      </x:c>
      <x:c r="B424" s="3" t="str">
        <x:v>4店-彬郁-US</x:v>
      </x:c>
      <x:c r="C424" s="3" t="str">
        <x:v>陈晨</x:v>
      </x:c>
      <x:c r="D424" s="3" t="str">
        <x:v>2311062</x:v>
      </x:c>
      <x:c r="E424" s="3" t="str">
        <x:f>IF(Z424="移出","已移出",IF(NOT(ISNUMBER(H424)),"数据待核",IF(H424=0,"断货",IF(NOT(ISNUMBER(G424)),"数据待核",IF(G424=0,"零日销待复核",IF(F424&lt;60,"补货提醒",IF(F424&lt;=90,"正常库存",IF(F424&lt;180,"促销",IF(F424&lt;=365,"红线促销","考虑清仓")))))))))</x:f>
        <x:v>断货</x:v>
      </x:c>
      <x:c r="F424" s="11" t="n">
        <x:f>IF(AND(ISNUMBER(H424),ISNUMBER(G424),G424&gt;0),H424/G424,"")</x:f>
        <x:v>0</x:v>
      </x:c>
      <x:c r="G424" s="12" t="n">
        <x:f>IF(AND(COUNT(P424:R424)=3,MIN(P424:R424)&gt;=0,P424&lt;=Q424,Q424&lt;=R424),P424/7*0.5+Q424/14*0.3+R424/30*0.2,"")</x:f>
        <x:v>0.09952380952380951</x:v>
      </x:c>
      <x:c r="H424" s="10" t="n">
        <x:f>IF(ISNUMBER(U424),U424,"")</x:f>
        <x:v>0</x:v>
      </x:c>
      <x:c r="I424" s="10" t="n">
        <x:v>0</x:v>
      </x:c>
      <x:c r="J424" s="11" t="str">
        <x:f>IF(AND(Z424="共同",ISNUMBER(F424),ISNUMBER(M424)),F424-M424,"")</x:f>
      </x:c>
      <x:c r="K424" s="13" t="str">
        <x:f>IF(AND(ISNUMBER(J424),M424&lt;&gt;0),J424/M424,"")</x:f>
      </x:c>
      <x:c r="L424" s="10" t="str">
        <x:v>断货</x:v>
      </x:c>
      <x:c r="M424" s="11"/>
      <x:c r="N424" s="10" t="n">
        <x:f>IF(AND(Z424="共同",COUNT(H424:I424)=2),H424-I424,"")</x:f>
        <x:v>0</x:v>
      </x:c>
      <x:c r="O424" s="10" t="n">
        <x:v>50</x:v>
      </x:c>
      <x:c r="P424" s="10" t="n">
        <x:v>1</x:v>
      </x:c>
      <x:c r="Q424" s="10" t="n">
        <x:v>1</x:v>
      </x:c>
      <x:c r="R424" s="10" t="n">
        <x:v>1</x:v>
      </x:c>
      <x:c r="S424" s="10" t="n">
        <x:v>41</x:v>
      </x:c>
      <x:c r="T424" s="10" t="n">
        <x:v>1</x:v>
      </x:c>
      <x:c r="U424" s="10" t="n">
        <x:f>IF(AND(ISNUMBER(X424),X424&gt;=0,Y424&lt;&gt;1),X424,"")</x:f>
        <x:v>0</x:v>
      </x:c>
      <x:c r="V424" s="10" t="n">
        <x:v>0</x:v>
      </x:c>
      <x:c r="W424" s="10" t="n">
        <x:v>0</x:v>
      </x:c>
      <x:c r="X424" s="10" t="n">
        <x:v>0</x:v>
      </x:c>
      <x:c r="Y424" s="3" t="n">
        <x:v>0</x:v>
      </x:c>
      <x:c r="Z424" s="3" t="str">
        <x:v>共同</x:v>
      </x:c>
      <x:c r="AA424" s="3" t="str">
        <x:v>在售</x:v>
      </x:c>
      <x:c r="AB424" s="12" t="str">
        <x:f>IF(AND(Z424="共同",ISNUMBER(G424),ISNUMBER(AD424)),G424-AD424,"")</x:f>
      </x:c>
      <x:c r="AC424" s="3" t="str"/>
      <x:c r="AD424" s="12"/>
      <x:c r="AE424" s="3" t="str">
        <x:v>[13306,"2311062-WT-P-O-11"]</x:v>
      </x:c>
      <x:c r="AF424" t="n">
        <x:f>IF(ISNUMBER(H424),1,0)</x:f>
        <x:v>1</x:v>
      </x:c>
      <x:c r="AG424" t="n">
        <x:f>IF(ISNUMBER(I424),1,0)</x:f>
        <x:v>1</x:v>
      </x:c>
      <x:c r="AH424" t="str">
        <x:v>["2311062","2311062-WT-P-O","WT-P","白色 PU"]</x:v>
      </x:c>
      <x:c r="AI424" t="n">
        <x:f>IF(ISNUMBER(G424),1,0)</x:f>
        <x:v>1</x:v>
      </x:c>
      <x:c r="AJ424" t="n">
        <x:f>IF(ISNUMBER(AD424),1,0)</x:f>
        <x:v>0</x:v>
      </x:c>
    </x:row>
    <x:row r="425" ht="30" customHeight="1">
      <x:c r="A425" s="3" t="str">
        <x:v>32582-BK-37</x:v>
      </x:c>
      <x:c r="B425" s="3" t="str">
        <x:v>3店-SANDIEX-US</x:v>
      </x:c>
      <x:c r="C425" s="3" t="str">
        <x:v>徐新怡</x:v>
      </x:c>
      <x:c r="D425" s="3" t="str">
        <x:v>32582</x:v>
      </x:c>
      <x:c r="E425" s="3" t="str">
        <x:f>IF(Z425="移出","已移出",IF(NOT(ISNUMBER(H425)),"数据待核",IF(H425=0,"断货",IF(NOT(ISNUMBER(G425)),"数据待核",IF(G425=0,"零日销待复核",IF(F425&lt;60,"补货提醒",IF(F425&lt;=90,"正常库存",IF(F425&lt;180,"促销",IF(F425&lt;=365,"红线促销","考虑清仓")))))))))</x:f>
        <x:v>断货</x:v>
      </x:c>
      <x:c r="F425" s="11" t="n">
        <x:f>IF(AND(ISNUMBER(H425),ISNUMBER(G425),G425&gt;0),H425/G425,"")</x:f>
        <x:v>0</x:v>
      </x:c>
      <x:c r="G425" s="12" t="n">
        <x:f>IF(AND(COUNT(P425:R425)=3,MIN(P425:R425)&gt;=0,P425&lt;=Q425,Q425&lt;=R425),P425/7*0.5+Q425/14*0.3+R425/30*0.2,"")</x:f>
        <x:v>0.34619047619047616</x:v>
      </x:c>
      <x:c r="H425" s="10" t="n">
        <x:f>IF(ISNUMBER(U425),U425,"")</x:f>
        <x:v>0</x:v>
      </x:c>
      <x:c r="I425" s="10" t="n">
        <x:v>5</x:v>
      </x:c>
      <x:c r="J425" s="11" t="n">
        <x:f>IF(AND(Z425="共同",ISNUMBER(F425),ISNUMBER(M425)),F425-M425,"")</x:f>
        <x:v>-120.68965517241381</x:v>
      </x:c>
      <x:c r="K425" s="13" t="n">
        <x:f>IF(AND(ISNUMBER(J425),M425&lt;&gt;0),J425/M425,"")</x:f>
        <x:v>-1</x:v>
      </x:c>
      <x:c r="L425" s="10" t="str">
        <x:v>促销</x:v>
      </x:c>
      <x:c r="M425" s="11" t="n">
        <x:v>120.68965517241381</x:v>
      </x:c>
      <x:c r="N425" s="10" t="n">
        <x:f>IF(AND(Z425="共同",COUNT(H425:I425)=2),H425-I425,"")</x:f>
        <x:v>-5</x:v>
      </x:c>
      <x:c r="O425" s="10" t="n">
        <x:v>0</x:v>
      </x:c>
      <x:c r="P425" s="10" t="n">
        <x:v>2</x:v>
      </x:c>
      <x:c r="Q425" s="10" t="n">
        <x:v>7</x:v>
      </x:c>
      <x:c r="R425" s="10" t="n">
        <x:v>8</x:v>
      </x:c>
      <x:c r="S425" s="10" t="n">
        <x:v>0</x:v>
      </x:c>
      <x:c r="T425" s="10" t="n">
        <x:v>0</x:v>
      </x:c>
      <x:c r="U425" s="10" t="n">
        <x:f>IF(AND(ISNUMBER(X425),X425&gt;=0,Y425&lt;&gt;1),X425,"")</x:f>
        <x:v>0</x:v>
      </x:c>
      <x:c r="V425" s="10" t="n">
        <x:v>0</x:v>
      </x:c>
      <x:c r="W425" s="10" t="n">
        <x:v>0</x:v>
      </x:c>
      <x:c r="X425" s="10" t="n">
        <x:v>0</x:v>
      </x:c>
      <x:c r="Y425" s="3" t="n">
        <x:v>0</x:v>
      </x:c>
      <x:c r="Z425" s="3" t="str">
        <x:v>共同</x:v>
      </x:c>
      <x:c r="AA425" s="3" t="str">
        <x:v>停售</x:v>
      </x:c>
      <x:c r="AB425" s="12" t="n">
        <x:f>IF(AND(Z425="共同",ISNUMBER(G425),ISNUMBER(AD425)),G425-AD425,"")</x:f>
        <x:v>0.30476190476190473</x:v>
      </x:c>
      <x:c r="AC425" s="3" t="str"/>
      <x:c r="AD425" s="12" t="n">
        <x:v>0.041428571428571426</x:v>
      </x:c>
      <x:c r="AE425" s="3" t="str">
        <x:v>[6574,"32582-BK-37"]</x:v>
      </x:c>
      <x:c r="AF425" t="n">
        <x:f>IF(ISNUMBER(H425),1,0)</x:f>
        <x:v>1</x:v>
      </x:c>
      <x:c r="AG425" t="n">
        <x:f>IF(ISNUMBER(I425),1,0)</x:f>
        <x:v>1</x:v>
      </x:c>
      <x:c r="AH425" t="str">
        <x:v>["32582","32582-BK","BK","黑色"]</x:v>
      </x:c>
      <x:c r="AI425" t="n">
        <x:f>IF(ISNUMBER(G425),1,0)</x:f>
        <x:v>1</x:v>
      </x:c>
      <x:c r="AJ425" t="n">
        <x:f>IF(ISNUMBER(AD425),1,0)</x:f>
        <x:v>1</x:v>
      </x:c>
    </x:row>
    <x:row r="426" ht="30" customHeight="1">
      <x:c r="A426" s="3" t="str">
        <x:v>32582-BK-37.5</x:v>
      </x:c>
      <x:c r="B426" s="3" t="str">
        <x:v>3店-SANDIEX-US</x:v>
      </x:c>
      <x:c r="C426" s="3" t="str">
        <x:v>徐新怡</x:v>
      </x:c>
      <x:c r="D426" s="3" t="str">
        <x:v>32582</x:v>
      </x:c>
      <x:c r="E426" s="3" t="str">
        <x:f>IF(Z426="移出","已移出",IF(NOT(ISNUMBER(H426)),"数据待核",IF(H426=0,"断货",IF(NOT(ISNUMBER(G426)),"数据待核",IF(G426=0,"零日销待复核",IF(F426&lt;60,"补货提醒",IF(F426&lt;=90,"正常库存",IF(F426&lt;180,"促销",IF(F426&lt;=365,"红线促销","考虑清仓")))))))))</x:f>
        <x:v>断货</x:v>
      </x:c>
      <x:c r="F426" s="11" t="str">
        <x:f>IF(AND(ISNUMBER(H426),ISNUMBER(G426),G426&gt;0),H426/G426,"")</x:f>
      </x:c>
      <x:c r="G426" s="12" t="n">
        <x:f>IF(AND(COUNT(P426:R426)=3,MIN(P426:R426)&gt;=0,P426&lt;=Q426,Q426&lt;=R426),P426/7*0.5+Q426/14*0.3+R426/30*0.2,"")</x:f>
        <x:v>0</x:v>
      </x:c>
      <x:c r="H426" s="10" t="n">
        <x:f>IF(ISNUMBER(U426),U426,"")</x:f>
        <x:v>0</x:v>
      </x:c>
      <x:c r="I426" s="10" t="n">
        <x:v>0</x:v>
      </x:c>
      <x:c r="J426" s="11" t="str">
        <x:f>IF(AND(Z426="共同",ISNUMBER(F426),ISNUMBER(M426)),F426-M426,"")</x:f>
      </x:c>
      <x:c r="K426" s="13" t="str">
        <x:f>IF(AND(ISNUMBER(J426),M426&lt;&gt;0),J426/M426,"")</x:f>
      </x:c>
      <x:c r="L426" s="10" t="str">
        <x:v>断货</x:v>
      </x:c>
      <x:c r="M426" s="11" t="n">
        <x:v>0</x:v>
      </x:c>
      <x:c r="N426" s="10" t="n">
        <x:f>IF(AND(Z426="共同",COUNT(H426:I426)=2),H426-I426,"")</x:f>
        <x:v>0</x:v>
      </x:c>
      <x:c r="O426" s="10" t="n">
        <x:v>0</x:v>
      </x:c>
      <x:c r="P426" s="10" t="n">
        <x:v>0</x:v>
      </x:c>
      <x:c r="Q426" s="10" t="n">
        <x:v>0</x:v>
      </x:c>
      <x:c r="R426" s="10" t="n">
        <x:v>0</x:v>
      </x:c>
      <x:c r="S426" s="10" t="n">
        <x:v>2</x:v>
      </x:c>
      <x:c r="T426" s="10" t="n">
        <x:v>0</x:v>
      </x:c>
      <x:c r="U426" s="10" t="n">
        <x:f>IF(AND(ISNUMBER(X426),X426&gt;=0,Y426&lt;&gt;1),X426,"")</x:f>
        <x:v>0</x:v>
      </x:c>
      <x:c r="V426" s="10" t="n">
        <x:v>0</x:v>
      </x:c>
      <x:c r="W426" s="10" t="n">
        <x:v>0</x:v>
      </x:c>
      <x:c r="X426" s="10" t="n">
        <x:v>0</x:v>
      </x:c>
      <x:c r="Y426" s="3" t="n">
        <x:v>0</x:v>
      </x:c>
      <x:c r="Z426" s="3" t="str">
        <x:v>共同</x:v>
      </x:c>
      <x:c r="AA426" s="3" t="str">
        <x:v>停售</x:v>
      </x:c>
      <x:c r="AB426" s="12" t="n">
        <x:f>IF(AND(Z426="共同",ISNUMBER(G426),ISNUMBER(AD426)),G426-AD426,"")</x:f>
        <x:v>-0.013333333333333332</x:v>
      </x:c>
      <x:c r="AC426" s="3" t="str"/>
      <x:c r="AD426" s="12" t="n">
        <x:v>0.013333333333333332</x:v>
      </x:c>
      <x:c r="AE426" s="3" t="str">
        <x:v>[6574,"32582-BK-37.5"]</x:v>
      </x:c>
      <x:c r="AF426" t="n">
        <x:f>IF(ISNUMBER(H426),1,0)</x:f>
        <x:v>1</x:v>
      </x:c>
      <x:c r="AG426" t="n">
        <x:f>IF(ISNUMBER(I426),1,0)</x:f>
        <x:v>1</x:v>
      </x:c>
      <x:c r="AH426" t="str">
        <x:v>["32582","32582-BK","BK","黑色"]</x:v>
      </x:c>
      <x:c r="AI426" t="n">
        <x:f>IF(ISNUMBER(G426),1,0)</x:f>
        <x:v>1</x:v>
      </x:c>
      <x:c r="AJ426" t="n">
        <x:f>IF(ISNUMBER(AD426),1,0)</x:f>
        <x:v>1</x:v>
      </x:c>
    </x:row>
    <x:row r="427" ht="30" customHeight="1">
      <x:c r="A427" s="3" t="str">
        <x:v>32582-BK-42</x:v>
      </x:c>
      <x:c r="B427" s="3" t="str">
        <x:v>3店-SANDIEX-US</x:v>
      </x:c>
      <x:c r="C427" s="3" t="str">
        <x:v>徐新怡</x:v>
      </x:c>
      <x:c r="D427" s="3" t="str">
        <x:v>32582</x:v>
      </x:c>
      <x:c r="E427" s="3" t="str">
        <x:f>IF(Z427="移出","已移出",IF(NOT(ISNUMBER(H427)),"数据待核",IF(H427=0,"断货",IF(NOT(ISNUMBER(G427)),"数据待核",IF(G427=0,"零日销待复核",IF(F427&lt;60,"补货提醒",IF(F427&lt;=90,"正常库存",IF(F427&lt;180,"促销",IF(F427&lt;=365,"红线促销","考虑清仓")))))))))</x:f>
        <x:v>断货</x:v>
      </x:c>
      <x:c r="F427" s="11" t="n">
        <x:f>IF(AND(ISNUMBER(H427),ISNUMBER(G427),G427&gt;0),H427/G427,"")</x:f>
        <x:v>0</x:v>
      </x:c>
      <x:c r="G427" s="12" t="n">
        <x:f>IF(AND(COUNT(P427:R427)=3,MIN(P427:R427)&gt;=0,P427&lt;=Q427,Q427&lt;=R427),P427/7*0.5+Q427/14*0.3+R427/30*0.2,"")</x:f>
        <x:v>0.28857142857142853</x:v>
      </x:c>
      <x:c r="H427" s="10" t="n">
        <x:f>IF(ISNUMBER(U427),U427,"")</x:f>
        <x:v>0</x:v>
      </x:c>
      <x:c r="I427" s="10" t="n">
        <x:v>4</x:v>
      </x:c>
      <x:c r="J427" s="11" t="n">
        <x:f>IF(AND(Z427="共同",ISNUMBER(F427),ISNUMBER(M427)),F427-M427,"")</x:f>
        <x:v>-7.241379310344827</x:v>
      </x:c>
      <x:c r="K427" s="13" t="n">
        <x:f>IF(AND(ISNUMBER(J427),M427&lt;&gt;0),J427/M427,"")</x:f>
        <x:v>-1</x:v>
      </x:c>
      <x:c r="L427" s="10" t="str">
        <x:v>补货提醒</x:v>
      </x:c>
      <x:c r="M427" s="11" t="n">
        <x:v>7.241379310344827</x:v>
      </x:c>
      <x:c r="N427" s="10" t="n">
        <x:f>IF(AND(Z427="共同",COUNT(H427:I427)=2),H427-I427,"")</x:f>
        <x:v>-4</x:v>
      </x:c>
      <x:c r="O427" s="10" t="n">
        <x:v>0</x:v>
      </x:c>
      <x:c r="P427" s="10" t="n">
        <x:v>2</x:v>
      </x:c>
      <x:c r="Q427" s="10" t="n">
        <x:v>4</x:v>
      </x:c>
      <x:c r="R427" s="10" t="n">
        <x:v>9</x:v>
      </x:c>
      <x:c r="S427" s="10" t="n">
        <x:v>1</x:v>
      </x:c>
      <x:c r="T427" s="10" t="n">
        <x:v>0</x:v>
      </x:c>
      <x:c r="U427" s="10" t="n">
        <x:f>IF(AND(ISNUMBER(X427),X427&gt;=0,Y427&lt;&gt;1),X427,"")</x:f>
        <x:v>0</x:v>
      </x:c>
      <x:c r="V427" s="10" t="n">
        <x:v>0</x:v>
      </x:c>
      <x:c r="W427" s="10" t="n">
        <x:v>0</x:v>
      </x:c>
      <x:c r="X427" s="10" t="n">
        <x:v>0</x:v>
      </x:c>
      <x:c r="Y427" s="3" t="n">
        <x:v>0</x:v>
      </x:c>
      <x:c r="Z427" s="3" t="str">
        <x:v>共同</x:v>
      </x:c>
      <x:c r="AA427" s="3" t="str">
        <x:v>在售</x:v>
      </x:c>
      <x:c r="AB427" s="12" t="n">
        <x:f>IF(AND(Z427="共同",ISNUMBER(G427),ISNUMBER(AD427)),G427-AD427,"")</x:f>
        <x:v>-0.2638095238095239</x:v>
      </x:c>
      <x:c r="AC427" s="3" t="str"/>
      <x:c r="AD427" s="12" t="n">
        <x:v>0.5523809523809524</x:v>
      </x:c>
      <x:c r="AE427" s="3" t="str">
        <x:v>[6574,"32582-BK-42"]</x:v>
      </x:c>
      <x:c r="AF427" t="n">
        <x:f>IF(ISNUMBER(H427),1,0)</x:f>
        <x:v>1</x:v>
      </x:c>
      <x:c r="AG427" t="n">
        <x:f>IF(ISNUMBER(I427),1,0)</x:f>
        <x:v>1</x:v>
      </x:c>
      <x:c r="AH427" t="str">
        <x:v>["32582","32582-BK","BK","黑色"]</x:v>
      </x:c>
      <x:c r="AI427" t="n">
        <x:f>IF(ISNUMBER(G427),1,0)</x:f>
        <x:v>1</x:v>
      </x:c>
      <x:c r="AJ427" t="n">
        <x:f>IF(ISNUMBER(AD427),1,0)</x:f>
        <x:v>1</x:v>
      </x:c>
    </x:row>
    <x:row r="428" ht="30" customHeight="1">
      <x:c r="A428" s="3" t="str">
        <x:v>32582-BKW-37</x:v>
      </x:c>
      <x:c r="B428" s="3" t="str">
        <x:v>3店-SANDIEX-US</x:v>
      </x:c>
      <x:c r="C428" s="3" t="str">
        <x:v>徐新怡</x:v>
      </x:c>
      <x:c r="D428" s="3" t="str">
        <x:v>32582</x:v>
      </x:c>
      <x:c r="E428" s="3" t="str">
        <x:f>IF(Z428="移出","已移出",IF(NOT(ISNUMBER(H428)),"数据待核",IF(H428=0,"断货",IF(NOT(ISNUMBER(G428)),"数据待核",IF(G428=0,"零日销待复核",IF(F428&lt;60,"补货提醒",IF(F428&lt;=90,"正常库存",IF(F428&lt;180,"促销",IF(F428&lt;=365,"红线促销","考虑清仓")))))))))</x:f>
        <x:v>断货</x:v>
      </x:c>
      <x:c r="F428" s="11" t="str">
        <x:f>IF(AND(ISNUMBER(H428),ISNUMBER(G428),G428&gt;0),H428/G428,"")</x:f>
      </x:c>
      <x:c r="G428" s="12" t="n">
        <x:f>IF(AND(COUNT(P428:R428)=3,MIN(P428:R428)&gt;=0,P428&lt;=Q428,Q428&lt;=R428),P428/7*0.5+Q428/14*0.3+R428/30*0.2,"")</x:f>
        <x:v>0</x:v>
      </x:c>
      <x:c r="H428" s="10" t="n">
        <x:f>IF(ISNUMBER(U428),U428,"")</x:f>
        <x:v>0</x:v>
      </x:c>
      <x:c r="I428" s="10" t="n">
        <x:v>0</x:v>
      </x:c>
      <x:c r="J428" s="11" t="str">
        <x:f>IF(AND(Z428="共同",ISNUMBER(F428),ISNUMBER(M428)),F428-M428,"")</x:f>
      </x:c>
      <x:c r="K428" s="13" t="str">
        <x:f>IF(AND(ISNUMBER(J428),M428&lt;&gt;0),J428/M428,"")</x:f>
      </x:c>
      <x:c r="L428" s="10" t="str">
        <x:v>断货</x:v>
      </x:c>
      <x:c r="M428" s="11"/>
      <x:c r="N428" s="10" t="n">
        <x:f>IF(AND(Z428="共同",COUNT(H428:I428)=2),H428-I428,"")</x:f>
        <x:v>0</x:v>
      </x:c>
      <x:c r="O428" s="10" t="n">
        <x:v>0</x:v>
      </x:c>
      <x:c r="P428" s="10" t="n">
        <x:v>0</x:v>
      </x:c>
      <x:c r="Q428" s="10" t="n">
        <x:v>0</x:v>
      </x:c>
      <x:c r="R428" s="10" t="n">
        <x:v>0</x:v>
      </x:c>
      <x:c r="S428" s="10" t="n">
        <x:v>0</x:v>
      </x:c>
      <x:c r="T428" s="10" t="n">
        <x:v>0</x:v>
      </x:c>
      <x:c r="U428" s="10" t="n">
        <x:f>IF(AND(ISNUMBER(X428),X428&gt;=0,Y428&lt;&gt;1),X428,"")</x:f>
        <x:v>0</x:v>
      </x:c>
      <x:c r="V428" s="10" t="n">
        <x:v>0</x:v>
      </x:c>
      <x:c r="W428" s="10" t="n">
        <x:v>0</x:v>
      </x:c>
      <x:c r="X428" s="10" t="n">
        <x:v>0</x:v>
      </x:c>
      <x:c r="Y428" s="3" t="n">
        <x:v>0</x:v>
      </x:c>
      <x:c r="Z428" s="3" t="str">
        <x:v>共同</x:v>
      </x:c>
      <x:c r="AA428" s="3" t="str">
        <x:v>停售</x:v>
      </x:c>
      <x:c r="AB428" s="12" t="str">
        <x:f>IF(AND(Z428="共同",ISNUMBER(G428),ISNUMBER(AD428)),G428-AD428,"")</x:f>
      </x:c>
      <x:c r="AC428" s="3" t="str">
        <x:v>近90天SKU销量未匹配，未按0处理</x:v>
      </x:c>
      <x:c r="AD428" s="12"/>
      <x:c r="AE428" s="3" t="str">
        <x:v>[6574,"32582-BKW-37"]</x:v>
      </x:c>
      <x:c r="AF428" t="n">
        <x:f>IF(ISNUMBER(H428),1,0)</x:f>
        <x:v>1</x:v>
      </x:c>
      <x:c r="AG428" t="n">
        <x:f>IF(ISNUMBER(I428),1,0)</x:f>
        <x:v>1</x:v>
      </x:c>
      <x:c r="AH428" t="str">
        <x:v>["32582","32582-BKW","BKW","黑色白色内里"]</x:v>
      </x:c>
      <x:c r="AI428" t="n">
        <x:f>IF(ISNUMBER(G428),1,0)</x:f>
        <x:v>1</x:v>
      </x:c>
      <x:c r="AJ428" t="n">
        <x:f>IF(ISNUMBER(AD428),1,0)</x:f>
        <x:v>0</x:v>
      </x:c>
    </x:row>
    <x:row r="429" ht="30" customHeight="1">
      <x:c r="A429" s="3" t="str">
        <x:v>32582-BKW-40.5</x:v>
      </x:c>
      <x:c r="B429" s="3" t="str">
        <x:v>3店-SANDIEX-US</x:v>
      </x:c>
      <x:c r="C429" s="3" t="str">
        <x:v>徐新怡</x:v>
      </x:c>
      <x:c r="D429" s="3" t="str">
        <x:v>32582</x:v>
      </x:c>
      <x:c r="E429" s="3" t="str">
        <x:f>IF(Z429="移出","已移出",IF(NOT(ISNUMBER(H429)),"数据待核",IF(H429=0,"断货",IF(NOT(ISNUMBER(G429)),"数据待核",IF(G429=0,"零日销待复核",IF(F429&lt;60,"补货提醒",IF(F429&lt;=90,"正常库存",IF(F429&lt;180,"促销",IF(F429&lt;=365,"红线促销","考虑清仓")))))))))</x:f>
        <x:v>断货</x:v>
      </x:c>
      <x:c r="F429" s="11" t="str">
        <x:f>IF(AND(ISNUMBER(H429),ISNUMBER(G429),G429&gt;0),H429/G429,"")</x:f>
      </x:c>
      <x:c r="G429" s="12" t="n">
        <x:f>IF(AND(COUNT(P429:R429)=3,MIN(P429:R429)&gt;=0,P429&lt;=Q429,Q429&lt;=R429),P429/7*0.5+Q429/14*0.3+R429/30*0.2,"")</x:f>
        <x:v>0</x:v>
      </x:c>
      <x:c r="H429" s="10" t="n">
        <x:f>IF(ISNUMBER(U429),U429,"")</x:f>
        <x:v>0</x:v>
      </x:c>
      <x:c r="I429" s="10" t="n">
        <x:v>0</x:v>
      </x:c>
      <x:c r="J429" s="11" t="str">
        <x:f>IF(AND(Z429="共同",ISNUMBER(F429),ISNUMBER(M429)),F429-M429,"")</x:f>
      </x:c>
      <x:c r="K429" s="13" t="str">
        <x:f>IF(AND(ISNUMBER(J429),M429&lt;&gt;0),J429/M429,"")</x:f>
      </x:c>
      <x:c r="L429" s="10" t="str">
        <x:v>断货</x:v>
      </x:c>
      <x:c r="M429" s="11"/>
      <x:c r="N429" s="10" t="n">
        <x:f>IF(AND(Z429="共同",COUNT(H429:I429)=2),H429-I429,"")</x:f>
        <x:v>0</x:v>
      </x:c>
      <x:c r="O429" s="10"/>
      <x:c r="P429" s="10" t="n">
        <x:v>0</x:v>
      </x:c>
      <x:c r="Q429" s="10" t="n">
        <x:v>0</x:v>
      </x:c>
      <x:c r="R429" s="10" t="n">
        <x:v>0</x:v>
      </x:c>
      <x:c r="S429" s="10" t="n">
        <x:v>0</x:v>
      </x:c>
      <x:c r="T429" s="10" t="n">
        <x:v>0</x:v>
      </x:c>
      <x:c r="U429" s="10" t="n">
        <x:f>IF(AND(ISNUMBER(X429),X429&gt;=0,Y429&lt;&gt;1),X429,"")</x:f>
        <x:v>0</x:v>
      </x:c>
      <x:c r="V429" s="10" t="n">
        <x:v>0</x:v>
      </x:c>
      <x:c r="W429" s="10" t="n">
        <x:v>0</x:v>
      </x:c>
      <x:c r="X429" s="10" t="n">
        <x:v>0</x:v>
      </x:c>
      <x:c r="Y429" s="3" t="n">
        <x:v>0</x:v>
      </x:c>
      <x:c r="Z429" s="3" t="str">
        <x:v>共同</x:v>
      </x:c>
      <x:c r="AA429" s="3" t="str">
        <x:v>停售</x:v>
      </x:c>
      <x:c r="AB429" s="12" t="str">
        <x:f>IF(AND(Z429="共同",ISNUMBER(G429),ISNUMBER(AD429)),G429-AD429,"")</x:f>
      </x:c>
      <x:c r="AC429" s="3" t="str">
        <x:v>近90天SKU销量未匹配，未按0处理</x:v>
      </x:c>
      <x:c r="AD429" s="12"/>
      <x:c r="AE429" s="3" t="str">
        <x:v>[6574,"32582-BKW-40.5"]</x:v>
      </x:c>
      <x:c r="AF429" t="n">
        <x:f>IF(ISNUMBER(H429),1,0)</x:f>
        <x:v>1</x:v>
      </x:c>
      <x:c r="AG429" t="n">
        <x:f>IF(ISNUMBER(I429),1,0)</x:f>
        <x:v>1</x:v>
      </x:c>
      <x:c r="AH429" t="str">
        <x:v>["32582","32582-BKW","BKW","黑色白色内里"]</x:v>
      </x:c>
      <x:c r="AI429" t="n">
        <x:f>IF(ISNUMBER(G429),1,0)</x:f>
        <x:v>1</x:v>
      </x:c>
      <x:c r="AJ429" t="n">
        <x:f>IF(ISNUMBER(AD429),1,0)</x:f>
        <x:v>0</x:v>
      </x:c>
    </x:row>
    <x:row r="430" ht="30" customHeight="1">
      <x:c r="A430" s="3" t="str">
        <x:v>32582-GY-37</x:v>
      </x:c>
      <x:c r="B430" s="3" t="str">
        <x:v>3店-SANDIEX-US</x:v>
      </x:c>
      <x:c r="C430" s="3" t="str">
        <x:v>徐新怡</x:v>
      </x:c>
      <x:c r="D430" s="3" t="str">
        <x:v>32582</x:v>
      </x:c>
      <x:c r="E430" s="3" t="str">
        <x:f>IF(Z430="移出","已移出",IF(NOT(ISNUMBER(H430)),"数据待核",IF(H430=0,"断货",IF(NOT(ISNUMBER(G430)),"数据待核",IF(G430=0,"零日销待复核",IF(F430&lt;60,"补货提醒",IF(F430&lt;=90,"正常库存",IF(F430&lt;180,"促销",IF(F430&lt;=365,"红线促销","考虑清仓")))))))))</x:f>
        <x:v>断货</x:v>
      </x:c>
      <x:c r="F430" s="11" t="str">
        <x:f>IF(AND(ISNUMBER(H430),ISNUMBER(G430),G430&gt;0),H430/G430,"")</x:f>
      </x:c>
      <x:c r="G430" s="12" t="n">
        <x:f>IF(AND(COUNT(P430:R430)=3,MIN(P430:R430)&gt;=0,P430&lt;=Q430,Q430&lt;=R430),P430/7*0.5+Q430/14*0.3+R430/30*0.2,"")</x:f>
        <x:v>0</x:v>
      </x:c>
      <x:c r="H430" s="10" t="n">
        <x:f>IF(ISNUMBER(U430),U430,"")</x:f>
        <x:v>0</x:v>
      </x:c>
      <x:c r="I430" s="10" t="n">
        <x:v>0</x:v>
      </x:c>
      <x:c r="J430" s="11" t="str">
        <x:f>IF(AND(Z430="共同",ISNUMBER(F430),ISNUMBER(M430)),F430-M430,"")</x:f>
      </x:c>
      <x:c r="K430" s="13" t="str">
        <x:f>IF(AND(ISNUMBER(J430),M430&lt;&gt;0),J430/M430,"")</x:f>
      </x:c>
      <x:c r="L430" s="10" t="str">
        <x:v>断货</x:v>
      </x:c>
      <x:c r="M430" s="11"/>
      <x:c r="N430" s="10" t="n">
        <x:f>IF(AND(Z430="共同",COUNT(H430:I430)=2),H430-I430,"")</x:f>
        <x:v>0</x:v>
      </x:c>
      <x:c r="O430" s="10"/>
      <x:c r="P430" s="10" t="n">
        <x:v>0</x:v>
      </x:c>
      <x:c r="Q430" s="10" t="n">
        <x:v>0</x:v>
      </x:c>
      <x:c r="R430" s="10" t="n">
        <x:v>0</x:v>
      </x:c>
      <x:c r="S430" s="10" t="n">
        <x:v>0</x:v>
      </x:c>
      <x:c r="T430" s="10" t="n">
        <x:v>0</x:v>
      </x:c>
      <x:c r="U430" s="10" t="n">
        <x:f>IF(AND(ISNUMBER(X430),X430&gt;=0,Y430&lt;&gt;1),X430,"")</x:f>
        <x:v>0</x:v>
      </x:c>
      <x:c r="V430" s="10" t="n">
        <x:v>0</x:v>
      </x:c>
      <x:c r="W430" s="10" t="n">
        <x:v>0</x:v>
      </x:c>
      <x:c r="X430" s="10" t="n">
        <x:v>0</x:v>
      </x:c>
      <x:c r="Y430" s="3" t="n">
        <x:v>0</x:v>
      </x:c>
      <x:c r="Z430" s="3" t="str">
        <x:v>共同</x:v>
      </x:c>
      <x:c r="AA430" s="3" t="str">
        <x:v>停售</x:v>
      </x:c>
      <x:c r="AB430" s="12" t="str">
        <x:f>IF(AND(Z430="共同",ISNUMBER(G430),ISNUMBER(AD430)),G430-AD430,"")</x:f>
      </x:c>
      <x:c r="AC430" s="3" t="str">
        <x:v>近90天SKU销量未匹配，未按0处理</x:v>
      </x:c>
      <x:c r="AD430" s="12"/>
      <x:c r="AE430" s="3" t="str">
        <x:v>[6574,"32582-GY-37"]</x:v>
      </x:c>
      <x:c r="AF430" t="n">
        <x:f>IF(ISNUMBER(H430),1,0)</x:f>
        <x:v>1</x:v>
      </x:c>
      <x:c r="AG430" t="n">
        <x:f>IF(ISNUMBER(I430),1,0)</x:f>
        <x:v>1</x:v>
      </x:c>
      <x:c r="AH430" t="str">
        <x:v>["32582","32582-GY","GY","灰色"]</x:v>
      </x:c>
      <x:c r="AI430" t="n">
        <x:f>IF(ISNUMBER(G430),1,0)</x:f>
        <x:v>1</x:v>
      </x:c>
      <x:c r="AJ430" t="n">
        <x:f>IF(ISNUMBER(AD430),1,0)</x:f>
        <x:v>0</x:v>
      </x:c>
    </x:row>
    <x:row r="431" ht="30" customHeight="1">
      <x:c r="A431" s="3" t="str">
        <x:v>32582-GY-37.5</x:v>
      </x:c>
      <x:c r="B431" s="3" t="str">
        <x:v>3店-SANDIEX-US</x:v>
      </x:c>
      <x:c r="C431" s="3" t="str">
        <x:v>徐新怡</x:v>
      </x:c>
      <x:c r="D431" s="3" t="str">
        <x:v>32582</x:v>
      </x:c>
      <x:c r="E431" s="3" t="str">
        <x:f>IF(Z431="移出","已移出",IF(NOT(ISNUMBER(H431)),"数据待核",IF(H431=0,"断货",IF(NOT(ISNUMBER(G431)),"数据待核",IF(G431=0,"零日销待复核",IF(F431&lt;60,"补货提醒",IF(F431&lt;=90,"正常库存",IF(F431&lt;180,"促销",IF(F431&lt;=365,"红线促销","考虑清仓")))))))))</x:f>
        <x:v>断货</x:v>
      </x:c>
      <x:c r="F431" s="11" t="str">
        <x:f>IF(AND(ISNUMBER(H431),ISNUMBER(G431),G431&gt;0),H431/G431,"")</x:f>
      </x:c>
      <x:c r="G431" s="12" t="n">
        <x:f>IF(AND(COUNT(P431:R431)=3,MIN(P431:R431)&gt;=0,P431&lt;=Q431,Q431&lt;=R431),P431/7*0.5+Q431/14*0.3+R431/30*0.2,"")</x:f>
        <x:v>0</x:v>
      </x:c>
      <x:c r="H431" s="10" t="n">
        <x:f>IF(ISNUMBER(U431),U431,"")</x:f>
        <x:v>0</x:v>
      </x:c>
      <x:c r="I431" s="10" t="n">
        <x:v>0</x:v>
      </x:c>
      <x:c r="J431" s="11" t="str">
        <x:f>IF(AND(Z431="共同",ISNUMBER(F431),ISNUMBER(M431)),F431-M431,"")</x:f>
      </x:c>
      <x:c r="K431" s="13" t="str">
        <x:f>IF(AND(ISNUMBER(J431),M431&lt;&gt;0),J431/M431,"")</x:f>
      </x:c>
      <x:c r="L431" s="10" t="str">
        <x:v>断货</x:v>
      </x:c>
      <x:c r="M431" s="11"/>
      <x:c r="N431" s="10" t="n">
        <x:f>IF(AND(Z431="共同",COUNT(H431:I431)=2),H431-I431,"")</x:f>
        <x:v>0</x:v>
      </x:c>
      <x:c r="O431" s="10"/>
      <x:c r="P431" s="10" t="n">
        <x:v>0</x:v>
      </x:c>
      <x:c r="Q431" s="10" t="n">
        <x:v>0</x:v>
      </x:c>
      <x:c r="R431" s="10" t="n">
        <x:v>0</x:v>
      </x:c>
      <x:c r="S431" s="10" t="n">
        <x:v>0</x:v>
      </x:c>
      <x:c r="T431" s="10" t="n">
        <x:v>0</x:v>
      </x:c>
      <x:c r="U431" s="10" t="n">
        <x:f>IF(AND(ISNUMBER(X431),X431&gt;=0,Y431&lt;&gt;1),X431,"")</x:f>
        <x:v>0</x:v>
      </x:c>
      <x:c r="V431" s="10" t="n">
        <x:v>0</x:v>
      </x:c>
      <x:c r="W431" s="10" t="n">
        <x:v>0</x:v>
      </x:c>
      <x:c r="X431" s="10" t="n">
        <x:v>0</x:v>
      </x:c>
      <x:c r="Y431" s="3" t="n">
        <x:v>0</x:v>
      </x:c>
      <x:c r="Z431" s="3" t="str">
        <x:v>共同</x:v>
      </x:c>
      <x:c r="AA431" s="3" t="str">
        <x:v>停售</x:v>
      </x:c>
      <x:c r="AB431" s="12" t="str">
        <x:f>IF(AND(Z431="共同",ISNUMBER(G431),ISNUMBER(AD431)),G431-AD431,"")</x:f>
      </x:c>
      <x:c r="AC431" s="3" t="str">
        <x:v>近90天SKU销量未匹配，未按0处理</x:v>
      </x:c>
      <x:c r="AD431" s="12"/>
      <x:c r="AE431" s="3" t="str">
        <x:v>[6574,"32582-GY-37.5"]</x:v>
      </x:c>
      <x:c r="AF431" t="n">
        <x:f>IF(ISNUMBER(H431),1,0)</x:f>
        <x:v>1</x:v>
      </x:c>
      <x:c r="AG431" t="n">
        <x:f>IF(ISNUMBER(I431),1,0)</x:f>
        <x:v>1</x:v>
      </x:c>
      <x:c r="AH431" t="str">
        <x:v>["32582","32582-GY","GY","灰色"]</x:v>
      </x:c>
      <x:c r="AI431" t="n">
        <x:f>IF(ISNUMBER(G431),1,0)</x:f>
        <x:v>1</x:v>
      </x:c>
      <x:c r="AJ431" t="n">
        <x:f>IF(ISNUMBER(AD431),1,0)</x:f>
        <x:v>0</x:v>
      </x:c>
    </x:row>
    <x:row r="432" ht="30" customHeight="1">
      <x:c r="A432" s="3" t="str">
        <x:v>32582-GY-38.5</x:v>
      </x:c>
      <x:c r="B432" s="3" t="str">
        <x:v>3店-SANDIEX-US</x:v>
      </x:c>
      <x:c r="C432" s="3" t="str">
        <x:v>徐新怡</x:v>
      </x:c>
      <x:c r="D432" s="3" t="str">
        <x:v>32582</x:v>
      </x:c>
      <x:c r="E432" s="3" t="str">
        <x:f>IF(Z432="移出","已移出",IF(NOT(ISNUMBER(H432)),"数据待核",IF(H432=0,"断货",IF(NOT(ISNUMBER(G432)),"数据待核",IF(G432=0,"零日销待复核",IF(F432&lt;60,"补货提醒",IF(F432&lt;=90,"正常库存",IF(F432&lt;180,"促销",IF(F432&lt;=365,"红线促销","考虑清仓")))))))))</x:f>
        <x:v>断货</x:v>
      </x:c>
      <x:c r="F432" s="11" t="str">
        <x:f>IF(AND(ISNUMBER(H432),ISNUMBER(G432),G432&gt;0),H432/G432,"")</x:f>
      </x:c>
      <x:c r="G432" s="12" t="n">
        <x:f>IF(AND(COUNT(P432:R432)=3,MIN(P432:R432)&gt;=0,P432&lt;=Q432,Q432&lt;=R432),P432/7*0.5+Q432/14*0.3+R432/30*0.2,"")</x:f>
        <x:v>0</x:v>
      </x:c>
      <x:c r="H432" s="10" t="n">
        <x:f>IF(ISNUMBER(U432),U432,"")</x:f>
        <x:v>0</x:v>
      </x:c>
      <x:c r="I432" s="10" t="n">
        <x:v>0</x:v>
      </x:c>
      <x:c r="J432" s="11" t="str">
        <x:f>IF(AND(Z432="共同",ISNUMBER(F432),ISNUMBER(M432)),F432-M432,"")</x:f>
      </x:c>
      <x:c r="K432" s="13" t="str">
        <x:f>IF(AND(ISNUMBER(J432),M432&lt;&gt;0),J432/M432,"")</x:f>
      </x:c>
      <x:c r="L432" s="10" t="str">
        <x:v>断货</x:v>
      </x:c>
      <x:c r="M432" s="11"/>
      <x:c r="N432" s="10" t="n">
        <x:f>IF(AND(Z432="共同",COUNT(H432:I432)=2),H432-I432,"")</x:f>
        <x:v>0</x:v>
      </x:c>
      <x:c r="O432" s="10" t="n">
        <x:v>0</x:v>
      </x:c>
      <x:c r="P432" s="10" t="n">
        <x:v>0</x:v>
      </x:c>
      <x:c r="Q432" s="10" t="n">
        <x:v>0</x:v>
      </x:c>
      <x:c r="R432" s="10" t="n">
        <x:v>0</x:v>
      </x:c>
      <x:c r="S432" s="10" t="n">
        <x:v>0</x:v>
      </x:c>
      <x:c r="T432" s="10" t="n">
        <x:v>0</x:v>
      </x:c>
      <x:c r="U432" s="10" t="n">
        <x:f>IF(AND(ISNUMBER(X432),X432&gt;=0,Y432&lt;&gt;1),X432,"")</x:f>
        <x:v>0</x:v>
      </x:c>
      <x:c r="V432" s="10" t="n">
        <x:v>0</x:v>
      </x:c>
      <x:c r="W432" s="10" t="n">
        <x:v>0</x:v>
      </x:c>
      <x:c r="X432" s="10" t="n">
        <x:v>0</x:v>
      </x:c>
      <x:c r="Y432" s="3" t="n">
        <x:v>0</x:v>
      </x:c>
      <x:c r="Z432" s="3" t="str">
        <x:v>共同</x:v>
      </x:c>
      <x:c r="AA432" s="3" t="str">
        <x:v>停售</x:v>
      </x:c>
      <x:c r="AB432" s="12" t="str">
        <x:f>IF(AND(Z432="共同",ISNUMBER(G432),ISNUMBER(AD432)),G432-AD432,"")</x:f>
      </x:c>
      <x:c r="AC432" s="3" t="str">
        <x:v>近90天SKU销量未匹配，未按0处理</x:v>
      </x:c>
      <x:c r="AD432" s="12"/>
      <x:c r="AE432" s="3" t="str">
        <x:v>[6574,"32582-GY-38.5"]</x:v>
      </x:c>
      <x:c r="AF432" t="n">
        <x:f>IF(ISNUMBER(H432),1,0)</x:f>
        <x:v>1</x:v>
      </x:c>
      <x:c r="AG432" t="n">
        <x:f>IF(ISNUMBER(I432),1,0)</x:f>
        <x:v>1</x:v>
      </x:c>
      <x:c r="AH432" t="str">
        <x:v>["32582","32582-GY","GY","灰色"]</x:v>
      </x:c>
      <x:c r="AI432" t="n">
        <x:f>IF(ISNUMBER(G432),1,0)</x:f>
        <x:v>1</x:v>
      </x:c>
      <x:c r="AJ432" t="n">
        <x:f>IF(ISNUMBER(AD432),1,0)</x:f>
        <x:v>0</x:v>
      </x:c>
    </x:row>
    <x:row r="433" ht="30" customHeight="1">
      <x:c r="A433" s="3" t="str">
        <x:v>32582-GY-39</x:v>
      </x:c>
      <x:c r="B433" s="3" t="str">
        <x:v>3店-SANDIEX-US</x:v>
      </x:c>
      <x:c r="C433" s="3" t="str">
        <x:v>徐新怡</x:v>
      </x:c>
      <x:c r="D433" s="3" t="str">
        <x:v>32582</x:v>
      </x:c>
      <x:c r="E433" s="3" t="str">
        <x:f>IF(Z433="移出","已移出",IF(NOT(ISNUMBER(H433)),"数据待核",IF(H433=0,"断货",IF(NOT(ISNUMBER(G433)),"数据待核",IF(G433=0,"零日销待复核",IF(F433&lt;60,"补货提醒",IF(F433&lt;=90,"正常库存",IF(F433&lt;180,"促销",IF(F433&lt;=365,"红线促销","考虑清仓")))))))))</x:f>
        <x:v>断货</x:v>
      </x:c>
      <x:c r="F433" s="11" t="str">
        <x:f>IF(AND(ISNUMBER(H433),ISNUMBER(G433),G433&gt;0),H433/G433,"")</x:f>
      </x:c>
      <x:c r="G433" s="12" t="n">
        <x:f>IF(AND(COUNT(P433:R433)=3,MIN(P433:R433)&gt;=0,P433&lt;=Q433,Q433&lt;=R433),P433/7*0.5+Q433/14*0.3+R433/30*0.2,"")</x:f>
        <x:v>0</x:v>
      </x:c>
      <x:c r="H433" s="10" t="n">
        <x:f>IF(ISNUMBER(U433),U433,"")</x:f>
        <x:v>0</x:v>
      </x:c>
      <x:c r="I433" s="10" t="n">
        <x:v>0</x:v>
      </x:c>
      <x:c r="J433" s="11" t="str">
        <x:f>IF(AND(Z433="共同",ISNUMBER(F433),ISNUMBER(M433)),F433-M433,"")</x:f>
      </x:c>
      <x:c r="K433" s="13" t="str">
        <x:f>IF(AND(ISNUMBER(J433),M433&lt;&gt;0),J433/M433,"")</x:f>
      </x:c>
      <x:c r="L433" s="10" t="str">
        <x:v>断货</x:v>
      </x:c>
      <x:c r="M433" s="11"/>
      <x:c r="N433" s="10" t="n">
        <x:f>IF(AND(Z433="共同",COUNT(H433:I433)=2),H433-I433,"")</x:f>
        <x:v>0</x:v>
      </x:c>
      <x:c r="O433" s="10" t="n">
        <x:v>0</x:v>
      </x:c>
      <x:c r="P433" s="10" t="n">
        <x:v>0</x:v>
      </x:c>
      <x:c r="Q433" s="10" t="n">
        <x:v>0</x:v>
      </x:c>
      <x:c r="R433" s="10" t="n">
        <x:v>0</x:v>
      </x:c>
      <x:c r="S433" s="10" t="n">
        <x:v>0</x:v>
      </x:c>
      <x:c r="T433" s="10" t="n">
        <x:v>0</x:v>
      </x:c>
      <x:c r="U433" s="10" t="n">
        <x:f>IF(AND(ISNUMBER(X433),X433&gt;=0,Y433&lt;&gt;1),X433,"")</x:f>
        <x:v>0</x:v>
      </x:c>
      <x:c r="V433" s="10" t="n">
        <x:v>0</x:v>
      </x:c>
      <x:c r="W433" s="10" t="n">
        <x:v>0</x:v>
      </x:c>
      <x:c r="X433" s="10" t="n">
        <x:v>0</x:v>
      </x:c>
      <x:c r="Y433" s="3" t="n">
        <x:v>0</x:v>
      </x:c>
      <x:c r="Z433" s="3" t="str">
        <x:v>共同</x:v>
      </x:c>
      <x:c r="AA433" s="3" t="str">
        <x:v>停售</x:v>
      </x:c>
      <x:c r="AB433" s="12" t="str">
        <x:f>IF(AND(Z433="共同",ISNUMBER(G433),ISNUMBER(AD433)),G433-AD433,"")</x:f>
      </x:c>
      <x:c r="AC433" s="3" t="str">
        <x:v>近90天SKU销量未匹配，未按0处理</x:v>
      </x:c>
      <x:c r="AD433" s="12"/>
      <x:c r="AE433" s="3" t="str">
        <x:v>[6574,"32582-GY-39"]</x:v>
      </x:c>
      <x:c r="AF433" t="n">
        <x:f>IF(ISNUMBER(H433),1,0)</x:f>
        <x:v>1</x:v>
      </x:c>
      <x:c r="AG433" t="n">
        <x:f>IF(ISNUMBER(I433),1,0)</x:f>
        <x:v>1</x:v>
      </x:c>
      <x:c r="AH433" t="str">
        <x:v>["32582","32582-GY","GY","灰色"]</x:v>
      </x:c>
      <x:c r="AI433" t="n">
        <x:f>IF(ISNUMBER(G433),1,0)</x:f>
        <x:v>1</x:v>
      </x:c>
      <x:c r="AJ433" t="n">
        <x:f>IF(ISNUMBER(AD433),1,0)</x:f>
        <x:v>0</x:v>
      </x:c>
    </x:row>
    <x:row r="434" ht="30" customHeight="1">
      <x:c r="A434" s="3" t="str">
        <x:v>32582-GY-39.5</x:v>
      </x:c>
      <x:c r="B434" s="3" t="str">
        <x:v>3店-SANDIEX-US</x:v>
      </x:c>
      <x:c r="C434" s="3" t="str">
        <x:v>徐新怡</x:v>
      </x:c>
      <x:c r="D434" s="3" t="str">
        <x:v>32582</x:v>
      </x:c>
      <x:c r="E434" s="3" t="str">
        <x:f>IF(Z434="移出","已移出",IF(NOT(ISNUMBER(H434)),"数据待核",IF(H434=0,"断货",IF(NOT(ISNUMBER(G434)),"数据待核",IF(G434=0,"零日销待复核",IF(F434&lt;60,"补货提醒",IF(F434&lt;=90,"正常库存",IF(F434&lt;180,"促销",IF(F434&lt;=365,"红线促销","考虑清仓")))))))))</x:f>
        <x:v>断货</x:v>
      </x:c>
      <x:c r="F434" s="11" t="str">
        <x:f>IF(AND(ISNUMBER(H434),ISNUMBER(G434),G434&gt;0),H434/G434,"")</x:f>
      </x:c>
      <x:c r="G434" s="12" t="n">
        <x:f>IF(AND(COUNT(P434:R434)=3,MIN(P434:R434)&gt;=0,P434&lt;=Q434,Q434&lt;=R434),P434/7*0.5+Q434/14*0.3+R434/30*0.2,"")</x:f>
        <x:v>0</x:v>
      </x:c>
      <x:c r="H434" s="10" t="n">
        <x:f>IF(ISNUMBER(U434),U434,"")</x:f>
        <x:v>0</x:v>
      </x:c>
      <x:c r="I434" s="10" t="n">
        <x:v>0</x:v>
      </x:c>
      <x:c r="J434" s="11" t="str">
        <x:f>IF(AND(Z434="共同",ISNUMBER(F434),ISNUMBER(M434)),F434-M434,"")</x:f>
      </x:c>
      <x:c r="K434" s="13" t="str">
        <x:f>IF(AND(ISNUMBER(J434),M434&lt;&gt;0),J434/M434,"")</x:f>
      </x:c>
      <x:c r="L434" s="10" t="str">
        <x:v>断货</x:v>
      </x:c>
      <x:c r="M434" s="11"/>
      <x:c r="N434" s="10" t="n">
        <x:f>IF(AND(Z434="共同",COUNT(H434:I434)=2),H434-I434,"")</x:f>
        <x:v>0</x:v>
      </x:c>
      <x:c r="O434" s="10" t="n">
        <x:v>0</x:v>
      </x:c>
      <x:c r="P434" s="10" t="n">
        <x:v>0</x:v>
      </x:c>
      <x:c r="Q434" s="10" t="n">
        <x:v>0</x:v>
      </x:c>
      <x:c r="R434" s="10" t="n">
        <x:v>0</x:v>
      </x:c>
      <x:c r="S434" s="10" t="n">
        <x:v>0</x:v>
      </x:c>
      <x:c r="T434" s="10" t="n">
        <x:v>0</x:v>
      </x:c>
      <x:c r="U434" s="10" t="n">
        <x:f>IF(AND(ISNUMBER(X434),X434&gt;=0,Y434&lt;&gt;1),X434,"")</x:f>
        <x:v>0</x:v>
      </x:c>
      <x:c r="V434" s="10" t="n">
        <x:v>0</x:v>
      </x:c>
      <x:c r="W434" s="10" t="n">
        <x:v>0</x:v>
      </x:c>
      <x:c r="X434" s="10" t="n">
        <x:v>0</x:v>
      </x:c>
      <x:c r="Y434" s="3" t="n">
        <x:v>0</x:v>
      </x:c>
      <x:c r="Z434" s="3" t="str">
        <x:v>共同</x:v>
      </x:c>
      <x:c r="AA434" s="3" t="str">
        <x:v>停售</x:v>
      </x:c>
      <x:c r="AB434" s="12" t="str">
        <x:f>IF(AND(Z434="共同",ISNUMBER(G434),ISNUMBER(AD434)),G434-AD434,"")</x:f>
      </x:c>
      <x:c r="AC434" s="3" t="str">
        <x:v>近90天SKU销量未匹配，未按0处理</x:v>
      </x:c>
      <x:c r="AD434" s="12"/>
      <x:c r="AE434" s="3" t="str">
        <x:v>[6574,"32582-GY-39.5"]</x:v>
      </x:c>
      <x:c r="AF434" t="n">
        <x:f>IF(ISNUMBER(H434),1,0)</x:f>
        <x:v>1</x:v>
      </x:c>
      <x:c r="AG434" t="n">
        <x:f>IF(ISNUMBER(I434),1,0)</x:f>
        <x:v>1</x:v>
      </x:c>
      <x:c r="AH434" t="str">
        <x:v>["32582","32582-GY","GY","灰色"]</x:v>
      </x:c>
      <x:c r="AI434" t="n">
        <x:f>IF(ISNUMBER(G434),1,0)</x:f>
        <x:v>1</x:v>
      </x:c>
      <x:c r="AJ434" t="n">
        <x:f>IF(ISNUMBER(AD434),1,0)</x:f>
        <x:v>0</x:v>
      </x:c>
    </x:row>
    <x:row r="435" ht="30" customHeight="1">
      <x:c r="A435" s="3" t="str">
        <x:v>32582-GY-40</x:v>
      </x:c>
      <x:c r="B435" s="3" t="str">
        <x:v>3店-SANDIEX-US</x:v>
      </x:c>
      <x:c r="C435" s="3" t="str">
        <x:v>徐新怡</x:v>
      </x:c>
      <x:c r="D435" s="3" t="str">
        <x:v>32582</x:v>
      </x:c>
      <x:c r="E435" s="3" t="str">
        <x:f>IF(Z435="移出","已移出",IF(NOT(ISNUMBER(H435)),"数据待核",IF(H435=0,"断货",IF(NOT(ISNUMBER(G435)),"数据待核",IF(G435=0,"零日销待复核",IF(F435&lt;60,"补货提醒",IF(F435&lt;=90,"正常库存",IF(F435&lt;180,"促销",IF(F435&lt;=365,"红线促销","考虑清仓")))))))))</x:f>
        <x:v>断货</x:v>
      </x:c>
      <x:c r="F435" s="11" t="str">
        <x:f>IF(AND(ISNUMBER(H435),ISNUMBER(G435),G435&gt;0),H435/G435,"")</x:f>
      </x:c>
      <x:c r="G435" s="12" t="n">
        <x:f>IF(AND(COUNT(P435:R435)=3,MIN(P435:R435)&gt;=0,P435&lt;=Q435,Q435&lt;=R435),P435/7*0.5+Q435/14*0.3+R435/30*0.2,"")</x:f>
        <x:v>0</x:v>
      </x:c>
      <x:c r="H435" s="10" t="n">
        <x:f>IF(ISNUMBER(U435),U435,"")</x:f>
        <x:v>0</x:v>
      </x:c>
      <x:c r="I435" s="10" t="n">
        <x:v>0</x:v>
      </x:c>
      <x:c r="J435" s="11" t="str">
        <x:f>IF(AND(Z435="共同",ISNUMBER(F435),ISNUMBER(M435)),F435-M435,"")</x:f>
      </x:c>
      <x:c r="K435" s="13" t="str">
        <x:f>IF(AND(ISNUMBER(J435),M435&lt;&gt;0),J435/M435,"")</x:f>
      </x:c>
      <x:c r="L435" s="10" t="str">
        <x:v>断货</x:v>
      </x:c>
      <x:c r="M435" s="11"/>
      <x:c r="N435" s="10" t="n">
        <x:f>IF(AND(Z435="共同",COUNT(H435:I435)=2),H435-I435,"")</x:f>
        <x:v>0</x:v>
      </x:c>
      <x:c r="O435" s="10" t="n">
        <x:v>0</x:v>
      </x:c>
      <x:c r="P435" s="10" t="n">
        <x:v>0</x:v>
      </x:c>
      <x:c r="Q435" s="10" t="n">
        <x:v>0</x:v>
      </x:c>
      <x:c r="R435" s="10" t="n">
        <x:v>0</x:v>
      </x:c>
      <x:c r="S435" s="10" t="n">
        <x:v>0</x:v>
      </x:c>
      <x:c r="T435" s="10" t="n">
        <x:v>0</x:v>
      </x:c>
      <x:c r="U435" s="10" t="n">
        <x:f>IF(AND(ISNUMBER(X435),X435&gt;=0,Y435&lt;&gt;1),X435,"")</x:f>
        <x:v>0</x:v>
      </x:c>
      <x:c r="V435" s="10" t="n">
        <x:v>0</x:v>
      </x:c>
      <x:c r="W435" s="10" t="n">
        <x:v>0</x:v>
      </x:c>
      <x:c r="X435" s="10" t="n">
        <x:v>0</x:v>
      </x:c>
      <x:c r="Y435" s="3" t="n">
        <x:v>0</x:v>
      </x:c>
      <x:c r="Z435" s="3" t="str">
        <x:v>共同</x:v>
      </x:c>
      <x:c r="AA435" s="3" t="str">
        <x:v>停售</x:v>
      </x:c>
      <x:c r="AB435" s="12" t="str">
        <x:f>IF(AND(Z435="共同",ISNUMBER(G435),ISNUMBER(AD435)),G435-AD435,"")</x:f>
      </x:c>
      <x:c r="AC435" s="3" t="str">
        <x:v>近90天SKU销量未匹配，未按0处理</x:v>
      </x:c>
      <x:c r="AD435" s="12"/>
      <x:c r="AE435" s="3" t="str">
        <x:v>[6574,"32582-GY-40"]</x:v>
      </x:c>
      <x:c r="AF435" t="n">
        <x:f>IF(ISNUMBER(H435),1,0)</x:f>
        <x:v>1</x:v>
      </x:c>
      <x:c r="AG435" t="n">
        <x:f>IF(ISNUMBER(I435),1,0)</x:f>
        <x:v>1</x:v>
      </x:c>
      <x:c r="AH435" t="str">
        <x:v>["32582","32582-GY","GY","灰色"]</x:v>
      </x:c>
      <x:c r="AI435" t="n">
        <x:f>IF(ISNUMBER(G435),1,0)</x:f>
        <x:v>1</x:v>
      </x:c>
      <x:c r="AJ435" t="n">
        <x:f>IF(ISNUMBER(AD435),1,0)</x:f>
        <x:v>0</x:v>
      </x:c>
    </x:row>
    <x:row r="436" ht="30" customHeight="1">
      <x:c r="A436" s="3" t="str">
        <x:v>32582-GY-40.5</x:v>
      </x:c>
      <x:c r="B436" s="3" t="str">
        <x:v>3店-SANDIEX-US</x:v>
      </x:c>
      <x:c r="C436" s="3" t="str">
        <x:v>徐新怡</x:v>
      </x:c>
      <x:c r="D436" s="3" t="str">
        <x:v>32582</x:v>
      </x:c>
      <x:c r="E436" s="3" t="str">
        <x:f>IF(Z436="移出","已移出",IF(NOT(ISNUMBER(H436)),"数据待核",IF(H436=0,"断货",IF(NOT(ISNUMBER(G436)),"数据待核",IF(G436=0,"零日销待复核",IF(F436&lt;60,"补货提醒",IF(F436&lt;=90,"正常库存",IF(F436&lt;180,"促销",IF(F436&lt;=365,"红线促销","考虑清仓")))))))))</x:f>
        <x:v>断货</x:v>
      </x:c>
      <x:c r="F436" s="11" t="str">
        <x:f>IF(AND(ISNUMBER(H436),ISNUMBER(G436),G436&gt;0),H436/G436,"")</x:f>
      </x:c>
      <x:c r="G436" s="12" t="n">
        <x:f>IF(AND(COUNT(P436:R436)=3,MIN(P436:R436)&gt;=0,P436&lt;=Q436,Q436&lt;=R436),P436/7*0.5+Q436/14*0.3+R436/30*0.2,"")</x:f>
        <x:v>0</x:v>
      </x:c>
      <x:c r="H436" s="10" t="n">
        <x:f>IF(ISNUMBER(U436),U436,"")</x:f>
        <x:v>0</x:v>
      </x:c>
      <x:c r="I436" s="10" t="n">
        <x:v>0</x:v>
      </x:c>
      <x:c r="J436" s="11" t="str">
        <x:f>IF(AND(Z436="共同",ISNUMBER(F436),ISNUMBER(M436)),F436-M436,"")</x:f>
      </x:c>
      <x:c r="K436" s="13" t="str">
        <x:f>IF(AND(ISNUMBER(J436),M436&lt;&gt;0),J436/M436,"")</x:f>
      </x:c>
      <x:c r="L436" s="10" t="str">
        <x:v>断货</x:v>
      </x:c>
      <x:c r="M436" s="11"/>
      <x:c r="N436" s="10" t="n">
        <x:f>IF(AND(Z436="共同",COUNT(H436:I436)=2),H436-I436,"")</x:f>
        <x:v>0</x:v>
      </x:c>
      <x:c r="O436" s="10"/>
      <x:c r="P436" s="10" t="n">
        <x:v>0</x:v>
      </x:c>
      <x:c r="Q436" s="10" t="n">
        <x:v>0</x:v>
      </x:c>
      <x:c r="R436" s="10" t="n">
        <x:v>0</x:v>
      </x:c>
      <x:c r="S436" s="10" t="n">
        <x:v>0</x:v>
      </x:c>
      <x:c r="T436" s="10" t="n">
        <x:v>0</x:v>
      </x:c>
      <x:c r="U436" s="10" t="n">
        <x:f>IF(AND(ISNUMBER(X436),X436&gt;=0,Y436&lt;&gt;1),X436,"")</x:f>
        <x:v>0</x:v>
      </x:c>
      <x:c r="V436" s="10" t="n">
        <x:v>0</x:v>
      </x:c>
      <x:c r="W436" s="10" t="n">
        <x:v>0</x:v>
      </x:c>
      <x:c r="X436" s="10" t="n">
        <x:v>0</x:v>
      </x:c>
      <x:c r="Y436" s="3" t="n">
        <x:v>0</x:v>
      </x:c>
      <x:c r="Z436" s="3" t="str">
        <x:v>共同</x:v>
      </x:c>
      <x:c r="AA436" s="3" t="str">
        <x:v>停售</x:v>
      </x:c>
      <x:c r="AB436" s="12" t="str">
        <x:f>IF(AND(Z436="共同",ISNUMBER(G436),ISNUMBER(AD436)),G436-AD436,"")</x:f>
      </x:c>
      <x:c r="AC436" s="3" t="str">
        <x:v>近90天SKU销量未匹配，未按0处理</x:v>
      </x:c>
      <x:c r="AD436" s="12"/>
      <x:c r="AE436" s="3" t="str">
        <x:v>[6574,"32582-GY-40.5"]</x:v>
      </x:c>
      <x:c r="AF436" t="n">
        <x:f>IF(ISNUMBER(H436),1,0)</x:f>
        <x:v>1</x:v>
      </x:c>
      <x:c r="AG436" t="n">
        <x:f>IF(ISNUMBER(I436),1,0)</x:f>
        <x:v>1</x:v>
      </x:c>
      <x:c r="AH436" t="str">
        <x:v>["32582","32582-GY","GY","灰色"]</x:v>
      </x:c>
      <x:c r="AI436" t="n">
        <x:f>IF(ISNUMBER(G436),1,0)</x:f>
        <x:v>1</x:v>
      </x:c>
      <x:c r="AJ436" t="n">
        <x:f>IF(ISNUMBER(AD436),1,0)</x:f>
        <x:v>0</x:v>
      </x:c>
    </x:row>
    <x:row r="437" ht="30" customHeight="1">
      <x:c r="A437" s="3" t="str">
        <x:v>32582-GY-41</x:v>
      </x:c>
      <x:c r="B437" s="3" t="str">
        <x:v>3店-SANDIEX-US</x:v>
      </x:c>
      <x:c r="C437" s="3" t="str">
        <x:v>徐新怡</x:v>
      </x:c>
      <x:c r="D437" s="3" t="str">
        <x:v>32582</x:v>
      </x:c>
      <x:c r="E437" s="3" t="str">
        <x:f>IF(Z437="移出","已移出",IF(NOT(ISNUMBER(H437)),"数据待核",IF(H437=0,"断货",IF(NOT(ISNUMBER(G437)),"数据待核",IF(G437=0,"零日销待复核",IF(F437&lt;60,"补货提醒",IF(F437&lt;=90,"正常库存",IF(F437&lt;180,"促销",IF(F437&lt;=365,"红线促销","考虑清仓")))))))))</x:f>
        <x:v>断货</x:v>
      </x:c>
      <x:c r="F437" s="11" t="str">
        <x:f>IF(AND(ISNUMBER(H437),ISNUMBER(G437),G437&gt;0),H437/G437,"")</x:f>
      </x:c>
      <x:c r="G437" s="12" t="n">
        <x:f>IF(AND(COUNT(P437:R437)=3,MIN(P437:R437)&gt;=0,P437&lt;=Q437,Q437&lt;=R437),P437/7*0.5+Q437/14*0.3+R437/30*0.2,"")</x:f>
        <x:v>0</x:v>
      </x:c>
      <x:c r="H437" s="10" t="n">
        <x:f>IF(ISNUMBER(U437),U437,"")</x:f>
        <x:v>0</x:v>
      </x:c>
      <x:c r="I437" s="10" t="n">
        <x:v>0</x:v>
      </x:c>
      <x:c r="J437" s="11" t="str">
        <x:f>IF(AND(Z437="共同",ISNUMBER(F437),ISNUMBER(M437)),F437-M437,"")</x:f>
      </x:c>
      <x:c r="K437" s="13" t="str">
        <x:f>IF(AND(ISNUMBER(J437),M437&lt;&gt;0),J437/M437,"")</x:f>
      </x:c>
      <x:c r="L437" s="10" t="str">
        <x:v>断货</x:v>
      </x:c>
      <x:c r="M437" s="11"/>
      <x:c r="N437" s="10" t="n">
        <x:f>IF(AND(Z437="共同",COUNT(H437:I437)=2),H437-I437,"")</x:f>
        <x:v>0</x:v>
      </x:c>
      <x:c r="O437" s="10" t="n">
        <x:v>0</x:v>
      </x:c>
      <x:c r="P437" s="10" t="n">
        <x:v>0</x:v>
      </x:c>
      <x:c r="Q437" s="10" t="n">
        <x:v>0</x:v>
      </x:c>
      <x:c r="R437" s="10" t="n">
        <x:v>0</x:v>
      </x:c>
      <x:c r="S437" s="10" t="n">
        <x:v>0</x:v>
      </x:c>
      <x:c r="T437" s="10" t="n">
        <x:v>0</x:v>
      </x:c>
      <x:c r="U437" s="10" t="n">
        <x:f>IF(AND(ISNUMBER(X437),X437&gt;=0,Y437&lt;&gt;1),X437,"")</x:f>
        <x:v>0</x:v>
      </x:c>
      <x:c r="V437" s="10" t="n">
        <x:v>0</x:v>
      </x:c>
      <x:c r="W437" s="10" t="n">
        <x:v>0</x:v>
      </x:c>
      <x:c r="X437" s="10" t="n">
        <x:v>0</x:v>
      </x:c>
      <x:c r="Y437" s="3" t="n">
        <x:v>0</x:v>
      </x:c>
      <x:c r="Z437" s="3" t="str">
        <x:v>共同</x:v>
      </x:c>
      <x:c r="AA437" s="3" t="str">
        <x:v>停售</x:v>
      </x:c>
      <x:c r="AB437" s="12" t="str">
        <x:f>IF(AND(Z437="共同",ISNUMBER(G437),ISNUMBER(AD437)),G437-AD437,"")</x:f>
      </x:c>
      <x:c r="AC437" s="3" t="str">
        <x:v>近90天SKU销量未匹配，未按0处理</x:v>
      </x:c>
      <x:c r="AD437" s="12"/>
      <x:c r="AE437" s="3" t="str">
        <x:v>[6574,"32582-GY-41"]</x:v>
      </x:c>
      <x:c r="AF437" t="n">
        <x:f>IF(ISNUMBER(H437),1,0)</x:f>
        <x:v>1</x:v>
      </x:c>
      <x:c r="AG437" t="n">
        <x:f>IF(ISNUMBER(I437),1,0)</x:f>
        <x:v>1</x:v>
      </x:c>
      <x:c r="AH437" t="str">
        <x:v>["32582","32582-GY","GY","灰色"]</x:v>
      </x:c>
      <x:c r="AI437" t="n">
        <x:f>IF(ISNUMBER(G437),1,0)</x:f>
        <x:v>1</x:v>
      </x:c>
      <x:c r="AJ437" t="n">
        <x:f>IF(ISNUMBER(AD437),1,0)</x:f>
        <x:v>0</x:v>
      </x:c>
    </x:row>
    <x:row r="438" ht="30" customHeight="1">
      <x:c r="A438" s="3" t="str">
        <x:v>32582-GY-41.5</x:v>
      </x:c>
      <x:c r="B438" s="3" t="str">
        <x:v>3店-SANDIEX-US</x:v>
      </x:c>
      <x:c r="C438" s="3" t="str">
        <x:v>徐新怡</x:v>
      </x:c>
      <x:c r="D438" s="3" t="str">
        <x:v>32582</x:v>
      </x:c>
      <x:c r="E438" s="3" t="str">
        <x:f>IF(Z438="移出","已移出",IF(NOT(ISNUMBER(H438)),"数据待核",IF(H438=0,"断货",IF(NOT(ISNUMBER(G438)),"数据待核",IF(G438=0,"零日销待复核",IF(F438&lt;60,"补货提醒",IF(F438&lt;=90,"正常库存",IF(F438&lt;180,"促销",IF(F438&lt;=365,"红线促销","考虑清仓")))))))))</x:f>
        <x:v>断货</x:v>
      </x:c>
      <x:c r="F438" s="11" t="str">
        <x:f>IF(AND(ISNUMBER(H438),ISNUMBER(G438),G438&gt;0),H438/G438,"")</x:f>
      </x:c>
      <x:c r="G438" s="12" t="n">
        <x:f>IF(AND(COUNT(P438:R438)=3,MIN(P438:R438)&gt;=0,P438&lt;=Q438,Q438&lt;=R438),P438/7*0.5+Q438/14*0.3+R438/30*0.2,"")</x:f>
        <x:v>0</x:v>
      </x:c>
      <x:c r="H438" s="10" t="n">
        <x:f>IF(ISNUMBER(U438),U438,"")</x:f>
        <x:v>0</x:v>
      </x:c>
      <x:c r="I438" s="10" t="n">
        <x:v>0</x:v>
      </x:c>
      <x:c r="J438" s="11" t="str">
        <x:f>IF(AND(Z438="共同",ISNUMBER(F438),ISNUMBER(M438)),F438-M438,"")</x:f>
      </x:c>
      <x:c r="K438" s="13" t="str">
        <x:f>IF(AND(ISNUMBER(J438),M438&lt;&gt;0),J438/M438,"")</x:f>
      </x:c>
      <x:c r="L438" s="10" t="str">
        <x:v>断货</x:v>
      </x:c>
      <x:c r="M438" s="11"/>
      <x:c r="N438" s="10" t="n">
        <x:f>IF(AND(Z438="共同",COUNT(H438:I438)=2),H438-I438,"")</x:f>
        <x:v>0</x:v>
      </x:c>
      <x:c r="O438" s="10"/>
      <x:c r="P438" s="10" t="n">
        <x:v>0</x:v>
      </x:c>
      <x:c r="Q438" s="10" t="n">
        <x:v>0</x:v>
      </x:c>
      <x:c r="R438" s="10" t="n">
        <x:v>0</x:v>
      </x:c>
      <x:c r="S438" s="10" t="n">
        <x:v>0</x:v>
      </x:c>
      <x:c r="T438" s="10" t="n">
        <x:v>0</x:v>
      </x:c>
      <x:c r="U438" s="10" t="n">
        <x:f>IF(AND(ISNUMBER(X438),X438&gt;=0,Y438&lt;&gt;1),X438,"")</x:f>
        <x:v>0</x:v>
      </x:c>
      <x:c r="V438" s="10" t="n">
        <x:v>0</x:v>
      </x:c>
      <x:c r="W438" s="10" t="n">
        <x:v>0</x:v>
      </x:c>
      <x:c r="X438" s="10" t="n">
        <x:v>0</x:v>
      </x:c>
      <x:c r="Y438" s="3" t="n">
        <x:v>0</x:v>
      </x:c>
      <x:c r="Z438" s="3" t="str">
        <x:v>共同</x:v>
      </x:c>
      <x:c r="AA438" s="3" t="str">
        <x:v>停售</x:v>
      </x:c>
      <x:c r="AB438" s="12" t="str">
        <x:f>IF(AND(Z438="共同",ISNUMBER(G438),ISNUMBER(AD438)),G438-AD438,"")</x:f>
      </x:c>
      <x:c r="AC438" s="3" t="str">
        <x:v>近90天SKU销量未匹配，未按0处理</x:v>
      </x:c>
      <x:c r="AD438" s="12"/>
      <x:c r="AE438" s="3" t="str">
        <x:v>[6574,"32582-GY-41.5"]</x:v>
      </x:c>
      <x:c r="AF438" t="n">
        <x:f>IF(ISNUMBER(H438),1,0)</x:f>
        <x:v>1</x:v>
      </x:c>
      <x:c r="AG438" t="n">
        <x:f>IF(ISNUMBER(I438),1,0)</x:f>
        <x:v>1</x:v>
      </x:c>
      <x:c r="AH438" t="str">
        <x:v>["32582","32582-GY","GY","灰色"]</x:v>
      </x:c>
      <x:c r="AI438" t="n">
        <x:f>IF(ISNUMBER(G438),1,0)</x:f>
        <x:v>1</x:v>
      </x:c>
      <x:c r="AJ438" t="n">
        <x:f>IF(ISNUMBER(AD438),1,0)</x:f>
        <x:v>0</x:v>
      </x:c>
    </x:row>
    <x:row r="439" ht="30" customHeight="1">
      <x:c r="A439" s="3" t="str">
        <x:v>32582-gy-42</x:v>
      </x:c>
      <x:c r="B439" s="3" t="str">
        <x:v>3店-SANDIEX-US</x:v>
      </x:c>
      <x:c r="C439" s="3" t="str">
        <x:v>徐新怡</x:v>
      </x:c>
      <x:c r="D439" s="3" t="str">
        <x:v>32582</x:v>
      </x:c>
      <x:c r="E439" s="3" t="str">
        <x:f>IF(Z439="移出","已移出",IF(NOT(ISNUMBER(H439)),"数据待核",IF(H439=0,"断货",IF(NOT(ISNUMBER(G439)),"数据待核",IF(G439=0,"零日销待复核",IF(F439&lt;60,"补货提醒",IF(F439&lt;=90,"正常库存",IF(F439&lt;180,"促销",IF(F439&lt;=365,"红线促销","考虑清仓")))))))))</x:f>
        <x:v>断货</x:v>
      </x:c>
      <x:c r="F439" s="11" t="str">
        <x:f>IF(AND(ISNUMBER(H439),ISNUMBER(G439),G439&gt;0),H439/G439,"")</x:f>
      </x:c>
      <x:c r="G439" s="12" t="n">
        <x:f>IF(AND(COUNT(P439:R439)=3,MIN(P439:R439)&gt;=0,P439&lt;=Q439,Q439&lt;=R439),P439/7*0.5+Q439/14*0.3+R439/30*0.2,"")</x:f>
        <x:v>0</x:v>
      </x:c>
      <x:c r="H439" s="10" t="n">
        <x:f>IF(ISNUMBER(U439),U439,"")</x:f>
        <x:v>0</x:v>
      </x:c>
      <x:c r="I439" s="10" t="n">
        <x:v>0</x:v>
      </x:c>
      <x:c r="J439" s="11" t="str">
        <x:f>IF(AND(Z439="共同",ISNUMBER(F439),ISNUMBER(M439)),F439-M439,"")</x:f>
      </x:c>
      <x:c r="K439" s="13" t="str">
        <x:f>IF(AND(ISNUMBER(J439),M439&lt;&gt;0),J439/M439,"")</x:f>
      </x:c>
      <x:c r="L439" s="10" t="str">
        <x:v>断货</x:v>
      </x:c>
      <x:c r="M439" s="11"/>
      <x:c r="N439" s="10" t="n">
        <x:f>IF(AND(Z439="共同",COUNT(H439:I439)=2),H439-I439,"")</x:f>
        <x:v>0</x:v>
      </x:c>
      <x:c r="O439" s="10" t="n">
        <x:v>0</x:v>
      </x:c>
      <x:c r="P439" s="10" t="n">
        <x:v>0</x:v>
      </x:c>
      <x:c r="Q439" s="10" t="n">
        <x:v>0</x:v>
      </x:c>
      <x:c r="R439" s="10" t="n">
        <x:v>0</x:v>
      </x:c>
      <x:c r="S439" s="10" t="n">
        <x:v>0</x:v>
      </x:c>
      <x:c r="T439" s="10" t="n">
        <x:v>0</x:v>
      </x:c>
      <x:c r="U439" s="10" t="n">
        <x:f>IF(AND(ISNUMBER(X439),X439&gt;=0,Y439&lt;&gt;1),X439,"")</x:f>
        <x:v>0</x:v>
      </x:c>
      <x:c r="V439" s="10" t="n">
        <x:v>0</x:v>
      </x:c>
      <x:c r="W439" s="10" t="n">
        <x:v>0</x:v>
      </x:c>
      <x:c r="X439" s="10" t="n">
        <x:v>0</x:v>
      </x:c>
      <x:c r="Y439" s="3" t="n">
        <x:v>0</x:v>
      </x:c>
      <x:c r="Z439" s="3" t="str">
        <x:v>共同</x:v>
      </x:c>
      <x:c r="AA439" s="3" t="str">
        <x:v>停售</x:v>
      </x:c>
      <x:c r="AB439" s="12" t="n">
        <x:f>IF(AND(Z439="共同",ISNUMBER(G439),ISNUMBER(AD439)),G439-AD439,"")</x:f>
        <x:v>0</x:v>
      </x:c>
      <x:c r="AC439" s="3" t="str"/>
      <x:c r="AD439" s="12" t="n">
        <x:v>0</x:v>
      </x:c>
      <x:c r="AE439" s="3" t="str">
        <x:v>[6574,"32582-gy-42"]</x:v>
      </x:c>
      <x:c r="AF439" t="n">
        <x:f>IF(ISNUMBER(H439),1,0)</x:f>
        <x:v>1</x:v>
      </x:c>
      <x:c r="AG439" t="n">
        <x:f>IF(ISNUMBER(I439),1,0)</x:f>
        <x:v>1</x:v>
      </x:c>
      <x:c r="AH439" t="str">
        <x:v>["32582","32582-gy","gy","灰色"]</x:v>
      </x:c>
      <x:c r="AI439" t="n">
        <x:f>IF(ISNUMBER(G439),1,0)</x:f>
        <x:v>1</x:v>
      </x:c>
      <x:c r="AJ439" t="n">
        <x:f>IF(ISNUMBER(AD439),1,0)</x:f>
        <x:v>1</x:v>
      </x:c>
    </x:row>
    <x:row r="440" ht="30" customHeight="1">
      <x:c r="A440" s="3" t="str">
        <x:v>32582-LD-38</x:v>
      </x:c>
      <x:c r="B440" s="3" t="str">
        <x:v>3店-SANDIEX-US</x:v>
      </x:c>
      <x:c r="C440" s="3" t="str">
        <x:v>徐新怡</x:v>
      </x:c>
      <x:c r="D440" s="3" t="str">
        <x:v>32582</x:v>
      </x:c>
      <x:c r="E440" s="3" t="str">
        <x:f>IF(Z440="移出","已移出",IF(NOT(ISNUMBER(H440)),"数据待核",IF(H440=0,"断货",IF(NOT(ISNUMBER(G440)),"数据待核",IF(G440=0,"零日销待复核",IF(F440&lt;60,"补货提醒",IF(F440&lt;=90,"正常库存",IF(F440&lt;180,"促销",IF(F440&lt;=365,"红线促销","考虑清仓")))))))))</x:f>
        <x:v>断货</x:v>
      </x:c>
      <x:c r="F440" s="11" t="str">
        <x:f>IF(AND(ISNUMBER(H440),ISNUMBER(G440),G440&gt;0),H440/G440,"")</x:f>
      </x:c>
      <x:c r="G440" s="12" t="n">
        <x:f>IF(AND(COUNT(P440:R440)=3,MIN(P440:R440)&gt;=0,P440&lt;=Q440,Q440&lt;=R440),P440/7*0.5+Q440/14*0.3+R440/30*0.2,"")</x:f>
        <x:v>0</x:v>
      </x:c>
      <x:c r="H440" s="10" t="n">
        <x:f>IF(ISNUMBER(U440),U440,"")</x:f>
        <x:v>0</x:v>
      </x:c>
      <x:c r="I440" s="10" t="n">
        <x:v>0</x:v>
      </x:c>
      <x:c r="J440" s="11" t="str">
        <x:f>IF(AND(Z440="共同",ISNUMBER(F440),ISNUMBER(M440)),F440-M440,"")</x:f>
      </x:c>
      <x:c r="K440" s="13" t="str">
        <x:f>IF(AND(ISNUMBER(J440),M440&lt;&gt;0),J440/M440,"")</x:f>
      </x:c>
      <x:c r="L440" s="10" t="str">
        <x:v>断货</x:v>
      </x:c>
      <x:c r="M440" s="11"/>
      <x:c r="N440" s="10" t="n">
        <x:f>IF(AND(Z440="共同",COUNT(H440:I440)=2),H440-I440,"")</x:f>
        <x:v>0</x:v>
      </x:c>
      <x:c r="O440" s="10"/>
      <x:c r="P440" s="10" t="n">
        <x:v>0</x:v>
      </x:c>
      <x:c r="Q440" s="10" t="n">
        <x:v>0</x:v>
      </x:c>
      <x:c r="R440" s="10" t="n">
        <x:v>0</x:v>
      </x:c>
      <x:c r="S440" s="10" t="n">
        <x:v>0</x:v>
      </x:c>
      <x:c r="T440" s="10" t="n">
        <x:v>0</x:v>
      </x:c>
      <x:c r="U440" s="10" t="n">
        <x:f>IF(AND(ISNUMBER(X440),X440&gt;=0,Y440&lt;&gt;1),X440,"")</x:f>
        <x:v>0</x:v>
      </x:c>
      <x:c r="V440" s="10" t="n">
        <x:v>0</x:v>
      </x:c>
      <x:c r="W440" s="10" t="n">
        <x:v>0</x:v>
      </x:c>
      <x:c r="X440" s="10" t="n">
        <x:v>0</x:v>
      </x:c>
      <x:c r="Y440" s="3" t="n">
        <x:v>0</x:v>
      </x:c>
      <x:c r="Z440" s="3" t="str">
        <x:v>共同</x:v>
      </x:c>
      <x:c r="AA440" s="3" t="str">
        <x:v>停售</x:v>
      </x:c>
      <x:c r="AB440" s="12" t="n">
        <x:f>IF(AND(Z440="共同",ISNUMBER(G440),ISNUMBER(AD440)),G440-AD440,"")</x:f>
        <x:v>0</x:v>
      </x:c>
      <x:c r="AC440" s="3" t="str"/>
      <x:c r="AD440" s="12" t="n">
        <x:v>0</x:v>
      </x:c>
      <x:c r="AE440" s="3" t="str">
        <x:v>[6574,"32582-LD-38"]</x:v>
      </x:c>
      <x:c r="AF440" t="n">
        <x:f>IF(ISNUMBER(H440),1,0)</x:f>
        <x:v>1</x:v>
      </x:c>
      <x:c r="AG440" t="n">
        <x:f>IF(ISNUMBER(I440),1,0)</x:f>
        <x:v>1</x:v>
      </x:c>
      <x:c r="AH440" t="str">
        <x:v>["32582","32582-LD","LD","豹纹"]</x:v>
      </x:c>
      <x:c r="AI440" t="n">
        <x:f>IF(ISNUMBER(G440),1,0)</x:f>
        <x:v>1</x:v>
      </x:c>
      <x:c r="AJ440" t="n">
        <x:f>IF(ISNUMBER(AD440),1,0)</x:f>
        <x:v>1</x:v>
      </x:c>
    </x:row>
    <x:row r="441" ht="30" customHeight="1">
      <x:c r="A441" s="3" t="str">
        <x:v>32582-LD-40</x:v>
      </x:c>
      <x:c r="B441" s="3" t="str">
        <x:v>3店-SANDIEX-US</x:v>
      </x:c>
      <x:c r="C441" s="3" t="str">
        <x:v>徐新怡</x:v>
      </x:c>
      <x:c r="D441" s="3" t="str">
        <x:v>32582</x:v>
      </x:c>
      <x:c r="E441" s="3" t="str">
        <x:f>IF(Z441="移出","已移出",IF(NOT(ISNUMBER(H441)),"数据待核",IF(H441=0,"断货",IF(NOT(ISNUMBER(G441)),"数据待核",IF(G441=0,"零日销待复核",IF(F441&lt;60,"补货提醒",IF(F441&lt;=90,"正常库存",IF(F441&lt;180,"促销",IF(F441&lt;=365,"红线促销","考虑清仓")))))))))</x:f>
        <x:v>断货</x:v>
      </x:c>
      <x:c r="F441" s="11" t="n">
        <x:f>IF(AND(ISNUMBER(H441),ISNUMBER(G441),G441&gt;0),H441/G441,"")</x:f>
        <x:v>0</x:v>
      </x:c>
      <x:c r="G441" s="12" t="n">
        <x:f>IF(AND(COUNT(P441:R441)=3,MIN(P441:R441)&gt;=0,P441&lt;=Q441,Q441&lt;=R441),P441/7*0.5+Q441/14*0.3+R441/30*0.2,"")</x:f>
        <x:v>0.041428571428571426</x:v>
      </x:c>
      <x:c r="H441" s="10" t="n">
        <x:f>IF(ISNUMBER(U441),U441,"")</x:f>
        <x:v>0</x:v>
      </x:c>
      <x:c r="I441" s="10" t="n">
        <x:v>0</x:v>
      </x:c>
      <x:c r="J441" s="11" t="n">
        <x:f>IF(AND(Z441="共同",ISNUMBER(F441),ISNUMBER(M441)),F441-M441,"")</x:f>
        <x:v>0</x:v>
      </x:c>
      <x:c r="K441" s="13" t="str">
        <x:f>IF(AND(ISNUMBER(J441),M441&lt;&gt;0),J441/M441,"")</x:f>
      </x:c>
      <x:c r="L441" s="10" t="str">
        <x:v>断货</x:v>
      </x:c>
      <x:c r="M441" s="11" t="n">
        <x:v>0</x:v>
      </x:c>
      <x:c r="N441" s="10" t="n">
        <x:f>IF(AND(Z441="共同",COUNT(H441:I441)=2),H441-I441,"")</x:f>
        <x:v>0</x:v>
      </x:c>
      <x:c r="O441" s="10" t="n">
        <x:v>89</x:v>
      </x:c>
      <x:c r="P441" s="10" t="n">
        <x:v>0</x:v>
      </x:c>
      <x:c r="Q441" s="10" t="n">
        <x:v>1</x:v>
      </x:c>
      <x:c r="R441" s="10" t="n">
        <x:v>3</x:v>
      </x:c>
      <x:c r="S441" s="10" t="n">
        <x:v>0</x:v>
      </x:c>
      <x:c r="T441" s="10" t="n">
        <x:v>0</x:v>
      </x:c>
      <x:c r="U441" s="10" t="n">
        <x:f>IF(AND(ISNUMBER(X441),X441&gt;=0,Y441&lt;&gt;1),X441,"")</x:f>
        <x:v>0</x:v>
      </x:c>
      <x:c r="V441" s="10" t="n">
        <x:v>0</x:v>
      </x:c>
      <x:c r="W441" s="10" t="n">
        <x:v>0</x:v>
      </x:c>
      <x:c r="X441" s="10" t="n">
        <x:v>0</x:v>
      </x:c>
      <x:c r="Y441" s="3" t="n">
        <x:v>0</x:v>
      </x:c>
      <x:c r="Z441" s="3" t="str">
        <x:v>共同</x:v>
      </x:c>
      <x:c r="AA441" s="3" t="str">
        <x:v>停售</x:v>
      </x:c>
      <x:c r="AB441" s="12" t="n">
        <x:f>IF(AND(Z441="共同",ISNUMBER(G441),ISNUMBER(AD441)),G441-AD441,"")</x:f>
        <x:v>-0.061428571428571416</x:v>
      </x:c>
      <x:c r="AC441" s="3" t="str"/>
      <x:c r="AD441" s="12" t="n">
        <x:v>0.10285714285714284</x:v>
      </x:c>
      <x:c r="AE441" s="3" t="str">
        <x:v>[6574,"32582-LD-40"]</x:v>
      </x:c>
      <x:c r="AF441" t="n">
        <x:f>IF(ISNUMBER(H441),1,0)</x:f>
        <x:v>1</x:v>
      </x:c>
      <x:c r="AG441" t="n">
        <x:f>IF(ISNUMBER(I441),1,0)</x:f>
        <x:v>1</x:v>
      </x:c>
      <x:c r="AH441" t="str">
        <x:v>["32582","32582-LD","LD","豹纹"]</x:v>
      </x:c>
      <x:c r="AI441" t="n">
        <x:f>IF(ISNUMBER(G441),1,0)</x:f>
        <x:v>1</x:v>
      </x:c>
      <x:c r="AJ441" t="n">
        <x:f>IF(ISNUMBER(AD441),1,0)</x:f>
        <x:v>1</x:v>
      </x:c>
    </x:row>
    <x:row r="442" ht="30" customHeight="1">
      <x:c r="A442" s="3" t="str">
        <x:v>32582-LD-41.5</x:v>
      </x:c>
      <x:c r="B442" s="3" t="str">
        <x:v>3店-SANDIEX-US</x:v>
      </x:c>
      <x:c r="C442" s="3" t="str">
        <x:v>徐新怡</x:v>
      </x:c>
      <x:c r="D442" s="3" t="str">
        <x:v>32582</x:v>
      </x:c>
      <x:c r="E442" s="3" t="str">
        <x:f>IF(Z442="移出","已移出",IF(NOT(ISNUMBER(H442)),"数据待核",IF(H442=0,"断货",IF(NOT(ISNUMBER(G442)),"数据待核",IF(G442=0,"零日销待复核",IF(F442&lt;60,"补货提醒",IF(F442&lt;=90,"正常库存",IF(F442&lt;180,"促销",IF(F442&lt;=365,"红线促销","考虑清仓")))))))))</x:f>
        <x:v>断货</x:v>
      </x:c>
      <x:c r="F442" s="11" t="str">
        <x:f>IF(AND(ISNUMBER(H442),ISNUMBER(G442),G442&gt;0),H442/G442,"")</x:f>
      </x:c>
      <x:c r="G442" s="12" t="n">
        <x:f>IF(AND(COUNT(P442:R442)=3,MIN(P442:R442)&gt;=0,P442&lt;=Q442,Q442&lt;=R442),P442/7*0.5+Q442/14*0.3+R442/30*0.2,"")</x:f>
        <x:v>0</x:v>
      </x:c>
      <x:c r="H442" s="10" t="n">
        <x:f>IF(ISNUMBER(U442),U442,"")</x:f>
        <x:v>0</x:v>
      </x:c>
      <x:c r="I442" s="10" t="n">
        <x:v>0</x:v>
      </x:c>
      <x:c r="J442" s="11" t="str">
        <x:f>IF(AND(Z442="共同",ISNUMBER(F442),ISNUMBER(M442)),F442-M442,"")</x:f>
      </x:c>
      <x:c r="K442" s="13" t="str">
        <x:f>IF(AND(ISNUMBER(J442),M442&lt;&gt;0),J442/M442,"")</x:f>
      </x:c>
      <x:c r="L442" s="10" t="str">
        <x:v>断货</x:v>
      </x:c>
      <x:c r="M442" s="11"/>
      <x:c r="N442" s="10" t="n">
        <x:f>IF(AND(Z442="共同",COUNT(H442:I442)=2),H442-I442,"")</x:f>
        <x:v>0</x:v>
      </x:c>
      <x:c r="O442" s="10"/>
      <x:c r="P442" s="10" t="n">
        <x:v>0</x:v>
      </x:c>
      <x:c r="Q442" s="10" t="n">
        <x:v>0</x:v>
      </x:c>
      <x:c r="R442" s="10" t="n">
        <x:v>0</x:v>
      </x:c>
      <x:c r="S442" s="10" t="n">
        <x:v>0</x:v>
      </x:c>
      <x:c r="T442" s="10" t="n">
        <x:v>0</x:v>
      </x:c>
      <x:c r="U442" s="10" t="n">
        <x:f>IF(AND(ISNUMBER(X442),X442&gt;=0,Y442&lt;&gt;1),X442,"")</x:f>
        <x:v>0</x:v>
      </x:c>
      <x:c r="V442" s="10" t="n">
        <x:v>0</x:v>
      </x:c>
      <x:c r="W442" s="10" t="n">
        <x:v>0</x:v>
      </x:c>
      <x:c r="X442" s="10" t="n">
        <x:v>0</x:v>
      </x:c>
      <x:c r="Y442" s="3" t="n">
        <x:v>0</x:v>
      </x:c>
      <x:c r="Z442" s="3" t="str">
        <x:v>共同</x:v>
      </x:c>
      <x:c r="AA442" s="3" t="str">
        <x:v>停售</x:v>
      </x:c>
      <x:c r="AB442" s="12" t="str">
        <x:f>IF(AND(Z442="共同",ISNUMBER(G442),ISNUMBER(AD442)),G442-AD442,"")</x:f>
      </x:c>
      <x:c r="AC442" s="3" t="str">
        <x:v>近90天SKU销量未匹配，未按0处理</x:v>
      </x:c>
      <x:c r="AD442" s="12"/>
      <x:c r="AE442" s="3" t="str">
        <x:v>[6574,"32582-LD-41.5"]</x:v>
      </x:c>
      <x:c r="AF442" t="n">
        <x:f>IF(ISNUMBER(H442),1,0)</x:f>
        <x:v>1</x:v>
      </x:c>
      <x:c r="AG442" t="n">
        <x:f>IF(ISNUMBER(I442),1,0)</x:f>
        <x:v>1</x:v>
      </x:c>
      <x:c r="AH442" t="str">
        <x:v>["32582","32582-LD","LD","豹纹"]</x:v>
      </x:c>
      <x:c r="AI442" t="n">
        <x:f>IF(ISNUMBER(G442),1,0)</x:f>
        <x:v>1</x:v>
      </x:c>
      <x:c r="AJ442" t="n">
        <x:f>IF(ISNUMBER(AD442),1,0)</x:f>
        <x:v>0</x:v>
      </x:c>
    </x:row>
    <x:row r="443" ht="30" customHeight="1">
      <x:c r="A443" s="3" t="str">
        <x:v>32582-LD-42</x:v>
      </x:c>
      <x:c r="B443" s="3" t="str">
        <x:v>3店-SANDIEX-US</x:v>
      </x:c>
      <x:c r="C443" s="3" t="str">
        <x:v>徐新怡</x:v>
      </x:c>
      <x:c r="D443" s="3" t="str">
        <x:v>32582</x:v>
      </x:c>
      <x:c r="E443" s="3" t="str">
        <x:f>IF(Z443="移出","已移出",IF(NOT(ISNUMBER(H443)),"数据待核",IF(H443=0,"断货",IF(NOT(ISNUMBER(G443)),"数据待核",IF(G443=0,"零日销待复核",IF(F443&lt;60,"补货提醒",IF(F443&lt;=90,"正常库存",IF(F443&lt;180,"促销",IF(F443&lt;=365,"红线促销","考虑清仓")))))))))</x:f>
        <x:v>断货</x:v>
      </x:c>
      <x:c r="F443" s="11" t="str">
        <x:f>IF(AND(ISNUMBER(H443),ISNUMBER(G443),G443&gt;0),H443/G443,"")</x:f>
      </x:c>
      <x:c r="G443" s="12" t="n">
        <x:f>IF(AND(COUNT(P443:R443)=3,MIN(P443:R443)&gt;=0,P443&lt;=Q443,Q443&lt;=R443),P443/7*0.5+Q443/14*0.3+R443/30*0.2,"")</x:f>
        <x:v>0</x:v>
      </x:c>
      <x:c r="H443" s="10" t="n">
        <x:f>IF(ISNUMBER(U443),U443,"")</x:f>
        <x:v>0</x:v>
      </x:c>
      <x:c r="I443" s="10" t="n">
        <x:v>0</x:v>
      </x:c>
      <x:c r="J443" s="11" t="str">
        <x:f>IF(AND(Z443="共同",ISNUMBER(F443),ISNUMBER(M443)),F443-M443,"")</x:f>
      </x:c>
      <x:c r="K443" s="13" t="str">
        <x:f>IF(AND(ISNUMBER(J443),M443&lt;&gt;0),J443/M443,"")</x:f>
      </x:c>
      <x:c r="L443" s="10" t="str">
        <x:v>断货</x:v>
      </x:c>
      <x:c r="M443" s="11"/>
      <x:c r="N443" s="10" t="n">
        <x:f>IF(AND(Z443="共同",COUNT(H443:I443)=2),H443-I443,"")</x:f>
        <x:v>0</x:v>
      </x:c>
      <x:c r="O443" s="10" t="n">
        <x:v>0</x:v>
      </x:c>
      <x:c r="P443" s="10" t="n">
        <x:v>0</x:v>
      </x:c>
      <x:c r="Q443" s="10" t="n">
        <x:v>0</x:v>
      </x:c>
      <x:c r="R443" s="10" t="n">
        <x:v>0</x:v>
      </x:c>
      <x:c r="S443" s="10" t="n">
        <x:v>0</x:v>
      </x:c>
      <x:c r="T443" s="10" t="n">
        <x:v>0</x:v>
      </x:c>
      <x:c r="U443" s="10" t="n">
        <x:f>IF(AND(ISNUMBER(X443),X443&gt;=0,Y443&lt;&gt;1),X443,"")</x:f>
        <x:v>0</x:v>
      </x:c>
      <x:c r="V443" s="10" t="n">
        <x:v>0</x:v>
      </x:c>
      <x:c r="W443" s="10" t="n">
        <x:v>0</x:v>
      </x:c>
      <x:c r="X443" s="10" t="n">
        <x:v>0</x:v>
      </x:c>
      <x:c r="Y443" s="3" t="n">
        <x:v>0</x:v>
      </x:c>
      <x:c r="Z443" s="3" t="str">
        <x:v>共同</x:v>
      </x:c>
      <x:c r="AA443" s="3" t="str">
        <x:v>停售</x:v>
      </x:c>
      <x:c r="AB443" s="12" t="n">
        <x:f>IF(AND(Z443="共同",ISNUMBER(G443),ISNUMBER(AD443)),G443-AD443,"")</x:f>
        <x:v>0</x:v>
      </x:c>
      <x:c r="AC443" s="3" t="str"/>
      <x:c r="AD443" s="12" t="n">
        <x:v>0</x:v>
      </x:c>
      <x:c r="AE443" s="3" t="str">
        <x:v>[6574,"32582-LD-42"]</x:v>
      </x:c>
      <x:c r="AF443" t="n">
        <x:f>IF(ISNUMBER(H443),1,0)</x:f>
        <x:v>1</x:v>
      </x:c>
      <x:c r="AG443" t="n">
        <x:f>IF(ISNUMBER(I443),1,0)</x:f>
        <x:v>1</x:v>
      </x:c>
      <x:c r="AH443" t="str">
        <x:v>["32582","32582-LD","LD","豹纹"]</x:v>
      </x:c>
      <x:c r="AI443" t="n">
        <x:f>IF(ISNUMBER(G443),1,0)</x:f>
        <x:v>1</x:v>
      </x:c>
      <x:c r="AJ443" t="n">
        <x:f>IF(ISNUMBER(AD443),1,0)</x:f>
        <x:v>1</x:v>
      </x:c>
    </x:row>
    <x:row r="444" ht="30" customHeight="1">
      <x:c r="A444" s="3" t="str">
        <x:v>32582-LPB-37</x:v>
      </x:c>
      <x:c r="B444" s="3" t="str">
        <x:v>3店-SANDIEX-US</x:v>
      </x:c>
      <x:c r="C444" s="3" t="str">
        <x:v>徐新怡</x:v>
      </x:c>
      <x:c r="D444" s="3" t="str">
        <x:v>32582</x:v>
      </x:c>
      <x:c r="E444" s="3" t="str">
        <x:f>IF(Z444="移出","已移出",IF(NOT(ISNUMBER(H444)),"数据待核",IF(H444=0,"断货",IF(NOT(ISNUMBER(G444)),"数据待核",IF(G444=0,"零日销待复核",IF(F444&lt;60,"补货提醒",IF(F444&lt;=90,"正常库存",IF(F444&lt;180,"促销",IF(F444&lt;=365,"红线促销","考虑清仓")))))))))</x:f>
        <x:v>断货</x:v>
      </x:c>
      <x:c r="F444" s="11" t="n">
        <x:f>IF(AND(ISNUMBER(H444),ISNUMBER(G444),G444&gt;0),H444/G444,"")</x:f>
        <x:v>0</x:v>
      </x:c>
      <x:c r="G444" s="12" t="n">
        <x:f>IF(AND(COUNT(P444:R444)=3,MIN(P444:R444)&gt;=0,P444&lt;=Q444,Q444&lt;=R444),P444/7*0.5+Q444/14*0.3+R444/30*0.2,"")</x:f>
        <x:v>0.006666666666666667</x:v>
      </x:c>
      <x:c r="H444" s="10" t="n">
        <x:f>IF(ISNUMBER(U444),U444,"")</x:f>
        <x:v>0</x:v>
      </x:c>
      <x:c r="I444" s="10" t="n">
        <x:v>0</x:v>
      </x:c>
      <x:c r="J444" s="11" t="n">
        <x:f>IF(AND(Z444="共同",ISNUMBER(F444),ISNUMBER(M444)),F444-M444,"")</x:f>
        <x:v>0</x:v>
      </x:c>
      <x:c r="K444" s="13" t="str">
        <x:f>IF(AND(ISNUMBER(J444),M444&lt;&gt;0),J444/M444,"")</x:f>
      </x:c>
      <x:c r="L444" s="10" t="str">
        <x:v>断货</x:v>
      </x:c>
      <x:c r="M444" s="11" t="n">
        <x:v>0</x:v>
      </x:c>
      <x:c r="N444" s="10" t="n">
        <x:f>IF(AND(Z444="共同",COUNT(H444:I444)=2),H444-I444,"")</x:f>
        <x:v>0</x:v>
      </x:c>
      <x:c r="O444" s="10" t="n">
        <x:v>0</x:v>
      </x:c>
      <x:c r="P444" s="10" t="n">
        <x:v>0</x:v>
      </x:c>
      <x:c r="Q444" s="10" t="n">
        <x:v>0</x:v>
      </x:c>
      <x:c r="R444" s="10" t="n">
        <x:v>1</x:v>
      </x:c>
      <x:c r="S444" s="10" t="n">
        <x:v>0</x:v>
      </x:c>
      <x:c r="T444" s="10" t="n">
        <x:v>0</x:v>
      </x:c>
      <x:c r="U444" s="10" t="n">
        <x:f>IF(AND(ISNUMBER(X444),X444&gt;=0,Y444&lt;&gt;1),X444,"")</x:f>
        <x:v>0</x:v>
      </x:c>
      <x:c r="V444" s="10" t="n">
        <x:v>0</x:v>
      </x:c>
      <x:c r="W444" s="10" t="n">
        <x:v>0</x:v>
      </x:c>
      <x:c r="X444" s="10" t="n">
        <x:v>0</x:v>
      </x:c>
      <x:c r="Y444" s="3" t="n">
        <x:v>0</x:v>
      </x:c>
      <x:c r="Z444" s="3" t="str">
        <x:v>共同</x:v>
      </x:c>
      <x:c r="AA444" s="3" t="str">
        <x:v>停售</x:v>
      </x:c>
      <x:c r="AB444" s="12" t="n">
        <x:f>IF(AND(Z444="共同",ISNUMBER(G444),ISNUMBER(AD444)),G444-AD444,"")</x:f>
        <x:v>-0.02142857142857143</x:v>
      </x:c>
      <x:c r="AC444" s="3" t="str"/>
      <x:c r="AD444" s="12" t="n">
        <x:v>0.028095238095238097</x:v>
      </x:c>
      <x:c r="AE444" s="3" t="str">
        <x:v>[6574,"32582-LPB-37"]</x:v>
      </x:c>
      <x:c r="AF444" t="n">
        <x:f>IF(ISNUMBER(H444),1,0)</x:f>
        <x:v>1</x:v>
      </x:c>
      <x:c r="AG444" t="n">
        <x:f>IF(ISNUMBER(I444),1,0)</x:f>
        <x:v>1</x:v>
      </x:c>
      <x:c r="AH444" t="str">
        <x:v>["32582","32582-LPB","LPB","豹纹黑色内里"]</x:v>
      </x:c>
      <x:c r="AI444" t="n">
        <x:f>IF(ISNUMBER(G444),1,0)</x:f>
        <x:v>1</x:v>
      </x:c>
      <x:c r="AJ444" t="n">
        <x:f>IF(ISNUMBER(AD444),1,0)</x:f>
        <x:v>1</x:v>
      </x:c>
    </x:row>
    <x:row r="445" ht="30" customHeight="1">
      <x:c r="A445" s="3" t="str">
        <x:v>32582-LPB-39.5</x:v>
      </x:c>
      <x:c r="B445" s="3" t="str">
        <x:v>3店-SANDIEX-US</x:v>
      </x:c>
      <x:c r="C445" s="3" t="str">
        <x:v>徐新怡</x:v>
      </x:c>
      <x:c r="D445" s="3" t="str">
        <x:v>32582</x:v>
      </x:c>
      <x:c r="E445" s="3" t="str">
        <x:f>IF(Z445="移出","已移出",IF(NOT(ISNUMBER(H445)),"数据待核",IF(H445=0,"断货",IF(NOT(ISNUMBER(G445)),"数据待核",IF(G445=0,"零日销待复核",IF(F445&lt;60,"补货提醒",IF(F445&lt;=90,"正常库存",IF(F445&lt;180,"促销",IF(F445&lt;=365,"红线促销","考虑清仓")))))))))</x:f>
        <x:v>断货</x:v>
      </x:c>
      <x:c r="F445" s="11" t="str">
        <x:f>IF(AND(ISNUMBER(H445),ISNUMBER(G445),G445&gt;0),H445/G445,"")</x:f>
      </x:c>
      <x:c r="G445" s="12" t="n">
        <x:f>IF(AND(COUNT(P445:R445)=3,MIN(P445:R445)&gt;=0,P445&lt;=Q445,Q445&lt;=R445),P445/7*0.5+Q445/14*0.3+R445/30*0.2,"")</x:f>
        <x:v>0</x:v>
      </x:c>
      <x:c r="H445" s="10" t="n">
        <x:f>IF(ISNUMBER(U445),U445,"")</x:f>
        <x:v>0</x:v>
      </x:c>
      <x:c r="I445" s="10" t="n">
        <x:v>0</x:v>
      </x:c>
      <x:c r="J445" s="11" t="str">
        <x:f>IF(AND(Z445="共同",ISNUMBER(F445),ISNUMBER(M445)),F445-M445,"")</x:f>
      </x:c>
      <x:c r="K445" s="13" t="str">
        <x:f>IF(AND(ISNUMBER(J445),M445&lt;&gt;0),J445/M445,"")</x:f>
      </x:c>
      <x:c r="L445" s="10" t="str">
        <x:v>断货</x:v>
      </x:c>
      <x:c r="M445" s="11"/>
      <x:c r="N445" s="10" t="n">
        <x:f>IF(AND(Z445="共同",COUNT(H445:I445)=2),H445-I445,"")</x:f>
        <x:v>0</x:v>
      </x:c>
      <x:c r="O445" s="10" t="n">
        <x:v>0</x:v>
      </x:c>
      <x:c r="P445" s="10" t="n">
        <x:v>0</x:v>
      </x:c>
      <x:c r="Q445" s="10" t="n">
        <x:v>0</x:v>
      </x:c>
      <x:c r="R445" s="10" t="n">
        <x:v>0</x:v>
      </x:c>
      <x:c r="S445" s="10" t="n">
        <x:v>0</x:v>
      </x:c>
      <x:c r="T445" s="10" t="n">
        <x:v>0</x:v>
      </x:c>
      <x:c r="U445" s="10" t="n">
        <x:f>IF(AND(ISNUMBER(X445),X445&gt;=0,Y445&lt;&gt;1),X445,"")</x:f>
        <x:v>0</x:v>
      </x:c>
      <x:c r="V445" s="10" t="n">
        <x:v>0</x:v>
      </x:c>
      <x:c r="W445" s="10" t="n">
        <x:v>20</x:v>
      </x:c>
      <x:c r="X445" s="10" t="n">
        <x:v>0</x:v>
      </x:c>
      <x:c r="Y445" s="3" t="n">
        <x:v>0</x:v>
      </x:c>
      <x:c r="Z445" s="3" t="str">
        <x:v>共同</x:v>
      </x:c>
      <x:c r="AA445" s="3" t="str">
        <x:v>在售</x:v>
      </x:c>
      <x:c r="AB445" s="12" t="str">
        <x:f>IF(AND(Z445="共同",ISNUMBER(G445),ISNUMBER(AD445)),G445-AD445,"")</x:f>
      </x:c>
      <x:c r="AC445" s="3" t="str">
        <x:v>近90天SKU销量未匹配，未按0处理</x:v>
      </x:c>
      <x:c r="AD445" s="12"/>
      <x:c r="AE445" s="3" t="str">
        <x:v>[6574,"32582-LPB-39.5"]</x:v>
      </x:c>
      <x:c r="AF445" t="n">
        <x:f>IF(ISNUMBER(H445),1,0)</x:f>
        <x:v>1</x:v>
      </x:c>
      <x:c r="AG445" t="n">
        <x:f>IF(ISNUMBER(I445),1,0)</x:f>
        <x:v>1</x:v>
      </x:c>
      <x:c r="AH445" t="str">
        <x:v>["32582","32582-LPB","LPB","豹纹黑色内里"]</x:v>
      </x:c>
      <x:c r="AI445" t="n">
        <x:f>IF(ISNUMBER(G445),1,0)</x:f>
        <x:v>1</x:v>
      </x:c>
      <x:c r="AJ445" t="n">
        <x:f>IF(ISNUMBER(AD445),1,0)</x:f>
        <x:v>0</x:v>
      </x:c>
    </x:row>
    <x:row r="446" ht="30" customHeight="1">
      <x:c r="A446" s="3" t="str">
        <x:v>32582-LPB-40</x:v>
      </x:c>
      <x:c r="B446" s="3" t="str">
        <x:v>3店-SANDIEX-US</x:v>
      </x:c>
      <x:c r="C446" s="3" t="str">
        <x:v>徐新怡</x:v>
      </x:c>
      <x:c r="D446" s="3" t="str">
        <x:v>32582</x:v>
      </x:c>
      <x:c r="E446" s="3" t="str">
        <x:f>IF(Z446="移出","已移出",IF(NOT(ISNUMBER(H446)),"数据待核",IF(H446=0,"断货",IF(NOT(ISNUMBER(G446)),"数据待核",IF(G446=0,"零日销待复核",IF(F446&lt;60,"补货提醒",IF(F446&lt;=90,"正常库存",IF(F446&lt;180,"促销",IF(F446&lt;=365,"红线促销","考虑清仓")))))))))</x:f>
        <x:v>断货</x:v>
      </x:c>
      <x:c r="F446" s="11" t="n">
        <x:f>IF(AND(ISNUMBER(H446),ISNUMBER(G446),G446&gt;0),H446/G446,"")</x:f>
        <x:v>0</x:v>
      </x:c>
      <x:c r="G446" s="12" t="n">
        <x:f>IF(AND(COUNT(P446:R446)=3,MIN(P446:R446)&gt;=0,P446&lt;=Q446,Q446&lt;=R446),P446/7*0.5+Q446/14*0.3+R446/30*0.2,"")</x:f>
        <x:v>0.28857142857142853</x:v>
      </x:c>
      <x:c r="H446" s="10" t="n">
        <x:f>IF(ISNUMBER(U446),U446,"")</x:f>
        <x:v>0</x:v>
      </x:c>
      <x:c r="I446" s="10" t="n">
        <x:v>0</x:v>
      </x:c>
      <x:c r="J446" s="11" t="n">
        <x:f>IF(AND(Z446="共同",ISNUMBER(F446),ISNUMBER(M446)),F446-M446,"")</x:f>
        <x:v>0</x:v>
      </x:c>
      <x:c r="K446" s="13" t="str">
        <x:f>IF(AND(ISNUMBER(J446),M446&lt;&gt;0),J446/M446,"")</x:f>
      </x:c>
      <x:c r="L446" s="10" t="str">
        <x:v>断货</x:v>
      </x:c>
      <x:c r="M446" s="11" t="n">
        <x:v>0</x:v>
      </x:c>
      <x:c r="N446" s="10" t="n">
        <x:f>IF(AND(Z446="共同",COUNT(H446:I446)=2),H446-I446,"")</x:f>
        <x:v>0</x:v>
      </x:c>
      <x:c r="O446" s="10" t="n">
        <x:v>56</x:v>
      </x:c>
      <x:c r="P446" s="10" t="n">
        <x:v>2</x:v>
      </x:c>
      <x:c r="Q446" s="10" t="n">
        <x:v>4</x:v>
      </x:c>
      <x:c r="R446" s="10" t="n">
        <x:v>9</x:v>
      </x:c>
      <x:c r="S446" s="10" t="n">
        <x:v>2</x:v>
      </x:c>
      <x:c r="T446" s="10" t="n">
        <x:v>2</x:v>
      </x:c>
      <x:c r="U446" s="10" t="n">
        <x:f>IF(AND(ISNUMBER(X446),X446&gt;=0,Y446&lt;&gt;1),X446,"")</x:f>
        <x:v>0</x:v>
      </x:c>
      <x:c r="V446" s="10" t="n">
        <x:v>0</x:v>
      </x:c>
      <x:c r="W446" s="10" t="n">
        <x:v>20</x:v>
      </x:c>
      <x:c r="X446" s="10" t="n">
        <x:v>0</x:v>
      </x:c>
      <x:c r="Y446" s="3" t="n">
        <x:v>0</x:v>
      </x:c>
      <x:c r="Z446" s="3" t="str">
        <x:v>共同</x:v>
      </x:c>
      <x:c r="AA446" s="3" t="str">
        <x:v>在售</x:v>
      </x:c>
      <x:c r="AB446" s="12" t="n">
        <x:f>IF(AND(Z446="共同",ISNUMBER(G446),ISNUMBER(AD446)),G446-AD446,"")</x:f>
        <x:v>-0.15095238095238095</x:v>
      </x:c>
      <x:c r="AC446" s="3" t="str"/>
      <x:c r="AD446" s="12" t="n">
        <x:v>0.4395238095238095</x:v>
      </x:c>
      <x:c r="AE446" s="3" t="str">
        <x:v>[6574,"32582-LPB-40"]</x:v>
      </x:c>
      <x:c r="AF446" t="n">
        <x:f>IF(ISNUMBER(H446),1,0)</x:f>
        <x:v>1</x:v>
      </x:c>
      <x:c r="AG446" t="n">
        <x:f>IF(ISNUMBER(I446),1,0)</x:f>
        <x:v>1</x:v>
      </x:c>
      <x:c r="AH446" t="str">
        <x:v>["32582","32582-LPB","LPB","豹纹黑色内里"]</x:v>
      </x:c>
      <x:c r="AI446" t="n">
        <x:f>IF(ISNUMBER(G446),1,0)</x:f>
        <x:v>1</x:v>
      </x:c>
      <x:c r="AJ446" t="n">
        <x:f>IF(ISNUMBER(AD446),1,0)</x:f>
        <x:v>1</x:v>
      </x:c>
    </x:row>
    <x:row r="447" ht="30" customHeight="1">
      <x:c r="A447" s="3" t="str">
        <x:v>32582-LPB-41.5</x:v>
      </x:c>
      <x:c r="B447" s="3" t="str">
        <x:v>3店-SANDIEX-US</x:v>
      </x:c>
      <x:c r="C447" s="3" t="str">
        <x:v>徐新怡</x:v>
      </x:c>
      <x:c r="D447" s="3" t="str">
        <x:v>32582</x:v>
      </x:c>
      <x:c r="E447" s="3" t="str">
        <x:f>IF(Z447="移出","已移出",IF(NOT(ISNUMBER(H447)),"数据待核",IF(H447=0,"断货",IF(NOT(ISNUMBER(G447)),"数据待核",IF(G447=0,"零日销待复核",IF(F447&lt;60,"补货提醒",IF(F447&lt;=90,"正常库存",IF(F447&lt;180,"促销",IF(F447&lt;=365,"红线促销","考虑清仓")))))))))</x:f>
        <x:v>断货</x:v>
      </x:c>
      <x:c r="F447" s="11" t="n">
        <x:f>IF(AND(ISNUMBER(H447),ISNUMBER(G447),G447&gt;0),H447/G447,"")</x:f>
        <x:v>0</x:v>
      </x:c>
      <x:c r="G447" s="12" t="n">
        <x:f>IF(AND(COUNT(P447:R447)=3,MIN(P447:R447)&gt;=0,P447&lt;=Q447,Q447&lt;=R447),P447/7*0.5+Q447/14*0.3+R447/30*0.2,"")</x:f>
        <x:v>0.028095238095238093</x:v>
      </x:c>
      <x:c r="H447" s="10" t="n">
        <x:f>IF(ISNUMBER(U447),U447,"")</x:f>
        <x:v>0</x:v>
      </x:c>
      <x:c r="I447" s="10" t="n">
        <x:v>0</x:v>
      </x:c>
      <x:c r="J447" s="11" t="n">
        <x:f>IF(AND(Z447="共同",ISNUMBER(F447),ISNUMBER(M447)),F447-M447,"")</x:f>
        <x:v>0</x:v>
      </x:c>
      <x:c r="K447" s="13" t="str">
        <x:f>IF(AND(ISNUMBER(J447),M447&lt;&gt;0),J447/M447,"")</x:f>
      </x:c>
      <x:c r="L447" s="10" t="str">
        <x:v>断货</x:v>
      </x:c>
      <x:c r="M447" s="11" t="n">
        <x:v>0</x:v>
      </x:c>
      <x:c r="N447" s="10" t="n">
        <x:f>IF(AND(Z447="共同",COUNT(H447:I447)=2),H447-I447,"")</x:f>
        <x:v>0</x:v>
      </x:c>
      <x:c r="O447" s="10" t="n">
        <x:v>1</x:v>
      </x:c>
      <x:c r="P447" s="10" t="n">
        <x:v>0</x:v>
      </x:c>
      <x:c r="Q447" s="10" t="n">
        <x:v>1</x:v>
      </x:c>
      <x:c r="R447" s="10" t="n">
        <x:v>1</x:v>
      </x:c>
      <x:c r="S447" s="10" t="n">
        <x:v>0</x:v>
      </x:c>
      <x:c r="T447" s="10" t="n">
        <x:v>0</x:v>
      </x:c>
      <x:c r="U447" s="10" t="n">
        <x:f>IF(AND(ISNUMBER(X447),X447&gt;=0,Y447&lt;&gt;1),X447,"")</x:f>
        <x:v>0</x:v>
      </x:c>
      <x:c r="V447" s="10" t="n">
        <x:v>0</x:v>
      </x:c>
      <x:c r="W447" s="10" t="n">
        <x:v>0</x:v>
      </x:c>
      <x:c r="X447" s="10" t="n">
        <x:v>0</x:v>
      </x:c>
      <x:c r="Y447" s="3" t="n">
        <x:v>0</x:v>
      </x:c>
      <x:c r="Z447" s="3" t="str">
        <x:v>共同</x:v>
      </x:c>
      <x:c r="AA447" s="3" t="str">
        <x:v>在售</x:v>
      </x:c>
      <x:c r="AB447" s="12" t="n">
        <x:f>IF(AND(Z447="共同",ISNUMBER(G447),ISNUMBER(AD447)),G447-AD447,"")</x:f>
        <x:v>-0.07142857142857142</x:v>
      </x:c>
      <x:c r="AC447" s="3" t="str"/>
      <x:c r="AD447" s="12" t="n">
        <x:v>0.09952380952380951</x:v>
      </x:c>
      <x:c r="AE447" s="3" t="str">
        <x:v>[6574,"32582-LPB-41.5"]</x:v>
      </x:c>
      <x:c r="AF447" t="n">
        <x:f>IF(ISNUMBER(H447),1,0)</x:f>
        <x:v>1</x:v>
      </x:c>
      <x:c r="AG447" t="n">
        <x:f>IF(ISNUMBER(I447),1,0)</x:f>
        <x:v>1</x:v>
      </x:c>
      <x:c r="AH447" t="str">
        <x:v>["32582","32582-LPB","LPB","豹纹黑色内里"]</x:v>
      </x:c>
      <x:c r="AI447" t="n">
        <x:f>IF(ISNUMBER(G447),1,0)</x:f>
        <x:v>1</x:v>
      </x:c>
      <x:c r="AJ447" t="n">
        <x:f>IF(ISNUMBER(AD447),1,0)</x:f>
        <x:v>1</x:v>
      </x:c>
    </x:row>
    <x:row r="448" ht="30" customHeight="1">
      <x:c r="A448" s="3" t="str">
        <x:v>32582-LPB-42</x:v>
      </x:c>
      <x:c r="B448" s="3" t="str">
        <x:v>3店-SANDIEX-US</x:v>
      </x:c>
      <x:c r="C448" s="3" t="str">
        <x:v>徐新怡</x:v>
      </x:c>
      <x:c r="D448" s="3" t="str">
        <x:v>32582</x:v>
      </x:c>
      <x:c r="E448" s="3" t="str">
        <x:f>IF(Z448="移出","已移出",IF(NOT(ISNUMBER(H448)),"数据待核",IF(H448=0,"断货",IF(NOT(ISNUMBER(G448)),"数据待核",IF(G448=0,"零日销待复核",IF(F448&lt;60,"补货提醒",IF(F448&lt;=90,"正常库存",IF(F448&lt;180,"促销",IF(F448&lt;=365,"红线促销","考虑清仓")))))))))</x:f>
        <x:v>断货</x:v>
      </x:c>
      <x:c r="F448" s="11" t="str">
        <x:f>IF(AND(ISNUMBER(H448),ISNUMBER(G448),G448&gt;0),H448/G448,"")</x:f>
      </x:c>
      <x:c r="G448" s="12" t="n">
        <x:f>IF(AND(COUNT(P448:R448)=3,MIN(P448:R448)&gt;=0,P448&lt;=Q448,Q448&lt;=R448),P448/7*0.5+Q448/14*0.3+R448/30*0.2,"")</x:f>
        <x:v>0</x:v>
      </x:c>
      <x:c r="H448" s="10" t="n">
        <x:f>IF(ISNUMBER(U448),U448,"")</x:f>
        <x:v>0</x:v>
      </x:c>
      <x:c r="I448" s="10" t="n">
        <x:v>0</x:v>
      </x:c>
      <x:c r="J448" s="11" t="str">
        <x:f>IF(AND(Z448="共同",ISNUMBER(F448),ISNUMBER(M448)),F448-M448,"")</x:f>
      </x:c>
      <x:c r="K448" s="13" t="str">
        <x:f>IF(AND(ISNUMBER(J448),M448&lt;&gt;0),J448/M448,"")</x:f>
      </x:c>
      <x:c r="L448" s="10" t="str">
        <x:v>断货</x:v>
      </x:c>
      <x:c r="M448" s="11"/>
      <x:c r="N448" s="10" t="n">
        <x:f>IF(AND(Z448="共同",COUNT(H448:I448)=2),H448-I448,"")</x:f>
        <x:v>0</x:v>
      </x:c>
      <x:c r="O448" s="10" t="n">
        <x:v>0</x:v>
      </x:c>
      <x:c r="P448" s="10" t="n">
        <x:v>0</x:v>
      </x:c>
      <x:c r="Q448" s="10" t="n">
        <x:v>0</x:v>
      </x:c>
      <x:c r="R448" s="10" t="n">
        <x:v>0</x:v>
      </x:c>
      <x:c r="S448" s="10" t="n">
        <x:v>0</x:v>
      </x:c>
      <x:c r="T448" s="10" t="n">
        <x:v>0</x:v>
      </x:c>
      <x:c r="U448" s="10" t="n">
        <x:f>IF(AND(ISNUMBER(X448),X448&gt;=0,Y448&lt;&gt;1),X448,"")</x:f>
        <x:v>0</x:v>
      </x:c>
      <x:c r="V448" s="10" t="n">
        <x:v>0</x:v>
      </x:c>
      <x:c r="W448" s="10" t="n">
        <x:v>0</x:v>
      </x:c>
      <x:c r="X448" s="10" t="n">
        <x:v>0</x:v>
      </x:c>
      <x:c r="Y448" s="3" t="n">
        <x:v>0</x:v>
      </x:c>
      <x:c r="Z448" s="3" t="str">
        <x:v>共同</x:v>
      </x:c>
      <x:c r="AA448" s="3" t="str">
        <x:v>停售</x:v>
      </x:c>
      <x:c r="AB448" s="12" t="str">
        <x:f>IF(AND(Z448="共同",ISNUMBER(G448),ISNUMBER(AD448)),G448-AD448,"")</x:f>
      </x:c>
      <x:c r="AC448" s="3" t="str">
        <x:v>近90天SKU销量未匹配，未按0处理</x:v>
      </x:c>
      <x:c r="AD448" s="12"/>
      <x:c r="AE448" s="3" t="str">
        <x:v>[6574,"32582-LPB-42"]</x:v>
      </x:c>
      <x:c r="AF448" t="n">
        <x:f>IF(ISNUMBER(H448),1,0)</x:f>
        <x:v>1</x:v>
      </x:c>
      <x:c r="AG448" t="n">
        <x:f>IF(ISNUMBER(I448),1,0)</x:f>
        <x:v>1</x:v>
      </x:c>
      <x:c r="AH448" t="str">
        <x:v>["32582","32582-LPB","LPB","豹纹黑色内里"]</x:v>
      </x:c>
      <x:c r="AI448" t="n">
        <x:f>IF(ISNUMBER(G448),1,0)</x:f>
        <x:v>1</x:v>
      </x:c>
      <x:c r="AJ448" t="n">
        <x:f>IF(ISNUMBER(AD448),1,0)</x:f>
        <x:v>0</x:v>
      </x:c>
    </x:row>
    <x:row r="449" ht="30" customHeight="1">
      <x:c r="A449" s="3" t="str">
        <x:v>32582-MT-37</x:v>
      </x:c>
      <x:c r="B449" s="3" t="str">
        <x:v>3店-SANDIEX-US</x:v>
      </x:c>
      <x:c r="C449" s="3" t="str">
        <x:v>徐新怡</x:v>
      </x:c>
      <x:c r="D449" s="3" t="str">
        <x:v>32582</x:v>
      </x:c>
      <x:c r="E449" s="3" t="str">
        <x:f>IF(Z449="移出","已移出",IF(NOT(ISNUMBER(H449)),"数据待核",IF(H449=0,"断货",IF(NOT(ISNUMBER(G449)),"数据待核",IF(G449=0,"零日销待复核",IF(F449&lt;60,"补货提醒",IF(F449&lt;=90,"正常库存",IF(F449&lt;180,"促销",IF(F449&lt;=365,"红线促销","考虑清仓")))))))))</x:f>
        <x:v>断货</x:v>
      </x:c>
      <x:c r="F449" s="11" t="str">
        <x:f>IF(AND(ISNUMBER(H449),ISNUMBER(G449),G449&gt;0),H449/G449,"")</x:f>
      </x:c>
      <x:c r="G449" s="12" t="n">
        <x:f>IF(AND(COUNT(P449:R449)=3,MIN(P449:R449)&gt;=0,P449&lt;=Q449,Q449&lt;=R449),P449/7*0.5+Q449/14*0.3+R449/30*0.2,"")</x:f>
        <x:v>0</x:v>
      </x:c>
      <x:c r="H449" s="10" t="n">
        <x:f>IF(ISNUMBER(U449),U449,"")</x:f>
        <x:v>0</x:v>
      </x:c>
      <x:c r="I449" s="10" t="n">
        <x:v>0</x:v>
      </x:c>
      <x:c r="J449" s="11" t="str">
        <x:f>IF(AND(Z449="共同",ISNUMBER(F449),ISNUMBER(M449)),F449-M449,"")</x:f>
      </x:c>
      <x:c r="K449" s="13" t="str">
        <x:f>IF(AND(ISNUMBER(J449),M449&lt;&gt;0),J449/M449,"")</x:f>
      </x:c>
      <x:c r="L449" s="10" t="str">
        <x:v>断货</x:v>
      </x:c>
      <x:c r="M449" s="11"/>
      <x:c r="N449" s="10" t="n">
        <x:f>IF(AND(Z449="共同",COUNT(H449:I449)=2),H449-I449,"")</x:f>
        <x:v>0</x:v>
      </x:c>
      <x:c r="O449" s="10" t="n">
        <x:v>0</x:v>
      </x:c>
      <x:c r="P449" s="10" t="n">
        <x:v>0</x:v>
      </x:c>
      <x:c r="Q449" s="10" t="n">
        <x:v>0</x:v>
      </x:c>
      <x:c r="R449" s="10" t="n">
        <x:v>0</x:v>
      </x:c>
      <x:c r="S449" s="10" t="n">
        <x:v>0</x:v>
      </x:c>
      <x:c r="T449" s="10" t="n">
        <x:v>0</x:v>
      </x:c>
      <x:c r="U449" s="10" t="n">
        <x:f>IF(AND(ISNUMBER(X449),X449&gt;=0,Y449&lt;&gt;1),X449,"")</x:f>
        <x:v>0</x:v>
      </x:c>
      <x:c r="V449" s="10" t="n">
        <x:v>0</x:v>
      </x:c>
      <x:c r="W449" s="10" t="n">
        <x:v>0</x:v>
      </x:c>
      <x:c r="X449" s="10" t="n">
        <x:v>0</x:v>
      </x:c>
      <x:c r="Y449" s="3" t="n">
        <x:v>0</x:v>
      </x:c>
      <x:c r="Z449" s="3" t="str">
        <x:v>共同</x:v>
      </x:c>
      <x:c r="AA449" s="3" t="str">
        <x:v>停售</x:v>
      </x:c>
      <x:c r="AB449" s="12" t="str">
        <x:f>IF(AND(Z449="共同",ISNUMBER(G449),ISNUMBER(AD449)),G449-AD449,"")</x:f>
      </x:c>
      <x:c r="AC449" s="3" t="str">
        <x:v>近90天SKU销量未匹配，未按0处理</x:v>
      </x:c>
      <x:c r="AD449" s="12"/>
      <x:c r="AE449" s="3" t="str">
        <x:v>[6574,"32582-MT-37"]</x:v>
      </x:c>
      <x:c r="AF449" t="n">
        <x:f>IF(ISNUMBER(H449),1,0)</x:f>
        <x:v>1</x:v>
      </x:c>
      <x:c r="AG449" t="n">
        <x:f>IF(ISNUMBER(I449),1,0)</x:f>
        <x:v>1</x:v>
      </x:c>
      <x:c r="AH449" t="str">
        <x:v>["32582","32582-MT","MT","黄色"]</x:v>
      </x:c>
      <x:c r="AI449" t="n">
        <x:f>IF(ISNUMBER(G449),1,0)</x:f>
        <x:v>1</x:v>
      </x:c>
      <x:c r="AJ449" t="n">
        <x:f>IF(ISNUMBER(AD449),1,0)</x:f>
        <x:v>0</x:v>
      </x:c>
    </x:row>
    <x:row r="450" ht="30" customHeight="1">
      <x:c r="A450" s="3" t="str">
        <x:v>32582-MT-37.5</x:v>
      </x:c>
      <x:c r="B450" s="3" t="str">
        <x:v>3店-SANDIEX-US</x:v>
      </x:c>
      <x:c r="C450" s="3" t="str">
        <x:v>徐新怡</x:v>
      </x:c>
      <x:c r="D450" s="3" t="str">
        <x:v>32582</x:v>
      </x:c>
      <x:c r="E450" s="3" t="str">
        <x:f>IF(Z450="移出","已移出",IF(NOT(ISNUMBER(H450)),"数据待核",IF(H450=0,"断货",IF(NOT(ISNUMBER(G450)),"数据待核",IF(G450=0,"零日销待复核",IF(F450&lt;60,"补货提醒",IF(F450&lt;=90,"正常库存",IF(F450&lt;180,"促销",IF(F450&lt;=365,"红线促销","考虑清仓")))))))))</x:f>
        <x:v>断货</x:v>
      </x:c>
      <x:c r="F450" s="11" t="str">
        <x:f>IF(AND(ISNUMBER(H450),ISNUMBER(G450),G450&gt;0),H450/G450,"")</x:f>
      </x:c>
      <x:c r="G450" s="12" t="n">
        <x:f>IF(AND(COUNT(P450:R450)=3,MIN(P450:R450)&gt;=0,P450&lt;=Q450,Q450&lt;=R450),P450/7*0.5+Q450/14*0.3+R450/30*0.2,"")</x:f>
        <x:v>0</x:v>
      </x:c>
      <x:c r="H450" s="10" t="n">
        <x:f>IF(ISNUMBER(U450),U450,"")</x:f>
        <x:v>0</x:v>
      </x:c>
      <x:c r="I450" s="10" t="n">
        <x:v>0</x:v>
      </x:c>
      <x:c r="J450" s="11" t="str">
        <x:f>IF(AND(Z450="共同",ISNUMBER(F450),ISNUMBER(M450)),F450-M450,"")</x:f>
      </x:c>
      <x:c r="K450" s="13" t="str">
        <x:f>IF(AND(ISNUMBER(J450),M450&lt;&gt;0),J450/M450,"")</x:f>
      </x:c>
      <x:c r="L450" s="10" t="str">
        <x:v>断货</x:v>
      </x:c>
      <x:c r="M450" s="11"/>
      <x:c r="N450" s="10" t="n">
        <x:f>IF(AND(Z450="共同",COUNT(H450:I450)=2),H450-I450,"")</x:f>
        <x:v>0</x:v>
      </x:c>
      <x:c r="O450" s="10" t="n">
        <x:v>0</x:v>
      </x:c>
      <x:c r="P450" s="10" t="n">
        <x:v>0</x:v>
      </x:c>
      <x:c r="Q450" s="10" t="n">
        <x:v>0</x:v>
      </x:c>
      <x:c r="R450" s="10" t="n">
        <x:v>0</x:v>
      </x:c>
      <x:c r="S450" s="10" t="n">
        <x:v>0</x:v>
      </x:c>
      <x:c r="T450" s="10" t="n">
        <x:v>0</x:v>
      </x:c>
      <x:c r="U450" s="10" t="n">
        <x:f>IF(AND(ISNUMBER(X450),X450&gt;=0,Y450&lt;&gt;1),X450,"")</x:f>
        <x:v>0</x:v>
      </x:c>
      <x:c r="V450" s="10" t="n">
        <x:v>0</x:v>
      </x:c>
      <x:c r="W450" s="10" t="n">
        <x:v>0</x:v>
      </x:c>
      <x:c r="X450" s="10" t="n">
        <x:v>0</x:v>
      </x:c>
      <x:c r="Y450" s="3" t="n">
        <x:v>0</x:v>
      </x:c>
      <x:c r="Z450" s="3" t="str">
        <x:v>共同</x:v>
      </x:c>
      <x:c r="AA450" s="3" t="str">
        <x:v>停售</x:v>
      </x:c>
      <x:c r="AB450" s="12" t="str">
        <x:f>IF(AND(Z450="共同",ISNUMBER(G450),ISNUMBER(AD450)),G450-AD450,"")</x:f>
      </x:c>
      <x:c r="AC450" s="3" t="str">
        <x:v>近90天SKU销量未匹配，未按0处理</x:v>
      </x:c>
      <x:c r="AD450" s="12"/>
      <x:c r="AE450" s="3" t="str">
        <x:v>[6574,"32582-MT-37.5"]</x:v>
      </x:c>
      <x:c r="AF450" t="n">
        <x:f>IF(ISNUMBER(H450),1,0)</x:f>
        <x:v>1</x:v>
      </x:c>
      <x:c r="AG450" t="n">
        <x:f>IF(ISNUMBER(I450),1,0)</x:f>
        <x:v>1</x:v>
      </x:c>
      <x:c r="AH450" t="str">
        <x:v>["32582","32582-MT","MT","黄色"]</x:v>
      </x:c>
      <x:c r="AI450" t="n">
        <x:f>IF(ISNUMBER(G450),1,0)</x:f>
        <x:v>1</x:v>
      </x:c>
      <x:c r="AJ450" t="n">
        <x:f>IF(ISNUMBER(AD450),1,0)</x:f>
        <x:v>0</x:v>
      </x:c>
    </x:row>
    <x:row r="451" ht="30" customHeight="1">
      <x:c r="A451" s="3" t="str">
        <x:v>32582-MT-38</x:v>
      </x:c>
      <x:c r="B451" s="3" t="str">
        <x:v>3店-SANDIEX-US</x:v>
      </x:c>
      <x:c r="C451" s="3" t="str">
        <x:v>徐新怡</x:v>
      </x:c>
      <x:c r="D451" s="3" t="str">
        <x:v>32582</x:v>
      </x:c>
      <x:c r="E451" s="3" t="str">
        <x:f>IF(Z451="移出","已移出",IF(NOT(ISNUMBER(H451)),"数据待核",IF(H451=0,"断货",IF(NOT(ISNUMBER(G451)),"数据待核",IF(G451=0,"零日销待复核",IF(F451&lt;60,"补货提醒",IF(F451&lt;=90,"正常库存",IF(F451&lt;180,"促销",IF(F451&lt;=365,"红线促销","考虑清仓")))))))))</x:f>
        <x:v>断货</x:v>
      </x:c>
      <x:c r="F451" s="11" t="str">
        <x:f>IF(AND(ISNUMBER(H451),ISNUMBER(G451),G451&gt;0),H451/G451,"")</x:f>
      </x:c>
      <x:c r="G451" s="12" t="n">
        <x:f>IF(AND(COUNT(P451:R451)=3,MIN(P451:R451)&gt;=0,P451&lt;=Q451,Q451&lt;=R451),P451/7*0.5+Q451/14*0.3+R451/30*0.2,"")</x:f>
        <x:v>0</x:v>
      </x:c>
      <x:c r="H451" s="10" t="n">
        <x:f>IF(ISNUMBER(U451),U451,"")</x:f>
        <x:v>0</x:v>
      </x:c>
      <x:c r="I451" s="10" t="n">
        <x:v>0</x:v>
      </x:c>
      <x:c r="J451" s="11" t="str">
        <x:f>IF(AND(Z451="共同",ISNUMBER(F451),ISNUMBER(M451)),F451-M451,"")</x:f>
      </x:c>
      <x:c r="K451" s="13" t="str">
        <x:f>IF(AND(ISNUMBER(J451),M451&lt;&gt;0),J451/M451,"")</x:f>
      </x:c>
      <x:c r="L451" s="10" t="str">
        <x:v>断货</x:v>
      </x:c>
      <x:c r="M451" s="11"/>
      <x:c r="N451" s="10" t="n">
        <x:f>IF(AND(Z451="共同",COUNT(H451:I451)=2),H451-I451,"")</x:f>
        <x:v>0</x:v>
      </x:c>
      <x:c r="O451" s="10"/>
      <x:c r="P451" s="10" t="n">
        <x:v>0</x:v>
      </x:c>
      <x:c r="Q451" s="10" t="n">
        <x:v>0</x:v>
      </x:c>
      <x:c r="R451" s="10" t="n">
        <x:v>0</x:v>
      </x:c>
      <x:c r="S451" s="10" t="n">
        <x:v>0</x:v>
      </x:c>
      <x:c r="T451" s="10" t="n">
        <x:v>0</x:v>
      </x:c>
      <x:c r="U451" s="10" t="n">
        <x:f>IF(AND(ISNUMBER(X451),X451&gt;=0,Y451&lt;&gt;1),X451,"")</x:f>
        <x:v>0</x:v>
      </x:c>
      <x:c r="V451" s="10" t="n">
        <x:v>0</x:v>
      </x:c>
      <x:c r="W451" s="10" t="n">
        <x:v>0</x:v>
      </x:c>
      <x:c r="X451" s="10" t="n">
        <x:v>0</x:v>
      </x:c>
      <x:c r="Y451" s="3" t="n">
        <x:v>0</x:v>
      </x:c>
      <x:c r="Z451" s="3" t="str">
        <x:v>共同</x:v>
      </x:c>
      <x:c r="AA451" s="3" t="str">
        <x:v>停售</x:v>
      </x:c>
      <x:c r="AB451" s="12" t="str">
        <x:f>IF(AND(Z451="共同",ISNUMBER(G451),ISNUMBER(AD451)),G451-AD451,"")</x:f>
      </x:c>
      <x:c r="AC451" s="3" t="str">
        <x:v>近90天SKU销量未匹配，未按0处理</x:v>
      </x:c>
      <x:c r="AD451" s="12"/>
      <x:c r="AE451" s="3" t="str">
        <x:v>[6574,"32582-MT-38"]</x:v>
      </x:c>
      <x:c r="AF451" t="n">
        <x:f>IF(ISNUMBER(H451),1,0)</x:f>
        <x:v>1</x:v>
      </x:c>
      <x:c r="AG451" t="n">
        <x:f>IF(ISNUMBER(I451),1,0)</x:f>
        <x:v>1</x:v>
      </x:c>
      <x:c r="AH451" t="str">
        <x:v>["32582","32582-MT","MT","黄色"]</x:v>
      </x:c>
      <x:c r="AI451" t="n">
        <x:f>IF(ISNUMBER(G451),1,0)</x:f>
        <x:v>1</x:v>
      </x:c>
      <x:c r="AJ451" t="n">
        <x:f>IF(ISNUMBER(AD451),1,0)</x:f>
        <x:v>0</x:v>
      </x:c>
    </x:row>
    <x:row r="452" ht="30" customHeight="1">
      <x:c r="A452" s="3" t="str">
        <x:v>32582-MT-38.5</x:v>
      </x:c>
      <x:c r="B452" s="3" t="str">
        <x:v>3店-SANDIEX-US</x:v>
      </x:c>
      <x:c r="C452" s="3" t="str">
        <x:v>徐新怡</x:v>
      </x:c>
      <x:c r="D452" s="3" t="str">
        <x:v>32582</x:v>
      </x:c>
      <x:c r="E452" s="3" t="str">
        <x:f>IF(Z452="移出","已移出",IF(NOT(ISNUMBER(H452)),"数据待核",IF(H452=0,"断货",IF(NOT(ISNUMBER(G452)),"数据待核",IF(G452=0,"零日销待复核",IF(F452&lt;60,"补货提醒",IF(F452&lt;=90,"正常库存",IF(F452&lt;180,"促销",IF(F452&lt;=365,"红线促销","考虑清仓")))))))))</x:f>
        <x:v>断货</x:v>
      </x:c>
      <x:c r="F452" s="11" t="str">
        <x:f>IF(AND(ISNUMBER(H452),ISNUMBER(G452),G452&gt;0),H452/G452,"")</x:f>
      </x:c>
      <x:c r="G452" s="12" t="n">
        <x:f>IF(AND(COUNT(P452:R452)=3,MIN(P452:R452)&gt;=0,P452&lt;=Q452,Q452&lt;=R452),P452/7*0.5+Q452/14*0.3+R452/30*0.2,"")</x:f>
        <x:v>0</x:v>
      </x:c>
      <x:c r="H452" s="10" t="n">
        <x:f>IF(ISNUMBER(U452),U452,"")</x:f>
        <x:v>0</x:v>
      </x:c>
      <x:c r="I452" s="10" t="n">
        <x:v>0</x:v>
      </x:c>
      <x:c r="J452" s="11" t="str">
        <x:f>IF(AND(Z452="共同",ISNUMBER(F452),ISNUMBER(M452)),F452-M452,"")</x:f>
      </x:c>
      <x:c r="K452" s="13" t="str">
        <x:f>IF(AND(ISNUMBER(J452),M452&lt;&gt;0),J452/M452,"")</x:f>
      </x:c>
      <x:c r="L452" s="10" t="str">
        <x:v>断货</x:v>
      </x:c>
      <x:c r="M452" s="11"/>
      <x:c r="N452" s="10" t="n">
        <x:f>IF(AND(Z452="共同",COUNT(H452:I452)=2),H452-I452,"")</x:f>
        <x:v>0</x:v>
      </x:c>
      <x:c r="O452" s="10"/>
      <x:c r="P452" s="10" t="n">
        <x:v>0</x:v>
      </x:c>
      <x:c r="Q452" s="10" t="n">
        <x:v>0</x:v>
      </x:c>
      <x:c r="R452" s="10" t="n">
        <x:v>0</x:v>
      </x:c>
      <x:c r="S452" s="10" t="n">
        <x:v>0</x:v>
      </x:c>
      <x:c r="T452" s="10" t="n">
        <x:v>0</x:v>
      </x:c>
      <x:c r="U452" s="10" t="n">
        <x:f>IF(AND(ISNUMBER(X452),X452&gt;=0,Y452&lt;&gt;1),X452,"")</x:f>
        <x:v>0</x:v>
      </x:c>
      <x:c r="V452" s="10" t="n">
        <x:v>0</x:v>
      </x:c>
      <x:c r="W452" s="10" t="n">
        <x:v>0</x:v>
      </x:c>
      <x:c r="X452" s="10" t="n">
        <x:v>0</x:v>
      </x:c>
      <x:c r="Y452" s="3" t="n">
        <x:v>0</x:v>
      </x:c>
      <x:c r="Z452" s="3" t="str">
        <x:v>共同</x:v>
      </x:c>
      <x:c r="AA452" s="3" t="str">
        <x:v>停售</x:v>
      </x:c>
      <x:c r="AB452" s="12" t="str">
        <x:f>IF(AND(Z452="共同",ISNUMBER(G452),ISNUMBER(AD452)),G452-AD452,"")</x:f>
      </x:c>
      <x:c r="AC452" s="3" t="str">
        <x:v>近90天SKU销量未匹配，未按0处理</x:v>
      </x:c>
      <x:c r="AD452" s="12"/>
      <x:c r="AE452" s="3" t="str">
        <x:v>[6574,"32582-MT-38.5"]</x:v>
      </x:c>
      <x:c r="AF452" t="n">
        <x:f>IF(ISNUMBER(H452),1,0)</x:f>
        <x:v>1</x:v>
      </x:c>
      <x:c r="AG452" t="n">
        <x:f>IF(ISNUMBER(I452),1,0)</x:f>
        <x:v>1</x:v>
      </x:c>
      <x:c r="AH452" t="str">
        <x:v>["32582","32582-MT","MT","黄色"]</x:v>
      </x:c>
      <x:c r="AI452" t="n">
        <x:f>IF(ISNUMBER(G452),1,0)</x:f>
        <x:v>1</x:v>
      </x:c>
      <x:c r="AJ452" t="n">
        <x:f>IF(ISNUMBER(AD452),1,0)</x:f>
        <x:v>0</x:v>
      </x:c>
    </x:row>
    <x:row r="453" ht="30" customHeight="1">
      <x:c r="A453" s="3" t="str">
        <x:v>32582-MT-39</x:v>
      </x:c>
      <x:c r="B453" s="3" t="str">
        <x:v>3店-SANDIEX-US</x:v>
      </x:c>
      <x:c r="C453" s="3" t="str">
        <x:v>徐新怡</x:v>
      </x:c>
      <x:c r="D453" s="3" t="str">
        <x:v>32582</x:v>
      </x:c>
      <x:c r="E453" s="3" t="str">
        <x:f>IF(Z453="移出","已移出",IF(NOT(ISNUMBER(H453)),"数据待核",IF(H453=0,"断货",IF(NOT(ISNUMBER(G453)),"数据待核",IF(G453=0,"零日销待复核",IF(F453&lt;60,"补货提醒",IF(F453&lt;=90,"正常库存",IF(F453&lt;180,"促销",IF(F453&lt;=365,"红线促销","考虑清仓")))))))))</x:f>
        <x:v>断货</x:v>
      </x:c>
      <x:c r="F453" s="11" t="str">
        <x:f>IF(AND(ISNUMBER(H453),ISNUMBER(G453),G453&gt;0),H453/G453,"")</x:f>
      </x:c>
      <x:c r="G453" s="12" t="n">
        <x:f>IF(AND(COUNT(P453:R453)=3,MIN(P453:R453)&gt;=0,P453&lt;=Q453,Q453&lt;=R453),P453/7*0.5+Q453/14*0.3+R453/30*0.2,"")</x:f>
        <x:v>0</x:v>
      </x:c>
      <x:c r="H453" s="10" t="n">
        <x:f>IF(ISNUMBER(U453),U453,"")</x:f>
        <x:v>0</x:v>
      </x:c>
      <x:c r="I453" s="10" t="n">
        <x:v>0</x:v>
      </x:c>
      <x:c r="J453" s="11" t="str">
        <x:f>IF(AND(Z453="共同",ISNUMBER(F453),ISNUMBER(M453)),F453-M453,"")</x:f>
      </x:c>
      <x:c r="K453" s="13" t="str">
        <x:f>IF(AND(ISNUMBER(J453),M453&lt;&gt;0),J453/M453,"")</x:f>
      </x:c>
      <x:c r="L453" s="10" t="str">
        <x:v>断货</x:v>
      </x:c>
      <x:c r="M453" s="11"/>
      <x:c r="N453" s="10" t="n">
        <x:f>IF(AND(Z453="共同",COUNT(H453:I453)=2),H453-I453,"")</x:f>
        <x:v>0</x:v>
      </x:c>
      <x:c r="O453" s="10" t="n">
        <x:v>23</x:v>
      </x:c>
      <x:c r="P453" s="10" t="n">
        <x:v>0</x:v>
      </x:c>
      <x:c r="Q453" s="10" t="n">
        <x:v>0</x:v>
      </x:c>
      <x:c r="R453" s="10" t="n">
        <x:v>0</x:v>
      </x:c>
      <x:c r="S453" s="10" t="n">
        <x:v>0</x:v>
      </x:c>
      <x:c r="T453" s="10" t="n">
        <x:v>0</x:v>
      </x:c>
      <x:c r="U453" s="10" t="n">
        <x:f>IF(AND(ISNUMBER(X453),X453&gt;=0,Y453&lt;&gt;1),X453,"")</x:f>
        <x:v>0</x:v>
      </x:c>
      <x:c r="V453" s="10" t="n">
        <x:v>0</x:v>
      </x:c>
      <x:c r="W453" s="10" t="n">
        <x:v>0</x:v>
      </x:c>
      <x:c r="X453" s="10" t="n">
        <x:v>0</x:v>
      </x:c>
      <x:c r="Y453" s="3" t="n">
        <x:v>0</x:v>
      </x:c>
      <x:c r="Z453" s="3" t="str">
        <x:v>共同</x:v>
      </x:c>
      <x:c r="AA453" s="3" t="str">
        <x:v>停售</x:v>
      </x:c>
      <x:c r="AB453" s="12" t="n">
        <x:f>IF(AND(Z453="共同",ISNUMBER(G453),ISNUMBER(AD453)),G453-AD453,"")</x:f>
        <x:v>0</x:v>
      </x:c>
      <x:c r="AC453" s="3" t="str"/>
      <x:c r="AD453" s="12" t="n">
        <x:v>0</x:v>
      </x:c>
      <x:c r="AE453" s="3" t="str">
        <x:v>[6574,"32582-MT-39"]</x:v>
      </x:c>
      <x:c r="AF453" t="n">
        <x:f>IF(ISNUMBER(H453),1,0)</x:f>
        <x:v>1</x:v>
      </x:c>
      <x:c r="AG453" t="n">
        <x:f>IF(ISNUMBER(I453),1,0)</x:f>
        <x:v>1</x:v>
      </x:c>
      <x:c r="AH453" t="str">
        <x:v>["32582","32582-MT","MT","黄色"]</x:v>
      </x:c>
      <x:c r="AI453" t="n">
        <x:f>IF(ISNUMBER(G453),1,0)</x:f>
        <x:v>1</x:v>
      </x:c>
      <x:c r="AJ453" t="n">
        <x:f>IF(ISNUMBER(AD453),1,0)</x:f>
        <x:v>1</x:v>
      </x:c>
    </x:row>
    <x:row r="454" ht="30" customHeight="1">
      <x:c r="A454" s="3" t="str">
        <x:v>32582-MT-40.5</x:v>
      </x:c>
      <x:c r="B454" s="3" t="str">
        <x:v>3店-SANDIEX-US</x:v>
      </x:c>
      <x:c r="C454" s="3" t="str">
        <x:v>徐新怡</x:v>
      </x:c>
      <x:c r="D454" s="3" t="str">
        <x:v>32582</x:v>
      </x:c>
      <x:c r="E454" s="3" t="str">
        <x:f>IF(Z454="移出","已移出",IF(NOT(ISNUMBER(H454)),"数据待核",IF(H454=0,"断货",IF(NOT(ISNUMBER(G454)),"数据待核",IF(G454=0,"零日销待复核",IF(F454&lt;60,"补货提醒",IF(F454&lt;=90,"正常库存",IF(F454&lt;180,"促销",IF(F454&lt;=365,"红线促销","考虑清仓")))))))))</x:f>
        <x:v>断货</x:v>
      </x:c>
      <x:c r="F454" s="11" t="str">
        <x:f>IF(AND(ISNUMBER(H454),ISNUMBER(G454),G454&gt;0),H454/G454,"")</x:f>
      </x:c>
      <x:c r="G454" s="12" t="n">
        <x:f>IF(AND(COUNT(P454:R454)=3,MIN(P454:R454)&gt;=0,P454&lt;=Q454,Q454&lt;=R454),P454/7*0.5+Q454/14*0.3+R454/30*0.2,"")</x:f>
        <x:v>0</x:v>
      </x:c>
      <x:c r="H454" s="10" t="n">
        <x:f>IF(ISNUMBER(U454),U454,"")</x:f>
        <x:v>0</x:v>
      </x:c>
      <x:c r="I454" s="10" t="n">
        <x:v>0</x:v>
      </x:c>
      <x:c r="J454" s="11" t="str">
        <x:f>IF(AND(Z454="共同",ISNUMBER(F454),ISNUMBER(M454)),F454-M454,"")</x:f>
      </x:c>
      <x:c r="K454" s="13" t="str">
        <x:f>IF(AND(ISNUMBER(J454),M454&lt;&gt;0),J454/M454,"")</x:f>
      </x:c>
      <x:c r="L454" s="10" t="str">
        <x:v>断货</x:v>
      </x:c>
      <x:c r="M454" s="11"/>
      <x:c r="N454" s="10" t="n">
        <x:f>IF(AND(Z454="共同",COUNT(H454:I454)=2),H454-I454,"")</x:f>
        <x:v>0</x:v>
      </x:c>
      <x:c r="O454" s="10" t="n">
        <x:v>0</x:v>
      </x:c>
      <x:c r="P454" s="10" t="n">
        <x:v>0</x:v>
      </x:c>
      <x:c r="Q454" s="10" t="n">
        <x:v>0</x:v>
      </x:c>
      <x:c r="R454" s="10" t="n">
        <x:v>0</x:v>
      </x:c>
      <x:c r="S454" s="10" t="n">
        <x:v>0</x:v>
      </x:c>
      <x:c r="T454" s="10" t="n">
        <x:v>0</x:v>
      </x:c>
      <x:c r="U454" s="10" t="n">
        <x:f>IF(AND(ISNUMBER(X454),X454&gt;=0,Y454&lt;&gt;1),X454,"")</x:f>
        <x:v>0</x:v>
      </x:c>
      <x:c r="V454" s="10" t="n">
        <x:v>0</x:v>
      </x:c>
      <x:c r="W454" s="10" t="n">
        <x:v>0</x:v>
      </x:c>
      <x:c r="X454" s="10" t="n">
        <x:v>0</x:v>
      </x:c>
      <x:c r="Y454" s="3" t="n">
        <x:v>0</x:v>
      </x:c>
      <x:c r="Z454" s="3" t="str">
        <x:v>共同</x:v>
      </x:c>
      <x:c r="AA454" s="3" t="str">
        <x:v>停售</x:v>
      </x:c>
      <x:c r="AB454" s="12" t="str">
        <x:f>IF(AND(Z454="共同",ISNUMBER(G454),ISNUMBER(AD454)),G454-AD454,"")</x:f>
      </x:c>
      <x:c r="AC454" s="3" t="str">
        <x:v>近90天SKU销量未匹配，未按0处理</x:v>
      </x:c>
      <x:c r="AD454" s="12"/>
      <x:c r="AE454" s="3" t="str">
        <x:v>[6574,"32582-MT-40.5"]</x:v>
      </x:c>
      <x:c r="AF454" t="n">
        <x:f>IF(ISNUMBER(H454),1,0)</x:f>
        <x:v>1</x:v>
      </x:c>
      <x:c r="AG454" t="n">
        <x:f>IF(ISNUMBER(I454),1,0)</x:f>
        <x:v>1</x:v>
      </x:c>
      <x:c r="AH454" t="str">
        <x:v>["32582","32582-MT","MT","黄色"]</x:v>
      </x:c>
      <x:c r="AI454" t="n">
        <x:f>IF(ISNUMBER(G454),1,0)</x:f>
        <x:v>1</x:v>
      </x:c>
      <x:c r="AJ454" t="n">
        <x:f>IF(ISNUMBER(AD454),1,0)</x:f>
        <x:v>0</x:v>
      </x:c>
    </x:row>
    <x:row r="455" ht="30" customHeight="1">
      <x:c r="A455" s="3" t="str">
        <x:v>32582-MT-41</x:v>
      </x:c>
      <x:c r="B455" s="3" t="str">
        <x:v>3店-SANDIEX-US</x:v>
      </x:c>
      <x:c r="C455" s="3" t="str">
        <x:v>徐新怡</x:v>
      </x:c>
      <x:c r="D455" s="3" t="str">
        <x:v>32582</x:v>
      </x:c>
      <x:c r="E455" s="3" t="str">
        <x:f>IF(Z455="移出","已移出",IF(NOT(ISNUMBER(H455)),"数据待核",IF(H455=0,"断货",IF(NOT(ISNUMBER(G455)),"数据待核",IF(G455=0,"零日销待复核",IF(F455&lt;60,"补货提醒",IF(F455&lt;=90,"正常库存",IF(F455&lt;180,"促销",IF(F455&lt;=365,"红线促销","考虑清仓")))))))))</x:f>
        <x:v>断货</x:v>
      </x:c>
      <x:c r="F455" s="11" t="n">
        <x:f>IF(AND(ISNUMBER(H455),ISNUMBER(G455),G455&gt;0),H455/G455,"")</x:f>
        <x:v>0</x:v>
      </x:c>
      <x:c r="G455" s="12" t="n">
        <x:f>IF(AND(COUNT(P455:R455)=3,MIN(P455:R455)&gt;=0,P455&lt;=Q455,Q455&lt;=R455),P455/7*0.5+Q455/14*0.3+R455/30*0.2,"")</x:f>
        <x:v>0.006666666666666667</x:v>
      </x:c>
      <x:c r="H455" s="10" t="n">
        <x:f>IF(ISNUMBER(U455),U455,"")</x:f>
        <x:v>0</x:v>
      </x:c>
      <x:c r="I455" s="10" t="n">
        <x:v>0</x:v>
      </x:c>
      <x:c r="J455" s="11" t="n">
        <x:f>IF(AND(Z455="共同",ISNUMBER(F455),ISNUMBER(M455)),F455-M455,"")</x:f>
        <x:v>0</x:v>
      </x:c>
      <x:c r="K455" s="13" t="str">
        <x:f>IF(AND(ISNUMBER(J455),M455&lt;&gt;0),J455/M455,"")</x:f>
      </x:c>
      <x:c r="L455" s="10" t="str">
        <x:v>断货</x:v>
      </x:c>
      <x:c r="M455" s="11" t="n">
        <x:v>0</x:v>
      </x:c>
      <x:c r="N455" s="10" t="n">
        <x:f>IF(AND(Z455="共同",COUNT(H455:I455)=2),H455-I455,"")</x:f>
        <x:v>0</x:v>
      </x:c>
      <x:c r="O455" s="10" t="n">
        <x:v>0</x:v>
      </x:c>
      <x:c r="P455" s="10" t="n">
        <x:v>0</x:v>
      </x:c>
      <x:c r="Q455" s="10" t="n">
        <x:v>0</x:v>
      </x:c>
      <x:c r="R455" s="10" t="n">
        <x:v>1</x:v>
      </x:c>
      <x:c r="S455" s="10" t="n">
        <x:v>0</x:v>
      </x:c>
      <x:c r="T455" s="10" t="n">
        <x:v>0</x:v>
      </x:c>
      <x:c r="U455" s="10" t="n">
        <x:f>IF(AND(ISNUMBER(X455),X455&gt;=0,Y455&lt;&gt;1),X455,"")</x:f>
        <x:v>0</x:v>
      </x:c>
      <x:c r="V455" s="10" t="n">
        <x:v>0</x:v>
      </x:c>
      <x:c r="W455" s="10" t="n">
        <x:v>0</x:v>
      </x:c>
      <x:c r="X455" s="10" t="n">
        <x:v>0</x:v>
      </x:c>
      <x:c r="Y455" s="3" t="n">
        <x:v>0</x:v>
      </x:c>
      <x:c r="Z455" s="3" t="str">
        <x:v>共同</x:v>
      </x:c>
      <x:c r="AA455" s="3" t="str">
        <x:v>停售</x:v>
      </x:c>
      <x:c r="AB455" s="12" t="n">
        <x:f>IF(AND(Z455="共同",ISNUMBER(G455),ISNUMBER(AD455)),G455-AD455,"")</x:f>
        <x:v>-0.02809523809523809</x:v>
      </x:c>
      <x:c r="AC455" s="3" t="str"/>
      <x:c r="AD455" s="12" t="n">
        <x:v>0.03476190476190476</x:v>
      </x:c>
      <x:c r="AE455" s="3" t="str">
        <x:v>[6574,"32582-MT-41"]</x:v>
      </x:c>
      <x:c r="AF455" t="n">
        <x:f>IF(ISNUMBER(H455),1,0)</x:f>
        <x:v>1</x:v>
      </x:c>
      <x:c r="AG455" t="n">
        <x:f>IF(ISNUMBER(I455),1,0)</x:f>
        <x:v>1</x:v>
      </x:c>
      <x:c r="AH455" t="str">
        <x:v>["32582","32582-MT","MT","黄色"]</x:v>
      </x:c>
      <x:c r="AI455" t="n">
        <x:f>IF(ISNUMBER(G455),1,0)</x:f>
        <x:v>1</x:v>
      </x:c>
      <x:c r="AJ455" t="n">
        <x:f>IF(ISNUMBER(AD455),1,0)</x:f>
        <x:v>1</x:v>
      </x:c>
    </x:row>
    <x:row r="456" ht="30" customHeight="1">
      <x:c r="A456" s="3" t="str">
        <x:v>32582-MT-41.5</x:v>
      </x:c>
      <x:c r="B456" s="3" t="str">
        <x:v>3店-SANDIEX-US</x:v>
      </x:c>
      <x:c r="C456" s="3" t="str">
        <x:v>徐新怡</x:v>
      </x:c>
      <x:c r="D456" s="3" t="str">
        <x:v>32582</x:v>
      </x:c>
      <x:c r="E456" s="3" t="str">
        <x:f>IF(Z456="移出","已移出",IF(NOT(ISNUMBER(H456)),"数据待核",IF(H456=0,"断货",IF(NOT(ISNUMBER(G456)),"数据待核",IF(G456=0,"零日销待复核",IF(F456&lt;60,"补货提醒",IF(F456&lt;=90,"正常库存",IF(F456&lt;180,"促销",IF(F456&lt;=365,"红线促销","考虑清仓")))))))))</x:f>
        <x:v>断货</x:v>
      </x:c>
      <x:c r="F456" s="11" t="str">
        <x:f>IF(AND(ISNUMBER(H456),ISNUMBER(G456),G456&gt;0),H456/G456,"")</x:f>
      </x:c>
      <x:c r="G456" s="12" t="n">
        <x:f>IF(AND(COUNT(P456:R456)=3,MIN(P456:R456)&gt;=0,P456&lt;=Q456,Q456&lt;=R456),P456/7*0.5+Q456/14*0.3+R456/30*0.2,"")</x:f>
        <x:v>0</x:v>
      </x:c>
      <x:c r="H456" s="10" t="n">
        <x:f>IF(ISNUMBER(U456),U456,"")</x:f>
        <x:v>0</x:v>
      </x:c>
      <x:c r="I456" s="10" t="n">
        <x:v>0</x:v>
      </x:c>
      <x:c r="J456" s="11" t="str">
        <x:f>IF(AND(Z456="共同",ISNUMBER(F456),ISNUMBER(M456)),F456-M456,"")</x:f>
      </x:c>
      <x:c r="K456" s="13" t="str">
        <x:f>IF(AND(ISNUMBER(J456),M456&lt;&gt;0),J456/M456,"")</x:f>
      </x:c>
      <x:c r="L456" s="10" t="str">
        <x:v>断货</x:v>
      </x:c>
      <x:c r="M456" s="11"/>
      <x:c r="N456" s="10" t="n">
        <x:f>IF(AND(Z456="共同",COUNT(H456:I456)=2),H456-I456,"")</x:f>
        <x:v>0</x:v>
      </x:c>
      <x:c r="O456" s="10"/>
      <x:c r="P456" s="10" t="n">
        <x:v>0</x:v>
      </x:c>
      <x:c r="Q456" s="10" t="n">
        <x:v>0</x:v>
      </x:c>
      <x:c r="R456" s="10" t="n">
        <x:v>0</x:v>
      </x:c>
      <x:c r="S456" s="10" t="n">
        <x:v>0</x:v>
      </x:c>
      <x:c r="T456" s="10" t="n">
        <x:v>0</x:v>
      </x:c>
      <x:c r="U456" s="10" t="n">
        <x:f>IF(AND(ISNUMBER(X456),X456&gt;=0,Y456&lt;&gt;1),X456,"")</x:f>
        <x:v>0</x:v>
      </x:c>
      <x:c r="V456" s="10" t="n">
        <x:v>0</x:v>
      </x:c>
      <x:c r="W456" s="10" t="n">
        <x:v>0</x:v>
      </x:c>
      <x:c r="X456" s="10" t="n">
        <x:v>0</x:v>
      </x:c>
      <x:c r="Y456" s="3" t="n">
        <x:v>0</x:v>
      </x:c>
      <x:c r="Z456" s="3" t="str">
        <x:v>共同</x:v>
      </x:c>
      <x:c r="AA456" s="3" t="str">
        <x:v>停售</x:v>
      </x:c>
      <x:c r="AB456" s="12" t="str">
        <x:f>IF(AND(Z456="共同",ISNUMBER(G456),ISNUMBER(AD456)),G456-AD456,"")</x:f>
      </x:c>
      <x:c r="AC456" s="3" t="str">
        <x:v>近90天SKU销量未匹配，未按0处理</x:v>
      </x:c>
      <x:c r="AD456" s="12"/>
      <x:c r="AE456" s="3" t="str">
        <x:v>[6574,"32582-MT-41.5"]</x:v>
      </x:c>
      <x:c r="AF456" t="n">
        <x:f>IF(ISNUMBER(H456),1,0)</x:f>
        <x:v>1</x:v>
      </x:c>
      <x:c r="AG456" t="n">
        <x:f>IF(ISNUMBER(I456),1,0)</x:f>
        <x:v>1</x:v>
      </x:c>
      <x:c r="AH456" t="str">
        <x:v>["32582","32582-MT","MT","黄色"]</x:v>
      </x:c>
      <x:c r="AI456" t="n">
        <x:f>IF(ISNUMBER(G456),1,0)</x:f>
        <x:v>1</x:v>
      </x:c>
      <x:c r="AJ456" t="n">
        <x:f>IF(ISNUMBER(AD456),1,0)</x:f>
        <x:v>0</x:v>
      </x:c>
    </x:row>
    <x:row r="457" ht="30" customHeight="1">
      <x:c r="A457" s="3" t="str">
        <x:v>32582-MT-42</x:v>
      </x:c>
      <x:c r="B457" s="3" t="str">
        <x:v>3店-SANDIEX-US</x:v>
      </x:c>
      <x:c r="C457" s="3" t="str">
        <x:v>徐新怡</x:v>
      </x:c>
      <x:c r="D457" s="3" t="str">
        <x:v>32582</x:v>
      </x:c>
      <x:c r="E457" s="3" t="str">
        <x:f>IF(Z457="移出","已移出",IF(NOT(ISNUMBER(H457)),"数据待核",IF(H457=0,"断货",IF(NOT(ISNUMBER(G457)),"数据待核",IF(G457=0,"零日销待复核",IF(F457&lt;60,"补货提醒",IF(F457&lt;=90,"正常库存",IF(F457&lt;180,"促销",IF(F457&lt;=365,"红线促销","考虑清仓")))))))))</x:f>
        <x:v>断货</x:v>
      </x:c>
      <x:c r="F457" s="11" t="n">
        <x:f>IF(AND(ISNUMBER(H457),ISNUMBER(G457),G457&gt;0),H457/G457,"")</x:f>
        <x:v>0</x:v>
      </x:c>
      <x:c r="G457" s="12" t="n">
        <x:f>IF(AND(COUNT(P457:R457)=3,MIN(P457:R457)&gt;=0,P457&lt;=Q457,Q457&lt;=R457),P457/7*0.5+Q457/14*0.3+R457/30*0.2,"")</x:f>
        <x:v>0.006666666666666667</x:v>
      </x:c>
      <x:c r="H457" s="10" t="n">
        <x:f>IF(ISNUMBER(U457),U457,"")</x:f>
        <x:v>0</x:v>
      </x:c>
      <x:c r="I457" s="10" t="n">
        <x:v>0</x:v>
      </x:c>
      <x:c r="J457" s="11" t="n">
        <x:f>IF(AND(Z457="共同",ISNUMBER(F457),ISNUMBER(M457)),F457-M457,"")</x:f>
        <x:v>0</x:v>
      </x:c>
      <x:c r="K457" s="13" t="str">
        <x:f>IF(AND(ISNUMBER(J457),M457&lt;&gt;0),J457/M457,"")</x:f>
      </x:c>
      <x:c r="L457" s="10" t="str">
        <x:v>断货</x:v>
      </x:c>
      <x:c r="M457" s="11" t="n">
        <x:v>0</x:v>
      </x:c>
      <x:c r="N457" s="10" t="n">
        <x:f>IF(AND(Z457="共同",COUNT(H457:I457)=2),H457-I457,"")</x:f>
        <x:v>0</x:v>
      </x:c>
      <x:c r="O457" s="10" t="n">
        <x:v>0</x:v>
      </x:c>
      <x:c r="P457" s="10" t="n">
        <x:v>0</x:v>
      </x:c>
      <x:c r="Q457" s="10" t="n">
        <x:v>0</x:v>
      </x:c>
      <x:c r="R457" s="10" t="n">
        <x:v>1</x:v>
      </x:c>
      <x:c r="S457" s="10" t="n">
        <x:v>0</x:v>
      </x:c>
      <x:c r="T457" s="10" t="n">
        <x:v>0</x:v>
      </x:c>
      <x:c r="U457" s="10" t="n">
        <x:f>IF(AND(ISNUMBER(X457),X457&gt;=0,Y457&lt;&gt;1),X457,"")</x:f>
        <x:v>0</x:v>
      </x:c>
      <x:c r="V457" s="10" t="n">
        <x:v>0</x:v>
      </x:c>
      <x:c r="W457" s="10" t="n">
        <x:v>0</x:v>
      </x:c>
      <x:c r="X457" s="10" t="n">
        <x:v>0</x:v>
      </x:c>
      <x:c r="Y457" s="3" t="n">
        <x:v>0</x:v>
      </x:c>
      <x:c r="Z457" s="3" t="str">
        <x:v>共同</x:v>
      </x:c>
      <x:c r="AA457" s="3" t="str">
        <x:v>停售</x:v>
      </x:c>
      <x:c r="AB457" s="12" t="n">
        <x:f>IF(AND(Z457="共同",ISNUMBER(G457),ISNUMBER(AD457)),G457-AD457,"")</x:f>
        <x:v>-0.013333333333333332</x:v>
      </x:c>
      <x:c r="AC457" s="3" t="str"/>
      <x:c r="AD457" s="12" t="n">
        <x:v>0.02</x:v>
      </x:c>
      <x:c r="AE457" s="3" t="str">
        <x:v>[6574,"32582-MT-42"]</x:v>
      </x:c>
      <x:c r="AF457" t="n">
        <x:f>IF(ISNUMBER(H457),1,0)</x:f>
        <x:v>1</x:v>
      </x:c>
      <x:c r="AG457" t="n">
        <x:f>IF(ISNUMBER(I457),1,0)</x:f>
        <x:v>1</x:v>
      </x:c>
      <x:c r="AH457" t="str">
        <x:v>["32582","32582-MT","MT","黄色"]</x:v>
      </x:c>
      <x:c r="AI457" t="n">
        <x:f>IF(ISNUMBER(G457),1,0)</x:f>
        <x:v>1</x:v>
      </x:c>
      <x:c r="AJ457" t="n">
        <x:f>IF(ISNUMBER(AD457),1,0)</x:f>
        <x:v>1</x:v>
      </x:c>
    </x:row>
    <x:row r="458" ht="30" customHeight="1">
      <x:c r="A458" s="3" t="str">
        <x:v>32582-ND-37.5</x:v>
      </x:c>
      <x:c r="B458" s="3" t="str">
        <x:v>3店-SANDIEX-US</x:v>
      </x:c>
      <x:c r="C458" s="3" t="str">
        <x:v>徐新怡</x:v>
      </x:c>
      <x:c r="D458" s="3" t="str">
        <x:v>32582</x:v>
      </x:c>
      <x:c r="E458" s="3" t="str">
        <x:f>IF(Z458="移出","已移出",IF(NOT(ISNUMBER(H458)),"数据待核",IF(H458=0,"断货",IF(NOT(ISNUMBER(G458)),"数据待核",IF(G458=0,"零日销待复核",IF(F458&lt;60,"补货提醒",IF(F458&lt;=90,"正常库存",IF(F458&lt;180,"促销",IF(F458&lt;=365,"红线促销","考虑清仓")))))))))</x:f>
        <x:v>断货</x:v>
      </x:c>
      <x:c r="F458" s="11" t="n">
        <x:f>IF(AND(ISNUMBER(H458),ISNUMBER(G458),G458&gt;0),H458/G458,"")</x:f>
        <x:v>0</x:v>
      </x:c>
      <x:c r="G458" s="12" t="n">
        <x:f>IF(AND(COUNT(P458:R458)=3,MIN(P458:R458)&gt;=0,P458&lt;=Q458,Q458&lt;=R458),P458/7*0.5+Q458/14*0.3+R458/30*0.2,"")</x:f>
        <x:v>0.11285714285714285</x:v>
      </x:c>
      <x:c r="H458" s="10" t="n">
        <x:f>IF(ISNUMBER(U458),U458,"")</x:f>
        <x:v>0</x:v>
      </x:c>
      <x:c r="I458" s="10" t="n">
        <x:v>0</x:v>
      </x:c>
      <x:c r="J458" s="11" t="n">
        <x:f>IF(AND(Z458="共同",ISNUMBER(F458),ISNUMBER(M458)),F458-M458,"")</x:f>
        <x:v>0</x:v>
      </x:c>
      <x:c r="K458" s="13" t="str">
        <x:f>IF(AND(ISNUMBER(J458),M458&lt;&gt;0),J458/M458,"")</x:f>
      </x:c>
      <x:c r="L458" s="10" t="str">
        <x:v>断货</x:v>
      </x:c>
      <x:c r="M458" s="11" t="n">
        <x:v>0</x:v>
      </x:c>
      <x:c r="N458" s="10" t="n">
        <x:f>IF(AND(Z458="共同",COUNT(H458:I458)=2),H458-I458,"")</x:f>
        <x:v>0</x:v>
      </x:c>
      <x:c r="O458" s="10" t="n">
        <x:v>53</x:v>
      </x:c>
      <x:c r="P458" s="10" t="n">
        <x:v>1</x:v>
      </x:c>
      <x:c r="Q458" s="10" t="n">
        <x:v>1</x:v>
      </x:c>
      <x:c r="R458" s="10" t="n">
        <x:v>3</x:v>
      </x:c>
      <x:c r="S458" s="10" t="n">
        <x:v>7</x:v>
      </x:c>
      <x:c r="T458" s="10" t="n">
        <x:v>2</x:v>
      </x:c>
      <x:c r="U458" s="10" t="n">
        <x:f>IF(AND(ISNUMBER(X458),X458&gt;=0,Y458&lt;&gt;1),X458,"")</x:f>
        <x:v>0</x:v>
      </x:c>
      <x:c r="V458" s="10" t="n">
        <x:v>0</x:v>
      </x:c>
      <x:c r="W458" s="10" t="n">
        <x:v>20</x:v>
      </x:c>
      <x:c r="X458" s="10" t="n">
        <x:v>0</x:v>
      </x:c>
      <x:c r="Y458" s="3" t="n">
        <x:v>0</x:v>
      </x:c>
      <x:c r="Z458" s="3" t="str">
        <x:v>共同</x:v>
      </x:c>
      <x:c r="AA458" s="3" t="str">
        <x:v>在售</x:v>
      </x:c>
      <x:c r="AB458" s="12" t="n">
        <x:f>IF(AND(Z458="共同",ISNUMBER(G458),ISNUMBER(AD458)),G458-AD458,"")</x:f>
        <x:v>-0.02809523809523809</x:v>
      </x:c>
      <x:c r="AC458" s="3" t="str"/>
      <x:c r="AD458" s="12" t="n">
        <x:v>0.14095238095238094</x:v>
      </x:c>
      <x:c r="AE458" s="3" t="str">
        <x:v>[6574,"32582-ND-37.5"]</x:v>
      </x:c>
      <x:c r="AF458" t="n">
        <x:f>IF(ISNUMBER(H458),1,0)</x:f>
        <x:v>1</x:v>
      </x:c>
      <x:c r="AG458" t="n">
        <x:f>IF(ISNUMBER(I458),1,0)</x:f>
        <x:v>1</x:v>
      </x:c>
      <x:c r="AH458" t="str">
        <x:v>["32582","32582-ND","ND","裸色"]</x:v>
      </x:c>
      <x:c r="AI458" t="n">
        <x:f>IF(ISNUMBER(G458),1,0)</x:f>
        <x:v>1</x:v>
      </x:c>
      <x:c r="AJ458" t="n">
        <x:f>IF(ISNUMBER(AD458),1,0)</x:f>
        <x:v>1</x:v>
      </x:c>
    </x:row>
    <x:row r="459" ht="30" customHeight="1">
      <x:c r="A459" s="3" t="str">
        <x:v>32582-ND-39</x:v>
      </x:c>
      <x:c r="B459" s="3" t="str">
        <x:v>3店-SANDIEX-US</x:v>
      </x:c>
      <x:c r="C459" s="3" t="str">
        <x:v>徐新怡</x:v>
      </x:c>
      <x:c r="D459" s="3" t="str">
        <x:v>32582</x:v>
      </x:c>
      <x:c r="E459" s="3" t="str">
        <x:f>IF(Z459="移出","已移出",IF(NOT(ISNUMBER(H459)),"数据待核",IF(H459=0,"断货",IF(NOT(ISNUMBER(G459)),"数据待核",IF(G459=0,"零日销待复核",IF(F459&lt;60,"补货提醒",IF(F459&lt;=90,"正常库存",IF(F459&lt;180,"促销",IF(F459&lt;=365,"红线促销","考虑清仓")))))))))</x:f>
        <x:v>断货</x:v>
      </x:c>
      <x:c r="F459" s="11" t="n">
        <x:f>IF(AND(ISNUMBER(H459),ISNUMBER(G459),G459&gt;0),H459/G459,"")</x:f>
        <x:v>0</x:v>
      </x:c>
      <x:c r="G459" s="12" t="n">
        <x:f>IF(AND(COUNT(P459:R459)=3,MIN(P459:R459)&gt;=0,P459&lt;=Q459,Q459&lt;=R459),P459/7*0.5+Q459/14*0.3+R459/30*0.2,"")</x:f>
        <x:v>0.3119047619047619</x:v>
      </x:c>
      <x:c r="H459" s="10" t="n">
        <x:f>IF(ISNUMBER(U459),U459,"")</x:f>
        <x:v>0</x:v>
      </x:c>
      <x:c r="I459" s="10" t="n">
        <x:v>0</x:v>
      </x:c>
      <x:c r="J459" s="11" t="n">
        <x:f>IF(AND(Z459="共同",ISNUMBER(F459),ISNUMBER(M459)),F459-M459,"")</x:f>
        <x:v>0</x:v>
      </x:c>
      <x:c r="K459" s="13" t="str">
        <x:f>IF(AND(ISNUMBER(J459),M459&lt;&gt;0),J459/M459,"")</x:f>
      </x:c>
      <x:c r="L459" s="10" t="str">
        <x:v>断货</x:v>
      </x:c>
      <x:c r="M459" s="11" t="n">
        <x:v>0</x:v>
      </x:c>
      <x:c r="N459" s="10" t="n">
        <x:f>IF(AND(Z459="共同",COUNT(H459:I459)=2),H459-I459,"")</x:f>
        <x:v>0</x:v>
      </x:c>
      <x:c r="O459" s="10" t="n">
        <x:v>161</x:v>
      </x:c>
      <x:c r="P459" s="10" t="n">
        <x:v>3</x:v>
      </x:c>
      <x:c r="Q459" s="10" t="n">
        <x:v>3</x:v>
      </x:c>
      <x:c r="R459" s="10" t="n">
        <x:v>5</x:v>
      </x:c>
      <x:c r="S459" s="10" t="n">
        <x:v>20</x:v>
      </x:c>
      <x:c r="T459" s="10" t="n">
        <x:v>5</x:v>
      </x:c>
      <x:c r="U459" s="10" t="n">
        <x:f>IF(AND(ISNUMBER(X459),X459&gt;=0,Y459&lt;&gt;1),X459,"")</x:f>
        <x:v>0</x:v>
      </x:c>
      <x:c r="V459" s="10" t="n">
        <x:v>0</x:v>
      </x:c>
      <x:c r="W459" s="10" t="n">
        <x:v>80</x:v>
      </x:c>
      <x:c r="X459" s="10" t="n">
        <x:v>0</x:v>
      </x:c>
      <x:c r="Y459" s="3" t="n">
        <x:v>0</x:v>
      </x:c>
      <x:c r="Z459" s="3" t="str">
        <x:v>共同</x:v>
      </x:c>
      <x:c r="AA459" s="3" t="str">
        <x:v>在售</x:v>
      </x:c>
      <x:c r="AB459" s="12" t="n">
        <x:f>IF(AND(Z459="共同",ISNUMBER(G459),ISNUMBER(AD459)),G459-AD459,"")</x:f>
        <x:v>0.10619047619047622</x:v>
      </x:c>
      <x:c r="AC459" s="3" t="str"/>
      <x:c r="AD459" s="12" t="n">
        <x:v>0.20571428571428568</x:v>
      </x:c>
      <x:c r="AE459" s="3" t="str">
        <x:v>[6574,"32582-ND-39"]</x:v>
      </x:c>
      <x:c r="AF459" t="n">
        <x:f>IF(ISNUMBER(H459),1,0)</x:f>
        <x:v>1</x:v>
      </x:c>
      <x:c r="AG459" t="n">
        <x:f>IF(ISNUMBER(I459),1,0)</x:f>
        <x:v>1</x:v>
      </x:c>
      <x:c r="AH459" t="str">
        <x:v>["32582","32582-ND","ND","裸色"]</x:v>
      </x:c>
      <x:c r="AI459" t="n">
        <x:f>IF(ISNUMBER(G459),1,0)</x:f>
        <x:v>1</x:v>
      </x:c>
      <x:c r="AJ459" t="n">
        <x:f>IF(ISNUMBER(AD459),1,0)</x:f>
        <x:v>1</x:v>
      </x:c>
    </x:row>
    <x:row r="460" ht="30" customHeight="1">
      <x:c r="A460" s="3" t="str">
        <x:v>32582-ND-39.5</x:v>
      </x:c>
      <x:c r="B460" s="3" t="str">
        <x:v>3店-SANDIEX-US</x:v>
      </x:c>
      <x:c r="C460" s="3" t="str">
        <x:v>徐新怡</x:v>
      </x:c>
      <x:c r="D460" s="3" t="str">
        <x:v>32582</x:v>
      </x:c>
      <x:c r="E460" s="3" t="str">
        <x:f>IF(Z460="移出","已移出",IF(NOT(ISNUMBER(H460)),"数据待核",IF(H460=0,"断货",IF(NOT(ISNUMBER(G460)),"数据待核",IF(G460=0,"零日销待复核",IF(F460&lt;60,"补货提醒",IF(F460&lt;=90,"正常库存",IF(F460&lt;180,"促销",IF(F460&lt;=365,"红线促销","考虑清仓")))))))))</x:f>
        <x:v>断货</x:v>
      </x:c>
      <x:c r="F460" s="11" t="n">
        <x:f>IF(AND(ISNUMBER(H460),ISNUMBER(G460),G460&gt;0),H460/G460,"")</x:f>
        <x:v>0</x:v>
      </x:c>
      <x:c r="G460" s="12" t="n">
        <x:f>IF(AND(COUNT(P460:R460)=3,MIN(P460:R460)&gt;=0,P460&lt;=Q460,Q460&lt;=R460),P460/7*0.5+Q460/14*0.3+R460/30*0.2,"")</x:f>
        <x:v>0.11952380952380952</x:v>
      </x:c>
      <x:c r="H460" s="10" t="n">
        <x:f>IF(ISNUMBER(U460),U460,"")</x:f>
        <x:v>0</x:v>
      </x:c>
      <x:c r="I460" s="10" t="n">
        <x:v>0</x:v>
      </x:c>
      <x:c r="J460" s="11" t="n">
        <x:f>IF(AND(Z460="共同",ISNUMBER(F460),ISNUMBER(M460)),F460-M460,"")</x:f>
        <x:v>0</x:v>
      </x:c>
      <x:c r="K460" s="13" t="str">
        <x:f>IF(AND(ISNUMBER(J460),M460&lt;&gt;0),J460/M460,"")</x:f>
      </x:c>
      <x:c r="L460" s="10" t="str">
        <x:v>断货</x:v>
      </x:c>
      <x:c r="M460" s="11" t="n">
        <x:v>0</x:v>
      </x:c>
      <x:c r="N460" s="10" t="n">
        <x:f>IF(AND(Z460="共同",COUNT(H460:I460)=2),H460-I460,"")</x:f>
        <x:v>0</x:v>
      </x:c>
      <x:c r="O460" s="10" t="n">
        <x:v>23</x:v>
      </x:c>
      <x:c r="P460" s="10" t="n">
        <x:v>1</x:v>
      </x:c>
      <x:c r="Q460" s="10" t="n">
        <x:v>1</x:v>
      </x:c>
      <x:c r="R460" s="10" t="n">
        <x:v>4</x:v>
      </x:c>
      <x:c r="S460" s="10" t="n">
        <x:v>19</x:v>
      </x:c>
      <x:c r="T460" s="10" t="n">
        <x:v>4</x:v>
      </x:c>
      <x:c r="U460" s="10" t="n">
        <x:f>IF(AND(ISNUMBER(X460),X460&gt;=0,Y460&lt;&gt;1),X460,"")</x:f>
        <x:v>0</x:v>
      </x:c>
      <x:c r="V460" s="10" t="n">
        <x:v>0</x:v>
      </x:c>
      <x:c r="W460" s="10" t="n">
        <x:v>22</x:v>
      </x:c>
      <x:c r="X460" s="10" t="n">
        <x:v>0</x:v>
      </x:c>
      <x:c r="Y460" s="3" t="n">
        <x:v>0</x:v>
      </x:c>
      <x:c r="Z460" s="3" t="str">
        <x:v>共同</x:v>
      </x:c>
      <x:c r="AA460" s="3" t="str">
        <x:v>在售</x:v>
      </x:c>
      <x:c r="AB460" s="12" t="n">
        <x:f>IF(AND(Z460="共同",ISNUMBER(G460),ISNUMBER(AD460)),G460-AD460,"")</x:f>
        <x:v>-0.036190476190476176</x:v>
      </x:c>
      <x:c r="AC460" s="3" t="str"/>
      <x:c r="AD460" s="12" t="n">
        <x:v>0.1557142857142857</x:v>
      </x:c>
      <x:c r="AE460" s="3" t="str">
        <x:v>[6574,"32582-ND-39.5"]</x:v>
      </x:c>
      <x:c r="AF460" t="n">
        <x:f>IF(ISNUMBER(H460),1,0)</x:f>
        <x:v>1</x:v>
      </x:c>
      <x:c r="AG460" t="n">
        <x:f>IF(ISNUMBER(I460),1,0)</x:f>
        <x:v>1</x:v>
      </x:c>
      <x:c r="AH460" t="str">
        <x:v>["32582","32582-ND","ND","裸色"]</x:v>
      </x:c>
      <x:c r="AI460" t="n">
        <x:f>IF(ISNUMBER(G460),1,0)</x:f>
        <x:v>1</x:v>
      </x:c>
      <x:c r="AJ460" t="n">
        <x:f>IF(ISNUMBER(AD460),1,0)</x:f>
        <x:v>1</x:v>
      </x:c>
    </x:row>
    <x:row r="461" ht="30" customHeight="1">
      <x:c r="A461" s="3" t="str">
        <x:v>32582-ND-40</x:v>
      </x:c>
      <x:c r="B461" s="3" t="str">
        <x:v>3店-SANDIEX-US</x:v>
      </x:c>
      <x:c r="C461" s="3" t="str">
        <x:v>徐新怡</x:v>
      </x:c>
      <x:c r="D461" s="3" t="str">
        <x:v>32582</x:v>
      </x:c>
      <x:c r="E461" s="3" t="str">
        <x:f>IF(Z461="移出","已移出",IF(NOT(ISNUMBER(H461)),"数据待核",IF(H461=0,"断货",IF(NOT(ISNUMBER(G461)),"数据待核",IF(G461=0,"零日销待复核",IF(F461&lt;60,"补货提醒",IF(F461&lt;=90,"正常库存",IF(F461&lt;180,"促销",IF(F461&lt;=365,"红线促销","考虑清仓")))))))))</x:f>
        <x:v>断货</x:v>
      </x:c>
      <x:c r="F461" s="11" t="n">
        <x:f>IF(AND(ISNUMBER(H461),ISNUMBER(G461),G461&gt;0),H461/G461,"")</x:f>
        <x:v>0</x:v>
      </x:c>
      <x:c r="G461" s="12" t="n">
        <x:f>IF(AND(COUNT(P461:R461)=3,MIN(P461:R461)&gt;=0,P461&lt;=Q461,Q461&lt;=R461),P461/7*0.5+Q461/14*0.3+R461/30*0.2,"")</x:f>
        <x:v>0.43476190476190474</x:v>
      </x:c>
      <x:c r="H461" s="10" t="n">
        <x:f>IF(ISNUMBER(U461),U461,"")</x:f>
        <x:v>0</x:v>
      </x:c>
      <x:c r="I461" s="10" t="n">
        <x:v>1</x:v>
      </x:c>
      <x:c r="J461" s="11" t="n">
        <x:f>IF(AND(Z461="共同",ISNUMBER(F461),ISNUMBER(M461)),F461-M461,"")</x:f>
        <x:v>-0.9947891994315488</x:v>
      </x:c>
      <x:c r="K461" s="13" t="n">
        <x:f>IF(AND(ISNUMBER(J461),M461&lt;&gt;0),J461/M461,"")</x:f>
        <x:v>-1</x:v>
      </x:c>
      <x:c r="L461" s="10" t="str">
        <x:v>补货提醒</x:v>
      </x:c>
      <x:c r="M461" s="11" t="n">
        <x:v>0.9947891994315488</x:v>
      </x:c>
      <x:c r="N461" s="10" t="n">
        <x:f>IF(AND(Z461="共同",COUNT(H461:I461)=2),H461-I461,"")</x:f>
        <x:v>-1</x:v>
      </x:c>
      <x:c r="O461" s="10" t="n">
        <x:v>138</x:v>
      </x:c>
      <x:c r="P461" s="10" t="n">
        <x:v>3</x:v>
      </x:c>
      <x:c r="Q461" s="10" t="n">
        <x:v>5</x:v>
      </x:c>
      <x:c r="R461" s="10" t="n">
        <x:v>17</x:v>
      </x:c>
      <x:c r="S461" s="10" t="n">
        <x:v>2</x:v>
      </x:c>
      <x:c r="T461" s="10" t="n">
        <x:v>0</x:v>
      </x:c>
      <x:c r="U461" s="10" t="n">
        <x:f>IF(AND(ISNUMBER(X461),X461&gt;=0,Y461&lt;&gt;1),X461,"")</x:f>
        <x:v>0</x:v>
      </x:c>
      <x:c r="V461" s="10" t="n">
        <x:v>0</x:v>
      </x:c>
      <x:c r="W461" s="10" t="n">
        <x:v>80</x:v>
      </x:c>
      <x:c r="X461" s="10" t="n">
        <x:v>0</x:v>
      </x:c>
      <x:c r="Y461" s="3" t="n">
        <x:v>0</x:v>
      </x:c>
      <x:c r="Z461" s="3" t="str">
        <x:v>共同</x:v>
      </x:c>
      <x:c r="AA461" s="3" t="str">
        <x:v>在售</x:v>
      </x:c>
      <x:c r="AB461" s="12" t="n">
        <x:f>IF(AND(Z461="共同",ISNUMBER(G461),ISNUMBER(AD461)),G461-AD461,"")</x:f>
        <x:v>-0.5704761904761908</x:v>
      </x:c>
      <x:c r="AC461" s="3" t="str"/>
      <x:c r="AD461" s="12" t="n">
        <x:v>1.0052380952380955</x:v>
      </x:c>
      <x:c r="AE461" s="3" t="str">
        <x:v>[6574,"32582-ND-40"]</x:v>
      </x:c>
      <x:c r="AF461" t="n">
        <x:f>IF(ISNUMBER(H461),1,0)</x:f>
        <x:v>1</x:v>
      </x:c>
      <x:c r="AG461" t="n">
        <x:f>IF(ISNUMBER(I461),1,0)</x:f>
        <x:v>1</x:v>
      </x:c>
      <x:c r="AH461" t="str">
        <x:v>["32582","32582-ND","ND","裸色"]</x:v>
      </x:c>
      <x:c r="AI461" t="n">
        <x:f>IF(ISNUMBER(G461),1,0)</x:f>
        <x:v>1</x:v>
      </x:c>
      <x:c r="AJ461" t="n">
        <x:f>IF(ISNUMBER(AD461),1,0)</x:f>
        <x:v>1</x:v>
      </x:c>
    </x:row>
    <x:row r="462" ht="30" customHeight="1">
      <x:c r="A462" s="3" t="str">
        <x:v>32582-ND-40.5</x:v>
      </x:c>
      <x:c r="B462" s="3" t="str">
        <x:v>3店-SANDIEX-US</x:v>
      </x:c>
      <x:c r="C462" s="3" t="str">
        <x:v>徐新怡</x:v>
      </x:c>
      <x:c r="D462" s="3" t="str">
        <x:v>32582</x:v>
      </x:c>
      <x:c r="E462" s="3" t="str">
        <x:f>IF(Z462="移出","已移出",IF(NOT(ISNUMBER(H462)),"数据待核",IF(H462=0,"断货",IF(NOT(ISNUMBER(G462)),"数据待核",IF(G462=0,"零日销待复核",IF(F462&lt;60,"补货提醒",IF(F462&lt;=90,"正常库存",IF(F462&lt;180,"促销",IF(F462&lt;=365,"红线促销","考虑清仓")))))))))</x:f>
        <x:v>断货</x:v>
      </x:c>
      <x:c r="F462" s="11" t="str">
        <x:f>IF(AND(ISNUMBER(H462),ISNUMBER(G462),G462&gt;0),H462/G462,"")</x:f>
      </x:c>
      <x:c r="G462" s="12" t="n">
        <x:f>IF(AND(COUNT(P462:R462)=3,MIN(P462:R462)&gt;=0,P462&lt;=Q462,Q462&lt;=R462),P462/7*0.5+Q462/14*0.3+R462/30*0.2,"")</x:f>
        <x:v>0</x:v>
      </x:c>
      <x:c r="H462" s="10" t="n">
        <x:f>IF(ISNUMBER(U462),U462,"")</x:f>
        <x:v>0</x:v>
      </x:c>
      <x:c r="I462" s="10" t="n">
        <x:v>0</x:v>
      </x:c>
      <x:c r="J462" s="11" t="str">
        <x:f>IF(AND(Z462="共同",ISNUMBER(F462),ISNUMBER(M462)),F462-M462,"")</x:f>
      </x:c>
      <x:c r="K462" s="13" t="str">
        <x:f>IF(AND(ISNUMBER(J462),M462&lt;&gt;0),J462/M462,"")</x:f>
      </x:c>
      <x:c r="L462" s="10" t="str">
        <x:v>断货</x:v>
      </x:c>
      <x:c r="M462" s="11" t="n">
        <x:v>0</x:v>
      </x:c>
      <x:c r="N462" s="10" t="n">
        <x:f>IF(AND(Z462="共同",COUNT(H462:I462)=2),H462-I462,"")</x:f>
        <x:v>0</x:v>
      </x:c>
      <x:c r="O462" s="10" t="n">
        <x:v>0</x:v>
      </x:c>
      <x:c r="P462" s="10" t="n">
        <x:v>0</x:v>
      </x:c>
      <x:c r="Q462" s="10" t="n">
        <x:v>0</x:v>
      </x:c>
      <x:c r="R462" s="10" t="n">
        <x:v>0</x:v>
      </x:c>
      <x:c r="S462" s="10" t="n">
        <x:v>17</x:v>
      </x:c>
      <x:c r="T462" s="10" t="n">
        <x:v>1</x:v>
      </x:c>
      <x:c r="U462" s="10" t="n">
        <x:f>IF(AND(ISNUMBER(X462),X462&gt;=0,Y462&lt;&gt;1),X462,"")</x:f>
        <x:v>0</x:v>
      </x:c>
      <x:c r="V462" s="10" t="n">
        <x:v>0</x:v>
      </x:c>
      <x:c r="W462" s="10" t="n">
        <x:v>0</x:v>
      </x:c>
      <x:c r="X462" s="10" t="n">
        <x:v>0</x:v>
      </x:c>
      <x:c r="Y462" s="3" t="n">
        <x:v>0</x:v>
      </x:c>
      <x:c r="Z462" s="3" t="str">
        <x:v>共同</x:v>
      </x:c>
      <x:c r="AA462" s="3" t="str">
        <x:v>在售</x:v>
      </x:c>
      <x:c r="AB462" s="12" t="n">
        <x:f>IF(AND(Z462="共同",ISNUMBER(G462),ISNUMBER(AD462)),G462-AD462,"")</x:f>
        <x:v>-0.006666666666666666</x:v>
      </x:c>
      <x:c r="AC462" s="3" t="str"/>
      <x:c r="AD462" s="12" t="n">
        <x:v>0.006666666666666666</x:v>
      </x:c>
      <x:c r="AE462" s="3" t="str">
        <x:v>[6574,"32582-ND-40.5"]</x:v>
      </x:c>
      <x:c r="AF462" t="n">
        <x:f>IF(ISNUMBER(H462),1,0)</x:f>
        <x:v>1</x:v>
      </x:c>
      <x:c r="AG462" t="n">
        <x:f>IF(ISNUMBER(I462),1,0)</x:f>
        <x:v>1</x:v>
      </x:c>
      <x:c r="AH462" t="str">
        <x:v>["32582","32582-ND","ND","裸色"]</x:v>
      </x:c>
      <x:c r="AI462" t="n">
        <x:f>IF(ISNUMBER(G462),1,0)</x:f>
        <x:v>1</x:v>
      </x:c>
      <x:c r="AJ462" t="n">
        <x:f>IF(ISNUMBER(AD462),1,0)</x:f>
        <x:v>1</x:v>
      </x:c>
    </x:row>
    <x:row r="463" ht="30" customHeight="1">
      <x:c r="A463" s="3" t="str">
        <x:v>32582-ND-41.5</x:v>
      </x:c>
      <x:c r="B463" s="3" t="str">
        <x:v>3店-SANDIEX-US</x:v>
      </x:c>
      <x:c r="C463" s="3" t="str">
        <x:v>徐新怡</x:v>
      </x:c>
      <x:c r="D463" s="3" t="str">
        <x:v>32582</x:v>
      </x:c>
      <x:c r="E463" s="3" t="str">
        <x:f>IF(Z463="移出","已移出",IF(NOT(ISNUMBER(H463)),"数据待核",IF(H463=0,"断货",IF(NOT(ISNUMBER(G463)),"数据待核",IF(G463=0,"零日销待复核",IF(F463&lt;60,"补货提醒",IF(F463&lt;=90,"正常库存",IF(F463&lt;180,"促销",IF(F463&lt;=365,"红线促销","考虑清仓")))))))))</x:f>
        <x:v>断货</x:v>
      </x:c>
      <x:c r="F463" s="11" t="str">
        <x:f>IF(AND(ISNUMBER(H463),ISNUMBER(G463),G463&gt;0),H463/G463,"")</x:f>
      </x:c>
      <x:c r="G463" s="12" t="n">
        <x:f>IF(AND(COUNT(P463:R463)=3,MIN(P463:R463)&gt;=0,P463&lt;=Q463,Q463&lt;=R463),P463/7*0.5+Q463/14*0.3+R463/30*0.2,"")</x:f>
        <x:v>0</x:v>
      </x:c>
      <x:c r="H463" s="10" t="n">
        <x:f>IF(ISNUMBER(U463),U463,"")</x:f>
        <x:v>0</x:v>
      </x:c>
      <x:c r="I463" s="10" t="n">
        <x:v>0</x:v>
      </x:c>
      <x:c r="J463" s="11" t="str">
        <x:f>IF(AND(Z463="共同",ISNUMBER(F463),ISNUMBER(M463)),F463-M463,"")</x:f>
      </x:c>
      <x:c r="K463" s="13" t="str">
        <x:f>IF(AND(ISNUMBER(J463),M463&lt;&gt;0),J463/M463,"")</x:f>
      </x:c>
      <x:c r="L463" s="10" t="str">
        <x:v>断货</x:v>
      </x:c>
      <x:c r="M463" s="11"/>
      <x:c r="N463" s="10" t="n">
        <x:f>IF(AND(Z463="共同",COUNT(H463:I463)=2),H463-I463,"")</x:f>
        <x:v>0</x:v>
      </x:c>
      <x:c r="O463" s="10" t="n">
        <x:v>0</x:v>
      </x:c>
      <x:c r="P463" s="10" t="n">
        <x:v>0</x:v>
      </x:c>
      <x:c r="Q463" s="10" t="n">
        <x:v>0</x:v>
      </x:c>
      <x:c r="R463" s="10" t="n">
        <x:v>0</x:v>
      </x:c>
      <x:c r="S463" s="10" t="n">
        <x:v>0</x:v>
      </x:c>
      <x:c r="T463" s="10" t="n">
        <x:v>0</x:v>
      </x:c>
      <x:c r="U463" s="10" t="n">
        <x:f>IF(AND(ISNUMBER(X463),X463&gt;=0,Y463&lt;&gt;1),X463,"")</x:f>
        <x:v>0</x:v>
      </x:c>
      <x:c r="V463" s="10" t="n">
        <x:v>0</x:v>
      </x:c>
      <x:c r="W463" s="10" t="n">
        <x:v>0</x:v>
      </x:c>
      <x:c r="X463" s="10" t="n">
        <x:v>0</x:v>
      </x:c>
      <x:c r="Y463" s="3" t="n">
        <x:v>0</x:v>
      </x:c>
      <x:c r="Z463" s="3" t="str">
        <x:v>共同</x:v>
      </x:c>
      <x:c r="AA463" s="3" t="str">
        <x:v>停售</x:v>
      </x:c>
      <x:c r="AB463" s="12" t="str">
        <x:f>IF(AND(Z463="共同",ISNUMBER(G463),ISNUMBER(AD463)),G463-AD463,"")</x:f>
      </x:c>
      <x:c r="AC463" s="3" t="str">
        <x:v>近90天SKU销量未匹配，未按0处理</x:v>
      </x:c>
      <x:c r="AD463" s="12"/>
      <x:c r="AE463" s="3" t="str">
        <x:v>[6574,"32582-ND-41.5"]</x:v>
      </x:c>
      <x:c r="AF463" t="n">
        <x:f>IF(ISNUMBER(H463),1,0)</x:f>
        <x:v>1</x:v>
      </x:c>
      <x:c r="AG463" t="n">
        <x:f>IF(ISNUMBER(I463),1,0)</x:f>
        <x:v>1</x:v>
      </x:c>
      <x:c r="AH463" t="str">
        <x:v>["32582","32582-ND","ND","裸色"]</x:v>
      </x:c>
      <x:c r="AI463" t="n">
        <x:f>IF(ISNUMBER(G463),1,0)</x:f>
        <x:v>1</x:v>
      </x:c>
      <x:c r="AJ463" t="n">
        <x:f>IF(ISNUMBER(AD463),1,0)</x:f>
        <x:v>0</x:v>
      </x:c>
    </x:row>
    <x:row r="464" ht="30" customHeight="1">
      <x:c r="A464" s="3" t="str">
        <x:v>32582-ND-42</x:v>
      </x:c>
      <x:c r="B464" s="3" t="str">
        <x:v>3店-SANDIEX-US</x:v>
      </x:c>
      <x:c r="C464" s="3" t="str">
        <x:v>徐新怡</x:v>
      </x:c>
      <x:c r="D464" s="3" t="str">
        <x:v>32582</x:v>
      </x:c>
      <x:c r="E464" s="3" t="str">
        <x:f>IF(Z464="移出","已移出",IF(NOT(ISNUMBER(H464)),"数据待核",IF(H464=0,"断货",IF(NOT(ISNUMBER(G464)),"数据待核",IF(G464=0,"零日销待复核",IF(F464&lt;60,"补货提醒",IF(F464&lt;=90,"正常库存",IF(F464&lt;180,"促销",IF(F464&lt;=365,"红线促销","考虑清仓")))))))))</x:f>
        <x:v>断货</x:v>
      </x:c>
      <x:c r="F464" s="11" t="n">
        <x:f>IF(AND(ISNUMBER(H464),ISNUMBER(G464),G464&gt;0),H464/G464,"")</x:f>
        <x:v>0</x:v>
      </x:c>
      <x:c r="G464" s="12" t="n">
        <x:f>IF(AND(COUNT(P464:R464)=3,MIN(P464:R464)&gt;=0,P464&lt;=Q464,Q464&lt;=R464),P464/7*0.5+Q464/14*0.3+R464/30*0.2,"")</x:f>
        <x:v>0.013333333333333334</x:v>
      </x:c>
      <x:c r="H464" s="10" t="n">
        <x:f>IF(ISNUMBER(U464),U464,"")</x:f>
        <x:v>0</x:v>
      </x:c>
      <x:c r="I464" s="10" t="n">
        <x:v>0</x:v>
      </x:c>
      <x:c r="J464" s="11" t="n">
        <x:f>IF(AND(Z464="共同",ISNUMBER(F464),ISNUMBER(M464)),F464-M464,"")</x:f>
        <x:v>0</x:v>
      </x:c>
      <x:c r="K464" s="13" t="str">
        <x:f>IF(AND(ISNUMBER(J464),M464&lt;&gt;0),J464/M464,"")</x:f>
      </x:c>
      <x:c r="L464" s="10" t="str">
        <x:v>断货</x:v>
      </x:c>
      <x:c r="M464" s="11" t="n">
        <x:v>0</x:v>
      </x:c>
      <x:c r="N464" s="10" t="n">
        <x:f>IF(AND(Z464="共同",COUNT(H464:I464)=2),H464-I464,"")</x:f>
        <x:v>0</x:v>
      </x:c>
      <x:c r="O464" s="10" t="n">
        <x:v>0</x:v>
      </x:c>
      <x:c r="P464" s="10" t="n">
        <x:v>0</x:v>
      </x:c>
      <x:c r="Q464" s="10" t="n">
        <x:v>0</x:v>
      </x:c>
      <x:c r="R464" s="10" t="n">
        <x:v>2</x:v>
      </x:c>
      <x:c r="S464" s="10" t="n">
        <x:v>1</x:v>
      </x:c>
      <x:c r="T464" s="10" t="n">
        <x:v>0</x:v>
      </x:c>
      <x:c r="U464" s="10" t="n">
        <x:f>IF(AND(ISNUMBER(X464),X464&gt;=0,Y464&lt;&gt;1),X464,"")</x:f>
        <x:v>0</x:v>
      </x:c>
      <x:c r="V464" s="10" t="n">
        <x:v>0</x:v>
      </x:c>
      <x:c r="W464" s="10" t="n">
        <x:v>0</x:v>
      </x:c>
      <x:c r="X464" s="10" t="n">
        <x:v>0</x:v>
      </x:c>
      <x:c r="Y464" s="3" t="n">
        <x:v>0</x:v>
      </x:c>
      <x:c r="Z464" s="3" t="str">
        <x:v>共同</x:v>
      </x:c>
      <x:c r="AA464" s="3" t="str">
        <x:v>停售</x:v>
      </x:c>
      <x:c r="AB464" s="12" t="n">
        <x:f>IF(AND(Z464="共同",ISNUMBER(G464),ISNUMBER(AD464)),G464-AD464,"")</x:f>
        <x:v>-0.04285714285714286</x:v>
      </x:c>
      <x:c r="AC464" s="3" t="str"/>
      <x:c r="AD464" s="12" t="n">
        <x:v>0.05619047619047619</x:v>
      </x:c>
      <x:c r="AE464" s="3" t="str">
        <x:v>[6574,"32582-ND-42"]</x:v>
      </x:c>
      <x:c r="AF464" t="n">
        <x:f>IF(ISNUMBER(H464),1,0)</x:f>
        <x:v>1</x:v>
      </x:c>
      <x:c r="AG464" t="n">
        <x:f>IF(ISNUMBER(I464),1,0)</x:f>
        <x:v>1</x:v>
      </x:c>
      <x:c r="AH464" t="str">
        <x:v>["32582","32582-ND","ND","裸色"]</x:v>
      </x:c>
      <x:c r="AI464" t="n">
        <x:f>IF(ISNUMBER(G464),1,0)</x:f>
        <x:v>1</x:v>
      </x:c>
      <x:c r="AJ464" t="n">
        <x:f>IF(ISNUMBER(AD464),1,0)</x:f>
        <x:v>1</x:v>
      </x:c>
    </x:row>
    <x:row r="465" ht="30" customHeight="1">
      <x:c r="A465" s="3" t="str">
        <x:v>32582-NY-37</x:v>
      </x:c>
      <x:c r="B465" s="3" t="str">
        <x:v>3店-SANDIEX-US</x:v>
      </x:c>
      <x:c r="C465" s="3" t="str">
        <x:v>徐新怡</x:v>
      </x:c>
      <x:c r="D465" s="3" t="str">
        <x:v>32582</x:v>
      </x:c>
      <x:c r="E465" s="3" t="str">
        <x:f>IF(Z465="移出","已移出",IF(NOT(ISNUMBER(H465)),"数据待核",IF(H465=0,"断货",IF(NOT(ISNUMBER(G465)),"数据待核",IF(G465=0,"零日销待复核",IF(F465&lt;60,"补货提醒",IF(F465&lt;=90,"正常库存",IF(F465&lt;180,"促销",IF(F465&lt;=365,"红线促销","考虑清仓")))))))))</x:f>
        <x:v>断货</x:v>
      </x:c>
      <x:c r="F465" s="11" t="str">
        <x:f>IF(AND(ISNUMBER(H465),ISNUMBER(G465),G465&gt;0),H465/G465,"")</x:f>
      </x:c>
      <x:c r="G465" s="12" t="n">
        <x:f>IF(AND(COUNT(P465:R465)=3,MIN(P465:R465)&gt;=0,P465&lt;=Q465,Q465&lt;=R465),P465/7*0.5+Q465/14*0.3+R465/30*0.2,"")</x:f>
        <x:v>0</x:v>
      </x:c>
      <x:c r="H465" s="10" t="n">
        <x:f>IF(ISNUMBER(U465),U465,"")</x:f>
        <x:v>0</x:v>
      </x:c>
      <x:c r="I465" s="10" t="n">
        <x:v>0</x:v>
      </x:c>
      <x:c r="J465" s="11" t="str">
        <x:f>IF(AND(Z465="共同",ISNUMBER(F465),ISNUMBER(M465)),F465-M465,"")</x:f>
      </x:c>
      <x:c r="K465" s="13" t="str">
        <x:f>IF(AND(ISNUMBER(J465),M465&lt;&gt;0),J465/M465,"")</x:f>
      </x:c>
      <x:c r="L465" s="10" t="str">
        <x:v>断货</x:v>
      </x:c>
      <x:c r="M465" s="11"/>
      <x:c r="N465" s="10" t="n">
        <x:f>IF(AND(Z465="共同",COUNT(H465:I465)=2),H465-I465,"")</x:f>
        <x:v>0</x:v>
      </x:c>
      <x:c r="O465" s="10" t="n">
        <x:v>0</x:v>
      </x:c>
      <x:c r="P465" s="10" t="n">
        <x:v>0</x:v>
      </x:c>
      <x:c r="Q465" s="10" t="n">
        <x:v>0</x:v>
      </x:c>
      <x:c r="R465" s="10" t="n">
        <x:v>0</x:v>
      </x:c>
      <x:c r="S465" s="10" t="n">
        <x:v>0</x:v>
      </x:c>
      <x:c r="T465" s="10" t="n">
        <x:v>0</x:v>
      </x:c>
      <x:c r="U465" s="10" t="n">
        <x:f>IF(AND(ISNUMBER(X465),X465&gt;=0,Y465&lt;&gt;1),X465,"")</x:f>
        <x:v>0</x:v>
      </x:c>
      <x:c r="V465" s="10" t="n">
        <x:v>0</x:v>
      </x:c>
      <x:c r="W465" s="10" t="n">
        <x:v>0</x:v>
      </x:c>
      <x:c r="X465" s="10" t="n">
        <x:v>0</x:v>
      </x:c>
      <x:c r="Y465" s="3" t="n">
        <x:v>0</x:v>
      </x:c>
      <x:c r="Z465" s="3" t="str">
        <x:v>共同</x:v>
      </x:c>
      <x:c r="AA465" s="3" t="str">
        <x:v>停售</x:v>
      </x:c>
      <x:c r="AB465" s="12" t="str">
        <x:f>IF(AND(Z465="共同",ISNUMBER(G465),ISNUMBER(AD465)),G465-AD465,"")</x:f>
      </x:c>
      <x:c r="AC465" s="3" t="str">
        <x:v>近90天SKU销量未匹配，未按0处理</x:v>
      </x:c>
      <x:c r="AD465" s="12"/>
      <x:c r="AE465" s="3" t="str">
        <x:v>[6574,"32582-NY-37"]</x:v>
      </x:c>
      <x:c r="AF465" t="n">
        <x:f>IF(ISNUMBER(H465),1,0)</x:f>
        <x:v>1</x:v>
      </x:c>
      <x:c r="AG465" t="n">
        <x:f>IF(ISNUMBER(I465),1,0)</x:f>
        <x:v>1</x:v>
      </x:c>
      <x:c r="AH465" t="str">
        <x:v>["32582","32582-NY","NY","藏青色"]</x:v>
      </x:c>
      <x:c r="AI465" t="n">
        <x:f>IF(ISNUMBER(G465),1,0)</x:f>
        <x:v>1</x:v>
      </x:c>
      <x:c r="AJ465" t="n">
        <x:f>IF(ISNUMBER(AD465),1,0)</x:f>
        <x:v>0</x:v>
      </x:c>
    </x:row>
    <x:row r="466" ht="30" customHeight="1">
      <x:c r="A466" s="3" t="str">
        <x:v>32582-NY-38.5</x:v>
      </x:c>
      <x:c r="B466" s="3" t="str">
        <x:v>3店-SANDIEX-US</x:v>
      </x:c>
      <x:c r="C466" s="3" t="str">
        <x:v>徐新怡</x:v>
      </x:c>
      <x:c r="D466" s="3" t="str">
        <x:v>32582</x:v>
      </x:c>
      <x:c r="E466" s="3" t="str">
        <x:f>IF(Z466="移出","已移出",IF(NOT(ISNUMBER(H466)),"数据待核",IF(H466=0,"断货",IF(NOT(ISNUMBER(G466)),"数据待核",IF(G466=0,"零日销待复核",IF(F466&lt;60,"补货提醒",IF(F466&lt;=90,"正常库存",IF(F466&lt;180,"促销",IF(F466&lt;=365,"红线促销","考虑清仓")))))))))</x:f>
        <x:v>断货</x:v>
      </x:c>
      <x:c r="F466" s="11" t="n">
        <x:f>IF(AND(ISNUMBER(H466),ISNUMBER(G466),G466&gt;0),H466/G466,"")</x:f>
        <x:v>0</x:v>
      </x:c>
      <x:c r="G466" s="12" t="n">
        <x:f>IF(AND(COUNT(P466:R466)=3,MIN(P466:R466)&gt;=0,P466&lt;=Q466,Q466&lt;=R466),P466/7*0.5+Q466/14*0.3+R466/30*0.2,"")</x:f>
        <x:v>0.11619047619047618</x:v>
      </x:c>
      <x:c r="H466" s="10" t="n">
        <x:f>IF(ISNUMBER(U466),U466,"")</x:f>
        <x:v>0</x:v>
      </x:c>
      <x:c r="I466" s="10" t="n">
        <x:v>0</x:v>
      </x:c>
      <x:c r="J466" s="11" t="n">
        <x:f>IF(AND(Z466="共同",ISNUMBER(F466),ISNUMBER(M466)),F466-M466,"")</x:f>
        <x:v>0</x:v>
      </x:c>
      <x:c r="K466" s="13" t="str">
        <x:f>IF(AND(ISNUMBER(J466),M466&lt;&gt;0),J466/M466,"")</x:f>
      </x:c>
      <x:c r="L466" s="10" t="str">
        <x:v>断货</x:v>
      </x:c>
      <x:c r="M466" s="11" t="n">
        <x:v>0</x:v>
      </x:c>
      <x:c r="N466" s="10" t="n">
        <x:f>IF(AND(Z466="共同",COUNT(H466:I466)=2),H466-I466,"")</x:f>
        <x:v>0</x:v>
      </x:c>
      <x:c r="O466" s="10" t="n">
        <x:v>0</x:v>
      </x:c>
      <x:c r="P466" s="10" t="n">
        <x:v>0</x:v>
      </x:c>
      <x:c r="Q466" s="10" t="n">
        <x:v>2</x:v>
      </x:c>
      <x:c r="R466" s="10" t="n">
        <x:v>11</x:v>
      </x:c>
      <x:c r="S466" s="10" t="n">
        <x:v>1</x:v>
      </x:c>
      <x:c r="T466" s="10" t="n">
        <x:v>0</x:v>
      </x:c>
      <x:c r="U466" s="10" t="n">
        <x:f>IF(AND(ISNUMBER(X466),X466&gt;=0,Y466&lt;&gt;1),X466,"")</x:f>
        <x:v>0</x:v>
      </x:c>
      <x:c r="V466" s="10" t="n">
        <x:v>0</x:v>
      </x:c>
      <x:c r="W466" s="10" t="n">
        <x:v>0</x:v>
      </x:c>
      <x:c r="X466" s="10" t="n">
        <x:v>0</x:v>
      </x:c>
      <x:c r="Y466" s="3" t="n">
        <x:v>0</x:v>
      </x:c>
      <x:c r="Z466" s="3" t="str">
        <x:v>共同</x:v>
      </x:c>
      <x:c r="AA466" s="3" t="str">
        <x:v>在售</x:v>
      </x:c>
      <x:c r="AB466" s="12" t="n">
        <x:f>IF(AND(Z466="共同",ISNUMBER(G466),ISNUMBER(AD466)),G466-AD466,"")</x:f>
        <x:v>-0.48571428571428577</x:v>
      </x:c>
      <x:c r="AC466" s="3" t="str"/>
      <x:c r="AD466" s="12" t="n">
        <x:v>0.6019047619047619</x:v>
      </x:c>
      <x:c r="AE466" s="3" t="str">
        <x:v>[6574,"32582-NY-38.5"]</x:v>
      </x:c>
      <x:c r="AF466" t="n">
        <x:f>IF(ISNUMBER(H466),1,0)</x:f>
        <x:v>1</x:v>
      </x:c>
      <x:c r="AG466" t="n">
        <x:f>IF(ISNUMBER(I466),1,0)</x:f>
        <x:v>1</x:v>
      </x:c>
      <x:c r="AH466" t="str">
        <x:v>["32582","32582-NY","NY","藏青色"]</x:v>
      </x:c>
      <x:c r="AI466" t="n">
        <x:f>IF(ISNUMBER(G466),1,0)</x:f>
        <x:v>1</x:v>
      </x:c>
      <x:c r="AJ466" t="n">
        <x:f>IF(ISNUMBER(AD466),1,0)</x:f>
        <x:v>1</x:v>
      </x:c>
    </x:row>
    <x:row r="467" ht="30" customHeight="1">
      <x:c r="A467" s="3" t="str">
        <x:v>32582-NY-39.5</x:v>
      </x:c>
      <x:c r="B467" s="3" t="str">
        <x:v>3店-SANDIEX-US</x:v>
      </x:c>
      <x:c r="C467" s="3" t="str">
        <x:v>徐新怡</x:v>
      </x:c>
      <x:c r="D467" s="3" t="str">
        <x:v>32582</x:v>
      </x:c>
      <x:c r="E467" s="3" t="str">
        <x:f>IF(Z467="移出","已移出",IF(NOT(ISNUMBER(H467)),"数据待核",IF(H467=0,"断货",IF(NOT(ISNUMBER(G467)),"数据待核",IF(G467=0,"零日销待复核",IF(F467&lt;60,"补货提醒",IF(F467&lt;=90,"正常库存",IF(F467&lt;180,"促销",IF(F467&lt;=365,"红线促销","考虑清仓")))))))))</x:f>
        <x:v>断货</x:v>
      </x:c>
      <x:c r="F467" s="11" t="n">
        <x:f>IF(AND(ISNUMBER(H467),ISNUMBER(G467),G467&gt;0),H467/G467,"")</x:f>
        <x:v>0</x:v>
      </x:c>
      <x:c r="G467" s="12" t="n">
        <x:f>IF(AND(COUNT(P467:R467)=3,MIN(P467:R467)&gt;=0,P467&lt;=Q467,Q467&lt;=R467),P467/7*0.5+Q467/14*0.3+R467/30*0.2,"")</x:f>
        <x:v>0.22714285714285715</x:v>
      </x:c>
      <x:c r="H467" s="10" t="n">
        <x:f>IF(ISNUMBER(U467),U467,"")</x:f>
        <x:v>0</x:v>
      </x:c>
      <x:c r="I467" s="10" t="n">
        <x:v>0</x:v>
      </x:c>
      <x:c r="J467" s="11" t="str">
        <x:f>IF(AND(Z467="共同",ISNUMBER(F467),ISNUMBER(M467)),F467-M467,"")</x:f>
      </x:c>
      <x:c r="K467" s="13" t="str">
        <x:f>IF(AND(ISNUMBER(J467),M467&lt;&gt;0),J467/M467,"")</x:f>
      </x:c>
      <x:c r="L467" s="10" t="str">
        <x:v>断货</x:v>
      </x:c>
      <x:c r="M467" s="11"/>
      <x:c r="N467" s="10" t="n">
        <x:f>IF(AND(Z467="共同",COUNT(H467:I467)=2),H467-I467,"")</x:f>
        <x:v>0</x:v>
      </x:c>
      <x:c r="O467" s="10" t="n">
        <x:v>0</x:v>
      </x:c>
      <x:c r="P467" s="10" t="n">
        <x:v>2</x:v>
      </x:c>
      <x:c r="Q467" s="10" t="n">
        <x:v>3</x:v>
      </x:c>
      <x:c r="R467" s="10" t="n">
        <x:v>3</x:v>
      </x:c>
      <x:c r="S467" s="10" t="n">
        <x:v>0</x:v>
      </x:c>
      <x:c r="T467" s="10" t="n">
        <x:v>0</x:v>
      </x:c>
      <x:c r="U467" s="10" t="n">
        <x:f>IF(AND(ISNUMBER(X467),X467&gt;=0,Y467&lt;&gt;1),X467,"")</x:f>
        <x:v>0</x:v>
      </x:c>
      <x:c r="V467" s="10" t="n">
        <x:v>0</x:v>
      </x:c>
      <x:c r="W467" s="10" t="n">
        <x:v>20</x:v>
      </x:c>
      <x:c r="X467" s="10" t="n">
        <x:v>0</x:v>
      </x:c>
      <x:c r="Y467" s="3" t="n">
        <x:v>0</x:v>
      </x:c>
      <x:c r="Z467" s="3" t="str">
        <x:v>共同</x:v>
      </x:c>
      <x:c r="AA467" s="3" t="str">
        <x:v>在售</x:v>
      </x:c>
      <x:c r="AB467" s="12" t="n">
        <x:f>IF(AND(Z467="共同",ISNUMBER(G467),ISNUMBER(AD467)),G467-AD467,"")</x:f>
        <x:v>0.22714285714285715</x:v>
      </x:c>
      <x:c r="AC467" s="3" t="str"/>
      <x:c r="AD467" s="12" t="n">
        <x:v>0</x:v>
      </x:c>
      <x:c r="AE467" s="3" t="str">
        <x:v>[6574,"32582-NY-39.5"]</x:v>
      </x:c>
      <x:c r="AF467" t="n">
        <x:f>IF(ISNUMBER(H467),1,0)</x:f>
        <x:v>1</x:v>
      </x:c>
      <x:c r="AG467" t="n">
        <x:f>IF(ISNUMBER(I467),1,0)</x:f>
        <x:v>1</x:v>
      </x:c>
      <x:c r="AH467" t="str">
        <x:v>["32582","32582-NY","NY","藏青色"]</x:v>
      </x:c>
      <x:c r="AI467" t="n">
        <x:f>IF(ISNUMBER(G467),1,0)</x:f>
        <x:v>1</x:v>
      </x:c>
      <x:c r="AJ467" t="n">
        <x:f>IF(ISNUMBER(AD467),1,0)</x:f>
        <x:v>1</x:v>
      </x:c>
    </x:row>
    <x:row r="468" ht="30" customHeight="1">
      <x:c r="A468" s="3" t="str">
        <x:v>32582-NY-40</x:v>
      </x:c>
      <x:c r="B468" s="3" t="str">
        <x:v>3店-SANDIEX-US</x:v>
      </x:c>
      <x:c r="C468" s="3" t="str">
        <x:v>徐新怡</x:v>
      </x:c>
      <x:c r="D468" s="3" t="str">
        <x:v>32582</x:v>
      </x:c>
      <x:c r="E468" s="3" t="str">
        <x:f>IF(Z468="移出","已移出",IF(NOT(ISNUMBER(H468)),"数据待核",IF(H468=0,"断货",IF(NOT(ISNUMBER(G468)),"数据待核",IF(G468=0,"零日销待复核",IF(F468&lt;60,"补货提醒",IF(F468&lt;=90,"正常库存",IF(F468&lt;180,"促销",IF(F468&lt;=365,"红线促销","考虑清仓")))))))))</x:f>
        <x:v>断货</x:v>
      </x:c>
      <x:c r="F468" s="11" t="str">
        <x:f>IF(AND(ISNUMBER(H468),ISNUMBER(G468),G468&gt;0),H468/G468,"")</x:f>
      </x:c>
      <x:c r="G468" s="12" t="n">
        <x:f>IF(AND(COUNT(P468:R468)=3,MIN(P468:R468)&gt;=0,P468&lt;=Q468,Q468&lt;=R468),P468/7*0.5+Q468/14*0.3+R468/30*0.2,"")</x:f>
        <x:v>0</x:v>
      </x:c>
      <x:c r="H468" s="10" t="n">
        <x:f>IF(ISNUMBER(U468),U468,"")</x:f>
        <x:v>0</x:v>
      </x:c>
      <x:c r="I468" s="10" t="n">
        <x:v>0</x:v>
      </x:c>
      <x:c r="J468" s="11" t="str">
        <x:f>IF(AND(Z468="共同",ISNUMBER(F468),ISNUMBER(M468)),F468-M468,"")</x:f>
      </x:c>
      <x:c r="K468" s="13" t="str">
        <x:f>IF(AND(ISNUMBER(J468),M468&lt;&gt;0),J468/M468,"")</x:f>
      </x:c>
      <x:c r="L468" s="10" t="str">
        <x:v>断货</x:v>
      </x:c>
      <x:c r="M468" s="11"/>
      <x:c r="N468" s="10" t="n">
        <x:f>IF(AND(Z468="共同",COUNT(H468:I468)=2),H468-I468,"")</x:f>
        <x:v>0</x:v>
      </x:c>
      <x:c r="O468" s="10" t="n">
        <x:v>0</x:v>
      </x:c>
      <x:c r="P468" s="10" t="n">
        <x:v>0</x:v>
      </x:c>
      <x:c r="Q468" s="10" t="n">
        <x:v>0</x:v>
      </x:c>
      <x:c r="R468" s="10" t="n">
        <x:v>0</x:v>
      </x:c>
      <x:c r="S468" s="10" t="n">
        <x:v>0</x:v>
      </x:c>
      <x:c r="T468" s="10" t="n">
        <x:v>0</x:v>
      </x:c>
      <x:c r="U468" s="10" t="n">
        <x:f>IF(AND(ISNUMBER(X468),X468&gt;=0,Y468&lt;&gt;1),X468,"")</x:f>
        <x:v>0</x:v>
      </x:c>
      <x:c r="V468" s="10" t="n">
        <x:v>0</x:v>
      </x:c>
      <x:c r="W468" s="10" t="n">
        <x:v>0</x:v>
      </x:c>
      <x:c r="X468" s="10" t="n">
        <x:v>0</x:v>
      </x:c>
      <x:c r="Y468" s="3" t="n">
        <x:v>0</x:v>
      </x:c>
      <x:c r="Z468" s="3" t="str">
        <x:v>共同</x:v>
      </x:c>
      <x:c r="AA468" s="3" t="str">
        <x:v>停售</x:v>
      </x:c>
      <x:c r="AB468" s="12" t="str">
        <x:f>IF(AND(Z468="共同",ISNUMBER(G468),ISNUMBER(AD468)),G468-AD468,"")</x:f>
      </x:c>
      <x:c r="AC468" s="3" t="str">
        <x:v>近90天SKU销量未匹配，未按0处理</x:v>
      </x:c>
      <x:c r="AD468" s="12"/>
      <x:c r="AE468" s="3" t="str">
        <x:v>[6574,"32582-NY-40"]</x:v>
      </x:c>
      <x:c r="AF468" t="n">
        <x:f>IF(ISNUMBER(H468),1,0)</x:f>
        <x:v>1</x:v>
      </x:c>
      <x:c r="AG468" t="n">
        <x:f>IF(ISNUMBER(I468),1,0)</x:f>
        <x:v>1</x:v>
      </x:c>
      <x:c r="AH468" t="str">
        <x:v>["32582","32582-NY","NY","藏青色"]</x:v>
      </x:c>
      <x:c r="AI468" t="n">
        <x:f>IF(ISNUMBER(G468),1,0)</x:f>
        <x:v>1</x:v>
      </x:c>
      <x:c r="AJ468" t="n">
        <x:f>IF(ISNUMBER(AD468),1,0)</x:f>
        <x:v>0</x:v>
      </x:c>
    </x:row>
    <x:row r="469" ht="30" customHeight="1">
      <x:c r="A469" s="3" t="str">
        <x:v>32582-NY-40.5</x:v>
      </x:c>
      <x:c r="B469" s="3" t="str">
        <x:v>3店-SANDIEX-US</x:v>
      </x:c>
      <x:c r="C469" s="3" t="str">
        <x:v>徐新怡</x:v>
      </x:c>
      <x:c r="D469" s="3" t="str">
        <x:v>32582</x:v>
      </x:c>
      <x:c r="E469" s="3" t="str">
        <x:f>IF(Z469="移出","已移出",IF(NOT(ISNUMBER(H469)),"数据待核",IF(H469=0,"断货",IF(NOT(ISNUMBER(G469)),"数据待核",IF(G469=0,"零日销待复核",IF(F469&lt;60,"补货提醒",IF(F469&lt;=90,"正常库存",IF(F469&lt;180,"促销",IF(F469&lt;=365,"红线促销","考虑清仓")))))))))</x:f>
        <x:v>断货</x:v>
      </x:c>
      <x:c r="F469" s="11" t="str">
        <x:f>IF(AND(ISNUMBER(H469),ISNUMBER(G469),G469&gt;0),H469/G469,"")</x:f>
      </x:c>
      <x:c r="G469" s="12" t="n">
        <x:f>IF(AND(COUNT(P469:R469)=3,MIN(P469:R469)&gt;=0,P469&lt;=Q469,Q469&lt;=R469),P469/7*0.5+Q469/14*0.3+R469/30*0.2,"")</x:f>
        <x:v>0</x:v>
      </x:c>
      <x:c r="H469" s="10" t="n">
        <x:f>IF(ISNUMBER(U469),U469,"")</x:f>
        <x:v>0</x:v>
      </x:c>
      <x:c r="I469" s="10" t="n">
        <x:v>0</x:v>
      </x:c>
      <x:c r="J469" s="11" t="str">
        <x:f>IF(AND(Z469="共同",ISNUMBER(F469),ISNUMBER(M469)),F469-M469,"")</x:f>
      </x:c>
      <x:c r="K469" s="13" t="str">
        <x:f>IF(AND(ISNUMBER(J469),M469&lt;&gt;0),J469/M469,"")</x:f>
      </x:c>
      <x:c r="L469" s="10" t="str">
        <x:v>断货</x:v>
      </x:c>
      <x:c r="M469" s="11"/>
      <x:c r="N469" s="10" t="n">
        <x:f>IF(AND(Z469="共同",COUNT(H469:I469)=2),H469-I469,"")</x:f>
        <x:v>0</x:v>
      </x:c>
      <x:c r="O469" s="10" t="n">
        <x:v>0</x:v>
      </x:c>
      <x:c r="P469" s="10" t="n">
        <x:v>0</x:v>
      </x:c>
      <x:c r="Q469" s="10" t="n">
        <x:v>0</x:v>
      </x:c>
      <x:c r="R469" s="10" t="n">
        <x:v>0</x:v>
      </x:c>
      <x:c r="S469" s="10" t="n">
        <x:v>0</x:v>
      </x:c>
      <x:c r="T469" s="10" t="n">
        <x:v>0</x:v>
      </x:c>
      <x:c r="U469" s="10" t="n">
        <x:f>IF(AND(ISNUMBER(X469),X469&gt;=0,Y469&lt;&gt;1),X469,"")</x:f>
        <x:v>0</x:v>
      </x:c>
      <x:c r="V469" s="10" t="n">
        <x:v>0</x:v>
      </x:c>
      <x:c r="W469" s="10" t="n">
        <x:v>0</x:v>
      </x:c>
      <x:c r="X469" s="10" t="n">
        <x:v>0</x:v>
      </x:c>
      <x:c r="Y469" s="3" t="n">
        <x:v>0</x:v>
      </x:c>
      <x:c r="Z469" s="3" t="str">
        <x:v>共同</x:v>
      </x:c>
      <x:c r="AA469" s="3" t="str">
        <x:v>停售</x:v>
      </x:c>
      <x:c r="AB469" s="12" t="n">
        <x:f>IF(AND(Z469="共同",ISNUMBER(G469),ISNUMBER(AD469)),G469-AD469,"")</x:f>
        <x:v>0</x:v>
      </x:c>
      <x:c r="AC469" s="3" t="str"/>
      <x:c r="AD469" s="12" t="n">
        <x:v>0</x:v>
      </x:c>
      <x:c r="AE469" s="3" t="str">
        <x:v>[6574,"32582-NY-40.5"]</x:v>
      </x:c>
      <x:c r="AF469" t="n">
        <x:f>IF(ISNUMBER(H469),1,0)</x:f>
        <x:v>1</x:v>
      </x:c>
      <x:c r="AG469" t="n">
        <x:f>IF(ISNUMBER(I469),1,0)</x:f>
        <x:v>1</x:v>
      </x:c>
      <x:c r="AH469" t="str">
        <x:v>["32582","32582-NY","NY","藏青色"]</x:v>
      </x:c>
      <x:c r="AI469" t="n">
        <x:f>IF(ISNUMBER(G469),1,0)</x:f>
        <x:v>1</x:v>
      </x:c>
      <x:c r="AJ469" t="n">
        <x:f>IF(ISNUMBER(AD469),1,0)</x:f>
        <x:v>1</x:v>
      </x:c>
    </x:row>
    <x:row r="470" ht="30" customHeight="1">
      <x:c r="A470" s="3" t="str">
        <x:v>32582-NY-41</x:v>
      </x:c>
      <x:c r="B470" s="3" t="str">
        <x:v>3店-SANDIEX-US</x:v>
      </x:c>
      <x:c r="C470" s="3" t="str">
        <x:v>徐新怡</x:v>
      </x:c>
      <x:c r="D470" s="3" t="str">
        <x:v>32582</x:v>
      </x:c>
      <x:c r="E470" s="3" t="str">
        <x:f>IF(Z470="移出","已移出",IF(NOT(ISNUMBER(H470)),"数据待核",IF(H470=0,"断货",IF(NOT(ISNUMBER(G470)),"数据待核",IF(G470=0,"零日销待复核",IF(F470&lt;60,"补货提醒",IF(F470&lt;=90,"正常库存",IF(F470&lt;180,"促销",IF(F470&lt;=365,"红线促销","考虑清仓")))))))))</x:f>
        <x:v>断货</x:v>
      </x:c>
      <x:c r="F470" s="11" t="str">
        <x:f>IF(AND(ISNUMBER(H470),ISNUMBER(G470),G470&gt;0),H470/G470,"")</x:f>
      </x:c>
      <x:c r="G470" s="12" t="n">
        <x:f>IF(AND(COUNT(P470:R470)=3,MIN(P470:R470)&gt;=0,P470&lt;=Q470,Q470&lt;=R470),P470/7*0.5+Q470/14*0.3+R470/30*0.2,"")</x:f>
        <x:v>0</x:v>
      </x:c>
      <x:c r="H470" s="10" t="n">
        <x:f>IF(ISNUMBER(U470),U470,"")</x:f>
        <x:v>0</x:v>
      </x:c>
      <x:c r="I470" s="10" t="n">
        <x:v>0</x:v>
      </x:c>
      <x:c r="J470" s="11" t="str">
        <x:f>IF(AND(Z470="共同",ISNUMBER(F470),ISNUMBER(M470)),F470-M470,"")</x:f>
      </x:c>
      <x:c r="K470" s="13" t="str">
        <x:f>IF(AND(ISNUMBER(J470),M470&lt;&gt;0),J470/M470,"")</x:f>
      </x:c>
      <x:c r="L470" s="10" t="str">
        <x:v>断货</x:v>
      </x:c>
      <x:c r="M470" s="11"/>
      <x:c r="N470" s="10" t="n">
        <x:f>IF(AND(Z470="共同",COUNT(H470:I470)=2),H470-I470,"")</x:f>
        <x:v>0</x:v>
      </x:c>
      <x:c r="O470" s="10" t="n">
        <x:v>21</x:v>
      </x:c>
      <x:c r="P470" s="10" t="n">
        <x:v>0</x:v>
      </x:c>
      <x:c r="Q470" s="10" t="n">
        <x:v>0</x:v>
      </x:c>
      <x:c r="R470" s="10" t="n">
        <x:v>0</x:v>
      </x:c>
      <x:c r="S470" s="10" t="n">
        <x:v>0</x:v>
      </x:c>
      <x:c r="T470" s="10" t="n">
        <x:v>0</x:v>
      </x:c>
      <x:c r="U470" s="10" t="n">
        <x:f>IF(AND(ISNUMBER(X470),X470&gt;=0,Y470&lt;&gt;1),X470,"")</x:f>
        <x:v>0</x:v>
      </x:c>
      <x:c r="V470" s="10" t="n">
        <x:v>0</x:v>
      </x:c>
      <x:c r="W470" s="10" t="n">
        <x:v>15</x:v>
      </x:c>
      <x:c r="X470" s="10" t="n">
        <x:v>0</x:v>
      </x:c>
      <x:c r="Y470" s="3" t="n">
        <x:v>0</x:v>
      </x:c>
      <x:c r="Z470" s="3" t="str">
        <x:v>共同</x:v>
      </x:c>
      <x:c r="AA470" s="3" t="str">
        <x:v>在售</x:v>
      </x:c>
      <x:c r="AB470" s="12" t="str">
        <x:f>IF(AND(Z470="共同",ISNUMBER(G470),ISNUMBER(AD470)),G470-AD470,"")</x:f>
      </x:c>
      <x:c r="AC470" s="3" t="str">
        <x:v>近90天SKU销量未匹配，未按0处理</x:v>
      </x:c>
      <x:c r="AD470" s="12"/>
      <x:c r="AE470" s="3" t="str">
        <x:v>[6574,"32582-NY-41"]</x:v>
      </x:c>
      <x:c r="AF470" t="n">
        <x:f>IF(ISNUMBER(H470),1,0)</x:f>
        <x:v>1</x:v>
      </x:c>
      <x:c r="AG470" t="n">
        <x:f>IF(ISNUMBER(I470),1,0)</x:f>
        <x:v>1</x:v>
      </x:c>
      <x:c r="AH470" t="str">
        <x:v>["32582","32582-NY","NY","藏青色"]</x:v>
      </x:c>
      <x:c r="AI470" t="n">
        <x:f>IF(ISNUMBER(G470),1,0)</x:f>
        <x:v>1</x:v>
      </x:c>
      <x:c r="AJ470" t="n">
        <x:f>IF(ISNUMBER(AD470),1,0)</x:f>
        <x:v>0</x:v>
      </x:c>
    </x:row>
    <x:row r="471" ht="30" customHeight="1">
      <x:c r="A471" s="3" t="str">
        <x:v>32582-NY-41.5</x:v>
      </x:c>
      <x:c r="B471" s="3" t="str">
        <x:v>3店-SANDIEX-US</x:v>
      </x:c>
      <x:c r="C471" s="3" t="str">
        <x:v>徐新怡</x:v>
      </x:c>
      <x:c r="D471" s="3" t="str">
        <x:v>32582</x:v>
      </x:c>
      <x:c r="E471" s="3" t="str">
        <x:f>IF(Z471="移出","已移出",IF(NOT(ISNUMBER(H471)),"数据待核",IF(H471=0,"断货",IF(NOT(ISNUMBER(G471)),"数据待核",IF(G471=0,"零日销待复核",IF(F471&lt;60,"补货提醒",IF(F471&lt;=90,"正常库存",IF(F471&lt;180,"促销",IF(F471&lt;=365,"红线促销","考虑清仓")))))))))</x:f>
        <x:v>断货</x:v>
      </x:c>
      <x:c r="F471" s="11" t="n">
        <x:f>IF(AND(ISNUMBER(H471),ISNUMBER(G471),G471&gt;0),H471/G471,"")</x:f>
        <x:v>0</x:v>
      </x:c>
      <x:c r="G471" s="12" t="n">
        <x:f>IF(AND(COUNT(P471:R471)=3,MIN(P471:R471)&gt;=0,P471&lt;=Q471,Q471&lt;=R471),P471/7*0.5+Q471/14*0.3+R471/30*0.2,"")</x:f>
        <x:v>0.006666666666666667</x:v>
      </x:c>
      <x:c r="H471" s="10" t="n">
        <x:f>IF(ISNUMBER(U471),U471,"")</x:f>
        <x:v>0</x:v>
      </x:c>
      <x:c r="I471" s="10" t="n">
        <x:v>0</x:v>
      </x:c>
      <x:c r="J471" s="11" t="n">
        <x:f>IF(AND(Z471="共同",ISNUMBER(F471),ISNUMBER(M471)),F471-M471,"")</x:f>
        <x:v>0</x:v>
      </x:c>
      <x:c r="K471" s="13" t="str">
        <x:f>IF(AND(ISNUMBER(J471),M471&lt;&gt;0),J471/M471,"")</x:f>
      </x:c>
      <x:c r="L471" s="10" t="str">
        <x:v>断货</x:v>
      </x:c>
      <x:c r="M471" s="11" t="n">
        <x:v>0</x:v>
      </x:c>
      <x:c r="N471" s="10" t="n">
        <x:f>IF(AND(Z471="共同",COUNT(H471:I471)=2),H471-I471,"")</x:f>
        <x:v>0</x:v>
      </x:c>
      <x:c r="O471" s="10" t="n">
        <x:v>1</x:v>
      </x:c>
      <x:c r="P471" s="10" t="n">
        <x:v>0</x:v>
      </x:c>
      <x:c r="Q471" s="10" t="n">
        <x:v>0</x:v>
      </x:c>
      <x:c r="R471" s="10" t="n">
        <x:v>1</x:v>
      </x:c>
      <x:c r="S471" s="10" t="n">
        <x:v>0</x:v>
      </x:c>
      <x:c r="T471" s="10" t="n">
        <x:v>0</x:v>
      </x:c>
      <x:c r="U471" s="10" t="n">
        <x:f>IF(AND(ISNUMBER(X471),X471&gt;=0,Y471&lt;&gt;1),X471,"")</x:f>
        <x:v>0</x:v>
      </x:c>
      <x:c r="V471" s="10" t="n">
        <x:v>0</x:v>
      </x:c>
      <x:c r="W471" s="10" t="n">
        <x:v>0</x:v>
      </x:c>
      <x:c r="X471" s="10" t="n">
        <x:v>0</x:v>
      </x:c>
      <x:c r="Y471" s="3" t="n">
        <x:v>0</x:v>
      </x:c>
      <x:c r="Z471" s="3" t="str">
        <x:v>共同</x:v>
      </x:c>
      <x:c r="AA471" s="3" t="str">
        <x:v>停售</x:v>
      </x:c>
      <x:c r="AB471" s="12" t="n">
        <x:f>IF(AND(Z471="共同",ISNUMBER(G471),ISNUMBER(AD471)),G471-AD471,"")</x:f>
        <x:v>-0.02142857142857143</x:v>
      </x:c>
      <x:c r="AC471" s="3" t="str"/>
      <x:c r="AD471" s="12" t="n">
        <x:v>0.028095238095238097</x:v>
      </x:c>
      <x:c r="AE471" s="3" t="str">
        <x:v>[6574,"32582-NY-41.5"]</x:v>
      </x:c>
      <x:c r="AF471" t="n">
        <x:f>IF(ISNUMBER(H471),1,0)</x:f>
        <x:v>1</x:v>
      </x:c>
      <x:c r="AG471" t="n">
        <x:f>IF(ISNUMBER(I471),1,0)</x:f>
        <x:v>1</x:v>
      </x:c>
      <x:c r="AH471" t="str">
        <x:v>["32582","32582-NY","NY","藏青色"]</x:v>
      </x:c>
      <x:c r="AI471" t="n">
        <x:f>IF(ISNUMBER(G471),1,0)</x:f>
        <x:v>1</x:v>
      </x:c>
      <x:c r="AJ471" t="n">
        <x:f>IF(ISNUMBER(AD471),1,0)</x:f>
        <x:v>1</x:v>
      </x:c>
    </x:row>
    <x:row r="472" ht="30" customHeight="1">
      <x:c r="A472" s="3" t="str">
        <x:v>32582-NY-42</x:v>
      </x:c>
      <x:c r="B472" s="3" t="str">
        <x:v>3店-SANDIEX-US</x:v>
      </x:c>
      <x:c r="C472" s="3" t="str">
        <x:v>徐新怡</x:v>
      </x:c>
      <x:c r="D472" s="3" t="str">
        <x:v>32582</x:v>
      </x:c>
      <x:c r="E472" s="3" t="str">
        <x:f>IF(Z472="移出","已移出",IF(NOT(ISNUMBER(H472)),"数据待核",IF(H472=0,"断货",IF(NOT(ISNUMBER(G472)),"数据待核",IF(G472=0,"零日销待复核",IF(F472&lt;60,"补货提醒",IF(F472&lt;=90,"正常库存",IF(F472&lt;180,"促销",IF(F472&lt;=365,"红线促销","考虑清仓")))))))))</x:f>
        <x:v>断货</x:v>
      </x:c>
      <x:c r="F472" s="11" t="str">
        <x:f>IF(AND(ISNUMBER(H472),ISNUMBER(G472),G472&gt;0),H472/G472,"")</x:f>
      </x:c>
      <x:c r="G472" s="12" t="n">
        <x:f>IF(AND(COUNT(P472:R472)=3,MIN(P472:R472)&gt;=0,P472&lt;=Q472,Q472&lt;=R472),P472/7*0.5+Q472/14*0.3+R472/30*0.2,"")</x:f>
        <x:v>0</x:v>
      </x:c>
      <x:c r="H472" s="10" t="n">
        <x:f>IF(ISNUMBER(U472),U472,"")</x:f>
        <x:v>0</x:v>
      </x:c>
      <x:c r="I472" s="10" t="n">
        <x:v>0</x:v>
      </x:c>
      <x:c r="J472" s="11" t="str">
        <x:f>IF(AND(Z472="共同",ISNUMBER(F472),ISNUMBER(M472)),F472-M472,"")</x:f>
      </x:c>
      <x:c r="K472" s="13" t="str">
        <x:f>IF(AND(ISNUMBER(J472),M472&lt;&gt;0),J472/M472,"")</x:f>
      </x:c>
      <x:c r="L472" s="10" t="str">
        <x:v>断货</x:v>
      </x:c>
      <x:c r="M472" s="11"/>
      <x:c r="N472" s="10" t="n">
        <x:f>IF(AND(Z472="共同",COUNT(H472:I472)=2),H472-I472,"")</x:f>
        <x:v>0</x:v>
      </x:c>
      <x:c r="O472" s="10" t="n">
        <x:v>0</x:v>
      </x:c>
      <x:c r="P472" s="10" t="n">
        <x:v>0</x:v>
      </x:c>
      <x:c r="Q472" s="10" t="n">
        <x:v>0</x:v>
      </x:c>
      <x:c r="R472" s="10" t="n">
        <x:v>0</x:v>
      </x:c>
      <x:c r="S472" s="10" t="n">
        <x:v>0</x:v>
      </x:c>
      <x:c r="T472" s="10" t="n">
        <x:v>0</x:v>
      </x:c>
      <x:c r="U472" s="10" t="n">
        <x:f>IF(AND(ISNUMBER(X472),X472&gt;=0,Y472&lt;&gt;1),X472,"")</x:f>
        <x:v>0</x:v>
      </x:c>
      <x:c r="V472" s="10" t="n">
        <x:v>0</x:v>
      </x:c>
      <x:c r="W472" s="10" t="n">
        <x:v>0</x:v>
      </x:c>
      <x:c r="X472" s="10" t="n">
        <x:v>0</x:v>
      </x:c>
      <x:c r="Y472" s="3" t="n">
        <x:v>0</x:v>
      </x:c>
      <x:c r="Z472" s="3" t="str">
        <x:v>共同</x:v>
      </x:c>
      <x:c r="AA472" s="3" t="str">
        <x:v>停售</x:v>
      </x:c>
      <x:c r="AB472" s="12" t="str">
        <x:f>IF(AND(Z472="共同",ISNUMBER(G472),ISNUMBER(AD472)),G472-AD472,"")</x:f>
      </x:c>
      <x:c r="AC472" s="3" t="str">
        <x:v>近90天SKU销量未匹配，未按0处理</x:v>
      </x:c>
      <x:c r="AD472" s="12"/>
      <x:c r="AE472" s="3" t="str">
        <x:v>[6574,"32582-NY-42"]</x:v>
      </x:c>
      <x:c r="AF472" t="n">
        <x:f>IF(ISNUMBER(H472),1,0)</x:f>
        <x:v>1</x:v>
      </x:c>
      <x:c r="AG472" t="n">
        <x:f>IF(ISNUMBER(I472),1,0)</x:f>
        <x:v>1</x:v>
      </x:c>
      <x:c r="AH472" t="str">
        <x:v>["32582","32582-NY","NY","藏青色"]</x:v>
      </x:c>
      <x:c r="AI472" t="n">
        <x:f>IF(ISNUMBER(G472),1,0)</x:f>
        <x:v>1</x:v>
      </x:c>
      <x:c r="AJ472" t="n">
        <x:f>IF(ISNUMBER(AD472),1,0)</x:f>
        <x:v>0</x:v>
      </x:c>
    </x:row>
    <x:row r="473" ht="30" customHeight="1">
      <x:c r="A473" s="3" t="str">
        <x:v>32582-PK-37</x:v>
      </x:c>
      <x:c r="B473" s="3" t="str">
        <x:v>3店-SANDIEX-US</x:v>
      </x:c>
      <x:c r="C473" s="3" t="str">
        <x:v>徐新怡</x:v>
      </x:c>
      <x:c r="D473" s="3" t="str">
        <x:v>32582</x:v>
      </x:c>
      <x:c r="E473" s="3" t="str">
        <x:f>IF(Z473="移出","已移出",IF(NOT(ISNUMBER(H473)),"数据待核",IF(H473=0,"断货",IF(NOT(ISNUMBER(G473)),"数据待核",IF(G473=0,"零日销待复核",IF(F473&lt;60,"补货提醒",IF(F473&lt;=90,"正常库存",IF(F473&lt;180,"促销",IF(F473&lt;=365,"红线促销","考虑清仓")))))))))</x:f>
        <x:v>断货</x:v>
      </x:c>
      <x:c r="F473" s="11" t="str">
        <x:f>IF(AND(ISNUMBER(H473),ISNUMBER(G473),G473&gt;0),H473/G473,"")</x:f>
      </x:c>
      <x:c r="G473" s="12" t="n">
        <x:f>IF(AND(COUNT(P473:R473)=3,MIN(P473:R473)&gt;=0,P473&lt;=Q473,Q473&lt;=R473),P473/7*0.5+Q473/14*0.3+R473/30*0.2,"")</x:f>
        <x:v>0</x:v>
      </x:c>
      <x:c r="H473" s="10" t="n">
        <x:f>IF(ISNUMBER(U473),U473,"")</x:f>
        <x:v>0</x:v>
      </x:c>
      <x:c r="I473" s="10" t="n">
        <x:v>0</x:v>
      </x:c>
      <x:c r="J473" s="11" t="str">
        <x:f>IF(AND(Z473="共同",ISNUMBER(F473),ISNUMBER(M473)),F473-M473,"")</x:f>
      </x:c>
      <x:c r="K473" s="13" t="str">
        <x:f>IF(AND(ISNUMBER(J473),M473&lt;&gt;0),J473/M473,"")</x:f>
      </x:c>
      <x:c r="L473" s="10" t="str">
        <x:v>断货</x:v>
      </x:c>
      <x:c r="M473" s="11"/>
      <x:c r="N473" s="10" t="n">
        <x:f>IF(AND(Z473="共同",COUNT(H473:I473)=2),H473-I473,"")</x:f>
        <x:v>0</x:v>
      </x:c>
      <x:c r="O473" s="10"/>
      <x:c r="P473" s="10" t="n">
        <x:v>0</x:v>
      </x:c>
      <x:c r="Q473" s="10" t="n">
        <x:v>0</x:v>
      </x:c>
      <x:c r="R473" s="10" t="n">
        <x:v>0</x:v>
      </x:c>
      <x:c r="S473" s="10" t="n">
        <x:v>0</x:v>
      </x:c>
      <x:c r="T473" s="10" t="n">
        <x:v>0</x:v>
      </x:c>
      <x:c r="U473" s="10" t="n">
        <x:f>IF(AND(ISNUMBER(X473),X473&gt;=0,Y473&lt;&gt;1),X473,"")</x:f>
        <x:v>0</x:v>
      </x:c>
      <x:c r="V473" s="10" t="n">
        <x:v>0</x:v>
      </x:c>
      <x:c r="W473" s="10" t="n">
        <x:v>0</x:v>
      </x:c>
      <x:c r="X473" s="10" t="n">
        <x:v>0</x:v>
      </x:c>
      <x:c r="Y473" s="3" t="n">
        <x:v>0</x:v>
      </x:c>
      <x:c r="Z473" s="3" t="str">
        <x:v>共同</x:v>
      </x:c>
      <x:c r="AA473" s="3" t="str">
        <x:v>停售</x:v>
      </x:c>
      <x:c r="AB473" s="12" t="str">
        <x:f>IF(AND(Z473="共同",ISNUMBER(G473),ISNUMBER(AD473)),G473-AD473,"")</x:f>
      </x:c>
      <x:c r="AC473" s="3" t="str">
        <x:v>近90天SKU销量未匹配，未按0处理</x:v>
      </x:c>
      <x:c r="AD473" s="12"/>
      <x:c r="AE473" s="3" t="str">
        <x:v>[6574,"32582-PK-37"]</x:v>
      </x:c>
      <x:c r="AF473" t="n">
        <x:f>IF(ISNUMBER(H473),1,0)</x:f>
        <x:v>1</x:v>
      </x:c>
      <x:c r="AG473" t="n">
        <x:f>IF(ISNUMBER(I473),1,0)</x:f>
        <x:v>1</x:v>
      </x:c>
      <x:c r="AH473" t="str">
        <x:v>["32582","32582-PK","PK","粉色"]</x:v>
      </x:c>
      <x:c r="AI473" t="n">
        <x:f>IF(ISNUMBER(G473),1,0)</x:f>
        <x:v>1</x:v>
      </x:c>
      <x:c r="AJ473" t="n">
        <x:f>IF(ISNUMBER(AD473),1,0)</x:f>
        <x:v>0</x:v>
      </x:c>
    </x:row>
    <x:row r="474" ht="30" customHeight="1">
      <x:c r="A474" s="3" t="str">
        <x:v>32582-PK-37.5</x:v>
      </x:c>
      <x:c r="B474" s="3" t="str">
        <x:v>3店-SANDIEX-US</x:v>
      </x:c>
      <x:c r="C474" s="3" t="str">
        <x:v>徐新怡</x:v>
      </x:c>
      <x:c r="D474" s="3" t="str">
        <x:v>32582</x:v>
      </x:c>
      <x:c r="E474" s="3" t="str">
        <x:f>IF(Z474="移出","已移出",IF(NOT(ISNUMBER(H474)),"数据待核",IF(H474=0,"断货",IF(NOT(ISNUMBER(G474)),"数据待核",IF(G474=0,"零日销待复核",IF(F474&lt;60,"补货提醒",IF(F474&lt;=90,"正常库存",IF(F474&lt;180,"促销",IF(F474&lt;=365,"红线促销","考虑清仓")))))))))</x:f>
        <x:v>断货</x:v>
      </x:c>
      <x:c r="F474" s="11" t="str">
        <x:f>IF(AND(ISNUMBER(H474),ISNUMBER(G474),G474&gt;0),H474/G474,"")</x:f>
      </x:c>
      <x:c r="G474" s="12" t="n">
        <x:f>IF(AND(COUNT(P474:R474)=3,MIN(P474:R474)&gt;=0,P474&lt;=Q474,Q474&lt;=R474),P474/7*0.5+Q474/14*0.3+R474/30*0.2,"")</x:f>
        <x:v>0</x:v>
      </x:c>
      <x:c r="H474" s="10" t="n">
        <x:f>IF(ISNUMBER(U474),U474,"")</x:f>
        <x:v>0</x:v>
      </x:c>
      <x:c r="I474" s="10" t="n">
        <x:v>0</x:v>
      </x:c>
      <x:c r="J474" s="11" t="str">
        <x:f>IF(AND(Z474="共同",ISNUMBER(F474),ISNUMBER(M474)),F474-M474,"")</x:f>
      </x:c>
      <x:c r="K474" s="13" t="str">
        <x:f>IF(AND(ISNUMBER(J474),M474&lt;&gt;0),J474/M474,"")</x:f>
      </x:c>
      <x:c r="L474" s="10" t="str">
        <x:v>断货</x:v>
      </x:c>
      <x:c r="M474" s="11"/>
      <x:c r="N474" s="10" t="n">
        <x:f>IF(AND(Z474="共同",COUNT(H474:I474)=2),H474-I474,"")</x:f>
        <x:v>0</x:v>
      </x:c>
      <x:c r="O474" s="10"/>
      <x:c r="P474" s="10" t="n">
        <x:v>0</x:v>
      </x:c>
      <x:c r="Q474" s="10" t="n">
        <x:v>0</x:v>
      </x:c>
      <x:c r="R474" s="10" t="n">
        <x:v>0</x:v>
      </x:c>
      <x:c r="S474" s="10" t="n">
        <x:v>0</x:v>
      </x:c>
      <x:c r="T474" s="10" t="n">
        <x:v>0</x:v>
      </x:c>
      <x:c r="U474" s="10" t="n">
        <x:f>IF(AND(ISNUMBER(X474),X474&gt;=0,Y474&lt;&gt;1),X474,"")</x:f>
        <x:v>0</x:v>
      </x:c>
      <x:c r="V474" s="10" t="n">
        <x:v>0</x:v>
      </x:c>
      <x:c r="W474" s="10" t="n">
        <x:v>0</x:v>
      </x:c>
      <x:c r="X474" s="10" t="n">
        <x:v>0</x:v>
      </x:c>
      <x:c r="Y474" s="3" t="n">
        <x:v>0</x:v>
      </x:c>
      <x:c r="Z474" s="3" t="str">
        <x:v>共同</x:v>
      </x:c>
      <x:c r="AA474" s="3" t="str">
        <x:v>停售</x:v>
      </x:c>
      <x:c r="AB474" s="12" t="str">
        <x:f>IF(AND(Z474="共同",ISNUMBER(G474),ISNUMBER(AD474)),G474-AD474,"")</x:f>
      </x:c>
      <x:c r="AC474" s="3" t="str">
        <x:v>近90天SKU销量未匹配，未按0处理</x:v>
      </x:c>
      <x:c r="AD474" s="12"/>
      <x:c r="AE474" s="3" t="str">
        <x:v>[6574,"32582-PK-37.5"]</x:v>
      </x:c>
      <x:c r="AF474" t="n">
        <x:f>IF(ISNUMBER(H474),1,0)</x:f>
        <x:v>1</x:v>
      </x:c>
      <x:c r="AG474" t="n">
        <x:f>IF(ISNUMBER(I474),1,0)</x:f>
        <x:v>1</x:v>
      </x:c>
      <x:c r="AH474" t="str">
        <x:v>["32582","32582-PK","PK","粉色"]</x:v>
      </x:c>
      <x:c r="AI474" t="n">
        <x:f>IF(ISNUMBER(G474),1,0)</x:f>
        <x:v>1</x:v>
      </x:c>
      <x:c r="AJ474" t="n">
        <x:f>IF(ISNUMBER(AD474),1,0)</x:f>
        <x:v>0</x:v>
      </x:c>
    </x:row>
    <x:row r="475" ht="30" customHeight="1">
      <x:c r="A475" s="3" t="str">
        <x:v>32582-PK-38</x:v>
      </x:c>
      <x:c r="B475" s="3" t="str">
        <x:v>3店-SANDIEX-US</x:v>
      </x:c>
      <x:c r="C475" s="3" t="str">
        <x:v>徐新怡</x:v>
      </x:c>
      <x:c r="D475" s="3" t="str">
        <x:v>32582</x:v>
      </x:c>
      <x:c r="E475" s="3" t="str">
        <x:f>IF(Z475="移出","已移出",IF(NOT(ISNUMBER(H475)),"数据待核",IF(H475=0,"断货",IF(NOT(ISNUMBER(G475)),"数据待核",IF(G475=0,"零日销待复核",IF(F475&lt;60,"补货提醒",IF(F475&lt;=90,"正常库存",IF(F475&lt;180,"促销",IF(F475&lt;=365,"红线促销","考虑清仓")))))))))</x:f>
        <x:v>断货</x:v>
      </x:c>
      <x:c r="F475" s="11" t="n">
        <x:f>IF(AND(ISNUMBER(H475),ISNUMBER(G475),G475&gt;0),H475/G475,"")</x:f>
        <x:v>0</x:v>
      </x:c>
      <x:c r="G475" s="12" t="n">
        <x:f>IF(AND(COUNT(P475:R475)=3,MIN(P475:R475)&gt;=0,P475&lt;=Q475,Q475&lt;=R475),P475/7*0.5+Q475/14*0.3+R475/30*0.2,"")</x:f>
        <x:v>0.03476190476190476</x:v>
      </x:c>
      <x:c r="H475" s="10" t="n">
        <x:f>IF(ISNUMBER(U475),U475,"")</x:f>
        <x:v>0</x:v>
      </x:c>
      <x:c r="I475" s="10" t="n">
        <x:v>0</x:v>
      </x:c>
      <x:c r="J475" s="11" t="n">
        <x:f>IF(AND(Z475="共同",ISNUMBER(F475),ISNUMBER(M475)),F475-M475,"")</x:f>
        <x:v>0</x:v>
      </x:c>
      <x:c r="K475" s="13" t="str">
        <x:f>IF(AND(ISNUMBER(J475),M475&lt;&gt;0),J475/M475,"")</x:f>
      </x:c>
      <x:c r="L475" s="10" t="str">
        <x:v>断货</x:v>
      </x:c>
      <x:c r="M475" s="11" t="n">
        <x:v>0</x:v>
      </x:c>
      <x:c r="N475" s="10" t="n">
        <x:f>IF(AND(Z475="共同",COUNT(H475:I475)=2),H475-I475,"")</x:f>
        <x:v>0</x:v>
      </x:c>
      <x:c r="O475" s="10" t="n">
        <x:v>0</x:v>
      </x:c>
      <x:c r="P475" s="10" t="n">
        <x:v>0</x:v>
      </x:c>
      <x:c r="Q475" s="10" t="n">
        <x:v>1</x:v>
      </x:c>
      <x:c r="R475" s="10" t="n">
        <x:v>2</x:v>
      </x:c>
      <x:c r="S475" s="10" t="n">
        <x:v>0</x:v>
      </x:c>
      <x:c r="T475" s="10" t="n">
        <x:v>0</x:v>
      </x:c>
      <x:c r="U475" s="10" t="n">
        <x:f>IF(AND(ISNUMBER(X475),X475&gt;=0,Y475&lt;&gt;1),X475,"")</x:f>
        <x:v>0</x:v>
      </x:c>
      <x:c r="V475" s="10" t="n">
        <x:v>0</x:v>
      </x:c>
      <x:c r="W475" s="10" t="n">
        <x:v>0</x:v>
      </x:c>
      <x:c r="X475" s="10" t="n">
        <x:v>0</x:v>
      </x:c>
      <x:c r="Y475" s="3" t="n">
        <x:v>0</x:v>
      </x:c>
      <x:c r="Z475" s="3" t="str">
        <x:v>共同</x:v>
      </x:c>
      <x:c r="AA475" s="3" t="str">
        <x:v>停售</x:v>
      </x:c>
      <x:c r="AB475" s="12" t="n">
        <x:f>IF(AND(Z475="共同",ISNUMBER(G475),ISNUMBER(AD475)),G475-AD475,"")</x:f>
        <x:v>-0.09285714285714285</x:v>
      </x:c>
      <x:c r="AC475" s="3" t="str"/>
      <x:c r="AD475" s="12" t="n">
        <x:v>0.1276190476190476</x:v>
      </x:c>
      <x:c r="AE475" s="3" t="str">
        <x:v>[6574,"32582-PK-38"]</x:v>
      </x:c>
      <x:c r="AF475" t="n">
        <x:f>IF(ISNUMBER(H475),1,0)</x:f>
        <x:v>1</x:v>
      </x:c>
      <x:c r="AG475" t="n">
        <x:f>IF(ISNUMBER(I475),1,0)</x:f>
        <x:v>1</x:v>
      </x:c>
      <x:c r="AH475" t="str">
        <x:v>["32582","32582-PK","PK","粉色"]</x:v>
      </x:c>
      <x:c r="AI475" t="n">
        <x:f>IF(ISNUMBER(G475),1,0)</x:f>
        <x:v>1</x:v>
      </x:c>
      <x:c r="AJ475" t="n">
        <x:f>IF(ISNUMBER(AD475),1,0)</x:f>
        <x:v>1</x:v>
      </x:c>
    </x:row>
    <x:row r="476" ht="30" customHeight="1">
      <x:c r="A476" s="3" t="str">
        <x:v>32582-PK-38.5</x:v>
      </x:c>
      <x:c r="B476" s="3" t="str">
        <x:v>3店-SANDIEX-US</x:v>
      </x:c>
      <x:c r="C476" s="3" t="str">
        <x:v>徐新怡</x:v>
      </x:c>
      <x:c r="D476" s="3" t="str">
        <x:v>32582</x:v>
      </x:c>
      <x:c r="E476" s="3" t="str">
        <x:f>IF(Z476="移出","已移出",IF(NOT(ISNUMBER(H476)),"数据待核",IF(H476=0,"断货",IF(NOT(ISNUMBER(G476)),"数据待核",IF(G476=0,"零日销待复核",IF(F476&lt;60,"补货提醒",IF(F476&lt;=90,"正常库存",IF(F476&lt;180,"促销",IF(F476&lt;=365,"红线促销","考虑清仓")))))))))</x:f>
        <x:v>断货</x:v>
      </x:c>
      <x:c r="F476" s="11" t="str">
        <x:f>IF(AND(ISNUMBER(H476),ISNUMBER(G476),G476&gt;0),H476/G476,"")</x:f>
      </x:c>
      <x:c r="G476" s="12" t="n">
        <x:f>IF(AND(COUNT(P476:R476)=3,MIN(P476:R476)&gt;=0,P476&lt;=Q476,Q476&lt;=R476),P476/7*0.5+Q476/14*0.3+R476/30*0.2,"")</x:f>
        <x:v>0</x:v>
      </x:c>
      <x:c r="H476" s="10" t="n">
        <x:f>IF(ISNUMBER(U476),U476,"")</x:f>
        <x:v>0</x:v>
      </x:c>
      <x:c r="I476" s="10" t="n">
        <x:v>0</x:v>
      </x:c>
      <x:c r="J476" s="11" t="str">
        <x:f>IF(AND(Z476="共同",ISNUMBER(F476),ISNUMBER(M476)),F476-M476,"")</x:f>
      </x:c>
      <x:c r="K476" s="13" t="str">
        <x:f>IF(AND(ISNUMBER(J476),M476&lt;&gt;0),J476/M476,"")</x:f>
      </x:c>
      <x:c r="L476" s="10" t="str">
        <x:v>断货</x:v>
      </x:c>
      <x:c r="M476" s="11"/>
      <x:c r="N476" s="10" t="n">
        <x:f>IF(AND(Z476="共同",COUNT(H476:I476)=2),H476-I476,"")</x:f>
        <x:v>0</x:v>
      </x:c>
      <x:c r="O476" s="10" t="n">
        <x:v>0</x:v>
      </x:c>
      <x:c r="P476" s="10" t="n">
        <x:v>0</x:v>
      </x:c>
      <x:c r="Q476" s="10" t="n">
        <x:v>0</x:v>
      </x:c>
      <x:c r="R476" s="10" t="n">
        <x:v>0</x:v>
      </x:c>
      <x:c r="S476" s="10" t="n">
        <x:v>0</x:v>
      </x:c>
      <x:c r="T476" s="10" t="n">
        <x:v>0</x:v>
      </x:c>
      <x:c r="U476" s="10" t="n">
        <x:f>IF(AND(ISNUMBER(X476),X476&gt;=0,Y476&lt;&gt;1),X476,"")</x:f>
        <x:v>0</x:v>
      </x:c>
      <x:c r="V476" s="10" t="n">
        <x:v>0</x:v>
      </x:c>
      <x:c r="W476" s="10" t="n">
        <x:v>0</x:v>
      </x:c>
      <x:c r="X476" s="10" t="n">
        <x:v>0</x:v>
      </x:c>
      <x:c r="Y476" s="3" t="n">
        <x:v>0</x:v>
      </x:c>
      <x:c r="Z476" s="3" t="str">
        <x:v>共同</x:v>
      </x:c>
      <x:c r="AA476" s="3" t="str">
        <x:v>停售</x:v>
      </x:c>
      <x:c r="AB476" s="12" t="str">
        <x:f>IF(AND(Z476="共同",ISNUMBER(G476),ISNUMBER(AD476)),G476-AD476,"")</x:f>
      </x:c>
      <x:c r="AC476" s="3" t="str">
        <x:v>近90天SKU销量未匹配，未按0处理</x:v>
      </x:c>
      <x:c r="AD476" s="12"/>
      <x:c r="AE476" s="3" t="str">
        <x:v>[6574,"32582-PK-38.5"]</x:v>
      </x:c>
      <x:c r="AF476" t="n">
        <x:f>IF(ISNUMBER(H476),1,0)</x:f>
        <x:v>1</x:v>
      </x:c>
      <x:c r="AG476" t="n">
        <x:f>IF(ISNUMBER(I476),1,0)</x:f>
        <x:v>1</x:v>
      </x:c>
      <x:c r="AH476" t="str">
        <x:v>["32582","32582-PK","PK","粉色"]</x:v>
      </x:c>
      <x:c r="AI476" t="n">
        <x:f>IF(ISNUMBER(G476),1,0)</x:f>
        <x:v>1</x:v>
      </x:c>
      <x:c r="AJ476" t="n">
        <x:f>IF(ISNUMBER(AD476),1,0)</x:f>
        <x:v>0</x:v>
      </x:c>
    </x:row>
    <x:row r="477" ht="30" customHeight="1">
      <x:c r="A477" s="3" t="str">
        <x:v>32582-PK-39</x:v>
      </x:c>
      <x:c r="B477" s="3" t="str">
        <x:v>3店-SANDIEX-US</x:v>
      </x:c>
      <x:c r="C477" s="3" t="str">
        <x:v>徐新怡</x:v>
      </x:c>
      <x:c r="D477" s="3" t="str">
        <x:v>32582</x:v>
      </x:c>
      <x:c r="E477" s="3" t="str">
        <x:f>IF(Z477="移出","已移出",IF(NOT(ISNUMBER(H477)),"数据待核",IF(H477=0,"断货",IF(NOT(ISNUMBER(G477)),"数据待核",IF(G477=0,"零日销待复核",IF(F477&lt;60,"补货提醒",IF(F477&lt;=90,"正常库存",IF(F477&lt;180,"促销",IF(F477&lt;=365,"红线促销","考虑清仓")))))))))</x:f>
        <x:v>断货</x:v>
      </x:c>
      <x:c r="F477" s="11" t="str">
        <x:f>IF(AND(ISNUMBER(H477),ISNUMBER(G477),G477&gt;0),H477/G477,"")</x:f>
      </x:c>
      <x:c r="G477" s="12" t="n">
        <x:f>IF(AND(COUNT(P477:R477)=3,MIN(P477:R477)&gt;=0,P477&lt;=Q477,Q477&lt;=R477),P477/7*0.5+Q477/14*0.3+R477/30*0.2,"")</x:f>
        <x:v>0</x:v>
      </x:c>
      <x:c r="H477" s="10" t="n">
        <x:f>IF(ISNUMBER(U477),U477,"")</x:f>
        <x:v>0</x:v>
      </x:c>
      <x:c r="I477" s="10" t="n">
        <x:v>0</x:v>
      </x:c>
      <x:c r="J477" s="11" t="str">
        <x:f>IF(AND(Z477="共同",ISNUMBER(F477),ISNUMBER(M477)),F477-M477,"")</x:f>
      </x:c>
      <x:c r="K477" s="13" t="str">
        <x:f>IF(AND(ISNUMBER(J477),M477&lt;&gt;0),J477/M477,"")</x:f>
      </x:c>
      <x:c r="L477" s="10" t="str">
        <x:v>断货</x:v>
      </x:c>
      <x:c r="M477" s="11"/>
      <x:c r="N477" s="10" t="n">
        <x:f>IF(AND(Z477="共同",COUNT(H477:I477)=2),H477-I477,"")</x:f>
        <x:v>0</x:v>
      </x:c>
      <x:c r="O477" s="10" t="n">
        <x:v>0</x:v>
      </x:c>
      <x:c r="P477" s="10" t="n">
        <x:v>0</x:v>
      </x:c>
      <x:c r="Q477" s="10" t="n">
        <x:v>0</x:v>
      </x:c>
      <x:c r="R477" s="10" t="n">
        <x:v>0</x:v>
      </x:c>
      <x:c r="S477" s="10" t="n">
        <x:v>0</x:v>
      </x:c>
      <x:c r="T477" s="10" t="n">
        <x:v>0</x:v>
      </x:c>
      <x:c r="U477" s="10" t="n">
        <x:f>IF(AND(ISNUMBER(X477),X477&gt;=0,Y477&lt;&gt;1),X477,"")</x:f>
        <x:v>0</x:v>
      </x:c>
      <x:c r="V477" s="10" t="n">
        <x:v>0</x:v>
      </x:c>
      <x:c r="W477" s="10" t="n">
        <x:v>0</x:v>
      </x:c>
      <x:c r="X477" s="10" t="n">
        <x:v>0</x:v>
      </x:c>
      <x:c r="Y477" s="3" t="n">
        <x:v>0</x:v>
      </x:c>
      <x:c r="Z477" s="3" t="str">
        <x:v>共同</x:v>
      </x:c>
      <x:c r="AA477" s="3" t="str">
        <x:v>停售</x:v>
      </x:c>
      <x:c r="AB477" s="12" t="n">
        <x:f>IF(AND(Z477="共同",ISNUMBER(G477),ISNUMBER(AD477)),G477-AD477,"")</x:f>
        <x:v>0</x:v>
      </x:c>
      <x:c r="AC477" s="3" t="str"/>
      <x:c r="AD477" s="12" t="n">
        <x:v>0</x:v>
      </x:c>
      <x:c r="AE477" s="3" t="str">
        <x:v>[6574,"32582-PK-39"]</x:v>
      </x:c>
      <x:c r="AF477" t="n">
        <x:f>IF(ISNUMBER(H477),1,0)</x:f>
        <x:v>1</x:v>
      </x:c>
      <x:c r="AG477" t="n">
        <x:f>IF(ISNUMBER(I477),1,0)</x:f>
        <x:v>1</x:v>
      </x:c>
      <x:c r="AH477" t="str">
        <x:v>["32582","32582-PK","PK","粉色"]</x:v>
      </x:c>
      <x:c r="AI477" t="n">
        <x:f>IF(ISNUMBER(G477),1,0)</x:f>
        <x:v>1</x:v>
      </x:c>
      <x:c r="AJ477" t="n">
        <x:f>IF(ISNUMBER(AD477),1,0)</x:f>
        <x:v>1</x:v>
      </x:c>
    </x:row>
    <x:row r="478" ht="30" customHeight="1">
      <x:c r="A478" s="3" t="str">
        <x:v>32582-PK-41</x:v>
      </x:c>
      <x:c r="B478" s="3" t="str">
        <x:v>3店-SANDIEX-US</x:v>
      </x:c>
      <x:c r="C478" s="3" t="str">
        <x:v>徐新怡</x:v>
      </x:c>
      <x:c r="D478" s="3" t="str">
        <x:v>32582</x:v>
      </x:c>
      <x:c r="E478" s="3" t="str">
        <x:f>IF(Z478="移出","已移出",IF(NOT(ISNUMBER(H478)),"数据待核",IF(H478=0,"断货",IF(NOT(ISNUMBER(G478)),"数据待核",IF(G478=0,"零日销待复核",IF(F478&lt;60,"补货提醒",IF(F478&lt;=90,"正常库存",IF(F478&lt;180,"促销",IF(F478&lt;=365,"红线促销","考虑清仓")))))))))</x:f>
        <x:v>断货</x:v>
      </x:c>
      <x:c r="F478" s="11" t="str">
        <x:f>IF(AND(ISNUMBER(H478),ISNUMBER(G478),G478&gt;0),H478/G478,"")</x:f>
      </x:c>
      <x:c r="G478" s="12" t="n">
        <x:f>IF(AND(COUNT(P478:R478)=3,MIN(P478:R478)&gt;=0,P478&lt;=Q478,Q478&lt;=R478),P478/7*0.5+Q478/14*0.3+R478/30*0.2,"")</x:f>
        <x:v>0</x:v>
      </x:c>
      <x:c r="H478" s="10" t="n">
        <x:f>IF(ISNUMBER(U478),U478,"")</x:f>
        <x:v>0</x:v>
      </x:c>
      <x:c r="I478" s="10" t="n">
        <x:v>0</x:v>
      </x:c>
      <x:c r="J478" s="11" t="str">
        <x:f>IF(AND(Z478="共同",ISNUMBER(F478),ISNUMBER(M478)),F478-M478,"")</x:f>
      </x:c>
      <x:c r="K478" s="13" t="str">
        <x:f>IF(AND(ISNUMBER(J478),M478&lt;&gt;0),J478/M478,"")</x:f>
      </x:c>
      <x:c r="L478" s="10" t="str">
        <x:v>断货</x:v>
      </x:c>
      <x:c r="M478" s="11"/>
      <x:c r="N478" s="10" t="n">
        <x:f>IF(AND(Z478="共同",COUNT(H478:I478)=2),H478-I478,"")</x:f>
        <x:v>0</x:v>
      </x:c>
      <x:c r="O478" s="10"/>
      <x:c r="P478" s="10" t="n">
        <x:v>0</x:v>
      </x:c>
      <x:c r="Q478" s="10" t="n">
        <x:v>0</x:v>
      </x:c>
      <x:c r="R478" s="10" t="n">
        <x:v>0</x:v>
      </x:c>
      <x:c r="S478" s="10" t="n">
        <x:v>0</x:v>
      </x:c>
      <x:c r="T478" s="10" t="n">
        <x:v>0</x:v>
      </x:c>
      <x:c r="U478" s="10" t="n">
        <x:f>IF(AND(ISNUMBER(X478),X478&gt;=0,Y478&lt;&gt;1),X478,"")</x:f>
        <x:v>0</x:v>
      </x:c>
      <x:c r="V478" s="10" t="n">
        <x:v>0</x:v>
      </x:c>
      <x:c r="W478" s="10" t="n">
        <x:v>0</x:v>
      </x:c>
      <x:c r="X478" s="10" t="n">
        <x:v>0</x:v>
      </x:c>
      <x:c r="Y478" s="3" t="n">
        <x:v>0</x:v>
      </x:c>
      <x:c r="Z478" s="3" t="str">
        <x:v>共同</x:v>
      </x:c>
      <x:c r="AA478" s="3" t="str">
        <x:v>停售</x:v>
      </x:c>
      <x:c r="AB478" s="12" t="str">
        <x:f>IF(AND(Z478="共同",ISNUMBER(G478),ISNUMBER(AD478)),G478-AD478,"")</x:f>
      </x:c>
      <x:c r="AC478" s="3" t="str">
        <x:v>近90天SKU销量未匹配，未按0处理</x:v>
      </x:c>
      <x:c r="AD478" s="12"/>
      <x:c r="AE478" s="3" t="str">
        <x:v>[6574,"32582-PK-41"]</x:v>
      </x:c>
      <x:c r="AF478" t="n">
        <x:f>IF(ISNUMBER(H478),1,0)</x:f>
        <x:v>1</x:v>
      </x:c>
      <x:c r="AG478" t="n">
        <x:f>IF(ISNUMBER(I478),1,0)</x:f>
        <x:v>1</x:v>
      </x:c>
      <x:c r="AH478" t="str">
        <x:v>["32582","32582-PK","PK","粉色"]</x:v>
      </x:c>
      <x:c r="AI478" t="n">
        <x:f>IF(ISNUMBER(G478),1,0)</x:f>
        <x:v>1</x:v>
      </x:c>
      <x:c r="AJ478" t="n">
        <x:f>IF(ISNUMBER(AD478),1,0)</x:f>
        <x:v>0</x:v>
      </x:c>
    </x:row>
    <x:row r="479" ht="30" customHeight="1">
      <x:c r="A479" s="3" t="str">
        <x:v>32582-PK-41.5</x:v>
      </x:c>
      <x:c r="B479" s="3" t="str">
        <x:v>3店-SANDIEX-US</x:v>
      </x:c>
      <x:c r="C479" s="3" t="str">
        <x:v>徐新怡</x:v>
      </x:c>
      <x:c r="D479" s="3" t="str">
        <x:v>32582</x:v>
      </x:c>
      <x:c r="E479" s="3" t="str">
        <x:f>IF(Z479="移出","已移出",IF(NOT(ISNUMBER(H479)),"数据待核",IF(H479=0,"断货",IF(NOT(ISNUMBER(G479)),"数据待核",IF(G479=0,"零日销待复核",IF(F479&lt;60,"补货提醒",IF(F479&lt;=90,"正常库存",IF(F479&lt;180,"促销",IF(F479&lt;=365,"红线促销","考虑清仓")))))))))</x:f>
        <x:v>断货</x:v>
      </x:c>
      <x:c r="F479" s="11" t="str">
        <x:f>IF(AND(ISNUMBER(H479),ISNUMBER(G479),G479&gt;0),H479/G479,"")</x:f>
      </x:c>
      <x:c r="G479" s="12" t="n">
        <x:f>IF(AND(COUNT(P479:R479)=3,MIN(P479:R479)&gt;=0,P479&lt;=Q479,Q479&lt;=R479),P479/7*0.5+Q479/14*0.3+R479/30*0.2,"")</x:f>
        <x:v>0</x:v>
      </x:c>
      <x:c r="H479" s="10" t="n">
        <x:f>IF(ISNUMBER(U479),U479,"")</x:f>
        <x:v>0</x:v>
      </x:c>
      <x:c r="I479" s="10" t="n">
        <x:v>0</x:v>
      </x:c>
      <x:c r="J479" s="11" t="str">
        <x:f>IF(AND(Z479="共同",ISNUMBER(F479),ISNUMBER(M479)),F479-M479,"")</x:f>
      </x:c>
      <x:c r="K479" s="13" t="str">
        <x:f>IF(AND(ISNUMBER(J479),M479&lt;&gt;0),J479/M479,"")</x:f>
      </x:c>
      <x:c r="L479" s="10" t="str">
        <x:v>断货</x:v>
      </x:c>
      <x:c r="M479" s="11"/>
      <x:c r="N479" s="10" t="n">
        <x:f>IF(AND(Z479="共同",COUNT(H479:I479)=2),H479-I479,"")</x:f>
        <x:v>0</x:v>
      </x:c>
      <x:c r="O479" s="10"/>
      <x:c r="P479" s="10" t="n">
        <x:v>0</x:v>
      </x:c>
      <x:c r="Q479" s="10" t="n">
        <x:v>0</x:v>
      </x:c>
      <x:c r="R479" s="10" t="n">
        <x:v>0</x:v>
      </x:c>
      <x:c r="S479" s="10" t="n">
        <x:v>0</x:v>
      </x:c>
      <x:c r="T479" s="10" t="n">
        <x:v>0</x:v>
      </x:c>
      <x:c r="U479" s="10" t="n">
        <x:f>IF(AND(ISNUMBER(X479),X479&gt;=0,Y479&lt;&gt;1),X479,"")</x:f>
        <x:v>0</x:v>
      </x:c>
      <x:c r="V479" s="10" t="n">
        <x:v>0</x:v>
      </x:c>
      <x:c r="W479" s="10" t="n">
        <x:v>0</x:v>
      </x:c>
      <x:c r="X479" s="10" t="n">
        <x:v>0</x:v>
      </x:c>
      <x:c r="Y479" s="3" t="n">
        <x:v>0</x:v>
      </x:c>
      <x:c r="Z479" s="3" t="str">
        <x:v>共同</x:v>
      </x:c>
      <x:c r="AA479" s="3" t="str">
        <x:v>停售</x:v>
      </x:c>
      <x:c r="AB479" s="12" t="str">
        <x:f>IF(AND(Z479="共同",ISNUMBER(G479),ISNUMBER(AD479)),G479-AD479,"")</x:f>
      </x:c>
      <x:c r="AC479" s="3" t="str">
        <x:v>近90天SKU销量未匹配，未按0处理</x:v>
      </x:c>
      <x:c r="AD479" s="12"/>
      <x:c r="AE479" s="3" t="str">
        <x:v>[6574,"32582-PK-41.5"]</x:v>
      </x:c>
      <x:c r="AF479" t="n">
        <x:f>IF(ISNUMBER(H479),1,0)</x:f>
        <x:v>1</x:v>
      </x:c>
      <x:c r="AG479" t="n">
        <x:f>IF(ISNUMBER(I479),1,0)</x:f>
        <x:v>1</x:v>
      </x:c>
      <x:c r="AH479" t="str">
        <x:v>["32582","32582-PK","PK","粉色"]</x:v>
      </x:c>
      <x:c r="AI479" t="n">
        <x:f>IF(ISNUMBER(G479),1,0)</x:f>
        <x:v>1</x:v>
      </x:c>
      <x:c r="AJ479" t="n">
        <x:f>IF(ISNUMBER(AD479),1,0)</x:f>
        <x:v>0</x:v>
      </x:c>
    </x:row>
    <x:row r="480" ht="30" customHeight="1">
      <x:c r="A480" s="3" t="str">
        <x:v>32582-PK-42</x:v>
      </x:c>
      <x:c r="B480" s="3" t="str">
        <x:v>3店-SANDIEX-US</x:v>
      </x:c>
      <x:c r="C480" s="3" t="str">
        <x:v>徐新怡</x:v>
      </x:c>
      <x:c r="D480" s="3" t="str">
        <x:v>32582</x:v>
      </x:c>
      <x:c r="E480" s="3" t="str">
        <x:f>IF(Z480="移出","已移出",IF(NOT(ISNUMBER(H480)),"数据待核",IF(H480=0,"断货",IF(NOT(ISNUMBER(G480)),"数据待核",IF(G480=0,"零日销待复核",IF(F480&lt;60,"补货提醒",IF(F480&lt;=90,"正常库存",IF(F480&lt;180,"促销",IF(F480&lt;=365,"红线促销","考虑清仓")))))))))</x:f>
        <x:v>断货</x:v>
      </x:c>
      <x:c r="F480" s="11" t="str">
        <x:f>IF(AND(ISNUMBER(H480),ISNUMBER(G480),G480&gt;0),H480/G480,"")</x:f>
      </x:c>
      <x:c r="G480" s="12" t="n">
        <x:f>IF(AND(COUNT(P480:R480)=3,MIN(P480:R480)&gt;=0,P480&lt;=Q480,Q480&lt;=R480),P480/7*0.5+Q480/14*0.3+R480/30*0.2,"")</x:f>
        <x:v>0</x:v>
      </x:c>
      <x:c r="H480" s="10" t="n">
        <x:f>IF(ISNUMBER(U480),U480,"")</x:f>
        <x:v>0</x:v>
      </x:c>
      <x:c r="I480" s="10" t="n">
        <x:v>0</x:v>
      </x:c>
      <x:c r="J480" s="11" t="str">
        <x:f>IF(AND(Z480="共同",ISNUMBER(F480),ISNUMBER(M480)),F480-M480,"")</x:f>
      </x:c>
      <x:c r="K480" s="13" t="str">
        <x:f>IF(AND(ISNUMBER(J480),M480&lt;&gt;0),J480/M480,"")</x:f>
      </x:c>
      <x:c r="L480" s="10" t="str">
        <x:v>断货</x:v>
      </x:c>
      <x:c r="M480" s="11"/>
      <x:c r="N480" s="10" t="n">
        <x:f>IF(AND(Z480="共同",COUNT(H480:I480)=2),H480-I480,"")</x:f>
        <x:v>0</x:v>
      </x:c>
      <x:c r="O480" s="10" t="n">
        <x:v>0</x:v>
      </x:c>
      <x:c r="P480" s="10" t="n">
        <x:v>0</x:v>
      </x:c>
      <x:c r="Q480" s="10" t="n">
        <x:v>0</x:v>
      </x:c>
      <x:c r="R480" s="10" t="n">
        <x:v>0</x:v>
      </x:c>
      <x:c r="S480" s="10" t="n">
        <x:v>0</x:v>
      </x:c>
      <x:c r="T480" s="10" t="n">
        <x:v>0</x:v>
      </x:c>
      <x:c r="U480" s="10" t="n">
        <x:f>IF(AND(ISNUMBER(X480),X480&gt;=0,Y480&lt;&gt;1),X480,"")</x:f>
        <x:v>0</x:v>
      </x:c>
      <x:c r="V480" s="10" t="n">
        <x:v>0</x:v>
      </x:c>
      <x:c r="W480" s="10" t="n">
        <x:v>0</x:v>
      </x:c>
      <x:c r="X480" s="10" t="n">
        <x:v>0</x:v>
      </x:c>
      <x:c r="Y480" s="3" t="n">
        <x:v>0</x:v>
      </x:c>
      <x:c r="Z480" s="3" t="str">
        <x:v>共同</x:v>
      </x:c>
      <x:c r="AA480" s="3" t="str">
        <x:v>停售</x:v>
      </x:c>
      <x:c r="AB480" s="12" t="str">
        <x:f>IF(AND(Z480="共同",ISNUMBER(G480),ISNUMBER(AD480)),G480-AD480,"")</x:f>
      </x:c>
      <x:c r="AC480" s="3" t="str">
        <x:v>近90天SKU销量未匹配，未按0处理</x:v>
      </x:c>
      <x:c r="AD480" s="12"/>
      <x:c r="AE480" s="3" t="str">
        <x:v>[6574,"32582-PK-42"]</x:v>
      </x:c>
      <x:c r="AF480" t="n">
        <x:f>IF(ISNUMBER(H480),1,0)</x:f>
        <x:v>1</x:v>
      </x:c>
      <x:c r="AG480" t="n">
        <x:f>IF(ISNUMBER(I480),1,0)</x:f>
        <x:v>1</x:v>
      </x:c>
      <x:c r="AH480" t="str">
        <x:v>["32582","32582-PK","PK","粉色"]</x:v>
      </x:c>
      <x:c r="AI480" t="n">
        <x:f>IF(ISNUMBER(G480),1,0)</x:f>
        <x:v>1</x:v>
      </x:c>
      <x:c r="AJ480" t="n">
        <x:f>IF(ISNUMBER(AD480),1,0)</x:f>
        <x:v>0</x:v>
      </x:c>
    </x:row>
    <x:row r="481" ht="30" customHeight="1">
      <x:c r="A481" s="3" t="str">
        <x:v>32582-RD-37</x:v>
      </x:c>
      <x:c r="B481" s="3" t="str">
        <x:v>3店-SANDIEX-US</x:v>
      </x:c>
      <x:c r="C481" s="3" t="str">
        <x:v>徐新怡</x:v>
      </x:c>
      <x:c r="D481" s="3" t="str">
        <x:v>32582</x:v>
      </x:c>
      <x:c r="E481" s="3" t="str">
        <x:f>IF(Z481="移出","已移出",IF(NOT(ISNUMBER(H481)),"数据待核",IF(H481=0,"断货",IF(NOT(ISNUMBER(G481)),"数据待核",IF(G481=0,"零日销待复核",IF(F481&lt;60,"补货提醒",IF(F481&lt;=90,"正常库存",IF(F481&lt;180,"促销",IF(F481&lt;=365,"红线促销","考虑清仓")))))))))</x:f>
        <x:v>断货</x:v>
      </x:c>
      <x:c r="F481" s="11" t="str">
        <x:f>IF(AND(ISNUMBER(H481),ISNUMBER(G481),G481&gt;0),H481/G481,"")</x:f>
      </x:c>
      <x:c r="G481" s="12" t="n">
        <x:f>IF(AND(COUNT(P481:R481)=3,MIN(P481:R481)&gt;=0,P481&lt;=Q481,Q481&lt;=R481),P481/7*0.5+Q481/14*0.3+R481/30*0.2,"")</x:f>
        <x:v>0</x:v>
      </x:c>
      <x:c r="H481" s="10" t="n">
        <x:f>IF(ISNUMBER(U481),U481,"")</x:f>
        <x:v>0</x:v>
      </x:c>
      <x:c r="I481" s="10" t="n">
        <x:v>0</x:v>
      </x:c>
      <x:c r="J481" s="11" t="str">
        <x:f>IF(AND(Z481="共同",ISNUMBER(F481),ISNUMBER(M481)),F481-M481,"")</x:f>
      </x:c>
      <x:c r="K481" s="13" t="str">
        <x:f>IF(AND(ISNUMBER(J481),M481&lt;&gt;0),J481/M481,"")</x:f>
      </x:c>
      <x:c r="L481" s="10" t="str">
        <x:v>断货</x:v>
      </x:c>
      <x:c r="M481" s="11"/>
      <x:c r="N481" s="10" t="n">
        <x:f>IF(AND(Z481="共同",COUNT(H481:I481)=2),H481-I481,"")</x:f>
        <x:v>0</x:v>
      </x:c>
      <x:c r="O481" s="10"/>
      <x:c r="P481" s="10" t="n">
        <x:v>0</x:v>
      </x:c>
      <x:c r="Q481" s="10" t="n">
        <x:v>0</x:v>
      </x:c>
      <x:c r="R481" s="10" t="n">
        <x:v>0</x:v>
      </x:c>
      <x:c r="S481" s="10" t="n">
        <x:v>0</x:v>
      </x:c>
      <x:c r="T481" s="10" t="n">
        <x:v>0</x:v>
      </x:c>
      <x:c r="U481" s="10" t="n">
        <x:f>IF(AND(ISNUMBER(X481),X481&gt;=0,Y481&lt;&gt;1),X481,"")</x:f>
        <x:v>0</x:v>
      </x:c>
      <x:c r="V481" s="10" t="n">
        <x:v>0</x:v>
      </x:c>
      <x:c r="W481" s="10" t="n">
        <x:v>0</x:v>
      </x:c>
      <x:c r="X481" s="10" t="n">
        <x:v>0</x:v>
      </x:c>
      <x:c r="Y481" s="3" t="n">
        <x:v>0</x:v>
      </x:c>
      <x:c r="Z481" s="3" t="str">
        <x:v>共同</x:v>
      </x:c>
      <x:c r="AA481" s="3" t="str">
        <x:v>停售</x:v>
      </x:c>
      <x:c r="AB481" s="12" t="str">
        <x:f>IF(AND(Z481="共同",ISNUMBER(G481),ISNUMBER(AD481)),G481-AD481,"")</x:f>
      </x:c>
      <x:c r="AC481" s="3" t="str">
        <x:v>近90天SKU销量未匹配，未按0处理</x:v>
      </x:c>
      <x:c r="AD481" s="12"/>
      <x:c r="AE481" s="3" t="str">
        <x:v>[6574,"32582-RD-37"]</x:v>
      </x:c>
      <x:c r="AF481" t="n">
        <x:f>IF(ISNUMBER(H481),1,0)</x:f>
        <x:v>1</x:v>
      </x:c>
      <x:c r="AG481" t="n">
        <x:f>IF(ISNUMBER(I481),1,0)</x:f>
        <x:v>1</x:v>
      </x:c>
      <x:c r="AH481" t="str">
        <x:v>["32582","32582-RD","RD","红色"]</x:v>
      </x:c>
      <x:c r="AI481" t="n">
        <x:f>IF(ISNUMBER(G481),1,0)</x:f>
        <x:v>1</x:v>
      </x:c>
      <x:c r="AJ481" t="n">
        <x:f>IF(ISNUMBER(AD481),1,0)</x:f>
        <x:v>0</x:v>
      </x:c>
    </x:row>
    <x:row r="482" ht="30" customHeight="1">
      <x:c r="A482" s="3" t="str">
        <x:v>32582-RD-38</x:v>
      </x:c>
      <x:c r="B482" s="3" t="str">
        <x:v>3店-SANDIEX-US</x:v>
      </x:c>
      <x:c r="C482" s="3" t="str">
        <x:v>徐新怡</x:v>
      </x:c>
      <x:c r="D482" s="3" t="str">
        <x:v>32582</x:v>
      </x:c>
      <x:c r="E482" s="3" t="str">
        <x:f>IF(Z482="移出","已移出",IF(NOT(ISNUMBER(H482)),"数据待核",IF(H482=0,"断货",IF(NOT(ISNUMBER(G482)),"数据待核",IF(G482=0,"零日销待复核",IF(F482&lt;60,"补货提醒",IF(F482&lt;=90,"正常库存",IF(F482&lt;180,"促销",IF(F482&lt;=365,"红线促销","考虑清仓")))))))))</x:f>
        <x:v>断货</x:v>
      </x:c>
      <x:c r="F482" s="11" t="str">
        <x:f>IF(AND(ISNUMBER(H482),ISNUMBER(G482),G482&gt;0),H482/G482,"")</x:f>
      </x:c>
      <x:c r="G482" s="12" t="n">
        <x:f>IF(AND(COUNT(P482:R482)=3,MIN(P482:R482)&gt;=0,P482&lt;=Q482,Q482&lt;=R482),P482/7*0.5+Q482/14*0.3+R482/30*0.2,"")</x:f>
        <x:v>0</x:v>
      </x:c>
      <x:c r="H482" s="10" t="n">
        <x:f>IF(ISNUMBER(U482),U482,"")</x:f>
        <x:v>0</x:v>
      </x:c>
      <x:c r="I482" s="10" t="n">
        <x:v>0</x:v>
      </x:c>
      <x:c r="J482" s="11" t="str">
        <x:f>IF(AND(Z482="共同",ISNUMBER(F482),ISNUMBER(M482)),F482-M482,"")</x:f>
      </x:c>
      <x:c r="K482" s="13" t="str">
        <x:f>IF(AND(ISNUMBER(J482),M482&lt;&gt;0),J482/M482,"")</x:f>
      </x:c>
      <x:c r="L482" s="10" t="str">
        <x:v>断货</x:v>
      </x:c>
      <x:c r="M482" s="11"/>
      <x:c r="N482" s="10" t="n">
        <x:f>IF(AND(Z482="共同",COUNT(H482:I482)=2),H482-I482,"")</x:f>
        <x:v>0</x:v>
      </x:c>
      <x:c r="O482" s="10" t="n">
        <x:v>0</x:v>
      </x:c>
      <x:c r="P482" s="10" t="n">
        <x:v>0</x:v>
      </x:c>
      <x:c r="Q482" s="10" t="n">
        <x:v>0</x:v>
      </x:c>
      <x:c r="R482" s="10" t="n">
        <x:v>0</x:v>
      </x:c>
      <x:c r="S482" s="10" t="n">
        <x:v>0</x:v>
      </x:c>
      <x:c r="T482" s="10" t="n">
        <x:v>0</x:v>
      </x:c>
      <x:c r="U482" s="10" t="n">
        <x:f>IF(AND(ISNUMBER(X482),X482&gt;=0,Y482&lt;&gt;1),X482,"")</x:f>
        <x:v>0</x:v>
      </x:c>
      <x:c r="V482" s="10" t="n">
        <x:v>0</x:v>
      </x:c>
      <x:c r="W482" s="10" t="n">
        <x:v>0</x:v>
      </x:c>
      <x:c r="X482" s="10" t="n">
        <x:v>0</x:v>
      </x:c>
      <x:c r="Y482" s="3" t="n">
        <x:v>0</x:v>
      </x:c>
      <x:c r="Z482" s="3" t="str">
        <x:v>共同</x:v>
      </x:c>
      <x:c r="AA482" s="3" t="str">
        <x:v>停售</x:v>
      </x:c>
      <x:c r="AB482" s="12" t="str">
        <x:f>IF(AND(Z482="共同",ISNUMBER(G482),ISNUMBER(AD482)),G482-AD482,"")</x:f>
      </x:c>
      <x:c r="AC482" s="3" t="str">
        <x:v>近90天SKU销量未匹配，未按0处理</x:v>
      </x:c>
      <x:c r="AD482" s="12"/>
      <x:c r="AE482" s="3" t="str">
        <x:v>[6574,"32582-RD-38"]</x:v>
      </x:c>
      <x:c r="AF482" t="n">
        <x:f>IF(ISNUMBER(H482),1,0)</x:f>
        <x:v>1</x:v>
      </x:c>
      <x:c r="AG482" t="n">
        <x:f>IF(ISNUMBER(I482),1,0)</x:f>
        <x:v>1</x:v>
      </x:c>
      <x:c r="AH482" t="str">
        <x:v>["32582","32582-RD","RD","红色"]</x:v>
      </x:c>
      <x:c r="AI482" t="n">
        <x:f>IF(ISNUMBER(G482),1,0)</x:f>
        <x:v>1</x:v>
      </x:c>
      <x:c r="AJ482" t="n">
        <x:f>IF(ISNUMBER(AD482),1,0)</x:f>
        <x:v>0</x:v>
      </x:c>
    </x:row>
    <x:row r="483" ht="30" customHeight="1">
      <x:c r="A483" s="3" t="str">
        <x:v>32582-RD-38.5</x:v>
      </x:c>
      <x:c r="B483" s="3" t="str">
        <x:v>3店-SANDIEX-US</x:v>
      </x:c>
      <x:c r="C483" s="3" t="str">
        <x:v>徐新怡</x:v>
      </x:c>
      <x:c r="D483" s="3" t="str">
        <x:v>32582</x:v>
      </x:c>
      <x:c r="E483" s="3" t="str">
        <x:f>IF(Z483="移出","已移出",IF(NOT(ISNUMBER(H483)),"数据待核",IF(H483=0,"断货",IF(NOT(ISNUMBER(G483)),"数据待核",IF(G483=0,"零日销待复核",IF(F483&lt;60,"补货提醒",IF(F483&lt;=90,"正常库存",IF(F483&lt;180,"促销",IF(F483&lt;=365,"红线促销","考虑清仓")))))))))</x:f>
        <x:v>断货</x:v>
      </x:c>
      <x:c r="F483" s="11" t="str">
        <x:f>IF(AND(ISNUMBER(H483),ISNUMBER(G483),G483&gt;0),H483/G483,"")</x:f>
      </x:c>
      <x:c r="G483" s="12" t="n">
        <x:f>IF(AND(COUNT(P483:R483)=3,MIN(P483:R483)&gt;=0,P483&lt;=Q483,Q483&lt;=R483),P483/7*0.5+Q483/14*0.3+R483/30*0.2,"")</x:f>
        <x:v>0</x:v>
      </x:c>
      <x:c r="H483" s="10" t="n">
        <x:f>IF(ISNUMBER(U483),U483,"")</x:f>
        <x:v>0</x:v>
      </x:c>
      <x:c r="I483" s="10" t="n">
        <x:v>0</x:v>
      </x:c>
      <x:c r="J483" s="11" t="str">
        <x:f>IF(AND(Z483="共同",ISNUMBER(F483),ISNUMBER(M483)),F483-M483,"")</x:f>
      </x:c>
      <x:c r="K483" s="13" t="str">
        <x:f>IF(AND(ISNUMBER(J483),M483&lt;&gt;0),J483/M483,"")</x:f>
      </x:c>
      <x:c r="L483" s="10" t="str">
        <x:v>断货</x:v>
      </x:c>
      <x:c r="M483" s="11"/>
      <x:c r="N483" s="10" t="n">
        <x:f>IF(AND(Z483="共同",COUNT(H483:I483)=2),H483-I483,"")</x:f>
        <x:v>0</x:v>
      </x:c>
      <x:c r="O483" s="10" t="n">
        <x:v>0</x:v>
      </x:c>
      <x:c r="P483" s="10" t="n">
        <x:v>0</x:v>
      </x:c>
      <x:c r="Q483" s="10" t="n">
        <x:v>0</x:v>
      </x:c>
      <x:c r="R483" s="10" t="n">
        <x:v>0</x:v>
      </x:c>
      <x:c r="S483" s="10" t="n">
        <x:v>0</x:v>
      </x:c>
      <x:c r="T483" s="10" t="n">
        <x:v>0</x:v>
      </x:c>
      <x:c r="U483" s="10" t="n">
        <x:f>IF(AND(ISNUMBER(X483),X483&gt;=0,Y483&lt;&gt;1),X483,"")</x:f>
        <x:v>0</x:v>
      </x:c>
      <x:c r="V483" s="10" t="n">
        <x:v>0</x:v>
      </x:c>
      <x:c r="W483" s="10" t="n">
        <x:v>0</x:v>
      </x:c>
      <x:c r="X483" s="10" t="n">
        <x:v>0</x:v>
      </x:c>
      <x:c r="Y483" s="3" t="n">
        <x:v>0</x:v>
      </x:c>
      <x:c r="Z483" s="3" t="str">
        <x:v>共同</x:v>
      </x:c>
      <x:c r="AA483" s="3" t="str">
        <x:v>停售</x:v>
      </x:c>
      <x:c r="AB483" s="12" t="str">
        <x:f>IF(AND(Z483="共同",ISNUMBER(G483),ISNUMBER(AD483)),G483-AD483,"")</x:f>
      </x:c>
      <x:c r="AC483" s="3" t="str">
        <x:v>近90天SKU销量未匹配，未按0处理</x:v>
      </x:c>
      <x:c r="AD483" s="12"/>
      <x:c r="AE483" s="3" t="str">
        <x:v>[6574,"32582-RD-38.5"]</x:v>
      </x:c>
      <x:c r="AF483" t="n">
        <x:f>IF(ISNUMBER(H483),1,0)</x:f>
        <x:v>1</x:v>
      </x:c>
      <x:c r="AG483" t="n">
        <x:f>IF(ISNUMBER(I483),1,0)</x:f>
        <x:v>1</x:v>
      </x:c>
      <x:c r="AH483" t="str">
        <x:v>["32582","32582-RD","RD","红色"]</x:v>
      </x:c>
      <x:c r="AI483" t="n">
        <x:f>IF(ISNUMBER(G483),1,0)</x:f>
        <x:v>1</x:v>
      </x:c>
      <x:c r="AJ483" t="n">
        <x:f>IF(ISNUMBER(AD483),1,0)</x:f>
        <x:v>0</x:v>
      </x:c>
    </x:row>
    <x:row r="484" ht="30" customHeight="1">
      <x:c r="A484" s="3" t="str">
        <x:v>32582-RD-39.5</x:v>
      </x:c>
      <x:c r="B484" s="3" t="str">
        <x:v>3店-SANDIEX-US</x:v>
      </x:c>
      <x:c r="C484" s="3" t="str">
        <x:v>徐新怡</x:v>
      </x:c>
      <x:c r="D484" s="3" t="str">
        <x:v>32582</x:v>
      </x:c>
      <x:c r="E484" s="3" t="str">
        <x:f>IF(Z484="移出","已移出",IF(NOT(ISNUMBER(H484)),"数据待核",IF(H484=0,"断货",IF(NOT(ISNUMBER(G484)),"数据待核",IF(G484=0,"零日销待复核",IF(F484&lt;60,"补货提醒",IF(F484&lt;=90,"正常库存",IF(F484&lt;180,"促销",IF(F484&lt;=365,"红线促销","考虑清仓")))))))))</x:f>
        <x:v>断货</x:v>
      </x:c>
      <x:c r="F484" s="11" t="str">
        <x:f>IF(AND(ISNUMBER(H484),ISNUMBER(G484),G484&gt;0),H484/G484,"")</x:f>
      </x:c>
      <x:c r="G484" s="12" t="n">
        <x:f>IF(AND(COUNT(P484:R484)=3,MIN(P484:R484)&gt;=0,P484&lt;=Q484,Q484&lt;=R484),P484/7*0.5+Q484/14*0.3+R484/30*0.2,"")</x:f>
        <x:v>0</x:v>
      </x:c>
      <x:c r="H484" s="10" t="n">
        <x:f>IF(ISNUMBER(U484),U484,"")</x:f>
        <x:v>0</x:v>
      </x:c>
      <x:c r="I484" s="10" t="n">
        <x:v>0</x:v>
      </x:c>
      <x:c r="J484" s="11" t="str">
        <x:f>IF(AND(Z484="共同",ISNUMBER(F484),ISNUMBER(M484)),F484-M484,"")</x:f>
      </x:c>
      <x:c r="K484" s="13" t="str">
        <x:f>IF(AND(ISNUMBER(J484),M484&lt;&gt;0),J484/M484,"")</x:f>
      </x:c>
      <x:c r="L484" s="10" t="str">
        <x:v>断货</x:v>
      </x:c>
      <x:c r="M484" s="11"/>
      <x:c r="N484" s="10" t="n">
        <x:f>IF(AND(Z484="共同",COUNT(H484:I484)=2),H484-I484,"")</x:f>
        <x:v>0</x:v>
      </x:c>
      <x:c r="O484" s="10" t="n">
        <x:v>0</x:v>
      </x:c>
      <x:c r="P484" s="10" t="n">
        <x:v>0</x:v>
      </x:c>
      <x:c r="Q484" s="10" t="n">
        <x:v>0</x:v>
      </x:c>
      <x:c r="R484" s="10" t="n">
        <x:v>0</x:v>
      </x:c>
      <x:c r="S484" s="10" t="n">
        <x:v>0</x:v>
      </x:c>
      <x:c r="T484" s="10" t="n">
        <x:v>0</x:v>
      </x:c>
      <x:c r="U484" s="10" t="n">
        <x:f>IF(AND(ISNUMBER(X484),X484&gt;=0,Y484&lt;&gt;1),X484,"")</x:f>
        <x:v>0</x:v>
      </x:c>
      <x:c r="V484" s="10" t="n">
        <x:v>0</x:v>
      </x:c>
      <x:c r="W484" s="10" t="n">
        <x:v>0</x:v>
      </x:c>
      <x:c r="X484" s="10" t="n">
        <x:v>0</x:v>
      </x:c>
      <x:c r="Y484" s="3" t="n">
        <x:v>0</x:v>
      </x:c>
      <x:c r="Z484" s="3" t="str">
        <x:v>共同</x:v>
      </x:c>
      <x:c r="AA484" s="3" t="str">
        <x:v>停售</x:v>
      </x:c>
      <x:c r="AB484" s="12" t="str">
        <x:f>IF(AND(Z484="共同",ISNUMBER(G484),ISNUMBER(AD484)),G484-AD484,"")</x:f>
      </x:c>
      <x:c r="AC484" s="3" t="str">
        <x:v>近90天SKU销量未匹配，未按0处理</x:v>
      </x:c>
      <x:c r="AD484" s="12"/>
      <x:c r="AE484" s="3" t="str">
        <x:v>[6574,"32582-RD-39.5"]</x:v>
      </x:c>
      <x:c r="AF484" t="n">
        <x:f>IF(ISNUMBER(H484),1,0)</x:f>
        <x:v>1</x:v>
      </x:c>
      <x:c r="AG484" t="n">
        <x:f>IF(ISNUMBER(I484),1,0)</x:f>
        <x:v>1</x:v>
      </x:c>
      <x:c r="AH484" t="str">
        <x:v>["32582","32582-RD","RD","红色"]</x:v>
      </x:c>
      <x:c r="AI484" t="n">
        <x:f>IF(ISNUMBER(G484),1,0)</x:f>
        <x:v>1</x:v>
      </x:c>
      <x:c r="AJ484" t="n">
        <x:f>IF(ISNUMBER(AD484),1,0)</x:f>
        <x:v>0</x:v>
      </x:c>
    </x:row>
    <x:row r="485" ht="30" customHeight="1">
      <x:c r="A485" s="3" t="str">
        <x:v>32582-RD-40</x:v>
      </x:c>
      <x:c r="B485" s="3" t="str">
        <x:v>3店-SANDIEX-US</x:v>
      </x:c>
      <x:c r="C485" s="3" t="str">
        <x:v>徐新怡</x:v>
      </x:c>
      <x:c r="D485" s="3" t="str">
        <x:v>32582</x:v>
      </x:c>
      <x:c r="E485" s="3" t="str">
        <x:f>IF(Z485="移出","已移出",IF(NOT(ISNUMBER(H485)),"数据待核",IF(H485=0,"断货",IF(NOT(ISNUMBER(G485)),"数据待核",IF(G485=0,"零日销待复核",IF(F485&lt;60,"补货提醒",IF(F485&lt;=90,"正常库存",IF(F485&lt;180,"促销",IF(F485&lt;=365,"红线促销","考虑清仓")))))))))</x:f>
        <x:v>断货</x:v>
      </x:c>
      <x:c r="F485" s="11" t="str">
        <x:f>IF(AND(ISNUMBER(H485),ISNUMBER(G485),G485&gt;0),H485/G485,"")</x:f>
      </x:c>
      <x:c r="G485" s="12" t="n">
        <x:f>IF(AND(COUNT(P485:R485)=3,MIN(P485:R485)&gt;=0,P485&lt;=Q485,Q485&lt;=R485),P485/7*0.5+Q485/14*0.3+R485/30*0.2,"")</x:f>
        <x:v>0</x:v>
      </x:c>
      <x:c r="H485" s="10" t="n">
        <x:f>IF(ISNUMBER(U485),U485,"")</x:f>
        <x:v>0</x:v>
      </x:c>
      <x:c r="I485" s="10" t="n">
        <x:v>0</x:v>
      </x:c>
      <x:c r="J485" s="11" t="str">
        <x:f>IF(AND(Z485="共同",ISNUMBER(F485),ISNUMBER(M485)),F485-M485,"")</x:f>
      </x:c>
      <x:c r="K485" s="13" t="str">
        <x:f>IF(AND(ISNUMBER(J485),M485&lt;&gt;0),J485/M485,"")</x:f>
      </x:c>
      <x:c r="L485" s="10" t="str">
        <x:v>断货</x:v>
      </x:c>
      <x:c r="M485" s="11"/>
      <x:c r="N485" s="10" t="n">
        <x:f>IF(AND(Z485="共同",COUNT(H485:I485)=2),H485-I485,"")</x:f>
        <x:v>0</x:v>
      </x:c>
      <x:c r="O485" s="10" t="n">
        <x:v>0</x:v>
      </x:c>
      <x:c r="P485" s="10" t="n">
        <x:v>0</x:v>
      </x:c>
      <x:c r="Q485" s="10" t="n">
        <x:v>0</x:v>
      </x:c>
      <x:c r="R485" s="10" t="n">
        <x:v>0</x:v>
      </x:c>
      <x:c r="S485" s="10" t="n">
        <x:v>0</x:v>
      </x:c>
      <x:c r="T485" s="10" t="n">
        <x:v>0</x:v>
      </x:c>
      <x:c r="U485" s="10" t="n">
        <x:f>IF(AND(ISNUMBER(X485),X485&gt;=0,Y485&lt;&gt;1),X485,"")</x:f>
        <x:v>0</x:v>
      </x:c>
      <x:c r="V485" s="10" t="n">
        <x:v>0</x:v>
      </x:c>
      <x:c r="W485" s="10" t="n">
        <x:v>0</x:v>
      </x:c>
      <x:c r="X485" s="10" t="n">
        <x:v>0</x:v>
      </x:c>
      <x:c r="Y485" s="3" t="n">
        <x:v>0</x:v>
      </x:c>
      <x:c r="Z485" s="3" t="str">
        <x:v>共同</x:v>
      </x:c>
      <x:c r="AA485" s="3" t="str">
        <x:v>停售</x:v>
      </x:c>
      <x:c r="AB485" s="12" t="str">
        <x:f>IF(AND(Z485="共同",ISNUMBER(G485),ISNUMBER(AD485)),G485-AD485,"")</x:f>
      </x:c>
      <x:c r="AC485" s="3" t="str">
        <x:v>近90天SKU销量未匹配，未按0处理</x:v>
      </x:c>
      <x:c r="AD485" s="12"/>
      <x:c r="AE485" s="3" t="str">
        <x:v>[6574,"32582-RD-40"]</x:v>
      </x:c>
      <x:c r="AF485" t="n">
        <x:f>IF(ISNUMBER(H485),1,0)</x:f>
        <x:v>1</x:v>
      </x:c>
      <x:c r="AG485" t="n">
        <x:f>IF(ISNUMBER(I485),1,0)</x:f>
        <x:v>1</x:v>
      </x:c>
      <x:c r="AH485" t="str">
        <x:v>["32582","32582-RD","RD","红色"]</x:v>
      </x:c>
      <x:c r="AI485" t="n">
        <x:f>IF(ISNUMBER(G485),1,0)</x:f>
        <x:v>1</x:v>
      </x:c>
      <x:c r="AJ485" t="n">
        <x:f>IF(ISNUMBER(AD485),1,0)</x:f>
        <x:v>0</x:v>
      </x:c>
    </x:row>
    <x:row r="486" ht="30" customHeight="1">
      <x:c r="A486" s="3" t="str">
        <x:v>32582-RD-40.5</x:v>
      </x:c>
      <x:c r="B486" s="3" t="str">
        <x:v>3店-SANDIEX-US</x:v>
      </x:c>
      <x:c r="C486" s="3" t="str">
        <x:v>徐新怡</x:v>
      </x:c>
      <x:c r="D486" s="3" t="str">
        <x:v>32582</x:v>
      </x:c>
      <x:c r="E486" s="3" t="str">
        <x:f>IF(Z486="移出","已移出",IF(NOT(ISNUMBER(H486)),"数据待核",IF(H486=0,"断货",IF(NOT(ISNUMBER(G486)),"数据待核",IF(G486=0,"零日销待复核",IF(F486&lt;60,"补货提醒",IF(F486&lt;=90,"正常库存",IF(F486&lt;180,"促销",IF(F486&lt;=365,"红线促销","考虑清仓")))))))))</x:f>
        <x:v>断货</x:v>
      </x:c>
      <x:c r="F486" s="11" t="str">
        <x:f>IF(AND(ISNUMBER(H486),ISNUMBER(G486),G486&gt;0),H486/G486,"")</x:f>
      </x:c>
      <x:c r="G486" s="12" t="n">
        <x:f>IF(AND(COUNT(P486:R486)=3,MIN(P486:R486)&gt;=0,P486&lt;=Q486,Q486&lt;=R486),P486/7*0.5+Q486/14*0.3+R486/30*0.2,"")</x:f>
        <x:v>0</x:v>
      </x:c>
      <x:c r="H486" s="10" t="n">
        <x:f>IF(ISNUMBER(U486),U486,"")</x:f>
        <x:v>0</x:v>
      </x:c>
      <x:c r="I486" s="10" t="n">
        <x:v>0</x:v>
      </x:c>
      <x:c r="J486" s="11" t="str">
        <x:f>IF(AND(Z486="共同",ISNUMBER(F486),ISNUMBER(M486)),F486-M486,"")</x:f>
      </x:c>
      <x:c r="K486" s="13" t="str">
        <x:f>IF(AND(ISNUMBER(J486),M486&lt;&gt;0),J486/M486,"")</x:f>
      </x:c>
      <x:c r="L486" s="10" t="str">
        <x:v>断货</x:v>
      </x:c>
      <x:c r="M486" s="11"/>
      <x:c r="N486" s="10" t="n">
        <x:f>IF(AND(Z486="共同",COUNT(H486:I486)=2),H486-I486,"")</x:f>
        <x:v>0</x:v>
      </x:c>
      <x:c r="O486" s="10"/>
      <x:c r="P486" s="10" t="n">
        <x:v>0</x:v>
      </x:c>
      <x:c r="Q486" s="10" t="n">
        <x:v>0</x:v>
      </x:c>
      <x:c r="R486" s="10" t="n">
        <x:v>0</x:v>
      </x:c>
      <x:c r="S486" s="10" t="n">
        <x:v>0</x:v>
      </x:c>
      <x:c r="T486" s="10" t="n">
        <x:v>0</x:v>
      </x:c>
      <x:c r="U486" s="10" t="n">
        <x:f>IF(AND(ISNUMBER(X486),X486&gt;=0,Y486&lt;&gt;1),X486,"")</x:f>
        <x:v>0</x:v>
      </x:c>
      <x:c r="V486" s="10" t="n">
        <x:v>0</x:v>
      </x:c>
      <x:c r="W486" s="10" t="n">
        <x:v>0</x:v>
      </x:c>
      <x:c r="X486" s="10" t="n">
        <x:v>0</x:v>
      </x:c>
      <x:c r="Y486" s="3" t="n">
        <x:v>0</x:v>
      </x:c>
      <x:c r="Z486" s="3" t="str">
        <x:v>共同</x:v>
      </x:c>
      <x:c r="AA486" s="3" t="str">
        <x:v>停售</x:v>
      </x:c>
      <x:c r="AB486" s="12" t="str">
        <x:f>IF(AND(Z486="共同",ISNUMBER(G486),ISNUMBER(AD486)),G486-AD486,"")</x:f>
      </x:c>
      <x:c r="AC486" s="3" t="str">
        <x:v>近90天SKU销量未匹配，未按0处理</x:v>
      </x:c>
      <x:c r="AD486" s="12"/>
      <x:c r="AE486" s="3" t="str">
        <x:v>[6574,"32582-RD-40.5"]</x:v>
      </x:c>
      <x:c r="AF486" t="n">
        <x:f>IF(ISNUMBER(H486),1,0)</x:f>
        <x:v>1</x:v>
      </x:c>
      <x:c r="AG486" t="n">
        <x:f>IF(ISNUMBER(I486),1,0)</x:f>
        <x:v>1</x:v>
      </x:c>
      <x:c r="AH486" t="str">
        <x:v>["32582","32582-RD","RD","红色"]</x:v>
      </x:c>
      <x:c r="AI486" t="n">
        <x:f>IF(ISNUMBER(G486),1,0)</x:f>
        <x:v>1</x:v>
      </x:c>
      <x:c r="AJ486" t="n">
        <x:f>IF(ISNUMBER(AD486),1,0)</x:f>
        <x:v>0</x:v>
      </x:c>
    </x:row>
    <x:row r="487" ht="30" customHeight="1">
      <x:c r="A487" s="3" t="str">
        <x:v>32582-RD-41</x:v>
      </x:c>
      <x:c r="B487" s="3" t="str">
        <x:v>3店-SANDIEX-US</x:v>
      </x:c>
      <x:c r="C487" s="3" t="str">
        <x:v>徐新怡</x:v>
      </x:c>
      <x:c r="D487" s="3" t="str">
        <x:v>32582</x:v>
      </x:c>
      <x:c r="E487" s="3" t="str">
        <x:f>IF(Z487="移出","已移出",IF(NOT(ISNUMBER(H487)),"数据待核",IF(H487=0,"断货",IF(NOT(ISNUMBER(G487)),"数据待核",IF(G487=0,"零日销待复核",IF(F487&lt;60,"补货提醒",IF(F487&lt;=90,"正常库存",IF(F487&lt;180,"促销",IF(F487&lt;=365,"红线促销","考虑清仓")))))))))</x:f>
        <x:v>断货</x:v>
      </x:c>
      <x:c r="F487" s="11" t="str">
        <x:f>IF(AND(ISNUMBER(H487),ISNUMBER(G487),G487&gt;0),H487/G487,"")</x:f>
      </x:c>
      <x:c r="G487" s="12" t="n">
        <x:f>IF(AND(COUNT(P487:R487)=3,MIN(P487:R487)&gt;=0,P487&lt;=Q487,Q487&lt;=R487),P487/7*0.5+Q487/14*0.3+R487/30*0.2,"")</x:f>
        <x:v>0</x:v>
      </x:c>
      <x:c r="H487" s="10" t="n">
        <x:f>IF(ISNUMBER(U487),U487,"")</x:f>
        <x:v>0</x:v>
      </x:c>
      <x:c r="I487" s="10" t="n">
        <x:v>0</x:v>
      </x:c>
      <x:c r="J487" s="11" t="str">
        <x:f>IF(AND(Z487="共同",ISNUMBER(F487),ISNUMBER(M487)),F487-M487,"")</x:f>
      </x:c>
      <x:c r="K487" s="13" t="str">
        <x:f>IF(AND(ISNUMBER(J487),M487&lt;&gt;0),J487/M487,"")</x:f>
      </x:c>
      <x:c r="L487" s="10" t="str">
        <x:v>断货</x:v>
      </x:c>
      <x:c r="M487" s="11"/>
      <x:c r="N487" s="10" t="n">
        <x:f>IF(AND(Z487="共同",COUNT(H487:I487)=2),H487-I487,"")</x:f>
        <x:v>0</x:v>
      </x:c>
      <x:c r="O487" s="10"/>
      <x:c r="P487" s="10" t="n">
        <x:v>0</x:v>
      </x:c>
      <x:c r="Q487" s="10" t="n">
        <x:v>0</x:v>
      </x:c>
      <x:c r="R487" s="10" t="n">
        <x:v>0</x:v>
      </x:c>
      <x:c r="S487" s="10" t="n">
        <x:v>0</x:v>
      </x:c>
      <x:c r="T487" s="10" t="n">
        <x:v>0</x:v>
      </x:c>
      <x:c r="U487" s="10" t="n">
        <x:f>IF(AND(ISNUMBER(X487),X487&gt;=0,Y487&lt;&gt;1),X487,"")</x:f>
        <x:v>0</x:v>
      </x:c>
      <x:c r="V487" s="10" t="n">
        <x:v>0</x:v>
      </x:c>
      <x:c r="W487" s="10" t="n">
        <x:v>0</x:v>
      </x:c>
      <x:c r="X487" s="10" t="n">
        <x:v>0</x:v>
      </x:c>
      <x:c r="Y487" s="3" t="n">
        <x:v>0</x:v>
      </x:c>
      <x:c r="Z487" s="3" t="str">
        <x:v>共同</x:v>
      </x:c>
      <x:c r="AA487" s="3" t="str">
        <x:v>停售</x:v>
      </x:c>
      <x:c r="AB487" s="12" t="str">
        <x:f>IF(AND(Z487="共同",ISNUMBER(G487),ISNUMBER(AD487)),G487-AD487,"")</x:f>
      </x:c>
      <x:c r="AC487" s="3" t="str">
        <x:v>近90天SKU销量未匹配，未按0处理</x:v>
      </x:c>
      <x:c r="AD487" s="12"/>
      <x:c r="AE487" s="3" t="str">
        <x:v>[6574,"32582-RD-41"]</x:v>
      </x:c>
      <x:c r="AF487" t="n">
        <x:f>IF(ISNUMBER(H487),1,0)</x:f>
        <x:v>1</x:v>
      </x:c>
      <x:c r="AG487" t="n">
        <x:f>IF(ISNUMBER(I487),1,0)</x:f>
        <x:v>1</x:v>
      </x:c>
      <x:c r="AH487" t="str">
        <x:v>["32582","32582-RD","RD","红色"]</x:v>
      </x:c>
      <x:c r="AI487" t="n">
        <x:f>IF(ISNUMBER(G487),1,0)</x:f>
        <x:v>1</x:v>
      </x:c>
      <x:c r="AJ487" t="n">
        <x:f>IF(ISNUMBER(AD487),1,0)</x:f>
        <x:v>0</x:v>
      </x:c>
    </x:row>
    <x:row r="488" ht="30" customHeight="1">
      <x:c r="A488" s="3" t="str">
        <x:v>32582-RD-41.5</x:v>
      </x:c>
      <x:c r="B488" s="3" t="str">
        <x:v>3店-SANDIEX-US</x:v>
      </x:c>
      <x:c r="C488" s="3" t="str">
        <x:v>徐新怡</x:v>
      </x:c>
      <x:c r="D488" s="3" t="str">
        <x:v>32582</x:v>
      </x:c>
      <x:c r="E488" s="3" t="str">
        <x:f>IF(Z488="移出","已移出",IF(NOT(ISNUMBER(H488)),"数据待核",IF(H488=0,"断货",IF(NOT(ISNUMBER(G488)),"数据待核",IF(G488=0,"零日销待复核",IF(F488&lt;60,"补货提醒",IF(F488&lt;=90,"正常库存",IF(F488&lt;180,"促销",IF(F488&lt;=365,"红线促销","考虑清仓")))))))))</x:f>
        <x:v>断货</x:v>
      </x:c>
      <x:c r="F488" s="11" t="str">
        <x:f>IF(AND(ISNUMBER(H488),ISNUMBER(G488),G488&gt;0),H488/G488,"")</x:f>
      </x:c>
      <x:c r="G488" s="12" t="n">
        <x:f>IF(AND(COUNT(P488:R488)=3,MIN(P488:R488)&gt;=0,P488&lt;=Q488,Q488&lt;=R488),P488/7*0.5+Q488/14*0.3+R488/30*0.2,"")</x:f>
        <x:v>0</x:v>
      </x:c>
      <x:c r="H488" s="10" t="n">
        <x:f>IF(ISNUMBER(U488),U488,"")</x:f>
        <x:v>0</x:v>
      </x:c>
      <x:c r="I488" s="10" t="n">
        <x:v>0</x:v>
      </x:c>
      <x:c r="J488" s="11" t="str">
        <x:f>IF(AND(Z488="共同",ISNUMBER(F488),ISNUMBER(M488)),F488-M488,"")</x:f>
      </x:c>
      <x:c r="K488" s="13" t="str">
        <x:f>IF(AND(ISNUMBER(J488),M488&lt;&gt;0),J488/M488,"")</x:f>
      </x:c>
      <x:c r="L488" s="10" t="str">
        <x:v>断货</x:v>
      </x:c>
      <x:c r="M488" s="11"/>
      <x:c r="N488" s="10" t="n">
        <x:f>IF(AND(Z488="共同",COUNT(H488:I488)=2),H488-I488,"")</x:f>
        <x:v>0</x:v>
      </x:c>
      <x:c r="O488" s="10"/>
      <x:c r="P488" s="10" t="n">
        <x:v>0</x:v>
      </x:c>
      <x:c r="Q488" s="10" t="n">
        <x:v>0</x:v>
      </x:c>
      <x:c r="R488" s="10" t="n">
        <x:v>0</x:v>
      </x:c>
      <x:c r="S488" s="10" t="n">
        <x:v>0</x:v>
      </x:c>
      <x:c r="T488" s="10" t="n">
        <x:v>0</x:v>
      </x:c>
      <x:c r="U488" s="10" t="n">
        <x:f>IF(AND(ISNUMBER(X488),X488&gt;=0,Y488&lt;&gt;1),X488,"")</x:f>
        <x:v>0</x:v>
      </x:c>
      <x:c r="V488" s="10" t="n">
        <x:v>0</x:v>
      </x:c>
      <x:c r="W488" s="10" t="n">
        <x:v>0</x:v>
      </x:c>
      <x:c r="X488" s="10" t="n">
        <x:v>0</x:v>
      </x:c>
      <x:c r="Y488" s="3" t="n">
        <x:v>0</x:v>
      </x:c>
      <x:c r="Z488" s="3" t="str">
        <x:v>共同</x:v>
      </x:c>
      <x:c r="AA488" s="3" t="str">
        <x:v>停售</x:v>
      </x:c>
      <x:c r="AB488" s="12" t="str">
        <x:f>IF(AND(Z488="共同",ISNUMBER(G488),ISNUMBER(AD488)),G488-AD488,"")</x:f>
      </x:c>
      <x:c r="AC488" s="3" t="str">
        <x:v>近90天SKU销量未匹配，未按0处理</x:v>
      </x:c>
      <x:c r="AD488" s="12"/>
      <x:c r="AE488" s="3" t="str">
        <x:v>[6574,"32582-RD-41.5"]</x:v>
      </x:c>
      <x:c r="AF488" t="n">
        <x:f>IF(ISNUMBER(H488),1,0)</x:f>
        <x:v>1</x:v>
      </x:c>
      <x:c r="AG488" t="n">
        <x:f>IF(ISNUMBER(I488),1,0)</x:f>
        <x:v>1</x:v>
      </x:c>
      <x:c r="AH488" t="str">
        <x:v>["32582","32582-RD","RD","红色"]</x:v>
      </x:c>
      <x:c r="AI488" t="n">
        <x:f>IF(ISNUMBER(G488),1,0)</x:f>
        <x:v>1</x:v>
      </x:c>
      <x:c r="AJ488" t="n">
        <x:f>IF(ISNUMBER(AD488),1,0)</x:f>
        <x:v>0</x:v>
      </x:c>
    </x:row>
    <x:row r="489" ht="30" customHeight="1">
      <x:c r="A489" s="3" t="str">
        <x:v>32582-RD-42</x:v>
      </x:c>
      <x:c r="B489" s="3" t="str">
        <x:v>3店-SANDIEX-US</x:v>
      </x:c>
      <x:c r="C489" s="3" t="str">
        <x:v>徐新怡</x:v>
      </x:c>
      <x:c r="D489" s="3" t="str">
        <x:v>32582</x:v>
      </x:c>
      <x:c r="E489" s="3" t="str">
        <x:f>IF(Z489="移出","已移出",IF(NOT(ISNUMBER(H489)),"数据待核",IF(H489=0,"断货",IF(NOT(ISNUMBER(G489)),"数据待核",IF(G489=0,"零日销待复核",IF(F489&lt;60,"补货提醒",IF(F489&lt;=90,"正常库存",IF(F489&lt;180,"促销",IF(F489&lt;=365,"红线促销","考虑清仓")))))))))</x:f>
        <x:v>断货</x:v>
      </x:c>
      <x:c r="F489" s="11" t="n">
        <x:f>IF(AND(ISNUMBER(H489),ISNUMBER(G489),G489&gt;0),H489/G489,"")</x:f>
        <x:v>0</x:v>
      </x:c>
      <x:c r="G489" s="12" t="n">
        <x:f>IF(AND(COUNT(P489:R489)=3,MIN(P489:R489)&gt;=0,P489&lt;=Q489,Q489&lt;=R489),P489/7*0.5+Q489/14*0.3+R489/30*0.2,"")</x:f>
        <x:v>0.14095238095238094</x:v>
      </x:c>
      <x:c r="H489" s="10" t="n">
        <x:f>IF(ISNUMBER(U489),U489,"")</x:f>
        <x:v>0</x:v>
      </x:c>
      <x:c r="I489" s="10" t="n">
        <x:v>2</x:v>
      </x:c>
      <x:c r="J489" s="11" t="n">
        <x:f>IF(AND(Z489="共同",ISNUMBER(F489),ISNUMBER(M489)),F489-M489,"")</x:f>
        <x:v>-17.721518987341774</x:v>
      </x:c>
      <x:c r="K489" s="13" t="n">
        <x:f>IF(AND(ISNUMBER(J489),M489&lt;&gt;0),J489/M489,"")</x:f>
        <x:v>-1</x:v>
      </x:c>
      <x:c r="L489" s="10" t="str">
        <x:v>补货提醒</x:v>
      </x:c>
      <x:c r="M489" s="11" t="n">
        <x:v>17.721518987341774</x:v>
      </x:c>
      <x:c r="N489" s="10" t="n">
        <x:f>IF(AND(Z489="共同",COUNT(H489:I489)=2),H489-I489,"")</x:f>
        <x:v>-2</x:v>
      </x:c>
      <x:c r="O489" s="10" t="n">
        <x:v>0</x:v>
      </x:c>
      <x:c r="P489" s="10" t="n">
        <x:v>1</x:v>
      </x:c>
      <x:c r="Q489" s="10" t="n">
        <x:v>2</x:v>
      </x:c>
      <x:c r="R489" s="10" t="n">
        <x:v>4</x:v>
      </x:c>
      <x:c r="S489" s="10" t="n">
        <x:v>1</x:v>
      </x:c>
      <x:c r="T489" s="10" t="n">
        <x:v>0</x:v>
      </x:c>
      <x:c r="U489" s="10" t="n">
        <x:f>IF(AND(ISNUMBER(X489),X489&gt;=0,Y489&lt;&gt;1),X489,"")</x:f>
        <x:v>0</x:v>
      </x:c>
      <x:c r="V489" s="10" t="n">
        <x:v>0</x:v>
      </x:c>
      <x:c r="W489" s="10" t="n">
        <x:v>0</x:v>
      </x:c>
      <x:c r="X489" s="10" t="n">
        <x:v>0</x:v>
      </x:c>
      <x:c r="Y489" s="3" t="n">
        <x:v>0</x:v>
      </x:c>
      <x:c r="Z489" s="3" t="str">
        <x:v>共同</x:v>
      </x:c>
      <x:c r="AA489" s="3" t="str">
        <x:v>在售</x:v>
      </x:c>
      <x:c r="AB489" s="12" t="n">
        <x:f>IF(AND(Z489="共同",ISNUMBER(G489),ISNUMBER(AD489)),G489-AD489,"")</x:f>
        <x:v>0.02809523809523809</x:v>
      </x:c>
      <x:c r="AC489" s="3" t="str"/>
      <x:c r="AD489" s="12" t="n">
        <x:v>0.11285714285714285</x:v>
      </x:c>
      <x:c r="AE489" s="3" t="str">
        <x:v>[6574,"32582-RD-42"]</x:v>
      </x:c>
      <x:c r="AF489" t="n">
        <x:f>IF(ISNUMBER(H489),1,0)</x:f>
        <x:v>1</x:v>
      </x:c>
      <x:c r="AG489" t="n">
        <x:f>IF(ISNUMBER(I489),1,0)</x:f>
        <x:v>1</x:v>
      </x:c>
      <x:c r="AH489" t="str">
        <x:v>["32582","32582-RD","RD","红色"]</x:v>
      </x:c>
      <x:c r="AI489" t="n">
        <x:f>IF(ISNUMBER(G489),1,0)</x:f>
        <x:v>1</x:v>
      </x:c>
      <x:c r="AJ489" t="n">
        <x:f>IF(ISNUMBER(AD489),1,0)</x:f>
        <x:v>1</x:v>
      </x:c>
    </x:row>
    <x:row r="490" ht="30" customHeight="1">
      <x:c r="A490" s="3" t="str">
        <x:v>32582-TN-41.5</x:v>
      </x:c>
      <x:c r="B490" s="3" t="str">
        <x:v>3店-SANDIEX-US</x:v>
      </x:c>
      <x:c r="C490" s="3" t="str">
        <x:v>徐新怡</x:v>
      </x:c>
      <x:c r="D490" s="3" t="str">
        <x:v>32582</x:v>
      </x:c>
      <x:c r="E490" s="3" t="str">
        <x:f>IF(Z490="移出","已移出",IF(NOT(ISNUMBER(H490)),"数据待核",IF(H490=0,"断货",IF(NOT(ISNUMBER(G490)),"数据待核",IF(G490=0,"零日销待复核",IF(F490&lt;60,"补货提醒",IF(F490&lt;=90,"正常库存",IF(F490&lt;180,"促销",IF(F490&lt;=365,"红线促销","考虑清仓")))))))))</x:f>
        <x:v>断货</x:v>
      </x:c>
      <x:c r="F490" s="11" t="str">
        <x:f>IF(AND(ISNUMBER(H490),ISNUMBER(G490),G490&gt;0),H490/G490,"")</x:f>
      </x:c>
      <x:c r="G490" s="12" t="n">
        <x:f>IF(AND(COUNT(P490:R490)=3,MIN(P490:R490)&gt;=0,P490&lt;=Q490,Q490&lt;=R490),P490/7*0.5+Q490/14*0.3+R490/30*0.2,"")</x:f>
        <x:v>0</x:v>
      </x:c>
      <x:c r="H490" s="10" t="n">
        <x:f>IF(ISNUMBER(U490),U490,"")</x:f>
        <x:v>0</x:v>
      </x:c>
      <x:c r="I490" s="10" t="n">
        <x:v>0</x:v>
      </x:c>
      <x:c r="J490" s="11" t="str">
        <x:f>IF(AND(Z490="共同",ISNUMBER(F490),ISNUMBER(M490)),F490-M490,"")</x:f>
      </x:c>
      <x:c r="K490" s="13" t="str">
        <x:f>IF(AND(ISNUMBER(J490),M490&lt;&gt;0),J490/M490,"")</x:f>
      </x:c>
      <x:c r="L490" s="10" t="str">
        <x:v>断货</x:v>
      </x:c>
      <x:c r="M490" s="11"/>
      <x:c r="N490" s="10" t="n">
        <x:f>IF(AND(Z490="共同",COUNT(H490:I490)=2),H490-I490,"")</x:f>
        <x:v>0</x:v>
      </x:c>
      <x:c r="O490" s="10"/>
      <x:c r="P490" s="10" t="n">
        <x:v>0</x:v>
      </x:c>
      <x:c r="Q490" s="10" t="n">
        <x:v>0</x:v>
      </x:c>
      <x:c r="R490" s="10" t="n">
        <x:v>0</x:v>
      </x:c>
      <x:c r="S490" s="10" t="n">
        <x:v>0</x:v>
      </x:c>
      <x:c r="T490" s="10" t="n">
        <x:v>0</x:v>
      </x:c>
      <x:c r="U490" s="10" t="n">
        <x:f>IF(AND(ISNUMBER(X490),X490&gt;=0,Y490&lt;&gt;1),X490,"")</x:f>
        <x:v>0</x:v>
      </x:c>
      <x:c r="V490" s="10" t="n">
        <x:v>0</x:v>
      </x:c>
      <x:c r="W490" s="10" t="n">
        <x:v>0</x:v>
      </x:c>
      <x:c r="X490" s="10" t="n">
        <x:v>0</x:v>
      </x:c>
      <x:c r="Y490" s="3" t="n">
        <x:v>0</x:v>
      </x:c>
      <x:c r="Z490" s="3" t="str">
        <x:v>共同</x:v>
      </x:c>
      <x:c r="AA490" s="3" t="str">
        <x:v>停售</x:v>
      </x:c>
      <x:c r="AB490" s="12" t="str">
        <x:f>IF(AND(Z490="共同",ISNUMBER(G490),ISNUMBER(AD490)),G490-AD490,"")</x:f>
      </x:c>
      <x:c r="AC490" s="3" t="str">
        <x:v>近90天SKU销量未匹配，未按0处理</x:v>
      </x:c>
      <x:c r="AD490" s="12"/>
      <x:c r="AE490" s="3" t="str">
        <x:v>[6574,"32582-TN-41.5"]</x:v>
      </x:c>
      <x:c r="AF490" t="n">
        <x:f>IF(ISNUMBER(H490),1,0)</x:f>
        <x:v>1</x:v>
      </x:c>
      <x:c r="AG490" t="n">
        <x:f>IF(ISNUMBER(I490),1,0)</x:f>
        <x:v>1</x:v>
      </x:c>
      <x:c r="AH490" t="str">
        <x:v>["32582","32582-TN","TN","驼色"]</x:v>
      </x:c>
      <x:c r="AI490" t="n">
        <x:f>IF(ISNUMBER(G490),1,0)</x:f>
        <x:v>1</x:v>
      </x:c>
      <x:c r="AJ490" t="n">
        <x:f>IF(ISNUMBER(AD490),1,0)</x:f>
        <x:v>0</x:v>
      </x:c>
    </x:row>
    <x:row r="491" ht="30" customHeight="1">
      <x:c r="A491" s="3" t="str">
        <x:v>60516-BK-S-K-10.5</x:v>
      </x:c>
      <x:c r="B491" s="3" t="str">
        <x:v>3店-SANDIEX-US</x:v>
      </x:c>
      <x:c r="C491" s="3" t="str">
        <x:v>徐新怡</x:v>
      </x:c>
      <x:c r="D491" s="3" t="str">
        <x:v>60516</x:v>
      </x:c>
      <x:c r="E491" s="3" t="str">
        <x:f>IF(Z491="移出","已移出",IF(NOT(ISNUMBER(H491)),"数据待核",IF(H491=0,"断货",IF(NOT(ISNUMBER(G491)),"数据待核",IF(G491=0,"零日销待复核",IF(F491&lt;60,"补货提醒",IF(F491&lt;=90,"正常库存",IF(F491&lt;180,"促销",IF(F491&lt;=365,"红线促销","考虑清仓")))))))))</x:f>
        <x:v>断货</x:v>
      </x:c>
      <x:c r="F491" s="11" t="str">
        <x:f>IF(AND(ISNUMBER(H491),ISNUMBER(G491),G491&gt;0),H491/G491,"")</x:f>
      </x:c>
      <x:c r="G491" s="12" t="n">
        <x:f>IF(AND(COUNT(P491:R491)=3,MIN(P491:R491)&gt;=0,P491&lt;=Q491,Q491&lt;=R491),P491/7*0.5+Q491/14*0.3+R491/30*0.2,"")</x:f>
        <x:v>0</x:v>
      </x:c>
      <x:c r="H491" s="10" t="n">
        <x:f>IF(ISNUMBER(U491),U491,"")</x:f>
        <x:v>0</x:v>
      </x:c>
      <x:c r="I491" s="10"/>
      <x:c r="J491" s="11" t="str">
        <x:f>IF(AND(Z491="共同",ISNUMBER(F491),ISNUMBER(M491)),F491-M491,"")</x:f>
      </x:c>
      <x:c r="K491" s="13" t="str">
        <x:f>IF(AND(ISNUMBER(J491),M491&lt;&gt;0),J491/M491,"")</x:f>
      </x:c>
      <x:c r="L491" s="10"/>
      <x:c r="M491" s="11"/>
      <x:c r="N491" s="10" t="str">
        <x:f>IF(AND(Z491="共同",COUNT(H491:I491)=2),H491-I491,"")</x:f>
      </x:c>
      <x:c r="O491" s="10" t="n">
        <x:v>0</x:v>
      </x:c>
      <x:c r="P491" s="10" t="n">
        <x:v>0</x:v>
      </x:c>
      <x:c r="Q491" s="10" t="n">
        <x:v>0</x:v>
      </x:c>
      <x:c r="R491" s="10" t="n">
        <x:v>0</x:v>
      </x:c>
      <x:c r="S491" s="10" t="n">
        <x:v>0</x:v>
      </x:c>
      <x:c r="T491" s="10" t="n">
        <x:v>0</x:v>
      </x:c>
      <x:c r="U491" s="10" t="n">
        <x:f>IF(AND(ISNUMBER(X491),X491&gt;=0,Y491&lt;&gt;1),X491,"")</x:f>
        <x:v>0</x:v>
      </x:c>
      <x:c r="V491" s="10" t="n">
        <x:v>0</x:v>
      </x:c>
      <x:c r="W491" s="10" t="n">
        <x:v>0</x:v>
      </x:c>
      <x:c r="X491" s="10" t="n">
        <x:v>0</x:v>
      </x:c>
      <x:c r="Y491" s="3" t="n">
        <x:v>0</x:v>
      </x:c>
      <x:c r="Z491" s="3" t="str">
        <x:v>新增</x:v>
      </x:c>
      <x:c r="AA491" s="3" t="str">
        <x:v>停售</x:v>
      </x:c>
      <x:c r="AB491" s="12" t="str">
        <x:f>IF(AND(Z491="共同",ISNUMBER(G491),ISNUMBER(AD491)),G491-AD491,"")</x:f>
      </x:c>
      <x:c r="AC491" s="3" t="str">
        <x:v>近90天SKU销量未匹配，未按0处理</x:v>
      </x:c>
      <x:c r="AD491" s="12"/>
      <x:c r="AE491" s="3" t="str">
        <x:v>[6574,"60516-BK-S-K-10.5"]</x:v>
      </x:c>
      <x:c r="AF491" t="n">
        <x:f>IF(ISNUMBER(H491),1,0)</x:f>
        <x:v>1</x:v>
      </x:c>
      <x:c r="AG491" t="n">
        <x:f>IF(ISNUMBER(I491),1,0)</x:f>
        <x:v>0</x:v>
      </x:c>
      <x:c r="AH491" t="str">
        <x:v>["60516","60516-BK-S-K","BK","黑色"]</x:v>
      </x:c>
      <x:c r="AI491" t="n">
        <x:f>IF(ISNUMBER(G491),1,0)</x:f>
        <x:v>1</x:v>
      </x:c>
      <x:c r="AJ491" t="n">
        <x:f>IF(ISNUMBER(AD491),1,0)</x:f>
        <x:v>0</x:v>
      </x:c>
    </x:row>
    <x:row r="492" ht="30" customHeight="1">
      <x:c r="A492" s="3" t="str">
        <x:v>60516-BK-S-K-11</x:v>
      </x:c>
      <x:c r="B492" s="3" t="str">
        <x:v>3店-SANDIEX-US</x:v>
      </x:c>
      <x:c r="C492" s="3" t="str">
        <x:v>徐新怡</x:v>
      </x:c>
      <x:c r="D492" s="3" t="str">
        <x:v>60516</x:v>
      </x:c>
      <x:c r="E492" s="3" t="str">
        <x:f>IF(Z492="移出","已移出",IF(NOT(ISNUMBER(H492)),"数据待核",IF(H492=0,"断货",IF(NOT(ISNUMBER(G492)),"数据待核",IF(G492=0,"零日销待复核",IF(F492&lt;60,"补货提醒",IF(F492&lt;=90,"正常库存",IF(F492&lt;180,"促销",IF(F492&lt;=365,"红线促销","考虑清仓")))))))))</x:f>
        <x:v>断货</x:v>
      </x:c>
      <x:c r="F492" s="11" t="n">
        <x:f>IF(AND(ISNUMBER(H492),ISNUMBER(G492),G492&gt;0),H492/G492,"")</x:f>
        <x:v>0</x:v>
      </x:c>
      <x:c r="G492" s="12" t="n">
        <x:f>IF(AND(COUNT(P492:R492)=3,MIN(P492:R492)&gt;=0,P492&lt;=Q492,Q492&lt;=R492),P492/7*0.5+Q492/14*0.3+R492/30*0.2,"")</x:f>
        <x:v>0.28</x:v>
      </x:c>
      <x:c r="H492" s="10" t="n">
        <x:f>IF(ISNUMBER(U492),U492,"")</x:f>
        <x:v>0</x:v>
      </x:c>
      <x:c r="I492" s="10" t="n">
        <x:v>5</x:v>
      </x:c>
      <x:c r="J492" s="11" t="n">
        <x:f>IF(AND(Z492="共同",ISNUMBER(F492),ISNUMBER(M492)),F492-M492,"")</x:f>
        <x:v>-14.018691588785048</x:v>
      </x:c>
      <x:c r="K492" s="13" t="n">
        <x:f>IF(AND(ISNUMBER(J492),M492&lt;&gt;0),J492/M492,"")</x:f>
        <x:v>-1</x:v>
      </x:c>
      <x:c r="L492" s="10" t="str">
        <x:v>补货提醒</x:v>
      </x:c>
      <x:c r="M492" s="11" t="n">
        <x:v>14.018691588785048</x:v>
      </x:c>
      <x:c r="N492" s="10" t="n">
        <x:f>IF(AND(Z492="共同",COUNT(H492:I492)=2),H492-I492,"")</x:f>
        <x:v>-5</x:v>
      </x:c>
      <x:c r="O492" s="10" t="n">
        <x:v>29</x:v>
      </x:c>
      <x:c r="P492" s="10" t="n">
        <x:v>1</x:v>
      </x:c>
      <x:c r="Q492" s="10" t="n">
        <x:v>6</x:v>
      </x:c>
      <x:c r="R492" s="10" t="n">
        <x:v>12</x:v>
      </x:c>
      <x:c r="S492" s="10" t="n">
        <x:v>0</x:v>
      </x:c>
      <x:c r="T492" s="10" t="n">
        <x:v>0</x:v>
      </x:c>
      <x:c r="U492" s="10" t="n">
        <x:f>IF(AND(ISNUMBER(X492),X492&gt;=0,Y492&lt;&gt;1),X492,"")</x:f>
        <x:v>0</x:v>
      </x:c>
      <x:c r="V492" s="10" t="n">
        <x:v>0</x:v>
      </x:c>
      <x:c r="W492" s="10" t="n">
        <x:v>20</x:v>
      </x:c>
      <x:c r="X492" s="10" t="n">
        <x:v>0</x:v>
      </x:c>
      <x:c r="Y492" s="3" t="n">
        <x:v>0</x:v>
      </x:c>
      <x:c r="Z492" s="3" t="str">
        <x:v>共同</x:v>
      </x:c>
      <x:c r="AA492" s="3" t="str">
        <x:v>在售</x:v>
      </x:c>
      <x:c r="AB492" s="12" t="n">
        <x:f>IF(AND(Z492="共同",ISNUMBER(G492),ISNUMBER(AD492)),G492-AD492,"")</x:f>
        <x:v>-0.0766666666666666</x:v>
      </x:c>
      <x:c r="AC492" s="3" t="str"/>
      <x:c r="AD492" s="12" t="n">
        <x:v>0.35666666666666663</x:v>
      </x:c>
      <x:c r="AE492" s="3" t="str">
        <x:v>[6574,"60516-BK-S-K-11"]</x:v>
      </x:c>
      <x:c r="AF492" t="n">
        <x:f>IF(ISNUMBER(H492),1,0)</x:f>
        <x:v>1</x:v>
      </x:c>
      <x:c r="AG492" t="n">
        <x:f>IF(ISNUMBER(I492),1,0)</x:f>
        <x:v>1</x:v>
      </x:c>
      <x:c r="AH492" t="str">
        <x:v>["60516","60516-BK-S-K","BK","黑色"]</x:v>
      </x:c>
      <x:c r="AI492" t="n">
        <x:f>IF(ISNUMBER(G492),1,0)</x:f>
        <x:v>1</x:v>
      </x:c>
      <x:c r="AJ492" t="n">
        <x:f>IF(ISNUMBER(AD492),1,0)</x:f>
        <x:v>1</x:v>
      </x:c>
    </x:row>
    <x:row r="493" ht="30" customHeight="1">
      <x:c r="A493" s="3" t="str">
        <x:v>60516-BK-S-K-8.5</x:v>
      </x:c>
      <x:c r="B493" s="3" t="str">
        <x:v>3店-SANDIEX-US</x:v>
      </x:c>
      <x:c r="C493" s="3" t="str">
        <x:v>徐新怡</x:v>
      </x:c>
      <x:c r="D493" s="3" t="str">
        <x:v>60516</x:v>
      </x:c>
      <x:c r="E493" s="3" t="str">
        <x:f>IF(Z493="移出","已移出",IF(NOT(ISNUMBER(H493)),"数据待核",IF(H493=0,"断货",IF(NOT(ISNUMBER(G493)),"数据待核",IF(G493=0,"零日销待复核",IF(F493&lt;60,"补货提醒",IF(F493&lt;=90,"正常库存",IF(F493&lt;180,"促销",IF(F493&lt;=365,"红线促销","考虑清仓")))))))))</x:f>
        <x:v>断货</x:v>
      </x:c>
      <x:c r="F493" s="11" t="str">
        <x:f>IF(AND(ISNUMBER(H493),ISNUMBER(G493),G493&gt;0),H493/G493,"")</x:f>
      </x:c>
      <x:c r="G493" s="12" t="n">
        <x:f>IF(AND(COUNT(P493:R493)=3,MIN(P493:R493)&gt;=0,P493&lt;=Q493,Q493&lt;=R493),P493/7*0.5+Q493/14*0.3+R493/30*0.2,"")</x:f>
        <x:v>0</x:v>
      </x:c>
      <x:c r="H493" s="10" t="n">
        <x:f>IF(ISNUMBER(U493),U493,"")</x:f>
        <x:v>0</x:v>
      </x:c>
      <x:c r="I493" s="10"/>
      <x:c r="J493" s="11" t="str">
        <x:f>IF(AND(Z493="共同",ISNUMBER(F493),ISNUMBER(M493)),F493-M493,"")</x:f>
      </x:c>
      <x:c r="K493" s="13" t="str">
        <x:f>IF(AND(ISNUMBER(J493),M493&lt;&gt;0),J493/M493,"")</x:f>
      </x:c>
      <x:c r="L493" s="10"/>
      <x:c r="M493" s="11"/>
      <x:c r="N493" s="10" t="str">
        <x:f>IF(AND(Z493="共同",COUNT(H493:I493)=2),H493-I493,"")</x:f>
      </x:c>
      <x:c r="O493" s="10" t="n">
        <x:v>0</x:v>
      </x:c>
      <x:c r="P493" s="10" t="n">
        <x:v>0</x:v>
      </x:c>
      <x:c r="Q493" s="10" t="n">
        <x:v>0</x:v>
      </x:c>
      <x:c r="R493" s="10" t="n">
        <x:v>0</x:v>
      </x:c>
      <x:c r="S493" s="10" t="n">
        <x:v>0</x:v>
      </x:c>
      <x:c r="T493" s="10" t="n">
        <x:v>0</x:v>
      </x:c>
      <x:c r="U493" s="10" t="n">
        <x:f>IF(AND(ISNUMBER(X493),X493&gt;=0,Y493&lt;&gt;1),X493,"")</x:f>
        <x:v>0</x:v>
      </x:c>
      <x:c r="V493" s="10" t="n">
        <x:v>0</x:v>
      </x:c>
      <x:c r="W493" s="10" t="n">
        <x:v>0</x:v>
      </x:c>
      <x:c r="X493" s="10" t="n">
        <x:v>0</x:v>
      </x:c>
      <x:c r="Y493" s="3" t="n">
        <x:v>0</x:v>
      </x:c>
      <x:c r="Z493" s="3" t="str">
        <x:v>新增</x:v>
      </x:c>
      <x:c r="AA493" s="3" t="str">
        <x:v>停售</x:v>
      </x:c>
      <x:c r="AB493" s="12" t="str">
        <x:f>IF(AND(Z493="共同",ISNUMBER(G493),ISNUMBER(AD493)),G493-AD493,"")</x:f>
      </x:c>
      <x:c r="AC493" s="3" t="str">
        <x:v>近90天SKU销量未匹配，未按0处理</x:v>
      </x:c>
      <x:c r="AD493" s="12"/>
      <x:c r="AE493" s="3" t="str">
        <x:v>[6574,"60516-BK-S-K-8.5"]</x:v>
      </x:c>
      <x:c r="AF493" t="n">
        <x:f>IF(ISNUMBER(H493),1,0)</x:f>
        <x:v>1</x:v>
      </x:c>
      <x:c r="AG493" t="n">
        <x:f>IF(ISNUMBER(I493),1,0)</x:f>
        <x:v>0</x:v>
      </x:c>
      <x:c r="AH493" t="str">
        <x:v>["60516","60516-BK-S-K","BK","黑色"]</x:v>
      </x:c>
      <x:c r="AI493" t="n">
        <x:f>IF(ISNUMBER(G493),1,0)</x:f>
        <x:v>1</x:v>
      </x:c>
      <x:c r="AJ493" t="n">
        <x:f>IF(ISNUMBER(AD493),1,0)</x:f>
        <x:v>0</x:v>
      </x:c>
    </x:row>
    <x:row r="494" ht="30" customHeight="1">
      <x:c r="A494" s="3" t="str">
        <x:v>60516-BK-S-K-9.5</x:v>
      </x:c>
      <x:c r="B494" s="3" t="str">
        <x:v>3店-SANDIEX-US</x:v>
      </x:c>
      <x:c r="C494" s="3" t="str">
        <x:v>徐新怡</x:v>
      </x:c>
      <x:c r="D494" s="3" t="str">
        <x:v>60516</x:v>
      </x:c>
      <x:c r="E494" s="3" t="str">
        <x:f>IF(Z494="移出","已移出",IF(NOT(ISNUMBER(H494)),"数据待核",IF(H494=0,"断货",IF(NOT(ISNUMBER(G494)),"数据待核",IF(G494=0,"零日销待复核",IF(F494&lt;60,"补货提醒",IF(F494&lt;=90,"正常库存",IF(F494&lt;180,"促销",IF(F494&lt;=365,"红线促销","考虑清仓")))))))))</x:f>
        <x:v>断货</x:v>
      </x:c>
      <x:c r="F494" s="11" t="str">
        <x:f>IF(AND(ISNUMBER(H494),ISNUMBER(G494),G494&gt;0),H494/G494,"")</x:f>
      </x:c>
      <x:c r="G494" s="12" t="n">
        <x:f>IF(AND(COUNT(P494:R494)=3,MIN(P494:R494)&gt;=0,P494&lt;=Q494,Q494&lt;=R494),P494/7*0.5+Q494/14*0.3+R494/30*0.2,"")</x:f>
        <x:v>0</x:v>
      </x:c>
      <x:c r="H494" s="10" t="n">
        <x:f>IF(ISNUMBER(U494),U494,"")</x:f>
        <x:v>0</x:v>
      </x:c>
      <x:c r="I494" s="10"/>
      <x:c r="J494" s="11" t="str">
        <x:f>IF(AND(Z494="共同",ISNUMBER(F494),ISNUMBER(M494)),F494-M494,"")</x:f>
      </x:c>
      <x:c r="K494" s="13" t="str">
        <x:f>IF(AND(ISNUMBER(J494),M494&lt;&gt;0),J494/M494,"")</x:f>
      </x:c>
      <x:c r="L494" s="10"/>
      <x:c r="M494" s="11"/>
      <x:c r="N494" s="10" t="str">
        <x:f>IF(AND(Z494="共同",COUNT(H494:I494)=2),H494-I494,"")</x:f>
      </x:c>
      <x:c r="O494" s="10" t="n">
        <x:v>0</x:v>
      </x:c>
      <x:c r="P494" s="10" t="n">
        <x:v>0</x:v>
      </x:c>
      <x:c r="Q494" s="10" t="n">
        <x:v>0</x:v>
      </x:c>
      <x:c r="R494" s="10" t="n">
        <x:v>0</x:v>
      </x:c>
      <x:c r="S494" s="10" t="n">
        <x:v>0</x:v>
      </x:c>
      <x:c r="T494" s="10" t="n">
        <x:v>0</x:v>
      </x:c>
      <x:c r="U494" s="10" t="n">
        <x:f>IF(AND(ISNUMBER(X494),X494&gt;=0,Y494&lt;&gt;1),X494,"")</x:f>
        <x:v>0</x:v>
      </x:c>
      <x:c r="V494" s="10" t="n">
        <x:v>0</x:v>
      </x:c>
      <x:c r="W494" s="10" t="n">
        <x:v>0</x:v>
      </x:c>
      <x:c r="X494" s="10" t="n">
        <x:v>0</x:v>
      </x:c>
      <x:c r="Y494" s="3" t="n">
        <x:v>0</x:v>
      </x:c>
      <x:c r="Z494" s="3" t="str">
        <x:v>新增</x:v>
      </x:c>
      <x:c r="AA494" s="3" t="str">
        <x:v>停售</x:v>
      </x:c>
      <x:c r="AB494" s="12" t="str">
        <x:f>IF(AND(Z494="共同",ISNUMBER(G494),ISNUMBER(AD494)),G494-AD494,"")</x:f>
      </x:c>
      <x:c r="AC494" s="3" t="str">
        <x:v>近90天SKU销量未匹配，未按0处理</x:v>
      </x:c>
      <x:c r="AD494" s="12"/>
      <x:c r="AE494" s="3" t="str">
        <x:v>[6574,"60516-BK-S-K-9.5"]</x:v>
      </x:c>
      <x:c r="AF494" t="n">
        <x:f>IF(ISNUMBER(H494),1,0)</x:f>
        <x:v>1</x:v>
      </x:c>
      <x:c r="AG494" t="n">
        <x:f>IF(ISNUMBER(I494),1,0)</x:f>
        <x:v>0</x:v>
      </x:c>
      <x:c r="AH494" t="str">
        <x:v>["60516","60516-BK-S-K","BK","黑色"]</x:v>
      </x:c>
      <x:c r="AI494" t="n">
        <x:f>IF(ISNUMBER(G494),1,0)</x:f>
        <x:v>1</x:v>
      </x:c>
      <x:c r="AJ494" t="n">
        <x:f>IF(ISNUMBER(AD494),1,0)</x:f>
        <x:v>0</x:v>
      </x:c>
    </x:row>
    <x:row r="495" ht="30" customHeight="1">
      <x:c r="A495" s="3" t="str">
        <x:v>60516-LP-S-K-6.5</x:v>
      </x:c>
      <x:c r="B495" s="3" t="str">
        <x:v>3店-SANDIEX-US</x:v>
      </x:c>
      <x:c r="C495" s="3" t="str">
        <x:v>徐新怡</x:v>
      </x:c>
      <x:c r="D495" s="3" t="str">
        <x:v>60516</x:v>
      </x:c>
      <x:c r="E495" s="3" t="str">
        <x:f>IF(Z495="移出","已移出",IF(NOT(ISNUMBER(H495)),"数据待核",IF(H495=0,"断货",IF(NOT(ISNUMBER(G495)),"数据待核",IF(G495=0,"零日销待复核",IF(F495&lt;60,"补货提醒",IF(F495&lt;=90,"正常库存",IF(F495&lt;180,"促销",IF(F495&lt;=365,"红线促销","考虑清仓")))))))))</x:f>
        <x:v>断货</x:v>
      </x:c>
      <x:c r="F495" s="11" t="str">
        <x:f>IF(AND(ISNUMBER(H495),ISNUMBER(G495),G495&gt;0),H495/G495,"")</x:f>
      </x:c>
      <x:c r="G495" s="12" t="n">
        <x:f>IF(AND(COUNT(P495:R495)=3,MIN(P495:R495)&gt;=0,P495&lt;=Q495,Q495&lt;=R495),P495/7*0.5+Q495/14*0.3+R495/30*0.2,"")</x:f>
        <x:v>0</x:v>
      </x:c>
      <x:c r="H495" s="10" t="n">
        <x:f>IF(ISNUMBER(U495),U495,"")</x:f>
        <x:v>0</x:v>
      </x:c>
      <x:c r="I495" s="10"/>
      <x:c r="J495" s="11" t="str">
        <x:f>IF(AND(Z495="共同",ISNUMBER(F495),ISNUMBER(M495)),F495-M495,"")</x:f>
      </x:c>
      <x:c r="K495" s="13" t="str">
        <x:f>IF(AND(ISNUMBER(J495),M495&lt;&gt;0),J495/M495,"")</x:f>
      </x:c>
      <x:c r="L495" s="10"/>
      <x:c r="M495" s="11"/>
      <x:c r="N495" s="10" t="str">
        <x:f>IF(AND(Z495="共同",COUNT(H495:I495)=2),H495-I495,"")</x:f>
      </x:c>
      <x:c r="O495" s="10" t="n">
        <x:v>0</x:v>
      </x:c>
      <x:c r="P495" s="10" t="n">
        <x:v>0</x:v>
      </x:c>
      <x:c r="Q495" s="10" t="n">
        <x:v>0</x:v>
      </x:c>
      <x:c r="R495" s="10" t="n">
        <x:v>0</x:v>
      </x:c>
      <x:c r="S495" s="10" t="n">
        <x:v>0</x:v>
      </x:c>
      <x:c r="T495" s="10" t="n">
        <x:v>0</x:v>
      </x:c>
      <x:c r="U495" s="10" t="n">
        <x:f>IF(AND(ISNUMBER(X495),X495&gt;=0,Y495&lt;&gt;1),X495,"")</x:f>
        <x:v>0</x:v>
      </x:c>
      <x:c r="V495" s="10" t="n">
        <x:v>0</x:v>
      </x:c>
      <x:c r="W495" s="10" t="n">
        <x:v>0</x:v>
      </x:c>
      <x:c r="X495" s="10" t="n">
        <x:v>0</x:v>
      </x:c>
      <x:c r="Y495" s="3" t="n">
        <x:v>0</x:v>
      </x:c>
      <x:c r="Z495" s="3" t="str">
        <x:v>新增</x:v>
      </x:c>
      <x:c r="AA495" s="3" t="str">
        <x:v>停售</x:v>
      </x:c>
      <x:c r="AB495" s="12" t="str">
        <x:f>IF(AND(Z495="共同",ISNUMBER(G495),ISNUMBER(AD495)),G495-AD495,"")</x:f>
      </x:c>
      <x:c r="AC495" s="3" t="str">
        <x:v>近90天SKU销量未匹配，未按0处理</x:v>
      </x:c>
      <x:c r="AD495" s="12"/>
      <x:c r="AE495" s="3" t="str">
        <x:v>[6574,"60516-LP-S-K-6.5"]</x:v>
      </x:c>
      <x:c r="AF495" t="n">
        <x:f>IF(ISNUMBER(H495),1,0)</x:f>
        <x:v>1</x:v>
      </x:c>
      <x:c r="AG495" t="n">
        <x:f>IF(ISNUMBER(I495),1,0)</x:f>
        <x:v>0</x:v>
      </x:c>
      <x:c r="AH495" t="str">
        <x:v>["60516","60516-LP-S-K","LP","豹纹"]</x:v>
      </x:c>
      <x:c r="AI495" t="n">
        <x:f>IF(ISNUMBER(G495),1,0)</x:f>
        <x:v>1</x:v>
      </x:c>
      <x:c r="AJ495" t="n">
        <x:f>IF(ISNUMBER(AD495),1,0)</x:f>
        <x:v>0</x:v>
      </x:c>
    </x:row>
    <x:row r="496" ht="30" customHeight="1">
      <x:c r="A496" s="3" t="str">
        <x:v>60516-LP-S-K-7.5</x:v>
      </x:c>
      <x:c r="B496" s="3" t="str">
        <x:v>3店-SANDIEX-US</x:v>
      </x:c>
      <x:c r="C496" s="3" t="str">
        <x:v>徐新怡</x:v>
      </x:c>
      <x:c r="D496" s="3" t="str">
        <x:v>60516</x:v>
      </x:c>
      <x:c r="E496" s="3" t="str">
        <x:f>IF(Z496="移出","已移出",IF(NOT(ISNUMBER(H496)),"数据待核",IF(H496=0,"断货",IF(NOT(ISNUMBER(G496)),"数据待核",IF(G496=0,"零日销待复核",IF(F496&lt;60,"补货提醒",IF(F496&lt;=90,"正常库存",IF(F496&lt;180,"促销",IF(F496&lt;=365,"红线促销","考虑清仓")))))))))</x:f>
        <x:v>断货</x:v>
      </x:c>
      <x:c r="F496" s="11" t="n">
        <x:f>IF(AND(ISNUMBER(H496),ISNUMBER(G496),G496&gt;0),H496/G496,"")</x:f>
        <x:v>0</x:v>
      </x:c>
      <x:c r="G496" s="12" t="n">
        <x:f>IF(AND(COUNT(P496:R496)=3,MIN(P496:R496)&gt;=0,P496&lt;=Q496,Q496&lt;=R496),P496/7*0.5+Q496/14*0.3+R496/30*0.2,"")</x:f>
        <x:v>0.6133333333333333</x:v>
      </x:c>
      <x:c r="H496" s="10" t="n">
        <x:f>IF(ISNUMBER(U496),U496,"")</x:f>
        <x:v>0</x:v>
      </x:c>
      <x:c r="I496" s="10" t="n">
        <x:v>7</x:v>
      </x:c>
      <x:c r="J496" s="11" t="n">
        <x:f>IF(AND(Z496="共同",ISNUMBER(F496),ISNUMBER(M496)),F496-M496,"")</x:f>
        <x:v>-18.444165621079048</x:v>
      </x:c>
      <x:c r="K496" s="13" t="n">
        <x:f>IF(AND(ISNUMBER(J496),M496&lt;&gt;0),J496/M496,"")</x:f>
        <x:v>-1</x:v>
      </x:c>
      <x:c r="L496" s="10" t="str">
        <x:v>补货提醒</x:v>
      </x:c>
      <x:c r="M496" s="11" t="n">
        <x:v>18.444165621079048</x:v>
      </x:c>
      <x:c r="N496" s="10" t="n">
        <x:f>IF(AND(Z496="共同",COUNT(H496:I496)=2),H496-I496,"")</x:f>
        <x:v>-7</x:v>
      </x:c>
      <x:c r="O496" s="10" t="n">
        <x:v>18</x:v>
      </x:c>
      <x:c r="P496" s="10" t="n">
        <x:v>4</x:v>
      </x:c>
      <x:c r="Q496" s="10" t="n">
        <x:v>10</x:v>
      </x:c>
      <x:c r="R496" s="10" t="n">
        <x:v>17</x:v>
      </x:c>
      <x:c r="S496" s="10" t="n">
        <x:v>2</x:v>
      </x:c>
      <x:c r="T496" s="10" t="n">
        <x:v>2</x:v>
      </x:c>
      <x:c r="U496" s="10" t="n">
        <x:f>IF(AND(ISNUMBER(X496),X496&gt;=0,Y496&lt;&gt;1),X496,"")</x:f>
        <x:v>0</x:v>
      </x:c>
      <x:c r="V496" s="10" t="n">
        <x:v>0</x:v>
      </x:c>
      <x:c r="W496" s="10" t="n">
        <x:v>20</x:v>
      </x:c>
      <x:c r="X496" s="10" t="n">
        <x:v>0</x:v>
      </x:c>
      <x:c r="Y496" s="3" t="n">
        <x:v>0</x:v>
      </x:c>
      <x:c r="Z496" s="3" t="str">
        <x:v>共同</x:v>
      </x:c>
      <x:c r="AA496" s="3" t="str">
        <x:v>在售</x:v>
      </x:c>
      <x:c r="AB496" s="12" t="n">
        <x:f>IF(AND(Z496="共同",ISNUMBER(G496),ISNUMBER(AD496)),G496-AD496,"")</x:f>
        <x:v>0.2338095238095238</x:v>
      </x:c>
      <x:c r="AC496" s="3" t="str"/>
      <x:c r="AD496" s="12" t="n">
        <x:v>0.3795238095238095</x:v>
      </x:c>
      <x:c r="AE496" s="3" t="str">
        <x:v>[6574,"60516-LP-S-K-7.5"]</x:v>
      </x:c>
      <x:c r="AF496" t="n">
        <x:f>IF(ISNUMBER(H496),1,0)</x:f>
        <x:v>1</x:v>
      </x:c>
      <x:c r="AG496" t="n">
        <x:f>IF(ISNUMBER(I496),1,0)</x:f>
        <x:v>1</x:v>
      </x:c>
      <x:c r="AH496" t="str">
        <x:v>["60516","60516-LP-S-K","LP","豹纹"]</x:v>
      </x:c>
      <x:c r="AI496" t="n">
        <x:f>IF(ISNUMBER(G496),1,0)</x:f>
        <x:v>1</x:v>
      </x:c>
      <x:c r="AJ496" t="n">
        <x:f>IF(ISNUMBER(AD496),1,0)</x:f>
        <x:v>1</x:v>
      </x:c>
    </x:row>
    <x:row r="497" ht="30" customHeight="1">
      <x:c r="A497" s="3" t="str">
        <x:v>60516-LP-S-K-8.5</x:v>
      </x:c>
      <x:c r="B497" s="3" t="str">
        <x:v>3店-SANDIEX-US</x:v>
      </x:c>
      <x:c r="C497" s="3" t="str">
        <x:v>徐新怡</x:v>
      </x:c>
      <x:c r="D497" s="3" t="str">
        <x:v>60516</x:v>
      </x:c>
      <x:c r="E497" s="3" t="str">
        <x:f>IF(Z497="移出","已移出",IF(NOT(ISNUMBER(H497)),"数据待核",IF(H497=0,"断货",IF(NOT(ISNUMBER(G497)),"数据待核",IF(G497=0,"零日销待复核",IF(F497&lt;60,"补货提醒",IF(F497&lt;=90,"正常库存",IF(F497&lt;180,"促销",IF(F497&lt;=365,"红线促销","考虑清仓")))))))))</x:f>
        <x:v>断货</x:v>
      </x:c>
      <x:c r="F497" s="11" t="str">
        <x:f>IF(AND(ISNUMBER(H497),ISNUMBER(G497),G497&gt;0),H497/G497,"")</x:f>
      </x:c>
      <x:c r="G497" s="12" t="n">
        <x:f>IF(AND(COUNT(P497:R497)=3,MIN(P497:R497)&gt;=0,P497&lt;=Q497,Q497&lt;=R497),P497/7*0.5+Q497/14*0.3+R497/30*0.2,"")</x:f>
        <x:v>0</x:v>
      </x:c>
      <x:c r="H497" s="10" t="n">
        <x:f>IF(ISNUMBER(U497),U497,"")</x:f>
        <x:v>0</x:v>
      </x:c>
      <x:c r="I497" s="10" t="n">
        <x:v>0</x:v>
      </x:c>
      <x:c r="J497" s="11" t="str">
        <x:f>IF(AND(Z497="共同",ISNUMBER(F497),ISNUMBER(M497)),F497-M497,"")</x:f>
      </x:c>
      <x:c r="K497" s="13" t="str">
        <x:f>IF(AND(ISNUMBER(J497),M497&lt;&gt;0),J497/M497,"")</x:f>
      </x:c>
      <x:c r="L497" s="10" t="str">
        <x:v>断货</x:v>
      </x:c>
      <x:c r="M497" s="11" t="n">
        <x:v>0</x:v>
      </x:c>
      <x:c r="N497" s="10" t="n">
        <x:f>IF(AND(Z497="共同",COUNT(H497:I497)=2),H497-I497,"")</x:f>
        <x:v>0</x:v>
      </x:c>
      <x:c r="O497" s="10" t="n">
        <x:v>0</x:v>
      </x:c>
      <x:c r="P497" s="10" t="n">
        <x:v>0</x:v>
      </x:c>
      <x:c r="Q497" s="10" t="n">
        <x:v>0</x:v>
      </x:c>
      <x:c r="R497" s="10" t="n">
        <x:v>0</x:v>
      </x:c>
      <x:c r="S497" s="10" t="n">
        <x:v>0</x:v>
      </x:c>
      <x:c r="T497" s="10" t="n">
        <x:v>0</x:v>
      </x:c>
      <x:c r="U497" s="10" t="n">
        <x:f>IF(AND(ISNUMBER(X497),X497&gt;=0,Y497&lt;&gt;1),X497,"")</x:f>
        <x:v>0</x:v>
      </x:c>
      <x:c r="V497" s="10" t="n">
        <x:v>0</x:v>
      </x:c>
      <x:c r="W497" s="10" t="n">
        <x:v>0</x:v>
      </x:c>
      <x:c r="X497" s="10" t="n">
        <x:v>0</x:v>
      </x:c>
      <x:c r="Y497" s="3" t="n">
        <x:v>0</x:v>
      </x:c>
      <x:c r="Z497" s="3" t="str">
        <x:v>共同</x:v>
      </x:c>
      <x:c r="AA497" s="3" t="str">
        <x:v>停售</x:v>
      </x:c>
      <x:c r="AB497" s="12" t="n">
        <x:f>IF(AND(Z497="共同",ISNUMBER(G497),ISNUMBER(AD497)),G497-AD497,"")</x:f>
        <x:v>-0.013333333333333332</x:v>
      </x:c>
      <x:c r="AC497" s="3" t="str"/>
      <x:c r="AD497" s="12" t="n">
        <x:v>0.013333333333333332</x:v>
      </x:c>
      <x:c r="AE497" s="3" t="str">
        <x:v>[6574,"60516-LP-S-K-8.5"]</x:v>
      </x:c>
      <x:c r="AF497" t="n">
        <x:f>IF(ISNUMBER(H497),1,0)</x:f>
        <x:v>1</x:v>
      </x:c>
      <x:c r="AG497" t="n">
        <x:f>IF(ISNUMBER(I497),1,0)</x:f>
        <x:v>1</x:v>
      </x:c>
      <x:c r="AH497" t="str">
        <x:v>["60516","60516-LP-S-K","LP","豹纹"]</x:v>
      </x:c>
      <x:c r="AI497" t="n">
        <x:f>IF(ISNUMBER(G497),1,0)</x:f>
        <x:v>1</x:v>
      </x:c>
      <x:c r="AJ497" t="n">
        <x:f>IF(ISNUMBER(AD497),1,0)</x:f>
        <x:v>1</x:v>
      </x:c>
    </x:row>
    <x:row r="498" ht="30" customHeight="1">
      <x:c r="A498" s="3" t="str">
        <x:v>60516-ND-S-K-10</x:v>
      </x:c>
      <x:c r="B498" s="3" t="str">
        <x:v>3店-SANDIEX-US</x:v>
      </x:c>
      <x:c r="C498" s="3" t="str">
        <x:v>徐新怡</x:v>
      </x:c>
      <x:c r="D498" s="3" t="str">
        <x:v>60516</x:v>
      </x:c>
      <x:c r="E498" s="3" t="str">
        <x:f>IF(Z498="移出","已移出",IF(NOT(ISNUMBER(H498)),"数据待核",IF(H498=0,"断货",IF(NOT(ISNUMBER(G498)),"数据待核",IF(G498=0,"零日销待复核",IF(F498&lt;60,"补货提醒",IF(F498&lt;=90,"正常库存",IF(F498&lt;180,"促销",IF(F498&lt;=365,"红线促销","考虑清仓")))))))))</x:f>
        <x:v>断货</x:v>
      </x:c>
      <x:c r="F498" s="11" t="str">
        <x:f>IF(AND(ISNUMBER(H498),ISNUMBER(G498),G498&gt;0),H498/G498,"")</x:f>
      </x:c>
      <x:c r="G498" s="12" t="n">
        <x:f>IF(AND(COUNT(P498:R498)=3,MIN(P498:R498)&gt;=0,P498&lt;=Q498,Q498&lt;=R498),P498/7*0.5+Q498/14*0.3+R498/30*0.2,"")</x:f>
        <x:v>0</x:v>
      </x:c>
      <x:c r="H498" s="10" t="n">
        <x:f>IF(ISNUMBER(U498),U498,"")</x:f>
        <x:v>0</x:v>
      </x:c>
      <x:c r="I498" s="10" t="n">
        <x:v>0</x:v>
      </x:c>
      <x:c r="J498" s="11" t="str">
        <x:f>IF(AND(Z498="共同",ISNUMBER(F498),ISNUMBER(M498)),F498-M498,"")</x:f>
      </x:c>
      <x:c r="K498" s="13" t="str">
        <x:f>IF(AND(ISNUMBER(J498),M498&lt;&gt;0),J498/M498,"")</x:f>
      </x:c>
      <x:c r="L498" s="10" t="str">
        <x:v>断货</x:v>
      </x:c>
      <x:c r="M498" s="11" t="n">
        <x:v>0</x:v>
      </x:c>
      <x:c r="N498" s="10" t="n">
        <x:f>IF(AND(Z498="共同",COUNT(H498:I498)=2),H498-I498,"")</x:f>
        <x:v>0</x:v>
      </x:c>
      <x:c r="O498" s="10" t="n">
        <x:v>4</x:v>
      </x:c>
      <x:c r="P498" s="10" t="n">
        <x:v>0</x:v>
      </x:c>
      <x:c r="Q498" s="10" t="n">
        <x:v>0</x:v>
      </x:c>
      <x:c r="R498" s="10" t="n">
        <x:v>0</x:v>
      </x:c>
      <x:c r="S498" s="10" t="n">
        <x:v>0</x:v>
      </x:c>
      <x:c r="T498" s="10" t="n">
        <x:v>0</x:v>
      </x:c>
      <x:c r="U498" s="10" t="n">
        <x:f>IF(AND(ISNUMBER(X498),X498&gt;=0,Y498&lt;&gt;1),X498,"")</x:f>
        <x:v>0</x:v>
      </x:c>
      <x:c r="V498" s="10" t="n">
        <x:v>0</x:v>
      </x:c>
      <x:c r="W498" s="10" t="n">
        <x:v>0</x:v>
      </x:c>
      <x:c r="X498" s="10" t="n">
        <x:v>0</x:v>
      </x:c>
      <x:c r="Y498" s="3" t="n">
        <x:v>0</x:v>
      </x:c>
      <x:c r="Z498" s="3" t="str">
        <x:v>共同</x:v>
      </x:c>
      <x:c r="AA498" s="3" t="str">
        <x:v>停售</x:v>
      </x:c>
      <x:c r="AB498" s="12" t="n">
        <x:f>IF(AND(Z498="共同",ISNUMBER(G498),ISNUMBER(AD498)),G498-AD498,"")</x:f>
        <x:v>-0.006666666666666666</x:v>
      </x:c>
      <x:c r="AC498" s="3" t="str"/>
      <x:c r="AD498" s="12" t="n">
        <x:v>0.006666666666666666</x:v>
      </x:c>
      <x:c r="AE498" s="3" t="str">
        <x:v>[6574,"60516-ND-S-K-10"]</x:v>
      </x:c>
      <x:c r="AF498" t="n">
        <x:f>IF(ISNUMBER(H498),1,0)</x:f>
        <x:v>1</x:v>
      </x:c>
      <x:c r="AG498" t="n">
        <x:f>IF(ISNUMBER(I498),1,0)</x:f>
        <x:v>1</x:v>
      </x:c>
      <x:c r="AH498" t="str">
        <x:v>["60516","60516-ND-S-K","ND","裸色"]</x:v>
      </x:c>
      <x:c r="AI498" t="n">
        <x:f>IF(ISNUMBER(G498),1,0)</x:f>
        <x:v>1</x:v>
      </x:c>
      <x:c r="AJ498" t="n">
        <x:f>IF(ISNUMBER(AD498),1,0)</x:f>
        <x:v>1</x:v>
      </x:c>
    </x:row>
    <x:row r="499" ht="30" customHeight="1">
      <x:c r="A499" s="3" t="str">
        <x:v>60516-ND-S-K-10.5</x:v>
      </x:c>
      <x:c r="B499" s="3" t="str">
        <x:v>3店-SANDIEX-US</x:v>
      </x:c>
      <x:c r="C499" s="3" t="str">
        <x:v>徐新怡</x:v>
      </x:c>
      <x:c r="D499" s="3" t="str">
        <x:v>60516</x:v>
      </x:c>
      <x:c r="E499" s="3" t="str">
        <x:f>IF(Z499="移出","已移出",IF(NOT(ISNUMBER(H499)),"数据待核",IF(H499=0,"断货",IF(NOT(ISNUMBER(G499)),"数据待核",IF(G499=0,"零日销待复核",IF(F499&lt;60,"补货提醒",IF(F499&lt;=90,"正常库存",IF(F499&lt;180,"促销",IF(F499&lt;=365,"红线促销","考虑清仓")))))))))</x:f>
        <x:v>断货</x:v>
      </x:c>
      <x:c r="F499" s="11" t="str">
        <x:f>IF(AND(ISNUMBER(H499),ISNUMBER(G499),G499&gt;0),H499/G499,"")</x:f>
      </x:c>
      <x:c r="G499" s="12" t="n">
        <x:f>IF(AND(COUNT(P499:R499)=3,MIN(P499:R499)&gt;=0,P499&lt;=Q499,Q499&lt;=R499),P499/7*0.5+Q499/14*0.3+R499/30*0.2,"")</x:f>
        <x:v>0</x:v>
      </x:c>
      <x:c r="H499" s="10" t="n">
        <x:f>IF(ISNUMBER(U499),U499,"")</x:f>
        <x:v>0</x:v>
      </x:c>
      <x:c r="I499" s="10"/>
      <x:c r="J499" s="11" t="str">
        <x:f>IF(AND(Z499="共同",ISNUMBER(F499),ISNUMBER(M499)),F499-M499,"")</x:f>
      </x:c>
      <x:c r="K499" s="13" t="str">
        <x:f>IF(AND(ISNUMBER(J499),M499&lt;&gt;0),J499/M499,"")</x:f>
      </x:c>
      <x:c r="L499" s="10"/>
      <x:c r="M499" s="11"/>
      <x:c r="N499" s="10" t="str">
        <x:f>IF(AND(Z499="共同",COUNT(H499:I499)=2),H499-I499,"")</x:f>
      </x:c>
      <x:c r="O499" s="10" t="n">
        <x:v>1</x:v>
      </x:c>
      <x:c r="P499" s="10" t="n">
        <x:v>0</x:v>
      </x:c>
      <x:c r="Q499" s="10" t="n">
        <x:v>0</x:v>
      </x:c>
      <x:c r="R499" s="10" t="n">
        <x:v>0</x:v>
      </x:c>
      <x:c r="S499" s="10" t="n">
        <x:v>0</x:v>
      </x:c>
      <x:c r="T499" s="10" t="n">
        <x:v>0</x:v>
      </x:c>
      <x:c r="U499" s="10" t="n">
        <x:f>IF(AND(ISNUMBER(X499),X499&gt;=0,Y499&lt;&gt;1),X499,"")</x:f>
        <x:v>0</x:v>
      </x:c>
      <x:c r="V499" s="10" t="n">
        <x:v>0</x:v>
      </x:c>
      <x:c r="W499" s="10" t="n">
        <x:v>0</x:v>
      </x:c>
      <x:c r="X499" s="10" t="n">
        <x:v>0</x:v>
      </x:c>
      <x:c r="Y499" s="3" t="n">
        <x:v>0</x:v>
      </x:c>
      <x:c r="Z499" s="3" t="str">
        <x:v>新增</x:v>
      </x:c>
      <x:c r="AA499" s="3" t="str">
        <x:v>停售</x:v>
      </x:c>
      <x:c r="AB499" s="12" t="str">
        <x:f>IF(AND(Z499="共同",ISNUMBER(G499),ISNUMBER(AD499)),G499-AD499,"")</x:f>
      </x:c>
      <x:c r="AC499" s="3" t="str">
        <x:v>近90天SKU销量未匹配，未按0处理</x:v>
      </x:c>
      <x:c r="AD499" s="12"/>
      <x:c r="AE499" s="3" t="str">
        <x:v>[6574,"60516-ND-S-K-10.5"]</x:v>
      </x:c>
      <x:c r="AF499" t="n">
        <x:f>IF(ISNUMBER(H499),1,0)</x:f>
        <x:v>1</x:v>
      </x:c>
      <x:c r="AG499" t="n">
        <x:f>IF(ISNUMBER(I499),1,0)</x:f>
        <x:v>0</x:v>
      </x:c>
      <x:c r="AH499" t="str">
        <x:v>["60516","60516-ND-S-K","ND","裸色"]</x:v>
      </x:c>
      <x:c r="AI499" t="n">
        <x:f>IF(ISNUMBER(G499),1,0)</x:f>
        <x:v>1</x:v>
      </x:c>
      <x:c r="AJ499" t="n">
        <x:f>IF(ISNUMBER(AD499),1,0)</x:f>
        <x:v>0</x:v>
      </x:c>
    </x:row>
    <x:row r="500" ht="30" customHeight="1">
      <x:c r="A500" s="3" t="str">
        <x:v>60516-ND-S-K-11</x:v>
      </x:c>
      <x:c r="B500" s="3" t="str">
        <x:v>3店-SANDIEX-US</x:v>
      </x:c>
      <x:c r="C500" s="3" t="str">
        <x:v>徐新怡</x:v>
      </x:c>
      <x:c r="D500" s="3" t="str">
        <x:v>60516</x:v>
      </x:c>
      <x:c r="E500" s="3" t="str">
        <x:f>IF(Z500="移出","已移出",IF(NOT(ISNUMBER(H500)),"数据待核",IF(H500=0,"断货",IF(NOT(ISNUMBER(G500)),"数据待核",IF(G500=0,"零日销待复核",IF(F500&lt;60,"补货提醒",IF(F500&lt;=90,"正常库存",IF(F500&lt;180,"促销",IF(F500&lt;=365,"红线促销","考虑清仓")))))))))</x:f>
        <x:v>断货</x:v>
      </x:c>
      <x:c r="F500" s="11" t="str">
        <x:f>IF(AND(ISNUMBER(H500),ISNUMBER(G500),G500&gt;0),H500/G500,"")</x:f>
      </x:c>
      <x:c r="G500" s="12" t="n">
        <x:f>IF(AND(COUNT(P500:R500)=3,MIN(P500:R500)&gt;=0,P500&lt;=Q500,Q500&lt;=R500),P500/7*0.5+Q500/14*0.3+R500/30*0.2,"")</x:f>
        <x:v>0</x:v>
      </x:c>
      <x:c r="H500" s="10" t="n">
        <x:f>IF(ISNUMBER(U500),U500,"")</x:f>
        <x:v>0</x:v>
      </x:c>
      <x:c r="I500" s="10" t="n">
        <x:v>0</x:v>
      </x:c>
      <x:c r="J500" s="11" t="str">
        <x:f>IF(AND(Z500="共同",ISNUMBER(F500),ISNUMBER(M500)),F500-M500,"")</x:f>
      </x:c>
      <x:c r="K500" s="13" t="str">
        <x:f>IF(AND(ISNUMBER(J500),M500&lt;&gt;0),J500/M500,"")</x:f>
      </x:c>
      <x:c r="L500" s="10" t="str">
        <x:v>断货</x:v>
      </x:c>
      <x:c r="M500" s="11"/>
      <x:c r="N500" s="10" t="n">
        <x:f>IF(AND(Z500="共同",COUNT(H500:I500)=2),H500-I500,"")</x:f>
        <x:v>0</x:v>
      </x:c>
      <x:c r="O500" s="10" t="n">
        <x:v>1</x:v>
      </x:c>
      <x:c r="P500" s="10" t="n">
        <x:v>0</x:v>
      </x:c>
      <x:c r="Q500" s="10" t="n">
        <x:v>0</x:v>
      </x:c>
      <x:c r="R500" s="10" t="n">
        <x:v>0</x:v>
      </x:c>
      <x:c r="S500" s="10" t="n">
        <x:v>0</x:v>
      </x:c>
      <x:c r="T500" s="10" t="n">
        <x:v>0</x:v>
      </x:c>
      <x:c r="U500" s="10" t="n">
        <x:f>IF(AND(ISNUMBER(X500),X500&gt;=0,Y500&lt;&gt;1),X500,"")</x:f>
        <x:v>0</x:v>
      </x:c>
      <x:c r="V500" s="10" t="n">
        <x:v>0</x:v>
      </x:c>
      <x:c r="W500" s="10" t="n">
        <x:v>0</x:v>
      </x:c>
      <x:c r="X500" s="10" t="n">
        <x:v>0</x:v>
      </x:c>
      <x:c r="Y500" s="3" t="n">
        <x:v>0</x:v>
      </x:c>
      <x:c r="Z500" s="3" t="str">
        <x:v>共同</x:v>
      </x:c>
      <x:c r="AA500" s="3" t="str">
        <x:v>停售</x:v>
      </x:c>
      <x:c r="AB500" s="12" t="n">
        <x:f>IF(AND(Z500="共同",ISNUMBER(G500),ISNUMBER(AD500)),G500-AD500,"")</x:f>
        <x:v>0</x:v>
      </x:c>
      <x:c r="AC500" s="3" t="str"/>
      <x:c r="AD500" s="12" t="n">
        <x:v>0</x:v>
      </x:c>
      <x:c r="AE500" s="3" t="str">
        <x:v>[6574,"60516-ND-S-K-11"]</x:v>
      </x:c>
      <x:c r="AF500" t="n">
        <x:f>IF(ISNUMBER(H500),1,0)</x:f>
        <x:v>1</x:v>
      </x:c>
      <x:c r="AG500" t="n">
        <x:f>IF(ISNUMBER(I500),1,0)</x:f>
        <x:v>1</x:v>
      </x:c>
      <x:c r="AH500" t="str">
        <x:v>["60516","60516-ND-S-K","ND","裸色"]</x:v>
      </x:c>
      <x:c r="AI500" t="n">
        <x:f>IF(ISNUMBER(G500),1,0)</x:f>
        <x:v>1</x:v>
      </x:c>
      <x:c r="AJ500" t="n">
        <x:f>IF(ISNUMBER(AD500),1,0)</x:f>
        <x:v>1</x:v>
      </x:c>
    </x:row>
    <x:row r="501" ht="30" customHeight="1">
      <x:c r="A501" s="3" t="str">
        <x:v>60516-ND-S-K-8.5</x:v>
      </x:c>
      <x:c r="B501" s="3" t="str">
        <x:v>3店-SANDIEX-US</x:v>
      </x:c>
      <x:c r="C501" s="3" t="str">
        <x:v>徐新怡</x:v>
      </x:c>
      <x:c r="D501" s="3" t="str">
        <x:v>60516</x:v>
      </x:c>
      <x:c r="E501" s="3" t="str">
        <x:f>IF(Z501="移出","已移出",IF(NOT(ISNUMBER(H501)),"数据待核",IF(H501=0,"断货",IF(NOT(ISNUMBER(G501)),"数据待核",IF(G501=0,"零日销待复核",IF(F501&lt;60,"补货提醒",IF(F501&lt;=90,"正常库存",IF(F501&lt;180,"促销",IF(F501&lt;=365,"红线促销","考虑清仓")))))))))</x:f>
        <x:v>断货</x:v>
      </x:c>
      <x:c r="F501" s="11" t="str">
        <x:f>IF(AND(ISNUMBER(H501),ISNUMBER(G501),G501&gt;0),H501/G501,"")</x:f>
      </x:c>
      <x:c r="G501" s="12" t="n">
        <x:f>IF(AND(COUNT(P501:R501)=3,MIN(P501:R501)&gt;=0,P501&lt;=Q501,Q501&lt;=R501),P501/7*0.5+Q501/14*0.3+R501/30*0.2,"")</x:f>
        <x:v>0</x:v>
      </x:c>
      <x:c r="H501" s="10" t="n">
        <x:f>IF(ISNUMBER(U501),U501,"")</x:f>
        <x:v>0</x:v>
      </x:c>
      <x:c r="I501" s="10"/>
      <x:c r="J501" s="11" t="str">
        <x:f>IF(AND(Z501="共同",ISNUMBER(F501),ISNUMBER(M501)),F501-M501,"")</x:f>
      </x:c>
      <x:c r="K501" s="13" t="str">
        <x:f>IF(AND(ISNUMBER(J501),M501&lt;&gt;0),J501/M501,"")</x:f>
      </x:c>
      <x:c r="L501" s="10"/>
      <x:c r="M501" s="11"/>
      <x:c r="N501" s="10" t="str">
        <x:f>IF(AND(Z501="共同",COUNT(H501:I501)=2),H501-I501,"")</x:f>
      </x:c>
      <x:c r="O501" s="10" t="n">
        <x:v>0</x:v>
      </x:c>
      <x:c r="P501" s="10" t="n">
        <x:v>0</x:v>
      </x:c>
      <x:c r="Q501" s="10" t="n">
        <x:v>0</x:v>
      </x:c>
      <x:c r="R501" s="10" t="n">
        <x:v>0</x:v>
      </x:c>
      <x:c r="S501" s="10" t="n">
        <x:v>0</x:v>
      </x:c>
      <x:c r="T501" s="10" t="n">
        <x:v>0</x:v>
      </x:c>
      <x:c r="U501" s="10" t="n">
        <x:f>IF(AND(ISNUMBER(X501),X501&gt;=0,Y501&lt;&gt;1),X501,"")</x:f>
        <x:v>0</x:v>
      </x:c>
      <x:c r="V501" s="10" t="n">
        <x:v>0</x:v>
      </x:c>
      <x:c r="W501" s="10" t="n">
        <x:v>0</x:v>
      </x:c>
      <x:c r="X501" s="10" t="n">
        <x:v>0</x:v>
      </x:c>
      <x:c r="Y501" s="3" t="n">
        <x:v>0</x:v>
      </x:c>
      <x:c r="Z501" s="3" t="str">
        <x:v>新增</x:v>
      </x:c>
      <x:c r="AA501" s="3" t="str">
        <x:v>停售</x:v>
      </x:c>
      <x:c r="AB501" s="12" t="str">
        <x:f>IF(AND(Z501="共同",ISNUMBER(G501),ISNUMBER(AD501)),G501-AD501,"")</x:f>
      </x:c>
      <x:c r="AC501" s="3" t="str">
        <x:v>近90天SKU销量未匹配，未按0处理</x:v>
      </x:c>
      <x:c r="AD501" s="12"/>
      <x:c r="AE501" s="3" t="str">
        <x:v>[6574,"60516-ND-S-K-8.5"]</x:v>
      </x:c>
      <x:c r="AF501" t="n">
        <x:f>IF(ISNUMBER(H501),1,0)</x:f>
        <x:v>1</x:v>
      </x:c>
      <x:c r="AG501" t="n">
        <x:f>IF(ISNUMBER(I501),1,0)</x:f>
        <x:v>0</x:v>
      </x:c>
      <x:c r="AH501" t="str">
        <x:v>["60516","60516-ND-S-K","ND","裸色"]</x:v>
      </x:c>
      <x:c r="AI501" t="n">
        <x:f>IF(ISNUMBER(G501),1,0)</x:f>
        <x:v>1</x:v>
      </x:c>
      <x:c r="AJ501" t="n">
        <x:f>IF(ISNUMBER(AD501),1,0)</x:f>
        <x:v>0</x:v>
      </x:c>
    </x:row>
    <x:row r="502" ht="30" customHeight="1">
      <x:c r="A502" s="3" t="str">
        <x:v>60516-ND-S-K-9.5</x:v>
      </x:c>
      <x:c r="B502" s="3" t="str">
        <x:v>3店-SANDIEX-US</x:v>
      </x:c>
      <x:c r="C502" s="3" t="str">
        <x:v>徐新怡</x:v>
      </x:c>
      <x:c r="D502" s="3" t="str">
        <x:v>60516</x:v>
      </x:c>
      <x:c r="E502" s="3" t="str">
        <x:f>IF(Z502="移出","已移出",IF(NOT(ISNUMBER(H502)),"数据待核",IF(H502=0,"断货",IF(NOT(ISNUMBER(G502)),"数据待核",IF(G502=0,"零日销待复核",IF(F502&lt;60,"补货提醒",IF(F502&lt;=90,"正常库存",IF(F502&lt;180,"促销",IF(F502&lt;=365,"红线促销","考虑清仓")))))))))</x:f>
        <x:v>断货</x:v>
      </x:c>
      <x:c r="F502" s="11" t="str">
        <x:f>IF(AND(ISNUMBER(H502),ISNUMBER(G502),G502&gt;0),H502/G502,"")</x:f>
      </x:c>
      <x:c r="G502" s="12" t="n">
        <x:f>IF(AND(COUNT(P502:R502)=3,MIN(P502:R502)&gt;=0,P502&lt;=Q502,Q502&lt;=R502),P502/7*0.5+Q502/14*0.3+R502/30*0.2,"")</x:f>
        <x:v>0</x:v>
      </x:c>
      <x:c r="H502" s="10" t="n">
        <x:f>IF(ISNUMBER(U502),U502,"")</x:f>
        <x:v>0</x:v>
      </x:c>
      <x:c r="I502" s="10"/>
      <x:c r="J502" s="11" t="str">
        <x:f>IF(AND(Z502="共同",ISNUMBER(F502),ISNUMBER(M502)),F502-M502,"")</x:f>
      </x:c>
      <x:c r="K502" s="13" t="str">
        <x:f>IF(AND(ISNUMBER(J502),M502&lt;&gt;0),J502/M502,"")</x:f>
      </x:c>
      <x:c r="L502" s="10"/>
      <x:c r="M502" s="11"/>
      <x:c r="N502" s="10" t="str">
        <x:f>IF(AND(Z502="共同",COUNT(H502:I502)=2),H502-I502,"")</x:f>
      </x:c>
      <x:c r="O502" s="10" t="n">
        <x:v>0</x:v>
      </x:c>
      <x:c r="P502" s="10" t="n">
        <x:v>0</x:v>
      </x:c>
      <x:c r="Q502" s="10" t="n">
        <x:v>0</x:v>
      </x:c>
      <x:c r="R502" s="10" t="n">
        <x:v>0</x:v>
      </x:c>
      <x:c r="S502" s="10" t="n">
        <x:v>0</x:v>
      </x:c>
      <x:c r="T502" s="10" t="n">
        <x:v>0</x:v>
      </x:c>
      <x:c r="U502" s="10" t="n">
        <x:f>IF(AND(ISNUMBER(X502),X502&gt;=0,Y502&lt;&gt;1),X502,"")</x:f>
        <x:v>0</x:v>
      </x:c>
      <x:c r="V502" s="10" t="n">
        <x:v>0</x:v>
      </x:c>
      <x:c r="W502" s="10" t="n">
        <x:v>0</x:v>
      </x:c>
      <x:c r="X502" s="10" t="n">
        <x:v>0</x:v>
      </x:c>
      <x:c r="Y502" s="3" t="n">
        <x:v>0</x:v>
      </x:c>
      <x:c r="Z502" s="3" t="str">
        <x:v>新增</x:v>
      </x:c>
      <x:c r="AA502" s="3" t="str">
        <x:v>停售</x:v>
      </x:c>
      <x:c r="AB502" s="12" t="str">
        <x:f>IF(AND(Z502="共同",ISNUMBER(G502),ISNUMBER(AD502)),G502-AD502,"")</x:f>
      </x:c>
      <x:c r="AC502" s="3" t="str">
        <x:v>近90天SKU销量未匹配，未按0处理</x:v>
      </x:c>
      <x:c r="AD502" s="12"/>
      <x:c r="AE502" s="3" t="str">
        <x:v>[6574,"60516-ND-S-K-9.5"]</x:v>
      </x:c>
      <x:c r="AF502" t="n">
        <x:f>IF(ISNUMBER(H502),1,0)</x:f>
        <x:v>1</x:v>
      </x:c>
      <x:c r="AG502" t="n">
        <x:f>IF(ISNUMBER(I502),1,0)</x:f>
        <x:v>0</x:v>
      </x:c>
      <x:c r="AH502" t="str">
        <x:v>["60516","60516-ND-S-K","ND","裸色"]</x:v>
      </x:c>
      <x:c r="AI502" t="n">
        <x:f>IF(ISNUMBER(G502),1,0)</x:f>
        <x:v>1</x:v>
      </x:c>
      <x:c r="AJ502" t="n">
        <x:f>IF(ISNUMBER(AD502),1,0)</x:f>
        <x:v>0</x:v>
      </x:c>
    </x:row>
    <x:row r="503" ht="30" customHeight="1">
      <x:c r="A503" s="3" t="str">
        <x:v>60516-NY-S-K-10</x:v>
      </x:c>
      <x:c r="B503" s="3" t="str">
        <x:v>3店-SANDIEX-US</x:v>
      </x:c>
      <x:c r="C503" s="3" t="str">
        <x:v>徐新怡</x:v>
      </x:c>
      <x:c r="D503" s="3" t="str">
        <x:v>60516</x:v>
      </x:c>
      <x:c r="E503" s="3" t="str">
        <x:f>IF(Z503="移出","已移出",IF(NOT(ISNUMBER(H503)),"数据待核",IF(H503=0,"断货",IF(NOT(ISNUMBER(G503)),"数据待核",IF(G503=0,"零日销待复核",IF(F503&lt;60,"补货提醒",IF(F503&lt;=90,"正常库存",IF(F503&lt;180,"促销",IF(F503&lt;=365,"红线促销","考虑清仓")))))))))</x:f>
        <x:v>断货</x:v>
      </x:c>
      <x:c r="F503" s="11" t="n">
        <x:f>IF(AND(ISNUMBER(H503),ISNUMBER(G503),G503&gt;0),H503/G503,"")</x:f>
        <x:v>0</x:v>
      </x:c>
      <x:c r="G503" s="12" t="n">
        <x:f>IF(AND(COUNT(P503:R503)=3,MIN(P503:R503)&gt;=0,P503&lt;=Q503,Q503&lt;=R503),P503/7*0.5+Q503/14*0.3+R503/30*0.2,"")</x:f>
        <x:v>0.21238095238095236</x:v>
      </x:c>
      <x:c r="H503" s="10" t="n">
        <x:f>IF(ISNUMBER(U503),U503,"")</x:f>
        <x:v>0</x:v>
      </x:c>
      <x:c r="I503" s="10" t="n">
        <x:v>3</x:v>
      </x:c>
      <x:c r="J503" s="11" t="n">
        <x:f>IF(AND(Z503="共同",ISNUMBER(F503),ISNUMBER(M503)),F503-M503,"")</x:f>
        <x:v>-21.283783783783786</x:v>
      </x:c>
      <x:c r="K503" s="13" t="n">
        <x:f>IF(AND(ISNUMBER(J503),M503&lt;&gt;0),J503/M503,"")</x:f>
        <x:v>-1</x:v>
      </x:c>
      <x:c r="L503" s="10" t="str">
        <x:v>补货提醒</x:v>
      </x:c>
      <x:c r="M503" s="11" t="n">
        <x:v>21.283783783783786</x:v>
      </x:c>
      <x:c r="N503" s="10" t="n">
        <x:f>IF(AND(Z503="共同",COUNT(H503:I503)=2),H503-I503,"")</x:f>
        <x:v>-3</x:v>
      </x:c>
      <x:c r="O503" s="10" t="n">
        <x:v>0</x:v>
      </x:c>
      <x:c r="P503" s="10" t="n">
        <x:v>2</x:v>
      </x:c>
      <x:c r="Q503" s="10" t="n">
        <x:v>2</x:v>
      </x:c>
      <x:c r="R503" s="10" t="n">
        <x:v>4</x:v>
      </x:c>
      <x:c r="S503" s="10" t="n">
        <x:v>2</x:v>
      </x:c>
      <x:c r="T503" s="10" t="n">
        <x:v>2</x:v>
      </x:c>
      <x:c r="U503" s="10" t="n">
        <x:f>IF(AND(ISNUMBER(X503),X503&gt;=0,Y503&lt;&gt;1),X503,"")</x:f>
        <x:v>0</x:v>
      </x:c>
      <x:c r="V503" s="10" t="n">
        <x:v>0</x:v>
      </x:c>
      <x:c r="W503" s="10" t="n">
        <x:v>0</x:v>
      </x:c>
      <x:c r="X503" s="10" t="n">
        <x:v>0</x:v>
      </x:c>
      <x:c r="Y503" s="3" t="n">
        <x:v>0</x:v>
      </x:c>
      <x:c r="Z503" s="3" t="str">
        <x:v>共同</x:v>
      </x:c>
      <x:c r="AA503" s="3" t="str">
        <x:v>在售</x:v>
      </x:c>
      <x:c r="AB503" s="12" t="n">
        <x:f>IF(AND(Z503="共同",ISNUMBER(G503),ISNUMBER(AD503)),G503-AD503,"")</x:f>
        <x:v>0.07142857142857142</x:v>
      </x:c>
      <x:c r="AC503" s="3" t="str"/>
      <x:c r="AD503" s="12" t="n">
        <x:v>0.14095238095238094</x:v>
      </x:c>
      <x:c r="AE503" s="3" t="str">
        <x:v>[6574,"60516-NY-S-K-10"]</x:v>
      </x:c>
      <x:c r="AF503" t="n">
        <x:f>IF(ISNUMBER(H503),1,0)</x:f>
        <x:v>1</x:v>
      </x:c>
      <x:c r="AG503" t="n">
        <x:f>IF(ISNUMBER(I503),1,0)</x:f>
        <x:v>1</x:v>
      </x:c>
      <x:c r="AH503" t="str">
        <x:v>["60516","60516-NY-S-K","NY","藏青色"]</x:v>
      </x:c>
      <x:c r="AI503" t="n">
        <x:f>IF(ISNUMBER(G503),1,0)</x:f>
        <x:v>1</x:v>
      </x:c>
      <x:c r="AJ503" t="n">
        <x:f>IF(ISNUMBER(AD503),1,0)</x:f>
        <x:v>1</x:v>
      </x:c>
    </x:row>
    <x:row r="504" ht="30" customHeight="1">
      <x:c r="A504" s="3" t="str">
        <x:v>60516-NY-S-K-10.5</x:v>
      </x:c>
      <x:c r="B504" s="3" t="str">
        <x:v>3店-SANDIEX-US</x:v>
      </x:c>
      <x:c r="C504" s="3" t="str">
        <x:v>徐新怡</x:v>
      </x:c>
      <x:c r="D504" s="3" t="str">
        <x:v>60516</x:v>
      </x:c>
      <x:c r="E504" s="3" t="str">
        <x:f>IF(Z504="移出","已移出",IF(NOT(ISNUMBER(H504)),"数据待核",IF(H504=0,"断货",IF(NOT(ISNUMBER(G504)),"数据待核",IF(G504=0,"零日销待复核",IF(F504&lt;60,"补货提醒",IF(F504&lt;=90,"正常库存",IF(F504&lt;180,"促销",IF(F504&lt;=365,"红线促销","考虑清仓")))))))))</x:f>
        <x:v>断货</x:v>
      </x:c>
      <x:c r="F504" s="11" t="str">
        <x:f>IF(AND(ISNUMBER(H504),ISNUMBER(G504),G504&gt;0),H504/G504,"")</x:f>
      </x:c>
      <x:c r="G504" s="12" t="n">
        <x:f>IF(AND(COUNT(P504:R504)=3,MIN(P504:R504)&gt;=0,P504&lt;=Q504,Q504&lt;=R504),P504/7*0.5+Q504/14*0.3+R504/30*0.2,"")</x:f>
        <x:v>0</x:v>
      </x:c>
      <x:c r="H504" s="10" t="n">
        <x:f>IF(ISNUMBER(U504),U504,"")</x:f>
        <x:v>0</x:v>
      </x:c>
      <x:c r="I504" s="10"/>
      <x:c r="J504" s="11" t="str">
        <x:f>IF(AND(Z504="共同",ISNUMBER(F504),ISNUMBER(M504)),F504-M504,"")</x:f>
      </x:c>
      <x:c r="K504" s="13" t="str">
        <x:f>IF(AND(ISNUMBER(J504),M504&lt;&gt;0),J504/M504,"")</x:f>
      </x:c>
      <x:c r="L504" s="10"/>
      <x:c r="M504" s="11"/>
      <x:c r="N504" s="10" t="str">
        <x:f>IF(AND(Z504="共同",COUNT(H504:I504)=2),H504-I504,"")</x:f>
      </x:c>
      <x:c r="O504" s="10" t="n">
        <x:v>2</x:v>
      </x:c>
      <x:c r="P504" s="10" t="n">
        <x:v>0</x:v>
      </x:c>
      <x:c r="Q504" s="10" t="n">
        <x:v>0</x:v>
      </x:c>
      <x:c r="R504" s="10" t="n">
        <x:v>0</x:v>
      </x:c>
      <x:c r="S504" s="10" t="n">
        <x:v>0</x:v>
      </x:c>
      <x:c r="T504" s="10" t="n">
        <x:v>0</x:v>
      </x:c>
      <x:c r="U504" s="10" t="n">
        <x:f>IF(AND(ISNUMBER(X504),X504&gt;=0,Y504&lt;&gt;1),X504,"")</x:f>
        <x:v>0</x:v>
      </x:c>
      <x:c r="V504" s="10" t="n">
        <x:v>0</x:v>
      </x:c>
      <x:c r="W504" s="10" t="n">
        <x:v>0</x:v>
      </x:c>
      <x:c r="X504" s="10" t="n">
        <x:v>0</x:v>
      </x:c>
      <x:c r="Y504" s="3" t="n">
        <x:v>0</x:v>
      </x:c>
      <x:c r="Z504" s="3" t="str">
        <x:v>新增</x:v>
      </x:c>
      <x:c r="AA504" s="3" t="str">
        <x:v>停售</x:v>
      </x:c>
      <x:c r="AB504" s="12" t="str">
        <x:f>IF(AND(Z504="共同",ISNUMBER(G504),ISNUMBER(AD504)),G504-AD504,"")</x:f>
      </x:c>
      <x:c r="AC504" s="3" t="str">
        <x:v>近90天SKU销量未匹配，未按0处理</x:v>
      </x:c>
      <x:c r="AD504" s="12"/>
      <x:c r="AE504" s="3" t="str">
        <x:v>[6574,"60516-NY-S-K-10.5"]</x:v>
      </x:c>
      <x:c r="AF504" t="n">
        <x:f>IF(ISNUMBER(H504),1,0)</x:f>
        <x:v>1</x:v>
      </x:c>
      <x:c r="AG504" t="n">
        <x:f>IF(ISNUMBER(I504),1,0)</x:f>
        <x:v>0</x:v>
      </x:c>
      <x:c r="AH504" t="str">
        <x:v>["60516","60516-NY-S-K","NY","藏青色"]</x:v>
      </x:c>
      <x:c r="AI504" t="n">
        <x:f>IF(ISNUMBER(G504),1,0)</x:f>
        <x:v>1</x:v>
      </x:c>
      <x:c r="AJ504" t="n">
        <x:f>IF(ISNUMBER(AD504),1,0)</x:f>
        <x:v>0</x:v>
      </x:c>
    </x:row>
    <x:row r="505" ht="30" customHeight="1">
      <x:c r="A505" s="3" t="str">
        <x:v>60516-NY-S-K-11</x:v>
      </x:c>
      <x:c r="B505" s="3" t="str">
        <x:v>3店-SANDIEX-US</x:v>
      </x:c>
      <x:c r="C505" s="3" t="str">
        <x:v>徐新怡</x:v>
      </x:c>
      <x:c r="D505" s="3" t="str">
        <x:v>60516</x:v>
      </x:c>
      <x:c r="E505" s="3" t="str">
        <x:f>IF(Z505="移出","已移出",IF(NOT(ISNUMBER(H505)),"数据待核",IF(H505=0,"断货",IF(NOT(ISNUMBER(G505)),"数据待核",IF(G505=0,"零日销待复核",IF(F505&lt;60,"补货提醒",IF(F505&lt;=90,"正常库存",IF(F505&lt;180,"促销",IF(F505&lt;=365,"红线促销","考虑清仓")))))))))</x:f>
        <x:v>断货</x:v>
      </x:c>
      <x:c r="F505" s="11" t="str">
        <x:f>IF(AND(ISNUMBER(H505),ISNUMBER(G505),G505&gt;0),H505/G505,"")</x:f>
      </x:c>
      <x:c r="G505" s="12" t="n">
        <x:f>IF(AND(COUNT(P505:R505)=3,MIN(P505:R505)&gt;=0,P505&lt;=Q505,Q505&lt;=R505),P505/7*0.5+Q505/14*0.3+R505/30*0.2,"")</x:f>
        <x:v>0</x:v>
      </x:c>
      <x:c r="H505" s="10" t="n">
        <x:f>IF(ISNUMBER(U505),U505,"")</x:f>
        <x:v>0</x:v>
      </x:c>
      <x:c r="I505" s="10" t="n">
        <x:v>0</x:v>
      </x:c>
      <x:c r="J505" s="11" t="str">
        <x:f>IF(AND(Z505="共同",ISNUMBER(F505),ISNUMBER(M505)),F505-M505,"")</x:f>
      </x:c>
      <x:c r="K505" s="13" t="str">
        <x:f>IF(AND(ISNUMBER(J505),M505&lt;&gt;0),J505/M505,"")</x:f>
      </x:c>
      <x:c r="L505" s="10" t="str">
        <x:v>断货</x:v>
      </x:c>
      <x:c r="M505" s="11"/>
      <x:c r="N505" s="10" t="n">
        <x:f>IF(AND(Z505="共同",COUNT(H505:I505)=2),H505-I505,"")</x:f>
        <x:v>0</x:v>
      </x:c>
      <x:c r="O505" s="10" t="n">
        <x:v>0</x:v>
      </x:c>
      <x:c r="P505" s="10" t="n">
        <x:v>0</x:v>
      </x:c>
      <x:c r="Q505" s="10" t="n">
        <x:v>0</x:v>
      </x:c>
      <x:c r="R505" s="10" t="n">
        <x:v>0</x:v>
      </x:c>
      <x:c r="S505" s="10" t="n">
        <x:v>0</x:v>
      </x:c>
      <x:c r="T505" s="10" t="n">
        <x:v>0</x:v>
      </x:c>
      <x:c r="U505" s="10" t="n">
        <x:f>IF(AND(ISNUMBER(X505),X505&gt;=0,Y505&lt;&gt;1),X505,"")</x:f>
        <x:v>0</x:v>
      </x:c>
      <x:c r="V505" s="10" t="n">
        <x:v>0</x:v>
      </x:c>
      <x:c r="W505" s="10" t="n">
        <x:v>0</x:v>
      </x:c>
      <x:c r="X505" s="10" t="n">
        <x:v>0</x:v>
      </x:c>
      <x:c r="Y505" s="3" t="n">
        <x:v>0</x:v>
      </x:c>
      <x:c r="Z505" s="3" t="str">
        <x:v>共同</x:v>
      </x:c>
      <x:c r="AA505" s="3" t="str">
        <x:v>停售</x:v>
      </x:c>
      <x:c r="AB505" s="12" t="str">
        <x:f>IF(AND(Z505="共同",ISNUMBER(G505),ISNUMBER(AD505)),G505-AD505,"")</x:f>
      </x:c>
      <x:c r="AC505" s="3" t="str">
        <x:v>近90天SKU销量未匹配，未按0处理</x:v>
      </x:c>
      <x:c r="AD505" s="12"/>
      <x:c r="AE505" s="3" t="str">
        <x:v>[6574,"60516-NY-S-K-11"]</x:v>
      </x:c>
      <x:c r="AF505" t="n">
        <x:f>IF(ISNUMBER(H505),1,0)</x:f>
        <x:v>1</x:v>
      </x:c>
      <x:c r="AG505" t="n">
        <x:f>IF(ISNUMBER(I505),1,0)</x:f>
        <x:v>1</x:v>
      </x:c>
      <x:c r="AH505" t="str">
        <x:v>["60516","60516-NY-S-K","NY","藏青色"]</x:v>
      </x:c>
      <x:c r="AI505" t="n">
        <x:f>IF(ISNUMBER(G505),1,0)</x:f>
        <x:v>1</x:v>
      </x:c>
      <x:c r="AJ505" t="n">
        <x:f>IF(ISNUMBER(AD505),1,0)</x:f>
        <x:v>0</x:v>
      </x:c>
    </x:row>
    <x:row r="506" ht="30" customHeight="1">
      <x:c r="A506" s="3" t="str">
        <x:v>60516-NY-S-K-6</x:v>
      </x:c>
      <x:c r="B506" s="3" t="str">
        <x:v>3店-SANDIEX-US</x:v>
      </x:c>
      <x:c r="C506" s="3" t="str">
        <x:v>徐新怡</x:v>
      </x:c>
      <x:c r="D506" s="3" t="str">
        <x:v>60516</x:v>
      </x:c>
      <x:c r="E506" s="3" t="str">
        <x:f>IF(Z506="移出","已移出",IF(NOT(ISNUMBER(H506)),"数据待核",IF(H506=0,"断货",IF(NOT(ISNUMBER(G506)),"数据待核",IF(G506=0,"零日销待复核",IF(F506&lt;60,"补货提醒",IF(F506&lt;=90,"正常库存",IF(F506&lt;180,"促销",IF(F506&lt;=365,"红线促销","考虑清仓")))))))))</x:f>
        <x:v>断货</x:v>
      </x:c>
      <x:c r="F506" s="11" t="str">
        <x:f>IF(AND(ISNUMBER(H506),ISNUMBER(G506),G506&gt;0),H506/G506,"")</x:f>
      </x:c>
      <x:c r="G506" s="12" t="n">
        <x:f>IF(AND(COUNT(P506:R506)=3,MIN(P506:R506)&gt;=0,P506&lt;=Q506,Q506&lt;=R506),P506/7*0.5+Q506/14*0.3+R506/30*0.2,"")</x:f>
        <x:v>0</x:v>
      </x:c>
      <x:c r="H506" s="10" t="n">
        <x:f>IF(ISNUMBER(U506),U506,"")</x:f>
        <x:v>0</x:v>
      </x:c>
      <x:c r="I506" s="10" t="n">
        <x:v>0</x:v>
      </x:c>
      <x:c r="J506" s="11" t="str">
        <x:f>IF(AND(Z506="共同",ISNUMBER(F506),ISNUMBER(M506)),F506-M506,"")</x:f>
      </x:c>
      <x:c r="K506" s="13" t="str">
        <x:f>IF(AND(ISNUMBER(J506),M506&lt;&gt;0),J506/M506,"")</x:f>
      </x:c>
      <x:c r="L506" s="10" t="str">
        <x:v>断货</x:v>
      </x:c>
      <x:c r="M506" s="11"/>
      <x:c r="N506" s="10" t="n">
        <x:f>IF(AND(Z506="共同",COUNT(H506:I506)=2),H506-I506,"")</x:f>
        <x:v>0</x:v>
      </x:c>
      <x:c r="O506" s="10" t="n">
        <x:v>0</x:v>
      </x:c>
      <x:c r="P506" s="10" t="n">
        <x:v>0</x:v>
      </x:c>
      <x:c r="Q506" s="10" t="n">
        <x:v>0</x:v>
      </x:c>
      <x:c r="R506" s="10" t="n">
        <x:v>0</x:v>
      </x:c>
      <x:c r="S506" s="10" t="n">
        <x:v>0</x:v>
      </x:c>
      <x:c r="T506" s="10" t="n">
        <x:v>0</x:v>
      </x:c>
      <x:c r="U506" s="10" t="n">
        <x:f>IF(AND(ISNUMBER(X506),X506&gt;=0,Y506&lt;&gt;1),X506,"")</x:f>
        <x:v>0</x:v>
      </x:c>
      <x:c r="V506" s="10" t="n">
        <x:v>0</x:v>
      </x:c>
      <x:c r="W506" s="10" t="n">
        <x:v>0</x:v>
      </x:c>
      <x:c r="X506" s="10" t="n">
        <x:v>0</x:v>
      </x:c>
      <x:c r="Y506" s="3" t="n">
        <x:v>0</x:v>
      </x:c>
      <x:c r="Z506" s="3" t="str">
        <x:v>共同</x:v>
      </x:c>
      <x:c r="AA506" s="3" t="str">
        <x:v>停售</x:v>
      </x:c>
      <x:c r="AB506" s="12" t="str">
        <x:f>IF(AND(Z506="共同",ISNUMBER(G506),ISNUMBER(AD506)),G506-AD506,"")</x:f>
      </x:c>
      <x:c r="AC506" s="3" t="str">
        <x:v>近90天SKU销量未匹配，未按0处理</x:v>
      </x:c>
      <x:c r="AD506" s="12"/>
      <x:c r="AE506" s="3" t="str">
        <x:v>[6574,"60516-NY-S-K-6"]</x:v>
      </x:c>
      <x:c r="AF506" t="n">
        <x:f>IF(ISNUMBER(H506),1,0)</x:f>
        <x:v>1</x:v>
      </x:c>
      <x:c r="AG506" t="n">
        <x:f>IF(ISNUMBER(I506),1,0)</x:f>
        <x:v>1</x:v>
      </x:c>
      <x:c r="AH506" t="str">
        <x:v>["60516","60516-NY-S-K","NY","藏青色"]</x:v>
      </x:c>
      <x:c r="AI506" t="n">
        <x:f>IF(ISNUMBER(G506),1,0)</x:f>
        <x:v>1</x:v>
      </x:c>
      <x:c r="AJ506" t="n">
        <x:f>IF(ISNUMBER(AD506),1,0)</x:f>
        <x:v>0</x:v>
      </x:c>
    </x:row>
    <x:row r="507" ht="30" customHeight="1">
      <x:c r="A507" s="3" t="str">
        <x:v>60516-NY-S-K-6.5</x:v>
      </x:c>
      <x:c r="B507" s="3" t="str">
        <x:v>3店-SANDIEX-US</x:v>
      </x:c>
      <x:c r="C507" s="3" t="str">
        <x:v>徐新怡</x:v>
      </x:c>
      <x:c r="D507" s="3" t="str">
        <x:v>60516</x:v>
      </x:c>
      <x:c r="E507" s="3" t="str">
        <x:f>IF(Z507="移出","已移出",IF(NOT(ISNUMBER(H507)),"数据待核",IF(H507=0,"断货",IF(NOT(ISNUMBER(G507)),"数据待核",IF(G507=0,"零日销待复核",IF(F507&lt;60,"补货提醒",IF(F507&lt;=90,"正常库存",IF(F507&lt;180,"促销",IF(F507&lt;=365,"红线促销","考虑清仓")))))))))</x:f>
        <x:v>断货</x:v>
      </x:c>
      <x:c r="F507" s="11" t="str">
        <x:f>IF(AND(ISNUMBER(H507),ISNUMBER(G507),G507&gt;0),H507/G507,"")</x:f>
      </x:c>
      <x:c r="G507" s="12" t="n">
        <x:f>IF(AND(COUNT(P507:R507)=3,MIN(P507:R507)&gt;=0,P507&lt;=Q507,Q507&lt;=R507),P507/7*0.5+Q507/14*0.3+R507/30*0.2,"")</x:f>
        <x:v>0</x:v>
      </x:c>
      <x:c r="H507" s="10" t="n">
        <x:f>IF(ISNUMBER(U507),U507,"")</x:f>
        <x:v>0</x:v>
      </x:c>
      <x:c r="I507" s="10"/>
      <x:c r="J507" s="11" t="str">
        <x:f>IF(AND(Z507="共同",ISNUMBER(F507),ISNUMBER(M507)),F507-M507,"")</x:f>
      </x:c>
      <x:c r="K507" s="13" t="str">
        <x:f>IF(AND(ISNUMBER(J507),M507&lt;&gt;0),J507/M507,"")</x:f>
      </x:c>
      <x:c r="L507" s="10"/>
      <x:c r="M507" s="11"/>
      <x:c r="N507" s="10" t="str">
        <x:f>IF(AND(Z507="共同",COUNT(H507:I507)=2),H507-I507,"")</x:f>
      </x:c>
      <x:c r="O507" s="10" t="n">
        <x:v>0</x:v>
      </x:c>
      <x:c r="P507" s="10" t="n">
        <x:v>0</x:v>
      </x:c>
      <x:c r="Q507" s="10" t="n">
        <x:v>0</x:v>
      </x:c>
      <x:c r="R507" s="10" t="n">
        <x:v>0</x:v>
      </x:c>
      <x:c r="S507" s="10" t="n">
        <x:v>0</x:v>
      </x:c>
      <x:c r="T507" s="10" t="n">
        <x:v>0</x:v>
      </x:c>
      <x:c r="U507" s="10" t="n">
        <x:f>IF(AND(ISNUMBER(X507),X507&gt;=0,Y507&lt;&gt;1),X507,"")</x:f>
        <x:v>0</x:v>
      </x:c>
      <x:c r="V507" s="10" t="n">
        <x:v>0</x:v>
      </x:c>
      <x:c r="W507" s="10" t="n">
        <x:v>0</x:v>
      </x:c>
      <x:c r="X507" s="10" t="n">
        <x:v>0</x:v>
      </x:c>
      <x:c r="Y507" s="3" t="n">
        <x:v>0</x:v>
      </x:c>
      <x:c r="Z507" s="3" t="str">
        <x:v>新增</x:v>
      </x:c>
      <x:c r="AA507" s="3" t="str">
        <x:v>停售</x:v>
      </x:c>
      <x:c r="AB507" s="12" t="str">
        <x:f>IF(AND(Z507="共同",ISNUMBER(G507),ISNUMBER(AD507)),G507-AD507,"")</x:f>
      </x:c>
      <x:c r="AC507" s="3" t="str">
        <x:v>近90天SKU销量未匹配，未按0处理</x:v>
      </x:c>
      <x:c r="AD507" s="12"/>
      <x:c r="AE507" s="3" t="str">
        <x:v>[6574,"60516-NY-S-K-6.5"]</x:v>
      </x:c>
      <x:c r="AF507" t="n">
        <x:f>IF(ISNUMBER(H507),1,0)</x:f>
        <x:v>1</x:v>
      </x:c>
      <x:c r="AG507" t="n">
        <x:f>IF(ISNUMBER(I507),1,0)</x:f>
        <x:v>0</x:v>
      </x:c>
      <x:c r="AH507" t="str">
        <x:v>["60516","60516-NY-S-K","NY","藏青色"]</x:v>
      </x:c>
      <x:c r="AI507" t="n">
        <x:f>IF(ISNUMBER(G507),1,0)</x:f>
        <x:v>1</x:v>
      </x:c>
      <x:c r="AJ507" t="n">
        <x:f>IF(ISNUMBER(AD507),1,0)</x:f>
        <x:v>0</x:v>
      </x:c>
    </x:row>
    <x:row r="508" ht="30" customHeight="1">
      <x:c r="A508" s="3" t="str">
        <x:v>60516-NY-S-K-7</x:v>
      </x:c>
      <x:c r="B508" s="3" t="str">
        <x:v>3店-SANDIEX-US</x:v>
      </x:c>
      <x:c r="C508" s="3" t="str">
        <x:v>徐新怡</x:v>
      </x:c>
      <x:c r="D508" s="3" t="str">
        <x:v>60516</x:v>
      </x:c>
      <x:c r="E508" s="3" t="str">
        <x:f>IF(Z508="移出","已移出",IF(NOT(ISNUMBER(H508)),"数据待核",IF(H508=0,"断货",IF(NOT(ISNUMBER(G508)),"数据待核",IF(G508=0,"零日销待复核",IF(F508&lt;60,"补货提醒",IF(F508&lt;=90,"正常库存",IF(F508&lt;180,"促销",IF(F508&lt;=365,"红线促销","考虑清仓")))))))))</x:f>
        <x:v>断货</x:v>
      </x:c>
      <x:c r="F508" s="11" t="str">
        <x:f>IF(AND(ISNUMBER(H508),ISNUMBER(G508),G508&gt;0),H508/G508,"")</x:f>
      </x:c>
      <x:c r="G508" s="12" t="n">
        <x:f>IF(AND(COUNT(P508:R508)=3,MIN(P508:R508)&gt;=0,P508&lt;=Q508,Q508&lt;=R508),P508/7*0.5+Q508/14*0.3+R508/30*0.2,"")</x:f>
        <x:v>0</x:v>
      </x:c>
      <x:c r="H508" s="10" t="n">
        <x:f>IF(ISNUMBER(U508),U508,"")</x:f>
        <x:v>0</x:v>
      </x:c>
      <x:c r="I508" s="10" t="n">
        <x:v>0</x:v>
      </x:c>
      <x:c r="J508" s="11" t="str">
        <x:f>IF(AND(Z508="共同",ISNUMBER(F508),ISNUMBER(M508)),F508-M508,"")</x:f>
      </x:c>
      <x:c r="K508" s="13" t="str">
        <x:f>IF(AND(ISNUMBER(J508),M508&lt;&gt;0),J508/M508,"")</x:f>
      </x:c>
      <x:c r="L508" s="10" t="str">
        <x:v>断货</x:v>
      </x:c>
      <x:c r="M508" s="11"/>
      <x:c r="N508" s="10" t="n">
        <x:f>IF(AND(Z508="共同",COUNT(H508:I508)=2),H508-I508,"")</x:f>
        <x:v>0</x:v>
      </x:c>
      <x:c r="O508" s="10" t="n">
        <x:v>0</x:v>
      </x:c>
      <x:c r="P508" s="10" t="n">
        <x:v>0</x:v>
      </x:c>
      <x:c r="Q508" s="10" t="n">
        <x:v>0</x:v>
      </x:c>
      <x:c r="R508" s="10" t="n">
        <x:v>0</x:v>
      </x:c>
      <x:c r="S508" s="10" t="n">
        <x:v>0</x:v>
      </x:c>
      <x:c r="T508" s="10" t="n">
        <x:v>0</x:v>
      </x:c>
      <x:c r="U508" s="10" t="n">
        <x:f>IF(AND(ISNUMBER(X508),X508&gt;=0,Y508&lt;&gt;1),X508,"")</x:f>
        <x:v>0</x:v>
      </x:c>
      <x:c r="V508" s="10" t="n">
        <x:v>0</x:v>
      </x:c>
      <x:c r="W508" s="10" t="n">
        <x:v>0</x:v>
      </x:c>
      <x:c r="X508" s="10" t="n">
        <x:v>0</x:v>
      </x:c>
      <x:c r="Y508" s="3" t="n">
        <x:v>0</x:v>
      </x:c>
      <x:c r="Z508" s="3" t="str">
        <x:v>共同</x:v>
      </x:c>
      <x:c r="AA508" s="3" t="str">
        <x:v>停售</x:v>
      </x:c>
      <x:c r="AB508" s="12" t="n">
        <x:f>IF(AND(Z508="共同",ISNUMBER(G508),ISNUMBER(AD508)),G508-AD508,"")</x:f>
        <x:v>0</x:v>
      </x:c>
      <x:c r="AC508" s="3" t="str"/>
      <x:c r="AD508" s="12" t="n">
        <x:v>0</x:v>
      </x:c>
      <x:c r="AE508" s="3" t="str">
        <x:v>[6574,"60516-NY-S-K-7"]</x:v>
      </x:c>
      <x:c r="AF508" t="n">
        <x:f>IF(ISNUMBER(H508),1,0)</x:f>
        <x:v>1</x:v>
      </x:c>
      <x:c r="AG508" t="n">
        <x:f>IF(ISNUMBER(I508),1,0)</x:f>
        <x:v>1</x:v>
      </x:c>
      <x:c r="AH508" t="str">
        <x:v>["60516","60516-NY-S-K","NY","藏青色"]</x:v>
      </x:c>
      <x:c r="AI508" t="n">
        <x:f>IF(ISNUMBER(G508),1,0)</x:f>
        <x:v>1</x:v>
      </x:c>
      <x:c r="AJ508" t="n">
        <x:f>IF(ISNUMBER(AD508),1,0)</x:f>
        <x:v>1</x:v>
      </x:c>
    </x:row>
    <x:row r="509" ht="30" customHeight="1">
      <x:c r="A509" s="3" t="str">
        <x:v>60516-NY-S-K-7.5</x:v>
      </x:c>
      <x:c r="B509" s="3" t="str">
        <x:v>3店-SANDIEX-US</x:v>
      </x:c>
      <x:c r="C509" s="3" t="str">
        <x:v>徐新怡</x:v>
      </x:c>
      <x:c r="D509" s="3" t="str">
        <x:v>60516</x:v>
      </x:c>
      <x:c r="E509" s="3" t="str">
        <x:f>IF(Z509="移出","已移出",IF(NOT(ISNUMBER(H509)),"数据待核",IF(H509=0,"断货",IF(NOT(ISNUMBER(G509)),"数据待核",IF(G509=0,"零日销待复核",IF(F509&lt;60,"补货提醒",IF(F509&lt;=90,"正常库存",IF(F509&lt;180,"促销",IF(F509&lt;=365,"红线促销","考虑清仓")))))))))</x:f>
        <x:v>断货</x:v>
      </x:c>
      <x:c r="F509" s="11" t="str">
        <x:f>IF(AND(ISNUMBER(H509),ISNUMBER(G509),G509&gt;0),H509/G509,"")</x:f>
      </x:c>
      <x:c r="G509" s="12" t="n">
        <x:f>IF(AND(COUNT(P509:R509)=3,MIN(P509:R509)&gt;=0,P509&lt;=Q509,Q509&lt;=R509),P509/7*0.5+Q509/14*0.3+R509/30*0.2,"")</x:f>
        <x:v>0</x:v>
      </x:c>
      <x:c r="H509" s="10" t="n">
        <x:f>IF(ISNUMBER(U509),U509,"")</x:f>
        <x:v>0</x:v>
      </x:c>
      <x:c r="I509" s="10"/>
      <x:c r="J509" s="11" t="str">
        <x:f>IF(AND(Z509="共同",ISNUMBER(F509),ISNUMBER(M509)),F509-M509,"")</x:f>
      </x:c>
      <x:c r="K509" s="13" t="str">
        <x:f>IF(AND(ISNUMBER(J509),M509&lt;&gt;0),J509/M509,"")</x:f>
      </x:c>
      <x:c r="L509" s="10"/>
      <x:c r="M509" s="11"/>
      <x:c r="N509" s="10" t="str">
        <x:f>IF(AND(Z509="共同",COUNT(H509:I509)=2),H509-I509,"")</x:f>
      </x:c>
      <x:c r="O509" s="10" t="n">
        <x:v>0</x:v>
      </x:c>
      <x:c r="P509" s="10" t="n">
        <x:v>0</x:v>
      </x:c>
      <x:c r="Q509" s="10" t="n">
        <x:v>0</x:v>
      </x:c>
      <x:c r="R509" s="10" t="n">
        <x:v>0</x:v>
      </x:c>
      <x:c r="S509" s="10" t="n">
        <x:v>0</x:v>
      </x:c>
      <x:c r="T509" s="10" t="n">
        <x:v>0</x:v>
      </x:c>
      <x:c r="U509" s="10" t="n">
        <x:f>IF(AND(ISNUMBER(X509),X509&gt;=0,Y509&lt;&gt;1),X509,"")</x:f>
        <x:v>0</x:v>
      </x:c>
      <x:c r="V509" s="10" t="n">
        <x:v>0</x:v>
      </x:c>
      <x:c r="W509" s="10" t="n">
        <x:v>0</x:v>
      </x:c>
      <x:c r="X509" s="10" t="n">
        <x:v>0</x:v>
      </x:c>
      <x:c r="Y509" s="3" t="n">
        <x:v>0</x:v>
      </x:c>
      <x:c r="Z509" s="3" t="str">
        <x:v>新增</x:v>
      </x:c>
      <x:c r="AA509" s="3" t="str">
        <x:v>停售</x:v>
      </x:c>
      <x:c r="AB509" s="12" t="str">
        <x:f>IF(AND(Z509="共同",ISNUMBER(G509),ISNUMBER(AD509)),G509-AD509,"")</x:f>
      </x:c>
      <x:c r="AC509" s="3" t="str">
        <x:v>近90天SKU销量未匹配，未按0处理</x:v>
      </x:c>
      <x:c r="AD509" s="12"/>
      <x:c r="AE509" s="3" t="str">
        <x:v>[6574,"60516-NY-S-K-7.5"]</x:v>
      </x:c>
      <x:c r="AF509" t="n">
        <x:f>IF(ISNUMBER(H509),1,0)</x:f>
        <x:v>1</x:v>
      </x:c>
      <x:c r="AG509" t="n">
        <x:f>IF(ISNUMBER(I509),1,0)</x:f>
        <x:v>0</x:v>
      </x:c>
      <x:c r="AH509" t="str">
        <x:v>["60516","60516-NY-S-K","NY","藏青色"]</x:v>
      </x:c>
      <x:c r="AI509" t="n">
        <x:f>IF(ISNUMBER(G509),1,0)</x:f>
        <x:v>1</x:v>
      </x:c>
      <x:c r="AJ509" t="n">
        <x:f>IF(ISNUMBER(AD509),1,0)</x:f>
        <x:v>0</x:v>
      </x:c>
    </x:row>
    <x:row r="510" ht="30" customHeight="1">
      <x:c r="A510" s="3" t="str">
        <x:v>60516-NY-S-K-8.5</x:v>
      </x:c>
      <x:c r="B510" s="3" t="str">
        <x:v>3店-SANDIEX-US</x:v>
      </x:c>
      <x:c r="C510" s="3" t="str">
        <x:v>徐新怡</x:v>
      </x:c>
      <x:c r="D510" s="3" t="str">
        <x:v>60516</x:v>
      </x:c>
      <x:c r="E510" s="3" t="str">
        <x:f>IF(Z510="移出","已移出",IF(NOT(ISNUMBER(H510)),"数据待核",IF(H510=0,"断货",IF(NOT(ISNUMBER(G510)),"数据待核",IF(G510=0,"零日销待复核",IF(F510&lt;60,"补货提醒",IF(F510&lt;=90,"正常库存",IF(F510&lt;180,"促销",IF(F510&lt;=365,"红线促销","考虑清仓")))))))))</x:f>
        <x:v>断货</x:v>
      </x:c>
      <x:c r="F510" s="11" t="str">
        <x:f>IF(AND(ISNUMBER(H510),ISNUMBER(G510),G510&gt;0),H510/G510,"")</x:f>
      </x:c>
      <x:c r="G510" s="12" t="n">
        <x:f>IF(AND(COUNT(P510:R510)=3,MIN(P510:R510)&gt;=0,P510&lt;=Q510,Q510&lt;=R510),P510/7*0.5+Q510/14*0.3+R510/30*0.2,"")</x:f>
        <x:v>0</x:v>
      </x:c>
      <x:c r="H510" s="10" t="n">
        <x:f>IF(ISNUMBER(U510),U510,"")</x:f>
        <x:v>0</x:v>
      </x:c>
      <x:c r="I510" s="10"/>
      <x:c r="J510" s="11" t="str">
        <x:f>IF(AND(Z510="共同",ISNUMBER(F510),ISNUMBER(M510)),F510-M510,"")</x:f>
      </x:c>
      <x:c r="K510" s="13" t="str">
        <x:f>IF(AND(ISNUMBER(J510),M510&lt;&gt;0),J510/M510,"")</x:f>
      </x:c>
      <x:c r="L510" s="10"/>
      <x:c r="M510" s="11"/>
      <x:c r="N510" s="10" t="str">
        <x:f>IF(AND(Z510="共同",COUNT(H510:I510)=2),H510-I510,"")</x:f>
      </x:c>
      <x:c r="O510" s="10" t="n">
        <x:v>0</x:v>
      </x:c>
      <x:c r="P510" s="10" t="n">
        <x:v>0</x:v>
      </x:c>
      <x:c r="Q510" s="10" t="n">
        <x:v>0</x:v>
      </x:c>
      <x:c r="R510" s="10" t="n">
        <x:v>0</x:v>
      </x:c>
      <x:c r="S510" s="10" t="n">
        <x:v>0</x:v>
      </x:c>
      <x:c r="T510" s="10" t="n">
        <x:v>0</x:v>
      </x:c>
      <x:c r="U510" s="10" t="n">
        <x:f>IF(AND(ISNUMBER(X510),X510&gt;=0,Y510&lt;&gt;1),X510,"")</x:f>
        <x:v>0</x:v>
      </x:c>
      <x:c r="V510" s="10" t="n">
        <x:v>0</x:v>
      </x:c>
      <x:c r="W510" s="10" t="n">
        <x:v>0</x:v>
      </x:c>
      <x:c r="X510" s="10" t="n">
        <x:v>0</x:v>
      </x:c>
      <x:c r="Y510" s="3" t="n">
        <x:v>0</x:v>
      </x:c>
      <x:c r="Z510" s="3" t="str">
        <x:v>新增</x:v>
      </x:c>
      <x:c r="AA510" s="3" t="str">
        <x:v>停售</x:v>
      </x:c>
      <x:c r="AB510" s="12" t="str">
        <x:f>IF(AND(Z510="共同",ISNUMBER(G510),ISNUMBER(AD510)),G510-AD510,"")</x:f>
      </x:c>
      <x:c r="AC510" s="3" t="str">
        <x:v>近90天SKU销量未匹配，未按0处理</x:v>
      </x:c>
      <x:c r="AD510" s="12"/>
      <x:c r="AE510" s="3" t="str">
        <x:v>[6574,"60516-NY-S-K-8.5"]</x:v>
      </x:c>
      <x:c r="AF510" t="n">
        <x:f>IF(ISNUMBER(H510),1,0)</x:f>
        <x:v>1</x:v>
      </x:c>
      <x:c r="AG510" t="n">
        <x:f>IF(ISNUMBER(I510),1,0)</x:f>
        <x:v>0</x:v>
      </x:c>
      <x:c r="AH510" t="str">
        <x:v>["60516","60516-NY-S-K","NY","藏青色"]</x:v>
      </x:c>
      <x:c r="AI510" t="n">
        <x:f>IF(ISNUMBER(G510),1,0)</x:f>
        <x:v>1</x:v>
      </x:c>
      <x:c r="AJ510" t="n">
        <x:f>IF(ISNUMBER(AD510),1,0)</x:f>
        <x:v>0</x:v>
      </x:c>
    </x:row>
    <x:row r="511" ht="30" customHeight="1">
      <x:c r="A511" s="3" t="str">
        <x:v>60516-NY-S-K-9.5</x:v>
      </x:c>
      <x:c r="B511" s="3" t="str">
        <x:v>3店-SANDIEX-US</x:v>
      </x:c>
      <x:c r="C511" s="3" t="str">
        <x:v>徐新怡</x:v>
      </x:c>
      <x:c r="D511" s="3" t="str">
        <x:v>60516</x:v>
      </x:c>
      <x:c r="E511" s="3" t="str">
        <x:f>IF(Z511="移出","已移出",IF(NOT(ISNUMBER(H511)),"数据待核",IF(H511=0,"断货",IF(NOT(ISNUMBER(G511)),"数据待核",IF(G511=0,"零日销待复核",IF(F511&lt;60,"补货提醒",IF(F511&lt;=90,"正常库存",IF(F511&lt;180,"促销",IF(F511&lt;=365,"红线促销","考虑清仓")))))))))</x:f>
        <x:v>断货</x:v>
      </x:c>
      <x:c r="F511" s="11" t="str">
        <x:f>IF(AND(ISNUMBER(H511),ISNUMBER(G511),G511&gt;0),H511/G511,"")</x:f>
      </x:c>
      <x:c r="G511" s="12" t="n">
        <x:f>IF(AND(COUNT(P511:R511)=3,MIN(P511:R511)&gt;=0,P511&lt;=Q511,Q511&lt;=R511),P511/7*0.5+Q511/14*0.3+R511/30*0.2,"")</x:f>
        <x:v>0</x:v>
      </x:c>
      <x:c r="H511" s="10" t="n">
        <x:f>IF(ISNUMBER(U511),U511,"")</x:f>
        <x:v>0</x:v>
      </x:c>
      <x:c r="I511" s="10"/>
      <x:c r="J511" s="11" t="str">
        <x:f>IF(AND(Z511="共同",ISNUMBER(F511),ISNUMBER(M511)),F511-M511,"")</x:f>
      </x:c>
      <x:c r="K511" s="13" t="str">
        <x:f>IF(AND(ISNUMBER(J511),M511&lt;&gt;0),J511/M511,"")</x:f>
      </x:c>
      <x:c r="L511" s="10"/>
      <x:c r="M511" s="11"/>
      <x:c r="N511" s="10" t="str">
        <x:f>IF(AND(Z511="共同",COUNT(H511:I511)=2),H511-I511,"")</x:f>
      </x:c>
      <x:c r="O511" s="10" t="n">
        <x:v>0</x:v>
      </x:c>
      <x:c r="P511" s="10" t="n">
        <x:v>0</x:v>
      </x:c>
      <x:c r="Q511" s="10" t="n">
        <x:v>0</x:v>
      </x:c>
      <x:c r="R511" s="10" t="n">
        <x:v>0</x:v>
      </x:c>
      <x:c r="S511" s="10" t="n">
        <x:v>0</x:v>
      </x:c>
      <x:c r="T511" s="10" t="n">
        <x:v>0</x:v>
      </x:c>
      <x:c r="U511" s="10" t="n">
        <x:f>IF(AND(ISNUMBER(X511),X511&gt;=0,Y511&lt;&gt;1),X511,"")</x:f>
        <x:v>0</x:v>
      </x:c>
      <x:c r="V511" s="10" t="n">
        <x:v>0</x:v>
      </x:c>
      <x:c r="W511" s="10" t="n">
        <x:v>0</x:v>
      </x:c>
      <x:c r="X511" s="10" t="n">
        <x:v>0</x:v>
      </x:c>
      <x:c r="Y511" s="3" t="n">
        <x:v>0</x:v>
      </x:c>
      <x:c r="Z511" s="3" t="str">
        <x:v>新增</x:v>
      </x:c>
      <x:c r="AA511" s="3" t="str">
        <x:v>停售</x:v>
      </x:c>
      <x:c r="AB511" s="12" t="str">
        <x:f>IF(AND(Z511="共同",ISNUMBER(G511),ISNUMBER(AD511)),G511-AD511,"")</x:f>
      </x:c>
      <x:c r="AC511" s="3" t="str">
        <x:v>近90天SKU销量未匹配，未按0处理</x:v>
      </x:c>
      <x:c r="AD511" s="12"/>
      <x:c r="AE511" s="3" t="str">
        <x:v>[6574,"60516-NY-S-K-9.5"]</x:v>
      </x:c>
      <x:c r="AF511" t="n">
        <x:f>IF(ISNUMBER(H511),1,0)</x:f>
        <x:v>1</x:v>
      </x:c>
      <x:c r="AG511" t="n">
        <x:f>IF(ISNUMBER(I511),1,0)</x:f>
        <x:v>0</x:v>
      </x:c>
      <x:c r="AH511" t="str">
        <x:v>["60516","60516-NY-S-K","NY","藏青色"]</x:v>
      </x:c>
      <x:c r="AI511" t="n">
        <x:f>IF(ISNUMBER(G511),1,0)</x:f>
        <x:v>1</x:v>
      </x:c>
      <x:c r="AJ511" t="n">
        <x:f>IF(ISNUMBER(AD511),1,0)</x:f>
        <x:v>0</x:v>
      </x:c>
    </x:row>
    <x:row r="512" ht="30" customHeight="1">
      <x:c r="A512" s="3" t="str">
        <x:v>60516-RD-S-K-10.5</x:v>
      </x:c>
      <x:c r="B512" s="3" t="str">
        <x:v>3店-SANDIEX-US</x:v>
      </x:c>
      <x:c r="C512" s="3" t="str">
        <x:v>徐新怡</x:v>
      </x:c>
      <x:c r="D512" s="3" t="str">
        <x:v>60516</x:v>
      </x:c>
      <x:c r="E512" s="3" t="str">
        <x:f>IF(Z512="移出","已移出",IF(NOT(ISNUMBER(H512)),"数据待核",IF(H512=0,"断货",IF(NOT(ISNUMBER(G512)),"数据待核",IF(G512=0,"零日销待复核",IF(F512&lt;60,"补货提醒",IF(F512&lt;=90,"正常库存",IF(F512&lt;180,"促销",IF(F512&lt;=365,"红线促销","考虑清仓")))))))))</x:f>
        <x:v>断货</x:v>
      </x:c>
      <x:c r="F512" s="11" t="n">
        <x:f>IF(AND(ISNUMBER(H512),ISNUMBER(G512),G512&gt;0),H512/G512,"")</x:f>
        <x:v>0</x:v>
      </x:c>
      <x:c r="G512" s="12" t="n">
        <x:f>IF(AND(COUNT(P512:R512)=3,MIN(P512:R512)&gt;=0,P512&lt;=Q512,Q512&lt;=R512),P512/7*0.5+Q512/14*0.3+R512/30*0.2,"")</x:f>
        <x:v>0.028095238095238093</x:v>
      </x:c>
      <x:c r="H512" s="10" t="n">
        <x:f>IF(ISNUMBER(U512),U512,"")</x:f>
        <x:v>0</x:v>
      </x:c>
      <x:c r="I512" s="10"/>
      <x:c r="J512" s="11" t="str">
        <x:f>IF(AND(Z512="共同",ISNUMBER(F512),ISNUMBER(M512)),F512-M512,"")</x:f>
      </x:c>
      <x:c r="K512" s="13" t="str">
        <x:f>IF(AND(ISNUMBER(J512),M512&lt;&gt;0),J512/M512,"")</x:f>
      </x:c>
      <x:c r="L512" s="10"/>
      <x:c r="M512" s="11"/>
      <x:c r="N512" s="10" t="str">
        <x:f>IF(AND(Z512="共同",COUNT(H512:I512)=2),H512-I512,"")</x:f>
      </x:c>
      <x:c r="O512" s="10" t="n">
        <x:v>0</x:v>
      </x:c>
      <x:c r="P512" s="10" t="n">
        <x:v>0</x:v>
      </x:c>
      <x:c r="Q512" s="10" t="n">
        <x:v>1</x:v>
      </x:c>
      <x:c r="R512" s="10" t="n">
        <x:v>1</x:v>
      </x:c>
      <x:c r="S512" s="10" t="n">
        <x:v>0</x:v>
      </x:c>
      <x:c r="T512" s="10" t="n">
        <x:v>0</x:v>
      </x:c>
      <x:c r="U512" s="10" t="n">
        <x:f>IF(AND(ISNUMBER(X512),X512&gt;=0,Y512&lt;&gt;1),X512,"")</x:f>
        <x:v>0</x:v>
      </x:c>
      <x:c r="V512" s="10" t="n">
        <x:v>0</x:v>
      </x:c>
      <x:c r="W512" s="10" t="n">
        <x:v>0</x:v>
      </x:c>
      <x:c r="X512" s="10" t="n">
        <x:v>0</x:v>
      </x:c>
      <x:c r="Y512" s="3" t="n">
        <x:v>0</x:v>
      </x:c>
      <x:c r="Z512" s="3" t="str">
        <x:v>新增</x:v>
      </x:c>
      <x:c r="AA512" s="3" t="str">
        <x:v>停售</x:v>
      </x:c>
      <x:c r="AB512" s="12" t="str">
        <x:f>IF(AND(Z512="共同",ISNUMBER(G512),ISNUMBER(AD512)),G512-AD512,"")</x:f>
      </x:c>
      <x:c r="AC512" s="3" t="str"/>
      <x:c r="AD512" s="12"/>
      <x:c r="AE512" s="3" t="str">
        <x:v>[6574,"60516-RD-S-K-10.5"]</x:v>
      </x:c>
      <x:c r="AF512" t="n">
        <x:f>IF(ISNUMBER(H512),1,0)</x:f>
        <x:v>1</x:v>
      </x:c>
      <x:c r="AG512" t="n">
        <x:f>IF(ISNUMBER(I512),1,0)</x:f>
        <x:v>0</x:v>
      </x:c>
      <x:c r="AH512" t="str">
        <x:v>["60516","60516-RD-S-K","RD","红色"]</x:v>
      </x:c>
      <x:c r="AI512" t="n">
        <x:f>IF(ISNUMBER(G512),1,0)</x:f>
        <x:v>1</x:v>
      </x:c>
      <x:c r="AJ512" t="n">
        <x:f>IF(ISNUMBER(AD512),1,0)</x:f>
        <x:v>0</x:v>
      </x:c>
    </x:row>
    <x:row r="513" ht="30" customHeight="1">
      <x:c r="A513" s="3" t="str">
        <x:v>60516-RD-S-K-11</x:v>
      </x:c>
      <x:c r="B513" s="3" t="str">
        <x:v>3店-SANDIEX-US</x:v>
      </x:c>
      <x:c r="C513" s="3" t="str">
        <x:v>徐新怡</x:v>
      </x:c>
      <x:c r="D513" s="3" t="str">
        <x:v>60516</x:v>
      </x:c>
      <x:c r="E513" s="3" t="str">
        <x:f>IF(Z513="移出","已移出",IF(NOT(ISNUMBER(H513)),"数据待核",IF(H513=0,"断货",IF(NOT(ISNUMBER(G513)),"数据待核",IF(G513=0,"零日销待复核",IF(F513&lt;60,"补货提醒",IF(F513&lt;=90,"正常库存",IF(F513&lt;180,"促销",IF(F513&lt;=365,"红线促销","考虑清仓")))))))))</x:f>
        <x:v>断货</x:v>
      </x:c>
      <x:c r="F513" s="11" t="str">
        <x:f>IF(AND(ISNUMBER(H513),ISNUMBER(G513),G513&gt;0),H513/G513,"")</x:f>
      </x:c>
      <x:c r="G513" s="12" t="n">
        <x:f>IF(AND(COUNT(P513:R513)=3,MIN(P513:R513)&gt;=0,P513&lt;=Q513,Q513&lt;=R513),P513/7*0.5+Q513/14*0.3+R513/30*0.2,"")</x:f>
        <x:v>0</x:v>
      </x:c>
      <x:c r="H513" s="10" t="n">
        <x:f>IF(ISNUMBER(U513),U513,"")</x:f>
        <x:v>0</x:v>
      </x:c>
      <x:c r="I513" s="10" t="n">
        <x:v>0</x:v>
      </x:c>
      <x:c r="J513" s="11" t="str">
        <x:f>IF(AND(Z513="共同",ISNUMBER(F513),ISNUMBER(M513)),F513-M513,"")</x:f>
      </x:c>
      <x:c r="K513" s="13" t="str">
        <x:f>IF(AND(ISNUMBER(J513),M513&lt;&gt;0),J513/M513,"")</x:f>
      </x:c>
      <x:c r="L513" s="10" t="str">
        <x:v>断货</x:v>
      </x:c>
      <x:c r="M513" s="11"/>
      <x:c r="N513" s="10" t="n">
        <x:f>IF(AND(Z513="共同",COUNT(H513:I513)=2),H513-I513,"")</x:f>
        <x:v>0</x:v>
      </x:c>
      <x:c r="O513" s="10" t="n">
        <x:v>0</x:v>
      </x:c>
      <x:c r="P513" s="10" t="n">
        <x:v>0</x:v>
      </x:c>
      <x:c r="Q513" s="10" t="n">
        <x:v>0</x:v>
      </x:c>
      <x:c r="R513" s="10" t="n">
        <x:v>0</x:v>
      </x:c>
      <x:c r="S513" s="10" t="n">
        <x:v>0</x:v>
      </x:c>
      <x:c r="T513" s="10" t="n">
        <x:v>0</x:v>
      </x:c>
      <x:c r="U513" s="10" t="n">
        <x:f>IF(AND(ISNUMBER(X513),X513&gt;=0,Y513&lt;&gt;1),X513,"")</x:f>
        <x:v>0</x:v>
      </x:c>
      <x:c r="V513" s="10" t="n">
        <x:v>0</x:v>
      </x:c>
      <x:c r="W513" s="10" t="n">
        <x:v>0</x:v>
      </x:c>
      <x:c r="X513" s="10" t="n">
        <x:v>0</x:v>
      </x:c>
      <x:c r="Y513" s="3" t="n">
        <x:v>0</x:v>
      </x:c>
      <x:c r="Z513" s="3" t="str">
        <x:v>共同</x:v>
      </x:c>
      <x:c r="AA513" s="3" t="str">
        <x:v>停售</x:v>
      </x:c>
      <x:c r="AB513" s="12" t="str">
        <x:f>IF(AND(Z513="共同",ISNUMBER(G513),ISNUMBER(AD513)),G513-AD513,"")</x:f>
      </x:c>
      <x:c r="AC513" s="3" t="str">
        <x:v>近90天SKU销量未匹配，未按0处理</x:v>
      </x:c>
      <x:c r="AD513" s="12"/>
      <x:c r="AE513" s="3" t="str">
        <x:v>[6574,"60516-RD-S-K-11"]</x:v>
      </x:c>
      <x:c r="AF513" t="n">
        <x:f>IF(ISNUMBER(H513),1,0)</x:f>
        <x:v>1</x:v>
      </x:c>
      <x:c r="AG513" t="n">
        <x:f>IF(ISNUMBER(I513),1,0)</x:f>
        <x:v>1</x:v>
      </x:c>
      <x:c r="AH513" t="str">
        <x:v>["60516","60516-RD-S-K","RD","红色"]</x:v>
      </x:c>
      <x:c r="AI513" t="n">
        <x:f>IF(ISNUMBER(G513),1,0)</x:f>
        <x:v>1</x:v>
      </x:c>
      <x:c r="AJ513" t="n">
        <x:f>IF(ISNUMBER(AD513),1,0)</x:f>
        <x:v>0</x:v>
      </x:c>
    </x:row>
    <x:row r="514" ht="30" customHeight="1">
      <x:c r="A514" s="3" t="str">
        <x:v>60516-RD-S-K-6.5</x:v>
      </x:c>
      <x:c r="B514" s="3" t="str">
        <x:v>3店-SANDIEX-US</x:v>
      </x:c>
      <x:c r="C514" s="3" t="str">
        <x:v>徐新怡</x:v>
      </x:c>
      <x:c r="D514" s="3" t="str">
        <x:v>60516</x:v>
      </x:c>
      <x:c r="E514" s="3" t="str">
        <x:f>IF(Z514="移出","已移出",IF(NOT(ISNUMBER(H514)),"数据待核",IF(H514=0,"断货",IF(NOT(ISNUMBER(G514)),"数据待核",IF(G514=0,"零日销待复核",IF(F514&lt;60,"补货提醒",IF(F514&lt;=90,"正常库存",IF(F514&lt;180,"促销",IF(F514&lt;=365,"红线促销","考虑清仓")))))))))</x:f>
        <x:v>断货</x:v>
      </x:c>
      <x:c r="F514" s="11" t="str">
        <x:f>IF(AND(ISNUMBER(H514),ISNUMBER(G514),G514&gt;0),H514/G514,"")</x:f>
      </x:c>
      <x:c r="G514" s="12" t="n">
        <x:f>IF(AND(COUNT(P514:R514)=3,MIN(P514:R514)&gt;=0,P514&lt;=Q514,Q514&lt;=R514),P514/7*0.5+Q514/14*0.3+R514/30*0.2,"")</x:f>
        <x:v>0</x:v>
      </x:c>
      <x:c r="H514" s="10" t="n">
        <x:f>IF(ISNUMBER(U514),U514,"")</x:f>
        <x:v>0</x:v>
      </x:c>
      <x:c r="I514" s="10"/>
      <x:c r="J514" s="11" t="str">
        <x:f>IF(AND(Z514="共同",ISNUMBER(F514),ISNUMBER(M514)),F514-M514,"")</x:f>
      </x:c>
      <x:c r="K514" s="13" t="str">
        <x:f>IF(AND(ISNUMBER(J514),M514&lt;&gt;0),J514/M514,"")</x:f>
      </x:c>
      <x:c r="L514" s="10"/>
      <x:c r="M514" s="11"/>
      <x:c r="N514" s="10" t="str">
        <x:f>IF(AND(Z514="共同",COUNT(H514:I514)=2),H514-I514,"")</x:f>
      </x:c>
      <x:c r="O514" s="10" t="n">
        <x:v>0</x:v>
      </x:c>
      <x:c r="P514" s="10" t="n">
        <x:v>0</x:v>
      </x:c>
      <x:c r="Q514" s="10" t="n">
        <x:v>0</x:v>
      </x:c>
      <x:c r="R514" s="10" t="n">
        <x:v>0</x:v>
      </x:c>
      <x:c r="S514" s="10" t="n">
        <x:v>0</x:v>
      </x:c>
      <x:c r="T514" s="10" t="n">
        <x:v>0</x:v>
      </x:c>
      <x:c r="U514" s="10" t="n">
        <x:f>IF(AND(ISNUMBER(X514),X514&gt;=0,Y514&lt;&gt;1),X514,"")</x:f>
        <x:v>0</x:v>
      </x:c>
      <x:c r="V514" s="10" t="n">
        <x:v>0</x:v>
      </x:c>
      <x:c r="W514" s="10" t="n">
        <x:v>0</x:v>
      </x:c>
      <x:c r="X514" s="10" t="n">
        <x:v>0</x:v>
      </x:c>
      <x:c r="Y514" s="3" t="n">
        <x:v>0</x:v>
      </x:c>
      <x:c r="Z514" s="3" t="str">
        <x:v>新增</x:v>
      </x:c>
      <x:c r="AA514" s="3" t="str">
        <x:v>停售</x:v>
      </x:c>
      <x:c r="AB514" s="12" t="str">
        <x:f>IF(AND(Z514="共同",ISNUMBER(G514),ISNUMBER(AD514)),G514-AD514,"")</x:f>
      </x:c>
      <x:c r="AC514" s="3" t="str">
        <x:v>近90天SKU销量未匹配，未按0处理</x:v>
      </x:c>
      <x:c r="AD514" s="12"/>
      <x:c r="AE514" s="3" t="str">
        <x:v>[6574,"60516-RD-S-K-6.5"]</x:v>
      </x:c>
      <x:c r="AF514" t="n">
        <x:f>IF(ISNUMBER(H514),1,0)</x:f>
        <x:v>1</x:v>
      </x:c>
      <x:c r="AG514" t="n">
        <x:f>IF(ISNUMBER(I514),1,0)</x:f>
        <x:v>0</x:v>
      </x:c>
      <x:c r="AH514" t="str">
        <x:v>["60516","60516-RD-S-K","RD","红色"]</x:v>
      </x:c>
      <x:c r="AI514" t="n">
        <x:f>IF(ISNUMBER(G514),1,0)</x:f>
        <x:v>1</x:v>
      </x:c>
      <x:c r="AJ514" t="n">
        <x:f>IF(ISNUMBER(AD514),1,0)</x:f>
        <x:v>0</x:v>
      </x:c>
    </x:row>
    <x:row r="515" ht="30" customHeight="1">
      <x:c r="A515" s="3" t="str">
        <x:v>60516-RD-S-K-7.5</x:v>
      </x:c>
      <x:c r="B515" s="3" t="str">
        <x:v>3店-SANDIEX-US</x:v>
      </x:c>
      <x:c r="C515" s="3" t="str">
        <x:v>徐新怡</x:v>
      </x:c>
      <x:c r="D515" s="3" t="str">
        <x:v>60516</x:v>
      </x:c>
      <x:c r="E515" s="3" t="str">
        <x:f>IF(Z515="移出","已移出",IF(NOT(ISNUMBER(H515)),"数据待核",IF(H515=0,"断货",IF(NOT(ISNUMBER(G515)),"数据待核",IF(G515=0,"零日销待复核",IF(F515&lt;60,"补货提醒",IF(F515&lt;=90,"正常库存",IF(F515&lt;180,"促销",IF(F515&lt;=365,"红线促销","考虑清仓")))))))))</x:f>
        <x:v>断货</x:v>
      </x:c>
      <x:c r="F515" s="11" t="str">
        <x:f>IF(AND(ISNUMBER(H515),ISNUMBER(G515),G515&gt;0),H515/G515,"")</x:f>
      </x:c>
      <x:c r="G515" s="12" t="n">
        <x:f>IF(AND(COUNT(P515:R515)=3,MIN(P515:R515)&gt;=0,P515&lt;=Q515,Q515&lt;=R515),P515/7*0.5+Q515/14*0.3+R515/30*0.2,"")</x:f>
        <x:v>0</x:v>
      </x:c>
      <x:c r="H515" s="10" t="n">
        <x:f>IF(ISNUMBER(U515),U515,"")</x:f>
        <x:v>0</x:v>
      </x:c>
      <x:c r="I515" s="10" t="n">
        <x:v>0</x:v>
      </x:c>
      <x:c r="J515" s="11" t="str">
        <x:f>IF(AND(Z515="共同",ISNUMBER(F515),ISNUMBER(M515)),F515-M515,"")</x:f>
      </x:c>
      <x:c r="K515" s="13" t="str">
        <x:f>IF(AND(ISNUMBER(J515),M515&lt;&gt;0),J515/M515,"")</x:f>
      </x:c>
      <x:c r="L515" s="10" t="str">
        <x:v>断货</x:v>
      </x:c>
      <x:c r="M515" s="11"/>
      <x:c r="N515" s="10" t="n">
        <x:f>IF(AND(Z515="共同",COUNT(H515:I515)=2),H515-I515,"")</x:f>
        <x:v>0</x:v>
      </x:c>
      <x:c r="O515" s="10" t="n">
        <x:v>0</x:v>
      </x:c>
      <x:c r="P515" s="10" t="n">
        <x:v>0</x:v>
      </x:c>
      <x:c r="Q515" s="10" t="n">
        <x:v>0</x:v>
      </x:c>
      <x:c r="R515" s="10" t="n">
        <x:v>0</x:v>
      </x:c>
      <x:c r="S515" s="10" t="n">
        <x:v>0</x:v>
      </x:c>
      <x:c r="T515" s="10" t="n">
        <x:v>0</x:v>
      </x:c>
      <x:c r="U515" s="10" t="n">
        <x:f>IF(AND(ISNUMBER(X515),X515&gt;=0,Y515&lt;&gt;1),X515,"")</x:f>
        <x:v>0</x:v>
      </x:c>
      <x:c r="V515" s="10" t="n">
        <x:v>0</x:v>
      </x:c>
      <x:c r="W515" s="10" t="n">
        <x:v>0</x:v>
      </x:c>
      <x:c r="X515" s="10" t="n">
        <x:v>0</x:v>
      </x:c>
      <x:c r="Y515" s="3" t="n">
        <x:v>0</x:v>
      </x:c>
      <x:c r="Z515" s="3" t="str">
        <x:v>共同</x:v>
      </x:c>
      <x:c r="AA515" s="3" t="str">
        <x:v>停售</x:v>
      </x:c>
      <x:c r="AB515" s="12" t="str">
        <x:f>IF(AND(Z515="共同",ISNUMBER(G515),ISNUMBER(AD515)),G515-AD515,"")</x:f>
      </x:c>
      <x:c r="AC515" s="3" t="str">
        <x:v>近90天SKU销量未匹配，未按0处理</x:v>
      </x:c>
      <x:c r="AD515" s="12"/>
      <x:c r="AE515" s="3" t="str">
        <x:v>[6574,"60516-RD-S-K-7.5"]</x:v>
      </x:c>
      <x:c r="AF515" t="n">
        <x:f>IF(ISNUMBER(H515),1,0)</x:f>
        <x:v>1</x:v>
      </x:c>
      <x:c r="AG515" t="n">
        <x:f>IF(ISNUMBER(I515),1,0)</x:f>
        <x:v>1</x:v>
      </x:c>
      <x:c r="AH515" t="str">
        <x:v>["60516","60516-RD-S-K","RD","红色"]</x:v>
      </x:c>
      <x:c r="AI515" t="n">
        <x:f>IF(ISNUMBER(G515),1,0)</x:f>
        <x:v>1</x:v>
      </x:c>
      <x:c r="AJ515" t="n">
        <x:f>IF(ISNUMBER(AD515),1,0)</x:f>
        <x:v>0</x:v>
      </x:c>
    </x:row>
    <x:row r="516" ht="30" customHeight="1">
      <x:c r="A516" s="3" t="str">
        <x:v>60516-RD-S-K-8.5</x:v>
      </x:c>
      <x:c r="B516" s="3" t="str">
        <x:v>3店-SANDIEX-US</x:v>
      </x:c>
      <x:c r="C516" s="3" t="str">
        <x:v>徐新怡</x:v>
      </x:c>
      <x:c r="D516" s="3" t="str">
        <x:v>60516</x:v>
      </x:c>
      <x:c r="E516" s="3" t="str">
        <x:f>IF(Z516="移出","已移出",IF(NOT(ISNUMBER(H516)),"数据待核",IF(H516=0,"断货",IF(NOT(ISNUMBER(G516)),"数据待核",IF(G516=0,"零日销待复核",IF(F516&lt;60,"补货提醒",IF(F516&lt;=90,"正常库存",IF(F516&lt;180,"促销",IF(F516&lt;=365,"红线促销","考虑清仓")))))))))</x:f>
        <x:v>断货</x:v>
      </x:c>
      <x:c r="F516" s="11" t="str">
        <x:f>IF(AND(ISNUMBER(H516),ISNUMBER(G516),G516&gt;0),H516/G516,"")</x:f>
      </x:c>
      <x:c r="G516" s="12" t="n">
        <x:f>IF(AND(COUNT(P516:R516)=3,MIN(P516:R516)&gt;=0,P516&lt;=Q516,Q516&lt;=R516),P516/7*0.5+Q516/14*0.3+R516/30*0.2,"")</x:f>
        <x:v>0</x:v>
      </x:c>
      <x:c r="H516" s="10" t="n">
        <x:f>IF(ISNUMBER(U516),U516,"")</x:f>
        <x:v>0</x:v>
      </x:c>
      <x:c r="I516" s="10" t="n">
        <x:v>0</x:v>
      </x:c>
      <x:c r="J516" s="11" t="str">
        <x:f>IF(AND(Z516="共同",ISNUMBER(F516),ISNUMBER(M516)),F516-M516,"")</x:f>
      </x:c>
      <x:c r="K516" s="13" t="str">
        <x:f>IF(AND(ISNUMBER(J516),M516&lt;&gt;0),J516/M516,"")</x:f>
      </x:c>
      <x:c r="L516" s="10" t="str">
        <x:v>断货</x:v>
      </x:c>
      <x:c r="M516" s="11"/>
      <x:c r="N516" s="10" t="n">
        <x:f>IF(AND(Z516="共同",COUNT(H516:I516)=2),H516-I516,"")</x:f>
        <x:v>0</x:v>
      </x:c>
      <x:c r="O516" s="10" t="n">
        <x:v>0</x:v>
      </x:c>
      <x:c r="P516" s="10" t="n">
        <x:v>0</x:v>
      </x:c>
      <x:c r="Q516" s="10" t="n">
        <x:v>0</x:v>
      </x:c>
      <x:c r="R516" s="10" t="n">
        <x:v>0</x:v>
      </x:c>
      <x:c r="S516" s="10" t="n">
        <x:v>0</x:v>
      </x:c>
      <x:c r="T516" s="10" t="n">
        <x:v>0</x:v>
      </x:c>
      <x:c r="U516" s="10" t="n">
        <x:f>IF(AND(ISNUMBER(X516),X516&gt;=0,Y516&lt;&gt;1),X516,"")</x:f>
        <x:v>0</x:v>
      </x:c>
      <x:c r="V516" s="10" t="n">
        <x:v>0</x:v>
      </x:c>
      <x:c r="W516" s="10" t="n">
        <x:v>0</x:v>
      </x:c>
      <x:c r="X516" s="10" t="n">
        <x:v>0</x:v>
      </x:c>
      <x:c r="Y516" s="3" t="n">
        <x:v>0</x:v>
      </x:c>
      <x:c r="Z516" s="3" t="str">
        <x:v>共同</x:v>
      </x:c>
      <x:c r="AA516" s="3" t="str">
        <x:v>停售</x:v>
      </x:c>
      <x:c r="AB516" s="12" t="n">
        <x:f>IF(AND(Z516="共同",ISNUMBER(G516),ISNUMBER(AD516)),G516-AD516,"")</x:f>
        <x:v>0</x:v>
      </x:c>
      <x:c r="AC516" s="3" t="str"/>
      <x:c r="AD516" s="12" t="n">
        <x:v>0</x:v>
      </x:c>
      <x:c r="AE516" s="3" t="str">
        <x:v>[6574,"60516-RD-S-K-8.5"]</x:v>
      </x:c>
      <x:c r="AF516" t="n">
        <x:f>IF(ISNUMBER(H516),1,0)</x:f>
        <x:v>1</x:v>
      </x:c>
      <x:c r="AG516" t="n">
        <x:f>IF(ISNUMBER(I516),1,0)</x:f>
        <x:v>1</x:v>
      </x:c>
      <x:c r="AH516" t="str">
        <x:v>["60516","60516-RD-S-K","RD","红色"]</x:v>
      </x:c>
      <x:c r="AI516" t="n">
        <x:f>IF(ISNUMBER(G516),1,0)</x:f>
        <x:v>1</x:v>
      </x:c>
      <x:c r="AJ516" t="n">
        <x:f>IF(ISNUMBER(AD516),1,0)</x:f>
        <x:v>1</x:v>
      </x:c>
    </x:row>
    <x:row r="517" ht="30" customHeight="1">
      <x:c r="A517" s="3" t="str">
        <x:v>60516-RD-S-K-9</x:v>
      </x:c>
      <x:c r="B517" s="3" t="str">
        <x:v>3店-SANDIEX-US</x:v>
      </x:c>
      <x:c r="C517" s="3" t="str">
        <x:v>徐新怡</x:v>
      </x:c>
      <x:c r="D517" s="3" t="str">
        <x:v>60516</x:v>
      </x:c>
      <x:c r="E517" s="3" t="str">
        <x:f>IF(Z517="移出","已移出",IF(NOT(ISNUMBER(H517)),"数据待核",IF(H517=0,"断货",IF(NOT(ISNUMBER(G517)),"数据待核",IF(G517=0,"零日销待复核",IF(F517&lt;60,"补货提醒",IF(F517&lt;=90,"正常库存",IF(F517&lt;180,"促销",IF(F517&lt;=365,"红线促销","考虑清仓")))))))))</x:f>
        <x:v>断货</x:v>
      </x:c>
      <x:c r="F517" s="11" t="n">
        <x:f>IF(AND(ISNUMBER(H517),ISNUMBER(G517),G517&gt;0),H517/G517,"")</x:f>
        <x:v>0</x:v>
      </x:c>
      <x:c r="G517" s="12" t="n">
        <x:f>IF(AND(COUNT(P517:R517)=3,MIN(P517:R517)&gt;=0,P517&lt;=Q517,Q517&lt;=R517),P517/7*0.5+Q517/14*0.3+R517/30*0.2,"")</x:f>
        <x:v>0.14095238095238094</x:v>
      </x:c>
      <x:c r="H517" s="10" t="n">
        <x:f>IF(ISNUMBER(U517),U517,"")</x:f>
        <x:v>0</x:v>
      </x:c>
      <x:c r="I517" s="10" t="n">
        <x:v>2</x:v>
      </x:c>
      <x:c r="J517" s="11" t="n">
        <x:f>IF(AND(Z517="共同",ISNUMBER(F517),ISNUMBER(M517)),F517-M517,"")</x:f>
        <x:v>-14.893617021276595</x:v>
      </x:c>
      <x:c r="K517" s="13" t="n">
        <x:f>IF(AND(ISNUMBER(J517),M517&lt;&gt;0),J517/M517,"")</x:f>
        <x:v>-1</x:v>
      </x:c>
      <x:c r="L517" s="10" t="str">
        <x:v>补货提醒</x:v>
      </x:c>
      <x:c r="M517" s="11" t="n">
        <x:v>14.893617021276595</x:v>
      </x:c>
      <x:c r="N517" s="10" t="n">
        <x:f>IF(AND(Z517="共同",COUNT(H517:I517)=2),H517-I517,"")</x:f>
        <x:v>-2</x:v>
      </x:c>
      <x:c r="O517" s="10" t="n">
        <x:v>22</x:v>
      </x:c>
      <x:c r="P517" s="10" t="n">
        <x:v>1</x:v>
      </x:c>
      <x:c r="Q517" s="10" t="n">
        <x:v>2</x:v>
      </x:c>
      <x:c r="R517" s="10" t="n">
        <x:v>4</x:v>
      </x:c>
      <x:c r="S517" s="10" t="n">
        <x:v>0</x:v>
      </x:c>
      <x:c r="T517" s="10" t="n">
        <x:v>0</x:v>
      </x:c>
      <x:c r="U517" s="10" t="n">
        <x:f>IF(AND(ISNUMBER(X517),X517&gt;=0,Y517&lt;&gt;1),X517,"")</x:f>
        <x:v>0</x:v>
      </x:c>
      <x:c r="V517" s="10" t="n">
        <x:v>0</x:v>
      </x:c>
      <x:c r="W517" s="10" t="n">
        <x:v>0</x:v>
      </x:c>
      <x:c r="X517" s="10" t="n">
        <x:v>0</x:v>
      </x:c>
      <x:c r="Y517" s="3" t="n">
        <x:v>0</x:v>
      </x:c>
      <x:c r="Z517" s="3" t="str">
        <x:v>共同</x:v>
      </x:c>
      <x:c r="AA517" s="3" t="str">
        <x:v>停售</x:v>
      </x:c>
      <x:c r="AB517" s="12" t="n">
        <x:f>IF(AND(Z517="共同",ISNUMBER(G517),ISNUMBER(AD517)),G517-AD517,"")</x:f>
        <x:v>0.006666666666666654</x:v>
      </x:c>
      <x:c r="AC517" s="3" t="str"/>
      <x:c r="AD517" s="12" t="n">
        <x:v>0.13428571428571429</x:v>
      </x:c>
      <x:c r="AE517" s="3" t="str">
        <x:v>[6574,"60516-RD-S-K-9"]</x:v>
      </x:c>
      <x:c r="AF517" t="n">
        <x:f>IF(ISNUMBER(H517),1,0)</x:f>
        <x:v>1</x:v>
      </x:c>
      <x:c r="AG517" t="n">
        <x:f>IF(ISNUMBER(I517),1,0)</x:f>
        <x:v>1</x:v>
      </x:c>
      <x:c r="AH517" t="str">
        <x:v>["60516","60516-RD-S-K","RD","红色"]</x:v>
      </x:c>
      <x:c r="AI517" t="n">
        <x:f>IF(ISNUMBER(G517),1,0)</x:f>
        <x:v>1</x:v>
      </x:c>
      <x:c r="AJ517" t="n">
        <x:f>IF(ISNUMBER(AD517),1,0)</x:f>
        <x:v>1</x:v>
      </x:c>
    </x:row>
    <x:row r="518" ht="30" customHeight="1">
      <x:c r="A518" s="3" t="str">
        <x:v>60516-RD-S-K-9.5</x:v>
      </x:c>
      <x:c r="B518" s="3" t="str">
        <x:v>3店-SANDIEX-US</x:v>
      </x:c>
      <x:c r="C518" s="3" t="str">
        <x:v>徐新怡</x:v>
      </x:c>
      <x:c r="D518" s="3" t="str">
        <x:v>60516</x:v>
      </x:c>
      <x:c r="E518" s="3" t="str">
        <x:f>IF(Z518="移出","已移出",IF(NOT(ISNUMBER(H518)),"数据待核",IF(H518=0,"断货",IF(NOT(ISNUMBER(G518)),"数据待核",IF(G518=0,"零日销待复核",IF(F518&lt;60,"补货提醒",IF(F518&lt;=90,"正常库存",IF(F518&lt;180,"促销",IF(F518&lt;=365,"红线促销","考虑清仓")))))))))</x:f>
        <x:v>断货</x:v>
      </x:c>
      <x:c r="F518" s="11" t="str">
        <x:f>IF(AND(ISNUMBER(H518),ISNUMBER(G518),G518&gt;0),H518/G518,"")</x:f>
      </x:c>
      <x:c r="G518" s="12" t="n">
        <x:f>IF(AND(COUNT(P518:R518)=3,MIN(P518:R518)&gt;=0,P518&lt;=Q518,Q518&lt;=R518),P518/7*0.5+Q518/14*0.3+R518/30*0.2,"")</x:f>
        <x:v>0</x:v>
      </x:c>
      <x:c r="H518" s="10" t="n">
        <x:f>IF(ISNUMBER(U518),U518,"")</x:f>
        <x:v>0</x:v>
      </x:c>
      <x:c r="I518" s="10"/>
      <x:c r="J518" s="11" t="str">
        <x:f>IF(AND(Z518="共同",ISNUMBER(F518),ISNUMBER(M518)),F518-M518,"")</x:f>
      </x:c>
      <x:c r="K518" s="13" t="str">
        <x:f>IF(AND(ISNUMBER(J518),M518&lt;&gt;0),J518/M518,"")</x:f>
      </x:c>
      <x:c r="L518" s="10"/>
      <x:c r="M518" s="11"/>
      <x:c r="N518" s="10" t="str">
        <x:f>IF(AND(Z518="共同",COUNT(H518:I518)=2),H518-I518,"")</x:f>
      </x:c>
      <x:c r="O518" s="10" t="n">
        <x:v>0</x:v>
      </x:c>
      <x:c r="P518" s="10" t="n">
        <x:v>0</x:v>
      </x:c>
      <x:c r="Q518" s="10" t="n">
        <x:v>0</x:v>
      </x:c>
      <x:c r="R518" s="10" t="n">
        <x:v>0</x:v>
      </x:c>
      <x:c r="S518" s="10" t="n">
        <x:v>0</x:v>
      </x:c>
      <x:c r="T518" s="10" t="n">
        <x:v>0</x:v>
      </x:c>
      <x:c r="U518" s="10" t="n">
        <x:f>IF(AND(ISNUMBER(X518),X518&gt;=0,Y518&lt;&gt;1),X518,"")</x:f>
        <x:v>0</x:v>
      </x:c>
      <x:c r="V518" s="10" t="n">
        <x:v>0</x:v>
      </x:c>
      <x:c r="W518" s="10" t="n">
        <x:v>0</x:v>
      </x:c>
      <x:c r="X518" s="10" t="n">
        <x:v>0</x:v>
      </x:c>
      <x:c r="Y518" s="3" t="n">
        <x:v>0</x:v>
      </x:c>
      <x:c r="Z518" s="3" t="str">
        <x:v>新增</x:v>
      </x:c>
      <x:c r="AA518" s="3" t="str">
        <x:v>停售</x:v>
      </x:c>
      <x:c r="AB518" s="12" t="str">
        <x:f>IF(AND(Z518="共同",ISNUMBER(G518),ISNUMBER(AD518)),G518-AD518,"")</x:f>
      </x:c>
      <x:c r="AC518" s="3" t="str">
        <x:v>近90天SKU销量未匹配，未按0处理</x:v>
      </x:c>
      <x:c r="AD518" s="12"/>
      <x:c r="AE518" s="3" t="str">
        <x:v>[6574,"60516-RD-S-K-9.5"]</x:v>
      </x:c>
      <x:c r="AF518" t="n">
        <x:f>IF(ISNUMBER(H518),1,0)</x:f>
        <x:v>1</x:v>
      </x:c>
      <x:c r="AG518" t="n">
        <x:f>IF(ISNUMBER(I518),1,0)</x:f>
        <x:v>0</x:v>
      </x:c>
      <x:c r="AH518" t="str">
        <x:v>["60516","60516-RD-S-K","RD","红色"]</x:v>
      </x:c>
      <x:c r="AI518" t="n">
        <x:f>IF(ISNUMBER(G518),1,0)</x:f>
        <x:v>1</x:v>
      </x:c>
      <x:c r="AJ518" t="n">
        <x:f>IF(ISNUMBER(AD518),1,0)</x:f>
        <x:v>0</x:v>
      </x:c>
    </x:row>
    <x:row r="519" ht="30" customHeight="1">
      <x:c r="A519" s="3" t="str">
        <x:v>60516-TN-S-K-10</x:v>
      </x:c>
      <x:c r="B519" s="3" t="str">
        <x:v>3店-SANDIEX-US</x:v>
      </x:c>
      <x:c r="C519" s="3" t="str">
        <x:v>徐新怡</x:v>
      </x:c>
      <x:c r="D519" s="3" t="str">
        <x:v>60516</x:v>
      </x:c>
      <x:c r="E519" s="3" t="str">
        <x:f>IF(Z519="移出","已移出",IF(NOT(ISNUMBER(H519)),"数据待核",IF(H519=0,"断货",IF(NOT(ISNUMBER(G519)),"数据待核",IF(G519=0,"零日销待复核",IF(F519&lt;60,"补货提醒",IF(F519&lt;=90,"正常库存",IF(F519&lt;180,"促销",IF(F519&lt;=365,"红线促销","考虑清仓")))))))))</x:f>
        <x:v>断货</x:v>
      </x:c>
      <x:c r="F519" s="11" t="str">
        <x:f>IF(AND(ISNUMBER(H519),ISNUMBER(G519),G519&gt;0),H519/G519,"")</x:f>
      </x:c>
      <x:c r="G519" s="12" t="n">
        <x:f>IF(AND(COUNT(P519:R519)=3,MIN(P519:R519)&gt;=0,P519&lt;=Q519,Q519&lt;=R519),P519/7*0.5+Q519/14*0.3+R519/30*0.2,"")</x:f>
        <x:v>0</x:v>
      </x:c>
      <x:c r="H519" s="10" t="n">
        <x:f>IF(ISNUMBER(U519),U519,"")</x:f>
        <x:v>0</x:v>
      </x:c>
      <x:c r="I519" s="10" t="n">
        <x:v>0</x:v>
      </x:c>
      <x:c r="J519" s="11" t="str">
        <x:f>IF(AND(Z519="共同",ISNUMBER(F519),ISNUMBER(M519)),F519-M519,"")</x:f>
      </x:c>
      <x:c r="K519" s="13" t="str">
        <x:f>IF(AND(ISNUMBER(J519),M519&lt;&gt;0),J519/M519,"")</x:f>
      </x:c>
      <x:c r="L519" s="10" t="str">
        <x:v>断货</x:v>
      </x:c>
      <x:c r="M519" s="11"/>
      <x:c r="N519" s="10" t="n">
        <x:f>IF(AND(Z519="共同",COUNT(H519:I519)=2),H519-I519,"")</x:f>
        <x:v>0</x:v>
      </x:c>
      <x:c r="O519" s="10" t="n">
        <x:v>0</x:v>
      </x:c>
      <x:c r="P519" s="10" t="n">
        <x:v>0</x:v>
      </x:c>
      <x:c r="Q519" s="10" t="n">
        <x:v>0</x:v>
      </x:c>
      <x:c r="R519" s="10" t="n">
        <x:v>0</x:v>
      </x:c>
      <x:c r="S519" s="10" t="n">
        <x:v>0</x:v>
      </x:c>
      <x:c r="T519" s="10" t="n">
        <x:v>0</x:v>
      </x:c>
      <x:c r="U519" s="10" t="n">
        <x:f>IF(AND(ISNUMBER(X519),X519&gt;=0,Y519&lt;&gt;1),X519,"")</x:f>
        <x:v>0</x:v>
      </x:c>
      <x:c r="V519" s="10" t="n">
        <x:v>0</x:v>
      </x:c>
      <x:c r="W519" s="10" t="n">
        <x:v>0</x:v>
      </x:c>
      <x:c r="X519" s="10" t="n">
        <x:v>0</x:v>
      </x:c>
      <x:c r="Y519" s="3" t="n">
        <x:v>0</x:v>
      </x:c>
      <x:c r="Z519" s="3" t="str">
        <x:v>共同</x:v>
      </x:c>
      <x:c r="AA519" s="3" t="str">
        <x:v>停售</x:v>
      </x:c>
      <x:c r="AB519" s="12" t="str">
        <x:f>IF(AND(Z519="共同",ISNUMBER(G519),ISNUMBER(AD519)),G519-AD519,"")</x:f>
      </x:c>
      <x:c r="AC519" s="3" t="str">
        <x:v>近90天SKU销量未匹配，未按0处理</x:v>
      </x:c>
      <x:c r="AD519" s="12"/>
      <x:c r="AE519" s="3" t="str">
        <x:v>[6574,"60516-TN-S-K-10"]</x:v>
      </x:c>
      <x:c r="AF519" t="n">
        <x:f>IF(ISNUMBER(H519),1,0)</x:f>
        <x:v>1</x:v>
      </x:c>
      <x:c r="AG519" t="n">
        <x:f>IF(ISNUMBER(I519),1,0)</x:f>
        <x:v>1</x:v>
      </x:c>
      <x:c r="AH519" t="str">
        <x:v>["60516","60516-TN-S-K","TN","驼色"]</x:v>
      </x:c>
      <x:c r="AI519" t="n">
        <x:f>IF(ISNUMBER(G519),1,0)</x:f>
        <x:v>1</x:v>
      </x:c>
      <x:c r="AJ519" t="n">
        <x:f>IF(ISNUMBER(AD519),1,0)</x:f>
        <x:v>0</x:v>
      </x:c>
    </x:row>
    <x:row r="520" ht="30" customHeight="1">
      <x:c r="A520" s="3" t="str">
        <x:v>60516-TN-S-K-10.5</x:v>
      </x:c>
      <x:c r="B520" s="3" t="str">
        <x:v>3店-SANDIEX-US</x:v>
      </x:c>
      <x:c r="C520" s="3" t="str">
        <x:v>徐新怡</x:v>
      </x:c>
      <x:c r="D520" s="3" t="str">
        <x:v>60516</x:v>
      </x:c>
      <x:c r="E520" s="3" t="str">
        <x:f>IF(Z520="移出","已移出",IF(NOT(ISNUMBER(H520)),"数据待核",IF(H520=0,"断货",IF(NOT(ISNUMBER(G520)),"数据待核",IF(G520=0,"零日销待复核",IF(F520&lt;60,"补货提醒",IF(F520&lt;=90,"正常库存",IF(F520&lt;180,"促销",IF(F520&lt;=365,"红线促销","考虑清仓")))))))))</x:f>
        <x:v>断货</x:v>
      </x:c>
      <x:c r="F520" s="11" t="str">
        <x:f>IF(AND(ISNUMBER(H520),ISNUMBER(G520),G520&gt;0),H520/G520,"")</x:f>
      </x:c>
      <x:c r="G520" s="12" t="n">
        <x:f>IF(AND(COUNT(P520:R520)=3,MIN(P520:R520)&gt;=0,P520&lt;=Q520,Q520&lt;=R520),P520/7*0.5+Q520/14*0.3+R520/30*0.2,"")</x:f>
        <x:v>0</x:v>
      </x:c>
      <x:c r="H520" s="10" t="n">
        <x:f>IF(ISNUMBER(U520),U520,"")</x:f>
        <x:v>0</x:v>
      </x:c>
      <x:c r="I520" s="10"/>
      <x:c r="J520" s="11" t="str">
        <x:f>IF(AND(Z520="共同",ISNUMBER(F520),ISNUMBER(M520)),F520-M520,"")</x:f>
      </x:c>
      <x:c r="K520" s="13" t="str">
        <x:f>IF(AND(ISNUMBER(J520),M520&lt;&gt;0),J520/M520,"")</x:f>
      </x:c>
      <x:c r="L520" s="10"/>
      <x:c r="M520" s="11"/>
      <x:c r="N520" s="10" t="str">
        <x:f>IF(AND(Z520="共同",COUNT(H520:I520)=2),H520-I520,"")</x:f>
      </x:c>
      <x:c r="O520" s="10"/>
      <x:c r="P520" s="10" t="n">
        <x:v>0</x:v>
      </x:c>
      <x:c r="Q520" s="10" t="n">
        <x:v>0</x:v>
      </x:c>
      <x:c r="R520" s="10" t="n">
        <x:v>0</x:v>
      </x:c>
      <x:c r="S520" s="10" t="n">
        <x:v>0</x:v>
      </x:c>
      <x:c r="T520" s="10" t="n">
        <x:v>0</x:v>
      </x:c>
      <x:c r="U520" s="10" t="n">
        <x:f>IF(AND(ISNUMBER(X520),X520&gt;=0,Y520&lt;&gt;1),X520,"")</x:f>
        <x:v>0</x:v>
      </x:c>
      <x:c r="V520" s="10" t="n">
        <x:v>0</x:v>
      </x:c>
      <x:c r="W520" s="10" t="n">
        <x:v>0</x:v>
      </x:c>
      <x:c r="X520" s="10" t="n">
        <x:v>0</x:v>
      </x:c>
      <x:c r="Y520" s="3" t="n">
        <x:v>0</x:v>
      </x:c>
      <x:c r="Z520" s="3" t="str">
        <x:v>新增</x:v>
      </x:c>
      <x:c r="AA520" s="3" t="str">
        <x:v>停售</x:v>
      </x:c>
      <x:c r="AB520" s="12" t="str">
        <x:f>IF(AND(Z520="共同",ISNUMBER(G520),ISNUMBER(AD520)),G520-AD520,"")</x:f>
      </x:c>
      <x:c r="AC520" s="3" t="str">
        <x:v>近90天SKU销量未匹配，未按0处理</x:v>
      </x:c>
      <x:c r="AD520" s="12"/>
      <x:c r="AE520" s="3" t="str">
        <x:v>[6574,"60516-TN-S-K-10.5"]</x:v>
      </x:c>
      <x:c r="AF520" t="n">
        <x:f>IF(ISNUMBER(H520),1,0)</x:f>
        <x:v>1</x:v>
      </x:c>
      <x:c r="AG520" t="n">
        <x:f>IF(ISNUMBER(I520),1,0)</x:f>
        <x:v>0</x:v>
      </x:c>
      <x:c r="AH520" t="str">
        <x:v>["60516","60516-TN-S-K","TN","驼色"]</x:v>
      </x:c>
      <x:c r="AI520" t="n">
        <x:f>IF(ISNUMBER(G520),1,0)</x:f>
        <x:v>1</x:v>
      </x:c>
      <x:c r="AJ520" t="n">
        <x:f>IF(ISNUMBER(AD520),1,0)</x:f>
        <x:v>0</x:v>
      </x:c>
    </x:row>
    <x:row r="521" ht="30" customHeight="1">
      <x:c r="A521" s="3" t="str">
        <x:v>60516-TN-S-K-11</x:v>
      </x:c>
      <x:c r="B521" s="3" t="str">
        <x:v>3店-SANDIEX-US</x:v>
      </x:c>
      <x:c r="C521" s="3" t="str">
        <x:v>徐新怡</x:v>
      </x:c>
      <x:c r="D521" s="3" t="str">
        <x:v>60516</x:v>
      </x:c>
      <x:c r="E521" s="3" t="str">
        <x:f>IF(Z521="移出","已移出",IF(NOT(ISNUMBER(H521)),"数据待核",IF(H521=0,"断货",IF(NOT(ISNUMBER(G521)),"数据待核",IF(G521=0,"零日销待复核",IF(F521&lt;60,"补货提醒",IF(F521&lt;=90,"正常库存",IF(F521&lt;180,"促销",IF(F521&lt;=365,"红线促销","考虑清仓")))))))))</x:f>
        <x:v>断货</x:v>
      </x:c>
      <x:c r="F521" s="11" t="str">
        <x:f>IF(AND(ISNUMBER(H521),ISNUMBER(G521),G521&gt;0),H521/G521,"")</x:f>
      </x:c>
      <x:c r="G521" s="12" t="n">
        <x:f>IF(AND(COUNT(P521:R521)=3,MIN(P521:R521)&gt;=0,P521&lt;=Q521,Q521&lt;=R521),P521/7*0.5+Q521/14*0.3+R521/30*0.2,"")</x:f>
        <x:v>0</x:v>
      </x:c>
      <x:c r="H521" s="10" t="n">
        <x:f>IF(ISNUMBER(U521),U521,"")</x:f>
        <x:v>0</x:v>
      </x:c>
      <x:c r="I521" s="10" t="n">
        <x:v>0</x:v>
      </x:c>
      <x:c r="J521" s="11" t="str">
        <x:f>IF(AND(Z521="共同",ISNUMBER(F521),ISNUMBER(M521)),F521-M521,"")</x:f>
      </x:c>
      <x:c r="K521" s="13" t="str">
        <x:f>IF(AND(ISNUMBER(J521),M521&lt;&gt;0),J521/M521,"")</x:f>
      </x:c>
      <x:c r="L521" s="10" t="str">
        <x:v>断货</x:v>
      </x:c>
      <x:c r="M521" s="11"/>
      <x:c r="N521" s="10" t="n">
        <x:f>IF(AND(Z521="共同",COUNT(H521:I521)=2),H521-I521,"")</x:f>
        <x:v>0</x:v>
      </x:c>
      <x:c r="O521" s="10"/>
      <x:c r="P521" s="10" t="n">
        <x:v>0</x:v>
      </x:c>
      <x:c r="Q521" s="10" t="n">
        <x:v>0</x:v>
      </x:c>
      <x:c r="R521" s="10" t="n">
        <x:v>0</x:v>
      </x:c>
      <x:c r="S521" s="10" t="n">
        <x:v>0</x:v>
      </x:c>
      <x:c r="T521" s="10" t="n">
        <x:v>0</x:v>
      </x:c>
      <x:c r="U521" s="10" t="n">
        <x:f>IF(AND(ISNUMBER(X521),X521&gt;=0,Y521&lt;&gt;1),X521,"")</x:f>
        <x:v>0</x:v>
      </x:c>
      <x:c r="V521" s="10" t="n">
        <x:v>0</x:v>
      </x:c>
      <x:c r="W521" s="10" t="n">
        <x:v>0</x:v>
      </x:c>
      <x:c r="X521" s="10" t="n">
        <x:v>0</x:v>
      </x:c>
      <x:c r="Y521" s="3" t="n">
        <x:v>0</x:v>
      </x:c>
      <x:c r="Z521" s="3" t="str">
        <x:v>共同</x:v>
      </x:c>
      <x:c r="AA521" s="3" t="str">
        <x:v>停售</x:v>
      </x:c>
      <x:c r="AB521" s="12" t="str">
        <x:f>IF(AND(Z521="共同",ISNUMBER(G521),ISNUMBER(AD521)),G521-AD521,"")</x:f>
      </x:c>
      <x:c r="AC521" s="3" t="str">
        <x:v>近90天SKU销量未匹配，未按0处理</x:v>
      </x:c>
      <x:c r="AD521" s="12"/>
      <x:c r="AE521" s="3" t="str">
        <x:v>[6574,"60516-TN-S-K-11"]</x:v>
      </x:c>
      <x:c r="AF521" t="n">
        <x:f>IF(ISNUMBER(H521),1,0)</x:f>
        <x:v>1</x:v>
      </x:c>
      <x:c r="AG521" t="n">
        <x:f>IF(ISNUMBER(I521),1,0)</x:f>
        <x:v>1</x:v>
      </x:c>
      <x:c r="AH521" t="str">
        <x:v>["60516","60516-TN-S-K","TN","驼色"]</x:v>
      </x:c>
      <x:c r="AI521" t="n">
        <x:f>IF(ISNUMBER(G521),1,0)</x:f>
        <x:v>1</x:v>
      </x:c>
      <x:c r="AJ521" t="n">
        <x:f>IF(ISNUMBER(AD521),1,0)</x:f>
        <x:v>0</x:v>
      </x:c>
    </x:row>
    <x:row r="522" ht="30" customHeight="1">
      <x:c r="A522" s="3" t="str">
        <x:v>60516-TN-S-K-6</x:v>
      </x:c>
      <x:c r="B522" s="3" t="str">
        <x:v>3店-SANDIEX-US</x:v>
      </x:c>
      <x:c r="C522" s="3" t="str">
        <x:v>徐新怡</x:v>
      </x:c>
      <x:c r="D522" s="3" t="str">
        <x:v>60516</x:v>
      </x:c>
      <x:c r="E522" s="3" t="str">
        <x:f>IF(Z522="移出","已移出",IF(NOT(ISNUMBER(H522)),"数据待核",IF(H522=0,"断货",IF(NOT(ISNUMBER(G522)),"数据待核",IF(G522=0,"零日销待复核",IF(F522&lt;60,"补货提醒",IF(F522&lt;=90,"正常库存",IF(F522&lt;180,"促销",IF(F522&lt;=365,"红线促销","考虑清仓")))))))))</x:f>
        <x:v>断货</x:v>
      </x:c>
      <x:c r="F522" s="11" t="str">
        <x:f>IF(AND(ISNUMBER(H522),ISNUMBER(G522),G522&gt;0),H522/G522,"")</x:f>
      </x:c>
      <x:c r="G522" s="12" t="n">
        <x:f>IF(AND(COUNT(P522:R522)=3,MIN(P522:R522)&gt;=0,P522&lt;=Q522,Q522&lt;=R522),P522/7*0.5+Q522/14*0.3+R522/30*0.2,"")</x:f>
        <x:v>0</x:v>
      </x:c>
      <x:c r="H522" s="10" t="n">
        <x:f>IF(ISNUMBER(U522),U522,"")</x:f>
        <x:v>0</x:v>
      </x:c>
      <x:c r="I522" s="10" t="n">
        <x:v>0</x:v>
      </x:c>
      <x:c r="J522" s="11" t="str">
        <x:f>IF(AND(Z522="共同",ISNUMBER(F522),ISNUMBER(M522)),F522-M522,"")</x:f>
      </x:c>
      <x:c r="K522" s="13" t="str">
        <x:f>IF(AND(ISNUMBER(J522),M522&lt;&gt;0),J522/M522,"")</x:f>
      </x:c>
      <x:c r="L522" s="10" t="str">
        <x:v>断货</x:v>
      </x:c>
      <x:c r="M522" s="11"/>
      <x:c r="N522" s="10" t="n">
        <x:f>IF(AND(Z522="共同",COUNT(H522:I522)=2),H522-I522,"")</x:f>
        <x:v>0</x:v>
      </x:c>
      <x:c r="O522" s="10"/>
      <x:c r="P522" s="10" t="n">
        <x:v>0</x:v>
      </x:c>
      <x:c r="Q522" s="10" t="n">
        <x:v>0</x:v>
      </x:c>
      <x:c r="R522" s="10" t="n">
        <x:v>0</x:v>
      </x:c>
      <x:c r="S522" s="10" t="n">
        <x:v>0</x:v>
      </x:c>
      <x:c r="T522" s="10" t="n">
        <x:v>0</x:v>
      </x:c>
      <x:c r="U522" s="10" t="n">
        <x:f>IF(AND(ISNUMBER(X522),X522&gt;=0,Y522&lt;&gt;1),X522,"")</x:f>
        <x:v>0</x:v>
      </x:c>
      <x:c r="V522" s="10" t="n">
        <x:v>0</x:v>
      </x:c>
      <x:c r="W522" s="10" t="n">
        <x:v>0</x:v>
      </x:c>
      <x:c r="X522" s="10" t="n">
        <x:v>0</x:v>
      </x:c>
      <x:c r="Y522" s="3" t="n">
        <x:v>0</x:v>
      </x:c>
      <x:c r="Z522" s="3" t="str">
        <x:v>共同</x:v>
      </x:c>
      <x:c r="AA522" s="3" t="str">
        <x:v>停售</x:v>
      </x:c>
      <x:c r="AB522" s="12" t="str">
        <x:f>IF(AND(Z522="共同",ISNUMBER(G522),ISNUMBER(AD522)),G522-AD522,"")</x:f>
      </x:c>
      <x:c r="AC522" s="3" t="str">
        <x:v>近90天SKU销量未匹配，未按0处理</x:v>
      </x:c>
      <x:c r="AD522" s="12"/>
      <x:c r="AE522" s="3" t="str">
        <x:v>[6574,"60516-TN-S-K-6"]</x:v>
      </x:c>
      <x:c r="AF522" t="n">
        <x:f>IF(ISNUMBER(H522),1,0)</x:f>
        <x:v>1</x:v>
      </x:c>
      <x:c r="AG522" t="n">
        <x:f>IF(ISNUMBER(I522),1,0)</x:f>
        <x:v>1</x:v>
      </x:c>
      <x:c r="AH522" t="str">
        <x:v>["60516","60516-TN-S-K","TN","驼色"]</x:v>
      </x:c>
      <x:c r="AI522" t="n">
        <x:f>IF(ISNUMBER(G522),1,0)</x:f>
        <x:v>1</x:v>
      </x:c>
      <x:c r="AJ522" t="n">
        <x:f>IF(ISNUMBER(AD522),1,0)</x:f>
        <x:v>0</x:v>
      </x:c>
    </x:row>
    <x:row r="523" ht="30" customHeight="1">
      <x:c r="A523" s="3" t="str">
        <x:v>60516-TN-S-K-6.5</x:v>
      </x:c>
      <x:c r="B523" s="3" t="str">
        <x:v>3店-SANDIEX-US</x:v>
      </x:c>
      <x:c r="C523" s="3" t="str">
        <x:v>徐新怡</x:v>
      </x:c>
      <x:c r="D523" s="3" t="str">
        <x:v>60516</x:v>
      </x:c>
      <x:c r="E523" s="3" t="str">
        <x:f>IF(Z523="移出","已移出",IF(NOT(ISNUMBER(H523)),"数据待核",IF(H523=0,"断货",IF(NOT(ISNUMBER(G523)),"数据待核",IF(G523=0,"零日销待复核",IF(F523&lt;60,"补货提醒",IF(F523&lt;=90,"正常库存",IF(F523&lt;180,"促销",IF(F523&lt;=365,"红线促销","考虑清仓")))))))))</x:f>
        <x:v>断货</x:v>
      </x:c>
      <x:c r="F523" s="11" t="str">
        <x:f>IF(AND(ISNUMBER(H523),ISNUMBER(G523),G523&gt;0),H523/G523,"")</x:f>
      </x:c>
      <x:c r="G523" s="12" t="n">
        <x:f>IF(AND(COUNT(P523:R523)=3,MIN(P523:R523)&gt;=0,P523&lt;=Q523,Q523&lt;=R523),P523/7*0.5+Q523/14*0.3+R523/30*0.2,"")</x:f>
        <x:v>0</x:v>
      </x:c>
      <x:c r="H523" s="10" t="n">
        <x:f>IF(ISNUMBER(U523),U523,"")</x:f>
        <x:v>0</x:v>
      </x:c>
      <x:c r="I523" s="10"/>
      <x:c r="J523" s="11" t="str">
        <x:f>IF(AND(Z523="共同",ISNUMBER(F523),ISNUMBER(M523)),F523-M523,"")</x:f>
      </x:c>
      <x:c r="K523" s="13" t="str">
        <x:f>IF(AND(ISNUMBER(J523),M523&lt;&gt;0),J523/M523,"")</x:f>
      </x:c>
      <x:c r="L523" s="10"/>
      <x:c r="M523" s="11"/>
      <x:c r="N523" s="10" t="str">
        <x:f>IF(AND(Z523="共同",COUNT(H523:I523)=2),H523-I523,"")</x:f>
      </x:c>
      <x:c r="O523" s="10"/>
      <x:c r="P523" s="10" t="n">
        <x:v>0</x:v>
      </x:c>
      <x:c r="Q523" s="10" t="n">
        <x:v>0</x:v>
      </x:c>
      <x:c r="R523" s="10" t="n">
        <x:v>0</x:v>
      </x:c>
      <x:c r="S523" s="10" t="n">
        <x:v>0</x:v>
      </x:c>
      <x:c r="T523" s="10" t="n">
        <x:v>0</x:v>
      </x:c>
      <x:c r="U523" s="10" t="n">
        <x:f>IF(AND(ISNUMBER(X523),X523&gt;=0,Y523&lt;&gt;1),X523,"")</x:f>
        <x:v>0</x:v>
      </x:c>
      <x:c r="V523" s="10" t="n">
        <x:v>0</x:v>
      </x:c>
      <x:c r="W523" s="10" t="n">
        <x:v>0</x:v>
      </x:c>
      <x:c r="X523" s="10" t="n">
        <x:v>0</x:v>
      </x:c>
      <x:c r="Y523" s="3" t="n">
        <x:v>0</x:v>
      </x:c>
      <x:c r="Z523" s="3" t="str">
        <x:v>新增</x:v>
      </x:c>
      <x:c r="AA523" s="3" t="str">
        <x:v>停售</x:v>
      </x:c>
      <x:c r="AB523" s="12" t="str">
        <x:f>IF(AND(Z523="共同",ISNUMBER(G523),ISNUMBER(AD523)),G523-AD523,"")</x:f>
      </x:c>
      <x:c r="AC523" s="3" t="str">
        <x:v>近90天SKU销量未匹配，未按0处理</x:v>
      </x:c>
      <x:c r="AD523" s="12"/>
      <x:c r="AE523" s="3" t="str">
        <x:v>[6574,"60516-TN-S-K-6.5"]</x:v>
      </x:c>
      <x:c r="AF523" t="n">
        <x:f>IF(ISNUMBER(H523),1,0)</x:f>
        <x:v>1</x:v>
      </x:c>
      <x:c r="AG523" t="n">
        <x:f>IF(ISNUMBER(I523),1,0)</x:f>
        <x:v>0</x:v>
      </x:c>
      <x:c r="AH523" t="str">
        <x:v>["60516","60516-TN-S-K","TN","驼色"]</x:v>
      </x:c>
      <x:c r="AI523" t="n">
        <x:f>IF(ISNUMBER(G523),1,0)</x:f>
        <x:v>1</x:v>
      </x:c>
      <x:c r="AJ523" t="n">
        <x:f>IF(ISNUMBER(AD523),1,0)</x:f>
        <x:v>0</x:v>
      </x:c>
    </x:row>
    <x:row r="524" ht="30" customHeight="1">
      <x:c r="A524" s="3" t="str">
        <x:v>60516-TN-S-K-7</x:v>
      </x:c>
      <x:c r="B524" s="3" t="str">
        <x:v>3店-SANDIEX-US</x:v>
      </x:c>
      <x:c r="C524" s="3" t="str">
        <x:v>徐新怡</x:v>
      </x:c>
      <x:c r="D524" s="3" t="str">
        <x:v>60516</x:v>
      </x:c>
      <x:c r="E524" s="3" t="str">
        <x:f>IF(Z524="移出","已移出",IF(NOT(ISNUMBER(H524)),"数据待核",IF(H524=0,"断货",IF(NOT(ISNUMBER(G524)),"数据待核",IF(G524=0,"零日销待复核",IF(F524&lt;60,"补货提醒",IF(F524&lt;=90,"正常库存",IF(F524&lt;180,"促销",IF(F524&lt;=365,"红线促销","考虑清仓")))))))))</x:f>
        <x:v>断货</x:v>
      </x:c>
      <x:c r="F524" s="11" t="str">
        <x:f>IF(AND(ISNUMBER(H524),ISNUMBER(G524),G524&gt;0),H524/G524,"")</x:f>
      </x:c>
      <x:c r="G524" s="12" t="n">
        <x:f>IF(AND(COUNT(P524:R524)=3,MIN(P524:R524)&gt;=0,P524&lt;=Q524,Q524&lt;=R524),P524/7*0.5+Q524/14*0.3+R524/30*0.2,"")</x:f>
        <x:v>0</x:v>
      </x:c>
      <x:c r="H524" s="10" t="n">
        <x:f>IF(ISNUMBER(U524),U524,"")</x:f>
        <x:v>0</x:v>
      </x:c>
      <x:c r="I524" s="10" t="n">
        <x:v>0</x:v>
      </x:c>
      <x:c r="J524" s="11" t="str">
        <x:f>IF(AND(Z524="共同",ISNUMBER(F524),ISNUMBER(M524)),F524-M524,"")</x:f>
      </x:c>
      <x:c r="K524" s="13" t="str">
        <x:f>IF(AND(ISNUMBER(J524),M524&lt;&gt;0),J524/M524,"")</x:f>
      </x:c>
      <x:c r="L524" s="10" t="str">
        <x:v>断货</x:v>
      </x:c>
      <x:c r="M524" s="11"/>
      <x:c r="N524" s="10" t="n">
        <x:f>IF(AND(Z524="共同",COUNT(H524:I524)=2),H524-I524,"")</x:f>
        <x:v>0</x:v>
      </x:c>
      <x:c r="O524" s="10" t="n">
        <x:v>0</x:v>
      </x:c>
      <x:c r="P524" s="10" t="n">
        <x:v>0</x:v>
      </x:c>
      <x:c r="Q524" s="10" t="n">
        <x:v>0</x:v>
      </x:c>
      <x:c r="R524" s="10" t="n">
        <x:v>0</x:v>
      </x:c>
      <x:c r="S524" s="10" t="n">
        <x:v>0</x:v>
      </x:c>
      <x:c r="T524" s="10" t="n">
        <x:v>0</x:v>
      </x:c>
      <x:c r="U524" s="10" t="n">
        <x:f>IF(AND(ISNUMBER(X524),X524&gt;=0,Y524&lt;&gt;1),X524,"")</x:f>
        <x:v>0</x:v>
      </x:c>
      <x:c r="V524" s="10" t="n">
        <x:v>0</x:v>
      </x:c>
      <x:c r="W524" s="10" t="n">
        <x:v>0</x:v>
      </x:c>
      <x:c r="X524" s="10" t="n">
        <x:v>0</x:v>
      </x:c>
      <x:c r="Y524" s="3" t="n">
        <x:v>0</x:v>
      </x:c>
      <x:c r="Z524" s="3" t="str">
        <x:v>共同</x:v>
      </x:c>
      <x:c r="AA524" s="3" t="str">
        <x:v>停售</x:v>
      </x:c>
      <x:c r="AB524" s="12" t="str">
        <x:f>IF(AND(Z524="共同",ISNUMBER(G524),ISNUMBER(AD524)),G524-AD524,"")</x:f>
      </x:c>
      <x:c r="AC524" s="3" t="str">
        <x:v>近90天SKU销量未匹配，未按0处理</x:v>
      </x:c>
      <x:c r="AD524" s="12"/>
      <x:c r="AE524" s="3" t="str">
        <x:v>[6574,"60516-TN-S-K-7"]</x:v>
      </x:c>
      <x:c r="AF524" t="n">
        <x:f>IF(ISNUMBER(H524),1,0)</x:f>
        <x:v>1</x:v>
      </x:c>
      <x:c r="AG524" t="n">
        <x:f>IF(ISNUMBER(I524),1,0)</x:f>
        <x:v>1</x:v>
      </x:c>
      <x:c r="AH524" t="str">
        <x:v>["60516","60516-TN-S-K","TN","驼色"]</x:v>
      </x:c>
      <x:c r="AI524" t="n">
        <x:f>IF(ISNUMBER(G524),1,0)</x:f>
        <x:v>1</x:v>
      </x:c>
      <x:c r="AJ524" t="n">
        <x:f>IF(ISNUMBER(AD524),1,0)</x:f>
        <x:v>0</x:v>
      </x:c>
    </x:row>
    <x:row r="525" ht="30" customHeight="1">
      <x:c r="A525" s="3" t="str">
        <x:v>60516-TN-S-K-7.5</x:v>
      </x:c>
      <x:c r="B525" s="3" t="str">
        <x:v>3店-SANDIEX-US</x:v>
      </x:c>
      <x:c r="C525" s="3" t="str">
        <x:v>徐新怡</x:v>
      </x:c>
      <x:c r="D525" s="3" t="str">
        <x:v>60516</x:v>
      </x:c>
      <x:c r="E525" s="3" t="str">
        <x:f>IF(Z525="移出","已移出",IF(NOT(ISNUMBER(H525)),"数据待核",IF(H525=0,"断货",IF(NOT(ISNUMBER(G525)),"数据待核",IF(G525=0,"零日销待复核",IF(F525&lt;60,"补货提醒",IF(F525&lt;=90,"正常库存",IF(F525&lt;180,"促销",IF(F525&lt;=365,"红线促销","考虑清仓")))))))))</x:f>
        <x:v>断货</x:v>
      </x:c>
      <x:c r="F525" s="11" t="str">
        <x:f>IF(AND(ISNUMBER(H525),ISNUMBER(G525),G525&gt;0),H525/G525,"")</x:f>
      </x:c>
      <x:c r="G525" s="12" t="n">
        <x:f>IF(AND(COUNT(P525:R525)=3,MIN(P525:R525)&gt;=0,P525&lt;=Q525,Q525&lt;=R525),P525/7*0.5+Q525/14*0.3+R525/30*0.2,"")</x:f>
        <x:v>0</x:v>
      </x:c>
      <x:c r="H525" s="10" t="n">
        <x:f>IF(ISNUMBER(U525),U525,"")</x:f>
        <x:v>0</x:v>
      </x:c>
      <x:c r="I525" s="10"/>
      <x:c r="J525" s="11" t="str">
        <x:f>IF(AND(Z525="共同",ISNUMBER(F525),ISNUMBER(M525)),F525-M525,"")</x:f>
      </x:c>
      <x:c r="K525" s="13" t="str">
        <x:f>IF(AND(ISNUMBER(J525),M525&lt;&gt;0),J525/M525,"")</x:f>
      </x:c>
      <x:c r="L525" s="10"/>
      <x:c r="M525" s="11"/>
      <x:c r="N525" s="10" t="str">
        <x:f>IF(AND(Z525="共同",COUNT(H525:I525)=2),H525-I525,"")</x:f>
      </x:c>
      <x:c r="O525" s="10"/>
      <x:c r="P525" s="10" t="n">
        <x:v>0</x:v>
      </x:c>
      <x:c r="Q525" s="10" t="n">
        <x:v>0</x:v>
      </x:c>
      <x:c r="R525" s="10" t="n">
        <x:v>0</x:v>
      </x:c>
      <x:c r="S525" s="10" t="n">
        <x:v>0</x:v>
      </x:c>
      <x:c r="T525" s="10" t="n">
        <x:v>0</x:v>
      </x:c>
      <x:c r="U525" s="10" t="n">
        <x:f>IF(AND(ISNUMBER(X525),X525&gt;=0,Y525&lt;&gt;1),X525,"")</x:f>
        <x:v>0</x:v>
      </x:c>
      <x:c r="V525" s="10" t="n">
        <x:v>0</x:v>
      </x:c>
      <x:c r="W525" s="10" t="n">
        <x:v>0</x:v>
      </x:c>
      <x:c r="X525" s="10" t="n">
        <x:v>0</x:v>
      </x:c>
      <x:c r="Y525" s="3" t="n">
        <x:v>0</x:v>
      </x:c>
      <x:c r="Z525" s="3" t="str">
        <x:v>新增</x:v>
      </x:c>
      <x:c r="AA525" s="3" t="str">
        <x:v>停售</x:v>
      </x:c>
      <x:c r="AB525" s="12" t="str">
        <x:f>IF(AND(Z525="共同",ISNUMBER(G525),ISNUMBER(AD525)),G525-AD525,"")</x:f>
      </x:c>
      <x:c r="AC525" s="3" t="str">
        <x:v>近90天SKU销量未匹配，未按0处理</x:v>
      </x:c>
      <x:c r="AD525" s="12"/>
      <x:c r="AE525" s="3" t="str">
        <x:v>[6574,"60516-TN-S-K-7.5"]</x:v>
      </x:c>
      <x:c r="AF525" t="n">
        <x:f>IF(ISNUMBER(H525),1,0)</x:f>
        <x:v>1</x:v>
      </x:c>
      <x:c r="AG525" t="n">
        <x:f>IF(ISNUMBER(I525),1,0)</x:f>
        <x:v>0</x:v>
      </x:c>
      <x:c r="AH525" t="str">
        <x:v>["60516","60516-TN-S-K","TN","驼色"]</x:v>
      </x:c>
      <x:c r="AI525" t="n">
        <x:f>IF(ISNUMBER(G525),1,0)</x:f>
        <x:v>1</x:v>
      </x:c>
      <x:c r="AJ525" t="n">
        <x:f>IF(ISNUMBER(AD525),1,0)</x:f>
        <x:v>0</x:v>
      </x:c>
    </x:row>
    <x:row r="526" ht="30" customHeight="1">
      <x:c r="A526" s="3" t="str">
        <x:v>60516-TN-S-K-8</x:v>
      </x:c>
      <x:c r="B526" s="3" t="str">
        <x:v>3店-SANDIEX-US</x:v>
      </x:c>
      <x:c r="C526" s="3" t="str">
        <x:v>徐新怡</x:v>
      </x:c>
      <x:c r="D526" s="3" t="str">
        <x:v>60516</x:v>
      </x:c>
      <x:c r="E526" s="3" t="str">
        <x:f>IF(Z526="移出","已移出",IF(NOT(ISNUMBER(H526)),"数据待核",IF(H526=0,"断货",IF(NOT(ISNUMBER(G526)),"数据待核",IF(G526=0,"零日销待复核",IF(F526&lt;60,"补货提醒",IF(F526&lt;=90,"正常库存",IF(F526&lt;180,"促销",IF(F526&lt;=365,"红线促销","考虑清仓")))))))))</x:f>
        <x:v>断货</x:v>
      </x:c>
      <x:c r="F526" s="11" t="str">
        <x:f>IF(AND(ISNUMBER(H526),ISNUMBER(G526),G526&gt;0),H526/G526,"")</x:f>
      </x:c>
      <x:c r="G526" s="12" t="n">
        <x:f>IF(AND(COUNT(P526:R526)=3,MIN(P526:R526)&gt;=0,P526&lt;=Q526,Q526&lt;=R526),P526/7*0.5+Q526/14*0.3+R526/30*0.2,"")</x:f>
        <x:v>0</x:v>
      </x:c>
      <x:c r="H526" s="10" t="n">
        <x:f>IF(ISNUMBER(U526),U526,"")</x:f>
        <x:v>0</x:v>
      </x:c>
      <x:c r="I526" s="10" t="n">
        <x:v>0</x:v>
      </x:c>
      <x:c r="J526" s="11" t="str">
        <x:f>IF(AND(Z526="共同",ISNUMBER(F526),ISNUMBER(M526)),F526-M526,"")</x:f>
      </x:c>
      <x:c r="K526" s="13" t="str">
        <x:f>IF(AND(ISNUMBER(J526),M526&lt;&gt;0),J526/M526,"")</x:f>
      </x:c>
      <x:c r="L526" s="10" t="str">
        <x:v>断货</x:v>
      </x:c>
      <x:c r="M526" s="11"/>
      <x:c r="N526" s="10" t="n">
        <x:f>IF(AND(Z526="共同",COUNT(H526:I526)=2),H526-I526,"")</x:f>
        <x:v>0</x:v>
      </x:c>
      <x:c r="O526" s="10" t="n">
        <x:v>1</x:v>
      </x:c>
      <x:c r="P526" s="10" t="n">
        <x:v>0</x:v>
      </x:c>
      <x:c r="Q526" s="10" t="n">
        <x:v>0</x:v>
      </x:c>
      <x:c r="R526" s="10" t="n">
        <x:v>0</x:v>
      </x:c>
      <x:c r="S526" s="10" t="n">
        <x:v>0</x:v>
      </x:c>
      <x:c r="T526" s="10" t="n">
        <x:v>0</x:v>
      </x:c>
      <x:c r="U526" s="10" t="n">
        <x:f>IF(AND(ISNUMBER(X526),X526&gt;=0,Y526&lt;&gt;1),X526,"")</x:f>
        <x:v>0</x:v>
      </x:c>
      <x:c r="V526" s="10" t="n">
        <x:v>0</x:v>
      </x:c>
      <x:c r="W526" s="10" t="n">
        <x:v>0</x:v>
      </x:c>
      <x:c r="X526" s="10" t="n">
        <x:v>0</x:v>
      </x:c>
      <x:c r="Y526" s="3" t="n">
        <x:v>0</x:v>
      </x:c>
      <x:c r="Z526" s="3" t="str">
        <x:v>共同</x:v>
      </x:c>
      <x:c r="AA526" s="3" t="str">
        <x:v>停售</x:v>
      </x:c>
      <x:c r="AB526" s="12" t="str">
        <x:f>IF(AND(Z526="共同",ISNUMBER(G526),ISNUMBER(AD526)),G526-AD526,"")</x:f>
      </x:c>
      <x:c r="AC526" s="3" t="str">
        <x:v>近90天SKU销量未匹配，未按0处理</x:v>
      </x:c>
      <x:c r="AD526" s="12"/>
      <x:c r="AE526" s="3" t="str">
        <x:v>[6574,"60516-TN-S-K-8"]</x:v>
      </x:c>
      <x:c r="AF526" t="n">
        <x:f>IF(ISNUMBER(H526),1,0)</x:f>
        <x:v>1</x:v>
      </x:c>
      <x:c r="AG526" t="n">
        <x:f>IF(ISNUMBER(I526),1,0)</x:f>
        <x:v>1</x:v>
      </x:c>
      <x:c r="AH526" t="str">
        <x:v>["60516","60516-TN-S-K","TN","驼色"]</x:v>
      </x:c>
      <x:c r="AI526" t="n">
        <x:f>IF(ISNUMBER(G526),1,0)</x:f>
        <x:v>1</x:v>
      </x:c>
      <x:c r="AJ526" t="n">
        <x:f>IF(ISNUMBER(AD526),1,0)</x:f>
        <x:v>0</x:v>
      </x:c>
    </x:row>
    <x:row r="527" ht="30" customHeight="1">
      <x:c r="A527" s="3" t="str">
        <x:v>60516-TN-S-K-8.5</x:v>
      </x:c>
      <x:c r="B527" s="3" t="str">
        <x:v>3店-SANDIEX-US</x:v>
      </x:c>
      <x:c r="C527" s="3" t="str">
        <x:v>徐新怡</x:v>
      </x:c>
      <x:c r="D527" s="3" t="str">
        <x:v>60516</x:v>
      </x:c>
      <x:c r="E527" s="3" t="str">
        <x:f>IF(Z527="移出","已移出",IF(NOT(ISNUMBER(H527)),"数据待核",IF(H527=0,"断货",IF(NOT(ISNUMBER(G527)),"数据待核",IF(G527=0,"零日销待复核",IF(F527&lt;60,"补货提醒",IF(F527&lt;=90,"正常库存",IF(F527&lt;180,"促销",IF(F527&lt;=365,"红线促销","考虑清仓")))))))))</x:f>
        <x:v>断货</x:v>
      </x:c>
      <x:c r="F527" s="11" t="str">
        <x:f>IF(AND(ISNUMBER(H527),ISNUMBER(G527),G527&gt;0),H527/G527,"")</x:f>
      </x:c>
      <x:c r="G527" s="12" t="n">
        <x:f>IF(AND(COUNT(P527:R527)=3,MIN(P527:R527)&gt;=0,P527&lt;=Q527,Q527&lt;=R527),P527/7*0.5+Q527/14*0.3+R527/30*0.2,"")</x:f>
        <x:v>0</x:v>
      </x:c>
      <x:c r="H527" s="10" t="n">
        <x:f>IF(ISNUMBER(U527),U527,"")</x:f>
        <x:v>0</x:v>
      </x:c>
      <x:c r="I527" s="10"/>
      <x:c r="J527" s="11" t="str">
        <x:f>IF(AND(Z527="共同",ISNUMBER(F527),ISNUMBER(M527)),F527-M527,"")</x:f>
      </x:c>
      <x:c r="K527" s="13" t="str">
        <x:f>IF(AND(ISNUMBER(J527),M527&lt;&gt;0),J527/M527,"")</x:f>
      </x:c>
      <x:c r="L527" s="10"/>
      <x:c r="M527" s="11"/>
      <x:c r="N527" s="10" t="str">
        <x:f>IF(AND(Z527="共同",COUNT(H527:I527)=2),H527-I527,"")</x:f>
      </x:c>
      <x:c r="O527" s="10"/>
      <x:c r="P527" s="10" t="n">
        <x:v>0</x:v>
      </x:c>
      <x:c r="Q527" s="10" t="n">
        <x:v>0</x:v>
      </x:c>
      <x:c r="R527" s="10" t="n">
        <x:v>0</x:v>
      </x:c>
      <x:c r="S527" s="10" t="n">
        <x:v>0</x:v>
      </x:c>
      <x:c r="T527" s="10" t="n">
        <x:v>0</x:v>
      </x:c>
      <x:c r="U527" s="10" t="n">
        <x:f>IF(AND(ISNUMBER(X527),X527&gt;=0,Y527&lt;&gt;1),X527,"")</x:f>
        <x:v>0</x:v>
      </x:c>
      <x:c r="V527" s="10" t="n">
        <x:v>0</x:v>
      </x:c>
      <x:c r="W527" s="10" t="n">
        <x:v>0</x:v>
      </x:c>
      <x:c r="X527" s="10" t="n">
        <x:v>0</x:v>
      </x:c>
      <x:c r="Y527" s="3" t="n">
        <x:v>0</x:v>
      </x:c>
      <x:c r="Z527" s="3" t="str">
        <x:v>新增</x:v>
      </x:c>
      <x:c r="AA527" s="3" t="str">
        <x:v>停售</x:v>
      </x:c>
      <x:c r="AB527" s="12" t="str">
        <x:f>IF(AND(Z527="共同",ISNUMBER(G527),ISNUMBER(AD527)),G527-AD527,"")</x:f>
      </x:c>
      <x:c r="AC527" s="3" t="str">
        <x:v>近90天SKU销量未匹配，未按0处理</x:v>
      </x:c>
      <x:c r="AD527" s="12"/>
      <x:c r="AE527" s="3" t="str">
        <x:v>[6574,"60516-TN-S-K-8.5"]</x:v>
      </x:c>
      <x:c r="AF527" t="n">
        <x:f>IF(ISNUMBER(H527),1,0)</x:f>
        <x:v>1</x:v>
      </x:c>
      <x:c r="AG527" t="n">
        <x:f>IF(ISNUMBER(I527),1,0)</x:f>
        <x:v>0</x:v>
      </x:c>
      <x:c r="AH527" t="str">
        <x:v>["60516","60516-TN-S-K","TN","驼色"]</x:v>
      </x:c>
      <x:c r="AI527" t="n">
        <x:f>IF(ISNUMBER(G527),1,0)</x:f>
        <x:v>1</x:v>
      </x:c>
      <x:c r="AJ527" t="n">
        <x:f>IF(ISNUMBER(AD527),1,0)</x:f>
        <x:v>0</x:v>
      </x:c>
    </x:row>
    <x:row r="528" ht="30" customHeight="1">
      <x:c r="A528" s="3" t="str">
        <x:v>60516-TN-S-K-9</x:v>
      </x:c>
      <x:c r="B528" s="3" t="str">
        <x:v>3店-SANDIEX-US</x:v>
      </x:c>
      <x:c r="C528" s="3" t="str">
        <x:v>徐新怡</x:v>
      </x:c>
      <x:c r="D528" s="3" t="str">
        <x:v>60516</x:v>
      </x:c>
      <x:c r="E528" s="3" t="str">
        <x:f>IF(Z528="移出","已移出",IF(NOT(ISNUMBER(H528)),"数据待核",IF(H528=0,"断货",IF(NOT(ISNUMBER(G528)),"数据待核",IF(G528=0,"零日销待复核",IF(F528&lt;60,"补货提醒",IF(F528&lt;=90,"正常库存",IF(F528&lt;180,"促销",IF(F528&lt;=365,"红线促销","考虑清仓")))))))))</x:f>
        <x:v>断货</x:v>
      </x:c>
      <x:c r="F528" s="11" t="str">
        <x:f>IF(AND(ISNUMBER(H528),ISNUMBER(G528),G528&gt;0),H528/G528,"")</x:f>
      </x:c>
      <x:c r="G528" s="12" t="n">
        <x:f>IF(AND(COUNT(P528:R528)=3,MIN(P528:R528)&gt;=0,P528&lt;=Q528,Q528&lt;=R528),P528/7*0.5+Q528/14*0.3+R528/30*0.2,"")</x:f>
        <x:v>0</x:v>
      </x:c>
      <x:c r="H528" s="10" t="n">
        <x:f>IF(ISNUMBER(U528),U528,"")</x:f>
        <x:v>0</x:v>
      </x:c>
      <x:c r="I528" s="10" t="n">
        <x:v>0</x:v>
      </x:c>
      <x:c r="J528" s="11" t="str">
        <x:f>IF(AND(Z528="共同",ISNUMBER(F528),ISNUMBER(M528)),F528-M528,"")</x:f>
      </x:c>
      <x:c r="K528" s="13" t="str">
        <x:f>IF(AND(ISNUMBER(J528),M528&lt;&gt;0),J528/M528,"")</x:f>
      </x:c>
      <x:c r="L528" s="10" t="str">
        <x:v>断货</x:v>
      </x:c>
      <x:c r="M528" s="11"/>
      <x:c r="N528" s="10" t="n">
        <x:f>IF(AND(Z528="共同",COUNT(H528:I528)=2),H528-I528,"")</x:f>
        <x:v>0</x:v>
      </x:c>
      <x:c r="O528" s="10"/>
      <x:c r="P528" s="10" t="n">
        <x:v>0</x:v>
      </x:c>
      <x:c r="Q528" s="10" t="n">
        <x:v>0</x:v>
      </x:c>
      <x:c r="R528" s="10" t="n">
        <x:v>0</x:v>
      </x:c>
      <x:c r="S528" s="10" t="n">
        <x:v>0</x:v>
      </x:c>
      <x:c r="T528" s="10" t="n">
        <x:v>0</x:v>
      </x:c>
      <x:c r="U528" s="10" t="n">
        <x:f>IF(AND(ISNUMBER(X528),X528&gt;=0,Y528&lt;&gt;1),X528,"")</x:f>
        <x:v>0</x:v>
      </x:c>
      <x:c r="V528" s="10" t="n">
        <x:v>0</x:v>
      </x:c>
      <x:c r="W528" s="10" t="n">
        <x:v>0</x:v>
      </x:c>
      <x:c r="X528" s="10" t="n">
        <x:v>0</x:v>
      </x:c>
      <x:c r="Y528" s="3" t="n">
        <x:v>0</x:v>
      </x:c>
      <x:c r="Z528" s="3" t="str">
        <x:v>共同</x:v>
      </x:c>
      <x:c r="AA528" s="3" t="str">
        <x:v>停售</x:v>
      </x:c>
      <x:c r="AB528" s="12" t="str">
        <x:f>IF(AND(Z528="共同",ISNUMBER(G528),ISNUMBER(AD528)),G528-AD528,"")</x:f>
      </x:c>
      <x:c r="AC528" s="3" t="str">
        <x:v>近90天SKU销量未匹配，未按0处理</x:v>
      </x:c>
      <x:c r="AD528" s="12"/>
      <x:c r="AE528" s="3" t="str">
        <x:v>[6574,"60516-TN-S-K-9"]</x:v>
      </x:c>
      <x:c r="AF528" t="n">
        <x:f>IF(ISNUMBER(H528),1,0)</x:f>
        <x:v>1</x:v>
      </x:c>
      <x:c r="AG528" t="n">
        <x:f>IF(ISNUMBER(I528),1,0)</x:f>
        <x:v>1</x:v>
      </x:c>
      <x:c r="AH528" t="str">
        <x:v>["60516","60516-TN-S-K","TN","驼色"]</x:v>
      </x:c>
      <x:c r="AI528" t="n">
        <x:f>IF(ISNUMBER(G528),1,0)</x:f>
        <x:v>1</x:v>
      </x:c>
      <x:c r="AJ528" t="n">
        <x:f>IF(ISNUMBER(AD528),1,0)</x:f>
        <x:v>0</x:v>
      </x:c>
    </x:row>
    <x:row r="529" ht="30" customHeight="1">
      <x:c r="A529" s="3" t="str">
        <x:v>60516-TN-S-K-9.5</x:v>
      </x:c>
      <x:c r="B529" s="3" t="str">
        <x:v>3店-SANDIEX-US</x:v>
      </x:c>
      <x:c r="C529" s="3" t="str">
        <x:v>徐新怡</x:v>
      </x:c>
      <x:c r="D529" s="3" t="str">
        <x:v>60516</x:v>
      </x:c>
      <x:c r="E529" s="3" t="str">
        <x:f>IF(Z529="移出","已移出",IF(NOT(ISNUMBER(H529)),"数据待核",IF(H529=0,"断货",IF(NOT(ISNUMBER(G529)),"数据待核",IF(G529=0,"零日销待复核",IF(F529&lt;60,"补货提醒",IF(F529&lt;=90,"正常库存",IF(F529&lt;180,"促销",IF(F529&lt;=365,"红线促销","考虑清仓")))))))))</x:f>
        <x:v>断货</x:v>
      </x:c>
      <x:c r="F529" s="11" t="str">
        <x:f>IF(AND(ISNUMBER(H529),ISNUMBER(G529),G529&gt;0),H529/G529,"")</x:f>
      </x:c>
      <x:c r="G529" s="12" t="n">
        <x:f>IF(AND(COUNT(P529:R529)=3,MIN(P529:R529)&gt;=0,P529&lt;=Q529,Q529&lt;=R529),P529/7*0.5+Q529/14*0.3+R529/30*0.2,"")</x:f>
        <x:v>0</x:v>
      </x:c>
      <x:c r="H529" s="10" t="n">
        <x:f>IF(ISNUMBER(U529),U529,"")</x:f>
        <x:v>0</x:v>
      </x:c>
      <x:c r="I529" s="10"/>
      <x:c r="J529" s="11" t="str">
        <x:f>IF(AND(Z529="共同",ISNUMBER(F529),ISNUMBER(M529)),F529-M529,"")</x:f>
      </x:c>
      <x:c r="K529" s="13" t="str">
        <x:f>IF(AND(ISNUMBER(J529),M529&lt;&gt;0),J529/M529,"")</x:f>
      </x:c>
      <x:c r="L529" s="10"/>
      <x:c r="M529" s="11"/>
      <x:c r="N529" s="10" t="str">
        <x:f>IF(AND(Z529="共同",COUNT(H529:I529)=2),H529-I529,"")</x:f>
      </x:c>
      <x:c r="O529" s="10"/>
      <x:c r="P529" s="10" t="n">
        <x:v>0</x:v>
      </x:c>
      <x:c r="Q529" s="10" t="n">
        <x:v>0</x:v>
      </x:c>
      <x:c r="R529" s="10" t="n">
        <x:v>0</x:v>
      </x:c>
      <x:c r="S529" s="10" t="n">
        <x:v>0</x:v>
      </x:c>
      <x:c r="T529" s="10" t="n">
        <x:v>0</x:v>
      </x:c>
      <x:c r="U529" s="10" t="n">
        <x:f>IF(AND(ISNUMBER(X529),X529&gt;=0,Y529&lt;&gt;1),X529,"")</x:f>
        <x:v>0</x:v>
      </x:c>
      <x:c r="V529" s="10" t="n">
        <x:v>0</x:v>
      </x:c>
      <x:c r="W529" s="10" t="n">
        <x:v>0</x:v>
      </x:c>
      <x:c r="X529" s="10" t="n">
        <x:v>0</x:v>
      </x:c>
      <x:c r="Y529" s="3" t="n">
        <x:v>0</x:v>
      </x:c>
      <x:c r="Z529" s="3" t="str">
        <x:v>新增</x:v>
      </x:c>
      <x:c r="AA529" s="3" t="str">
        <x:v>停售</x:v>
      </x:c>
      <x:c r="AB529" s="12" t="str">
        <x:f>IF(AND(Z529="共同",ISNUMBER(G529),ISNUMBER(AD529)),G529-AD529,"")</x:f>
      </x:c>
      <x:c r="AC529" s="3" t="str">
        <x:v>近90天SKU销量未匹配，未按0处理</x:v>
      </x:c>
      <x:c r="AD529" s="12"/>
      <x:c r="AE529" s="3" t="str">
        <x:v>[6574,"60516-TN-S-K-9.5"]</x:v>
      </x:c>
      <x:c r="AF529" t="n">
        <x:f>IF(ISNUMBER(H529),1,0)</x:f>
        <x:v>1</x:v>
      </x:c>
      <x:c r="AG529" t="n">
        <x:f>IF(ISNUMBER(I529),1,0)</x:f>
        <x:v>0</x:v>
      </x:c>
      <x:c r="AH529" t="str">
        <x:v>["60516","60516-TN-S-K","TN","驼色"]</x:v>
      </x:c>
      <x:c r="AI529" t="n">
        <x:f>IF(ISNUMBER(G529),1,0)</x:f>
        <x:v>1</x:v>
      </x:c>
      <x:c r="AJ529" t="n">
        <x:f>IF(ISNUMBER(AD529),1,0)</x:f>
        <x:v>0</x:v>
      </x:c>
    </x:row>
    <x:row r="530" ht="30" customHeight="1">
      <x:c r="A530" s="3" t="str">
        <x:v>8392-BK-37.5</x:v>
      </x:c>
      <x:c r="B530" s="3" t="str">
        <x:v>1店-MUSSHOE-US</x:v>
      </x:c>
      <x:c r="C530" s="3" t="str">
        <x:v>徐新怡</x:v>
      </x:c>
      <x:c r="D530" s="3" t="str">
        <x:v>8392</x:v>
      </x:c>
      <x:c r="E530" s="3" t="str">
        <x:f>IF(Z530="移出","已移出",IF(NOT(ISNUMBER(H530)),"数据待核",IF(H530=0,"断货",IF(NOT(ISNUMBER(G530)),"数据待核",IF(G530=0,"零日销待复核",IF(F530&lt;60,"补货提醒",IF(F530&lt;=90,"正常库存",IF(F530&lt;180,"促销",IF(F530&lt;=365,"红线促销","考虑清仓")))))))))</x:f>
        <x:v>断货</x:v>
      </x:c>
      <x:c r="F530" s="11" t="n">
        <x:f>IF(AND(ISNUMBER(H530),ISNUMBER(G530),G530&gt;0),H530/G530,"")</x:f>
        <x:v>0</x:v>
      </x:c>
      <x:c r="G530" s="12" t="n">
        <x:f>IF(AND(COUNT(P530:R530)=3,MIN(P530:R530)&gt;=0,P530&lt;=Q530,Q530&lt;=R530),P530/7*0.5+Q530/14*0.3+R530/30*0.2,"")</x:f>
        <x:v>0.08809523809523809</x:v>
      </x:c>
      <x:c r="H530" s="10" t="n">
        <x:f>IF(ISNUMBER(U530),U530,"")</x:f>
        <x:v>0</x:v>
      </x:c>
      <x:c r="I530" s="10"/>
      <x:c r="J530" s="11" t="str">
        <x:f>IF(AND(Z530="共同",ISNUMBER(F530),ISNUMBER(M530)),F530-M530,"")</x:f>
      </x:c>
      <x:c r="K530" s="13" t="str">
        <x:f>IF(AND(ISNUMBER(J530),M530&lt;&gt;0),J530/M530,"")</x:f>
      </x:c>
      <x:c r="L530" s="10"/>
      <x:c r="M530" s="11"/>
      <x:c r="N530" s="10" t="str">
        <x:f>IF(AND(Z530="共同",COUNT(H530:I530)=2),H530-I530,"")</x:f>
      </x:c>
      <x:c r="O530" s="10" t="n">
        <x:v>91</x:v>
      </x:c>
      <x:c r="P530" s="10" t="n">
        <x:v>0</x:v>
      </x:c>
      <x:c r="Q530" s="10" t="n">
        <x:v>1</x:v>
      </x:c>
      <x:c r="R530" s="10" t="n">
        <x:v>10</x:v>
      </x:c>
      <x:c r="S530" s="10" t="n">
        <x:v>0</x:v>
      </x:c>
      <x:c r="T530" s="10" t="n">
        <x:v>0</x:v>
      </x:c>
      <x:c r="U530" s="10" t="n">
        <x:f>IF(AND(ISNUMBER(X530),X530&gt;=0,Y530&lt;&gt;1),X530,"")</x:f>
        <x:v>0</x:v>
      </x:c>
      <x:c r="V530" s="10" t="n">
        <x:v>0</x:v>
      </x:c>
      <x:c r="W530" s="10" t="n">
        <x:v>0</x:v>
      </x:c>
      <x:c r="X530" s="10" t="n">
        <x:v>0</x:v>
      </x:c>
      <x:c r="Y530" s="3" t="n">
        <x:v>0</x:v>
      </x:c>
      <x:c r="Z530" s="3" t="str">
        <x:v>新增</x:v>
      </x:c>
      <x:c r="AA530" s="3" t="str">
        <x:v>停售</x:v>
      </x:c>
      <x:c r="AB530" s="12" t="str">
        <x:f>IF(AND(Z530="共同",ISNUMBER(G530),ISNUMBER(AD530)),G530-AD530,"")</x:f>
      </x:c>
      <x:c r="AC530" s="3" t="str"/>
      <x:c r="AD530" s="12"/>
      <x:c r="AE530" s="3" t="str">
        <x:v>[13120,"8392-BK-37.5"]</x:v>
      </x:c>
      <x:c r="AF530" t="n">
        <x:f>IF(ISNUMBER(H530),1,0)</x:f>
        <x:v>1</x:v>
      </x:c>
      <x:c r="AG530" t="n">
        <x:f>IF(ISNUMBER(I530),1,0)</x:f>
        <x:v>0</x:v>
      </x:c>
      <x:c r="AH530" t="str">
        <x:v>["8392","8392-BK","BK","黑色"]</x:v>
      </x:c>
      <x:c r="AI530" t="n">
        <x:f>IF(ISNUMBER(G530),1,0)</x:f>
        <x:v>1</x:v>
      </x:c>
      <x:c r="AJ530" t="n">
        <x:f>IF(ISNUMBER(AD530),1,0)</x:f>
        <x:v>0</x:v>
      </x:c>
    </x:row>
    <x:row r="531" ht="30" customHeight="1">
      <x:c r="A531" s="3" t="str">
        <x:v>8392-GY-S-K-40</x:v>
      </x:c>
      <x:c r="B531" s="3" t="str">
        <x:v>3店-SANDIEX-US</x:v>
      </x:c>
      <x:c r="C531" s="3" t="str">
        <x:v>徐新怡</x:v>
      </x:c>
      <x:c r="D531" s="3" t="str">
        <x:v>8392</x:v>
      </x:c>
      <x:c r="E531" s="3" t="str">
        <x:f>IF(Z531="移出","已移出",IF(NOT(ISNUMBER(H531)),"数据待核",IF(H531=0,"断货",IF(NOT(ISNUMBER(G531)),"数据待核",IF(G531=0,"零日销待复核",IF(F531&lt;60,"补货提醒",IF(F531&lt;=90,"正常库存",IF(F531&lt;180,"促销",IF(F531&lt;=365,"红线促销","考虑清仓")))))))))</x:f>
        <x:v>断货</x:v>
      </x:c>
      <x:c r="F531" s="11" t="str">
        <x:f>IF(AND(ISNUMBER(H531),ISNUMBER(G531),G531&gt;0),H531/G531,"")</x:f>
      </x:c>
      <x:c r="G531" s="12" t="n">
        <x:f>IF(AND(COUNT(P531:R531)=3,MIN(P531:R531)&gt;=0,P531&lt;=Q531,Q531&lt;=R531),P531/7*0.5+Q531/14*0.3+R531/30*0.2,"")</x:f>
        <x:v>0</x:v>
      </x:c>
      <x:c r="H531" s="10" t="n">
        <x:f>IF(ISNUMBER(U531),U531,"")</x:f>
        <x:v>0</x:v>
      </x:c>
      <x:c r="I531" s="10"/>
      <x:c r="J531" s="11" t="str">
        <x:f>IF(AND(Z531="共同",ISNUMBER(F531),ISNUMBER(M531)),F531-M531,"")</x:f>
      </x:c>
      <x:c r="K531" s="13" t="str">
        <x:f>IF(AND(ISNUMBER(J531),M531&lt;&gt;0),J531/M531,"")</x:f>
      </x:c>
      <x:c r="L531" s="10"/>
      <x:c r="M531" s="11"/>
      <x:c r="N531" s="10" t="str">
        <x:f>IF(AND(Z531="共同",COUNT(H531:I531)=2),H531-I531,"")</x:f>
      </x:c>
      <x:c r="O531" s="10" t="n">
        <x:v>0</x:v>
      </x:c>
      <x:c r="P531" s="10" t="n">
        <x:v>0</x:v>
      </x:c>
      <x:c r="Q531" s="10" t="n">
        <x:v>0</x:v>
      </x:c>
      <x:c r="R531" s="10" t="n">
        <x:v>0</x:v>
      </x:c>
      <x:c r="S531" s="10" t="n">
        <x:v>0</x:v>
      </x:c>
      <x:c r="T531" s="10" t="n">
        <x:v>0</x:v>
      </x:c>
      <x:c r="U531" s="10" t="n">
        <x:f>IF(AND(ISNUMBER(X531),X531&gt;=0,Y531&lt;&gt;1),X531,"")</x:f>
        <x:v>0</x:v>
      </x:c>
      <x:c r="V531" s="10" t="n">
        <x:v>0</x:v>
      </x:c>
      <x:c r="W531" s="10" t="n">
        <x:v>0</x:v>
      </x:c>
      <x:c r="X531" s="10" t="n">
        <x:v>0</x:v>
      </x:c>
      <x:c r="Y531" s="3" t="n">
        <x:v>0</x:v>
      </x:c>
      <x:c r="Z531" s="3" t="str">
        <x:v>新增</x:v>
      </x:c>
      <x:c r="AA531" s="3" t="str">
        <x:v>停售</x:v>
      </x:c>
      <x:c r="AB531" s="12" t="str">
        <x:f>IF(AND(Z531="共同",ISNUMBER(G531),ISNUMBER(AD531)),G531-AD531,"")</x:f>
      </x:c>
      <x:c r="AC531" s="3" t="str">
        <x:v>近90天SKU销量未匹配，未按0处理</x:v>
      </x:c>
      <x:c r="AD531" s="12"/>
      <x:c r="AE531" s="3" t="str">
        <x:v>[6574,"8392-GY-S-K-40"]</x:v>
      </x:c>
      <x:c r="AF531" t="n">
        <x:f>IF(ISNUMBER(H531),1,0)</x:f>
        <x:v>1</x:v>
      </x:c>
      <x:c r="AG531" t="n">
        <x:f>IF(ISNUMBER(I531),1,0)</x:f>
        <x:v>0</x:v>
      </x:c>
      <x:c r="AH531" t="str">
        <x:v>["8392","8392-GY-S-K","GY","灰色"]</x:v>
      </x:c>
      <x:c r="AI531" t="n">
        <x:f>IF(ISNUMBER(G531),1,0)</x:f>
        <x:v>1</x:v>
      </x:c>
      <x:c r="AJ531" t="n">
        <x:f>IF(ISNUMBER(AD531),1,0)</x:f>
        <x:v>0</x:v>
      </x:c>
    </x:row>
    <x:row r="532" ht="30" customHeight="1">
      <x:c r="A532" s="3" t="str">
        <x:v>8392-GY-S-K-41</x:v>
      </x:c>
      <x:c r="B532" s="3" t="str">
        <x:v>3店-SANDIEX-US</x:v>
      </x:c>
      <x:c r="C532" s="3" t="str">
        <x:v>徐新怡</x:v>
      </x:c>
      <x:c r="D532" s="3" t="str">
        <x:v>8392</x:v>
      </x:c>
      <x:c r="E532" s="3" t="str">
        <x:f>IF(Z532="移出","已移出",IF(NOT(ISNUMBER(H532)),"数据待核",IF(H532=0,"断货",IF(NOT(ISNUMBER(G532)),"数据待核",IF(G532=0,"零日销待复核",IF(F532&lt;60,"补货提醒",IF(F532&lt;=90,"正常库存",IF(F532&lt;180,"促销",IF(F532&lt;=365,"红线促销","考虑清仓")))))))))</x:f>
        <x:v>断货</x:v>
      </x:c>
      <x:c r="F532" s="11" t="str">
        <x:f>IF(AND(ISNUMBER(H532),ISNUMBER(G532),G532&gt;0),H532/G532,"")</x:f>
      </x:c>
      <x:c r="G532" s="12" t="n">
        <x:f>IF(AND(COUNT(P532:R532)=3,MIN(P532:R532)&gt;=0,P532&lt;=Q532,Q532&lt;=R532),P532/7*0.5+Q532/14*0.3+R532/30*0.2,"")</x:f>
        <x:v>0</x:v>
      </x:c>
      <x:c r="H532" s="10" t="n">
        <x:f>IF(ISNUMBER(U532),U532,"")</x:f>
        <x:v>0</x:v>
      </x:c>
      <x:c r="I532" s="10"/>
      <x:c r="J532" s="11" t="str">
        <x:f>IF(AND(Z532="共同",ISNUMBER(F532),ISNUMBER(M532)),F532-M532,"")</x:f>
      </x:c>
      <x:c r="K532" s="13" t="str">
        <x:f>IF(AND(ISNUMBER(J532),M532&lt;&gt;0),J532/M532,"")</x:f>
      </x:c>
      <x:c r="L532" s="10"/>
      <x:c r="M532" s="11"/>
      <x:c r="N532" s="10" t="str">
        <x:f>IF(AND(Z532="共同",COUNT(H532:I532)=2),H532-I532,"")</x:f>
      </x:c>
      <x:c r="O532" s="10"/>
      <x:c r="P532" s="10" t="n">
        <x:v>0</x:v>
      </x:c>
      <x:c r="Q532" s="10" t="n">
        <x:v>0</x:v>
      </x:c>
      <x:c r="R532" s="10" t="n">
        <x:v>0</x:v>
      </x:c>
      <x:c r="S532" s="10" t="n">
        <x:v>0</x:v>
      </x:c>
      <x:c r="T532" s="10" t="n">
        <x:v>0</x:v>
      </x:c>
      <x:c r="U532" s="10" t="n">
        <x:f>IF(AND(ISNUMBER(X532),X532&gt;=0,Y532&lt;&gt;1),X532,"")</x:f>
        <x:v>0</x:v>
      </x:c>
      <x:c r="V532" s="10" t="n">
        <x:v>0</x:v>
      </x:c>
      <x:c r="W532" s="10" t="n">
        <x:v>0</x:v>
      </x:c>
      <x:c r="X532" s="10" t="n">
        <x:v>0</x:v>
      </x:c>
      <x:c r="Y532" s="3" t="n">
        <x:v>0</x:v>
      </x:c>
      <x:c r="Z532" s="3" t="str">
        <x:v>新增</x:v>
      </x:c>
      <x:c r="AA532" s="3" t="str">
        <x:v>停售</x:v>
      </x:c>
      <x:c r="AB532" s="12" t="str">
        <x:f>IF(AND(Z532="共同",ISNUMBER(G532),ISNUMBER(AD532)),G532-AD532,"")</x:f>
      </x:c>
      <x:c r="AC532" s="3" t="str">
        <x:v>近90天SKU销量未匹配，未按0处理</x:v>
      </x:c>
      <x:c r="AD532" s="12"/>
      <x:c r="AE532" s="3" t="str">
        <x:v>[6574,"8392-GY-S-K-41"]</x:v>
      </x:c>
      <x:c r="AF532" t="n">
        <x:f>IF(ISNUMBER(H532),1,0)</x:f>
        <x:v>1</x:v>
      </x:c>
      <x:c r="AG532" t="n">
        <x:f>IF(ISNUMBER(I532),1,0)</x:f>
        <x:v>0</x:v>
      </x:c>
      <x:c r="AH532" t="str">
        <x:v>["8392","8392-GY-S-K","GY","灰色"]</x:v>
      </x:c>
      <x:c r="AI532" t="n">
        <x:f>IF(ISNUMBER(G532),1,0)</x:f>
        <x:v>1</x:v>
      </x:c>
      <x:c r="AJ532" t="n">
        <x:f>IF(ISNUMBER(AD532),1,0)</x:f>
        <x:v>0</x:v>
      </x:c>
    </x:row>
    <x:row r="533" ht="30" customHeight="1">
      <x:c r="A533" s="3" t="str">
        <x:v>8392-LP-38.5</x:v>
      </x:c>
      <x:c r="B533" s="3" t="str">
        <x:v>3店-SANDIEX-US</x:v>
      </x:c>
      <x:c r="C533" s="3" t="str">
        <x:v>徐新怡</x:v>
      </x:c>
      <x:c r="D533" s="3" t="str">
        <x:v>8392</x:v>
      </x:c>
      <x:c r="E533" s="3" t="str">
        <x:f>IF(Z533="移出","已移出",IF(NOT(ISNUMBER(H533)),"数据待核",IF(H533=0,"断货",IF(NOT(ISNUMBER(G533)),"数据待核",IF(G533=0,"零日销待复核",IF(F533&lt;60,"补货提醒",IF(F533&lt;=90,"正常库存",IF(F533&lt;180,"促销",IF(F533&lt;=365,"红线促销","考虑清仓")))))))))</x:f>
        <x:v>断货</x:v>
      </x:c>
      <x:c r="F533" s="11" t="n">
        <x:f>IF(AND(ISNUMBER(H533),ISNUMBER(G533),G533&gt;0),H533/G533,"")</x:f>
        <x:v>0</x:v>
      </x:c>
      <x:c r="G533" s="12" t="n">
        <x:f>IF(AND(COUNT(P533:R533)=3,MIN(P533:R533)&gt;=0,P533&lt;=Q533,Q533&lt;=R533),P533/7*0.5+Q533/14*0.3+R533/30*0.2,"")</x:f>
        <x:v>0.006666666666666667</x:v>
      </x:c>
      <x:c r="H533" s="10" t="n">
        <x:f>IF(ISNUMBER(U533),U533,"")</x:f>
        <x:v>0</x:v>
      </x:c>
      <x:c r="I533" s="10"/>
      <x:c r="J533" s="11" t="str">
        <x:f>IF(AND(Z533="共同",ISNUMBER(F533),ISNUMBER(M533)),F533-M533,"")</x:f>
      </x:c>
      <x:c r="K533" s="13" t="str">
        <x:f>IF(AND(ISNUMBER(J533),M533&lt;&gt;0),J533/M533,"")</x:f>
      </x:c>
      <x:c r="L533" s="10"/>
      <x:c r="M533" s="11"/>
      <x:c r="N533" s="10" t="str">
        <x:f>IF(AND(Z533="共同",COUNT(H533:I533)=2),H533-I533,"")</x:f>
      </x:c>
      <x:c r="O533" s="10" t="n">
        <x:v>0</x:v>
      </x:c>
      <x:c r="P533" s="10" t="n">
        <x:v>0</x:v>
      </x:c>
      <x:c r="Q533" s="10" t="n">
        <x:v>0</x:v>
      </x:c>
      <x:c r="R533" s="10" t="n">
        <x:v>1</x:v>
      </x:c>
      <x:c r="S533" s="10" t="n">
        <x:v>0</x:v>
      </x:c>
      <x:c r="T533" s="10" t="n">
        <x:v>0</x:v>
      </x:c>
      <x:c r="U533" s="10" t="n">
        <x:f>IF(AND(ISNUMBER(X533),X533&gt;=0,Y533&lt;&gt;1),X533,"")</x:f>
        <x:v>0</x:v>
      </x:c>
      <x:c r="V533" s="10" t="n">
        <x:v>0</x:v>
      </x:c>
      <x:c r="W533" s="10" t="n">
        <x:v>0</x:v>
      </x:c>
      <x:c r="X533" s="10" t="n">
        <x:v>0</x:v>
      </x:c>
      <x:c r="Y533" s="3" t="n">
        <x:v>0</x:v>
      </x:c>
      <x:c r="Z533" s="3" t="str">
        <x:v>新增</x:v>
      </x:c>
      <x:c r="AA533" s="3" t="str">
        <x:v>停售</x:v>
      </x:c>
      <x:c r="AB533" s="12" t="str">
        <x:f>IF(AND(Z533="共同",ISNUMBER(G533),ISNUMBER(AD533)),G533-AD533,"")</x:f>
      </x:c>
      <x:c r="AC533" s="3" t="str"/>
      <x:c r="AD533" s="12"/>
      <x:c r="AE533" s="3" t="str">
        <x:v>[6574,"8392-LP-38.5"]</x:v>
      </x:c>
      <x:c r="AF533" t="n">
        <x:f>IF(ISNUMBER(H533),1,0)</x:f>
        <x:v>1</x:v>
      </x:c>
      <x:c r="AG533" t="n">
        <x:f>IF(ISNUMBER(I533),1,0)</x:f>
        <x:v>0</x:v>
      </x:c>
      <x:c r="AH533" t="str">
        <x:v>["8392","8392-LP","LP","豹纹"]</x:v>
      </x:c>
      <x:c r="AI533" t="n">
        <x:f>IF(ISNUMBER(G533),1,0)</x:f>
        <x:v>1</x:v>
      </x:c>
      <x:c r="AJ533" t="n">
        <x:f>IF(ISNUMBER(AD533),1,0)</x:f>
        <x:v>0</x:v>
      </x:c>
    </x:row>
    <x:row r="534" ht="30" customHeight="1">
      <x:c r="A534" s="3" t="str">
        <x:v>8392-LP-39.5</x:v>
      </x:c>
      <x:c r="B534" s="3" t="str">
        <x:v>3店-SANDIEX-US</x:v>
      </x:c>
      <x:c r="C534" s="3" t="str">
        <x:v>徐新怡</x:v>
      </x:c>
      <x:c r="D534" s="3" t="str">
        <x:v>8392</x:v>
      </x:c>
      <x:c r="E534" s="3" t="str">
        <x:f>IF(Z534="移出","已移出",IF(NOT(ISNUMBER(H534)),"数据待核",IF(H534=0,"断货",IF(NOT(ISNUMBER(G534)),"数据待核",IF(G534=0,"零日销待复核",IF(F534&lt;60,"补货提醒",IF(F534&lt;=90,"正常库存",IF(F534&lt;180,"促销",IF(F534&lt;=365,"红线促销","考虑清仓")))))))))</x:f>
        <x:v>断货</x:v>
      </x:c>
      <x:c r="F534" s="11" t="n">
        <x:f>IF(AND(ISNUMBER(H534),ISNUMBER(G534),G534&gt;0),H534/G534,"")</x:f>
        <x:v>0</x:v>
      </x:c>
      <x:c r="G534" s="12" t="n">
        <x:f>IF(AND(COUNT(P534:R534)=3,MIN(P534:R534)&gt;=0,P534&lt;=Q534,Q534&lt;=R534),P534/7*0.5+Q534/14*0.3+R534/30*0.2,"")</x:f>
        <x:v>0.006666666666666667</x:v>
      </x:c>
      <x:c r="H534" s="10" t="n">
        <x:f>IF(ISNUMBER(U534),U534,"")</x:f>
        <x:v>0</x:v>
      </x:c>
      <x:c r="I534" s="10"/>
      <x:c r="J534" s="11" t="str">
        <x:f>IF(AND(Z534="共同",ISNUMBER(F534),ISNUMBER(M534)),F534-M534,"")</x:f>
      </x:c>
      <x:c r="K534" s="13" t="str">
        <x:f>IF(AND(ISNUMBER(J534),M534&lt;&gt;0),J534/M534,"")</x:f>
      </x:c>
      <x:c r="L534" s="10"/>
      <x:c r="M534" s="11"/>
      <x:c r="N534" s="10" t="str">
        <x:f>IF(AND(Z534="共同",COUNT(H534:I534)=2),H534-I534,"")</x:f>
      </x:c>
      <x:c r="O534" s="10" t="n">
        <x:v>0</x:v>
      </x:c>
      <x:c r="P534" s="10" t="n">
        <x:v>0</x:v>
      </x:c>
      <x:c r="Q534" s="10" t="n">
        <x:v>0</x:v>
      </x:c>
      <x:c r="R534" s="10" t="n">
        <x:v>1</x:v>
      </x:c>
      <x:c r="S534" s="10" t="n">
        <x:v>0</x:v>
      </x:c>
      <x:c r="T534" s="10" t="n">
        <x:v>0</x:v>
      </x:c>
      <x:c r="U534" s="10" t="n">
        <x:f>IF(AND(ISNUMBER(X534),X534&gt;=0,Y534&lt;&gt;1),X534,"")</x:f>
        <x:v>0</x:v>
      </x:c>
      <x:c r="V534" s="10" t="n">
        <x:v>0</x:v>
      </x:c>
      <x:c r="W534" s="10" t="n">
        <x:v>0</x:v>
      </x:c>
      <x:c r="X534" s="10" t="n">
        <x:v>0</x:v>
      </x:c>
      <x:c r="Y534" s="3" t="n">
        <x:v>0</x:v>
      </x:c>
      <x:c r="Z534" s="3" t="str">
        <x:v>新增</x:v>
      </x:c>
      <x:c r="AA534" s="3" t="str">
        <x:v>停售</x:v>
      </x:c>
      <x:c r="AB534" s="12" t="str">
        <x:f>IF(AND(Z534="共同",ISNUMBER(G534),ISNUMBER(AD534)),G534-AD534,"")</x:f>
      </x:c>
      <x:c r="AC534" s="3" t="str"/>
      <x:c r="AD534" s="12"/>
      <x:c r="AE534" s="3" t="str">
        <x:v>[6574,"8392-LP-39.5"]</x:v>
      </x:c>
      <x:c r="AF534" t="n">
        <x:f>IF(ISNUMBER(H534),1,0)</x:f>
        <x:v>1</x:v>
      </x:c>
      <x:c r="AG534" t="n">
        <x:f>IF(ISNUMBER(I534),1,0)</x:f>
        <x:v>0</x:v>
      </x:c>
      <x:c r="AH534" t="str">
        <x:v>["8392","8392-LP","LP","豹纹"]</x:v>
      </x:c>
      <x:c r="AI534" t="n">
        <x:f>IF(ISNUMBER(G534),1,0)</x:f>
        <x:v>1</x:v>
      </x:c>
      <x:c r="AJ534" t="n">
        <x:f>IF(ISNUMBER(AD534),1,0)</x:f>
        <x:v>0</x:v>
      </x:c>
    </x:row>
    <x:row r="535" ht="30" customHeight="1">
      <x:c r="A535" s="3" t="str">
        <x:v>8392-LP-41</x:v>
      </x:c>
      <x:c r="B535" s="3" t="str">
        <x:v>1店-MUSSHOE-US</x:v>
      </x:c>
      <x:c r="C535" s="3" t="str">
        <x:v>徐新怡</x:v>
      </x:c>
      <x:c r="D535" s="3" t="str">
        <x:v>8392</x:v>
      </x:c>
      <x:c r="E535" s="3" t="str">
        <x:f>IF(Z535="移出","已移出",IF(NOT(ISNUMBER(H535)),"数据待核",IF(H535=0,"断货",IF(NOT(ISNUMBER(G535)),"数据待核",IF(G535=0,"零日销待复核",IF(F535&lt;60,"补货提醒",IF(F535&lt;=90,"正常库存",IF(F535&lt;180,"促销",IF(F535&lt;=365,"红线促销","考虑清仓")))))))))</x:f>
        <x:v>断货</x:v>
      </x:c>
      <x:c r="F535" s="11" t="str">
        <x:f>IF(AND(ISNUMBER(H535),ISNUMBER(G535),G535&gt;0),H535/G535,"")</x:f>
      </x:c>
      <x:c r="G535" s="12" t="n">
        <x:f>IF(AND(COUNT(P535:R535)=3,MIN(P535:R535)&gt;=0,P535&lt;=Q535,Q535&lt;=R535),P535/7*0.5+Q535/14*0.3+R535/30*0.2,"")</x:f>
        <x:v>0</x:v>
      </x:c>
      <x:c r="H535" s="10" t="n">
        <x:f>IF(ISNUMBER(U535),U535,"")</x:f>
        <x:v>0</x:v>
      </x:c>
      <x:c r="I535" s="10"/>
      <x:c r="J535" s="11" t="str">
        <x:f>IF(AND(Z535="共同",ISNUMBER(F535),ISNUMBER(M535)),F535-M535,"")</x:f>
      </x:c>
      <x:c r="K535" s="13" t="str">
        <x:f>IF(AND(ISNUMBER(J535),M535&lt;&gt;0),J535/M535,"")</x:f>
      </x:c>
      <x:c r="L535" s="10"/>
      <x:c r="M535" s="11"/>
      <x:c r="N535" s="10" t="str">
        <x:f>IF(AND(Z535="共同",COUNT(H535:I535)=2),H535-I535,"")</x:f>
      </x:c>
      <x:c r="O535" s="10" t="n">
        <x:v>0</x:v>
      </x:c>
      <x:c r="P535" s="10" t="n">
        <x:v>0</x:v>
      </x:c>
      <x:c r="Q535" s="10" t="n">
        <x:v>0</x:v>
      </x:c>
      <x:c r="R535" s="10" t="n">
        <x:v>0</x:v>
      </x:c>
      <x:c r="S535" s="10" t="n">
        <x:v>0</x:v>
      </x:c>
      <x:c r="T535" s="10" t="n">
        <x:v>0</x:v>
      </x:c>
      <x:c r="U535" s="10" t="n">
        <x:f>IF(AND(ISNUMBER(X535),X535&gt;=0,Y535&lt;&gt;1),X535,"")</x:f>
        <x:v>0</x:v>
      </x:c>
      <x:c r="V535" s="10" t="n">
        <x:v>0</x:v>
      </x:c>
      <x:c r="W535" s="10" t="n">
        <x:v>0</x:v>
      </x:c>
      <x:c r="X535" s="10" t="n">
        <x:v>0</x:v>
      </x:c>
      <x:c r="Y535" s="3" t="n">
        <x:v>0</x:v>
      </x:c>
      <x:c r="Z535" s="3" t="str">
        <x:v>新增</x:v>
      </x:c>
      <x:c r="AA535" s="3" t="str">
        <x:v>停售</x:v>
      </x:c>
      <x:c r="AB535" s="12" t="str">
        <x:f>IF(AND(Z535="共同",ISNUMBER(G535),ISNUMBER(AD535)),G535-AD535,"")</x:f>
      </x:c>
      <x:c r="AC535" s="3" t="str">
        <x:v>近90天SKU销量未匹配，未按0处理</x:v>
      </x:c>
      <x:c r="AD535" s="12"/>
      <x:c r="AE535" s="3" t="str">
        <x:v>[13120,"8392-LP-41"]</x:v>
      </x:c>
      <x:c r="AF535" t="n">
        <x:f>IF(ISNUMBER(H535),1,0)</x:f>
        <x:v>1</x:v>
      </x:c>
      <x:c r="AG535" t="n">
        <x:f>IF(ISNUMBER(I535),1,0)</x:f>
        <x:v>0</x:v>
      </x:c>
      <x:c r="AH535" t="str">
        <x:v>["8392","8392-LP","LP","豹纹"]</x:v>
      </x:c>
      <x:c r="AI535" t="n">
        <x:f>IF(ISNUMBER(G535),1,0)</x:f>
        <x:v>1</x:v>
      </x:c>
      <x:c r="AJ535" t="n">
        <x:f>IF(ISNUMBER(AD535),1,0)</x:f>
        <x:v>0</x:v>
      </x:c>
    </x:row>
    <x:row r="536" ht="30" customHeight="1">
      <x:c r="A536" s="3" t="str">
        <x:v>8392-LP-42</x:v>
      </x:c>
      <x:c r="B536" s="3" t="str">
        <x:v>3店-SANDIEX-US</x:v>
      </x:c>
      <x:c r="C536" s="3" t="str">
        <x:v>徐新怡</x:v>
      </x:c>
      <x:c r="D536" s="3" t="str">
        <x:v>8392</x:v>
      </x:c>
      <x:c r="E536" s="3" t="str">
        <x:f>IF(Z536="移出","已移出",IF(NOT(ISNUMBER(H536)),"数据待核",IF(H536=0,"断货",IF(NOT(ISNUMBER(G536)),"数据待核",IF(G536=0,"零日销待复核",IF(F536&lt;60,"补货提醒",IF(F536&lt;=90,"正常库存",IF(F536&lt;180,"促销",IF(F536&lt;=365,"红线促销","考虑清仓")))))))))</x:f>
        <x:v>断货</x:v>
      </x:c>
      <x:c r="F536" s="11" t="n">
        <x:f>IF(AND(ISNUMBER(H536),ISNUMBER(G536),G536&gt;0),H536/G536,"")</x:f>
        <x:v>0</x:v>
      </x:c>
      <x:c r="G536" s="12" t="n">
        <x:f>IF(AND(COUNT(P536:R536)=3,MIN(P536:R536)&gt;=0,P536&lt;=Q536,Q536&lt;=R536),P536/7*0.5+Q536/14*0.3+R536/30*0.2,"")</x:f>
        <x:v>0.11285714285714285</x:v>
      </x:c>
      <x:c r="H536" s="10" t="n">
        <x:f>IF(ISNUMBER(U536),U536,"")</x:f>
        <x:v>0</x:v>
      </x:c>
      <x:c r="I536" s="10"/>
      <x:c r="J536" s="11" t="str">
        <x:f>IF(AND(Z536="共同",ISNUMBER(F536),ISNUMBER(M536)),F536-M536,"")</x:f>
      </x:c>
      <x:c r="K536" s="13" t="str">
        <x:f>IF(AND(ISNUMBER(J536),M536&lt;&gt;0),J536/M536,"")</x:f>
      </x:c>
      <x:c r="L536" s="10"/>
      <x:c r="M536" s="11"/>
      <x:c r="N536" s="10" t="str">
        <x:f>IF(AND(Z536="共同",COUNT(H536:I536)=2),H536-I536,"")</x:f>
      </x:c>
      <x:c r="O536" s="10" t="n">
        <x:v>0</x:v>
      </x:c>
      <x:c r="P536" s="10" t="n">
        <x:v>1</x:v>
      </x:c>
      <x:c r="Q536" s="10" t="n">
        <x:v>1</x:v>
      </x:c>
      <x:c r="R536" s="10" t="n">
        <x:v>3</x:v>
      </x:c>
      <x:c r="S536" s="10" t="n">
        <x:v>1</x:v>
      </x:c>
      <x:c r="T536" s="10" t="n">
        <x:v>0</x:v>
      </x:c>
      <x:c r="U536" s="10" t="n">
        <x:f>IF(AND(ISNUMBER(X536),X536&gt;=0,Y536&lt;&gt;1),X536,"")</x:f>
        <x:v>0</x:v>
      </x:c>
      <x:c r="V536" s="10" t="n">
        <x:v>0</x:v>
      </x:c>
      <x:c r="W536" s="10" t="n">
        <x:v>0</x:v>
      </x:c>
      <x:c r="X536" s="10" t="n">
        <x:v>0</x:v>
      </x:c>
      <x:c r="Y536" s="3" t="n">
        <x:v>0</x:v>
      </x:c>
      <x:c r="Z536" s="3" t="str">
        <x:v>新增</x:v>
      </x:c>
      <x:c r="AA536" s="3" t="str">
        <x:v>在售</x:v>
      </x:c>
      <x:c r="AB536" s="12" t="str">
        <x:f>IF(AND(Z536="共同",ISNUMBER(G536),ISNUMBER(AD536)),G536-AD536,"")</x:f>
      </x:c>
      <x:c r="AC536" s="3" t="str"/>
      <x:c r="AD536" s="12"/>
      <x:c r="AE536" s="3" t="str">
        <x:v>[6574,"8392-LP-42"]</x:v>
      </x:c>
      <x:c r="AF536" t="n">
        <x:f>IF(ISNUMBER(H536),1,0)</x:f>
        <x:v>1</x:v>
      </x:c>
      <x:c r="AG536" t="n">
        <x:f>IF(ISNUMBER(I536),1,0)</x:f>
        <x:v>0</x:v>
      </x:c>
      <x:c r="AH536" t="str">
        <x:v>["8392","8392-LP","LP","豹纹"]</x:v>
      </x:c>
      <x:c r="AI536" t="n">
        <x:f>IF(ISNUMBER(G536),1,0)</x:f>
        <x:v>1</x:v>
      </x:c>
      <x:c r="AJ536" t="n">
        <x:f>IF(ISNUMBER(AD536),1,0)</x:f>
        <x:v>0</x:v>
      </x:c>
    </x:row>
    <x:row r="537" ht="30" customHeight="1">
      <x:c r="A537" s="3" t="str">
        <x:v>8392-ND-42</x:v>
      </x:c>
      <x:c r="B537" s="3" t="str">
        <x:v>3店-SANDIEX-US</x:v>
      </x:c>
      <x:c r="C537" s="3" t="str">
        <x:v>徐新怡</x:v>
      </x:c>
      <x:c r="D537" s="3" t="str">
        <x:v>8392</x:v>
      </x:c>
      <x:c r="E537" s="3" t="str">
        <x:f>IF(Z537="移出","已移出",IF(NOT(ISNUMBER(H537)),"数据待核",IF(H537=0,"断货",IF(NOT(ISNUMBER(G537)),"数据待核",IF(G537=0,"零日销待复核",IF(F537&lt;60,"补货提醒",IF(F537&lt;=90,"正常库存",IF(F537&lt;180,"促销",IF(F537&lt;=365,"红线促销","考虑清仓")))))))))</x:f>
        <x:v>断货</x:v>
      </x:c>
      <x:c r="F537" s="11" t="n">
        <x:f>IF(AND(ISNUMBER(H537),ISNUMBER(G537),G537&gt;0),H537/G537,"")</x:f>
        <x:v>0</x:v>
      </x:c>
      <x:c r="G537" s="12" t="n">
        <x:f>IF(AND(COUNT(P537:R537)=3,MIN(P537:R537)&gt;=0,P537&lt;=Q537,Q537&lt;=R537),P537/7*0.5+Q537/14*0.3+R537/30*0.2,"")</x:f>
        <x:v>0.24047619047619045</x:v>
      </x:c>
      <x:c r="H537" s="10" t="n">
        <x:f>IF(ISNUMBER(U537),U537,"")</x:f>
        <x:v>0</x:v>
      </x:c>
      <x:c r="I537" s="10"/>
      <x:c r="J537" s="11" t="str">
        <x:f>IF(AND(Z537="共同",ISNUMBER(F537),ISNUMBER(M537)),F537-M537,"")</x:f>
      </x:c>
      <x:c r="K537" s="13" t="str">
        <x:f>IF(AND(ISNUMBER(J537),M537&lt;&gt;0),J537/M537,"")</x:f>
      </x:c>
      <x:c r="L537" s="10"/>
      <x:c r="M537" s="11"/>
      <x:c r="N537" s="10" t="str">
        <x:f>IF(AND(Z537="共同",COUNT(H537:I537)=2),H537-I537,"")</x:f>
      </x:c>
      <x:c r="O537" s="10" t="n">
        <x:v>0</x:v>
      </x:c>
      <x:c r="P537" s="10" t="n">
        <x:v>2</x:v>
      </x:c>
      <x:c r="Q537" s="10" t="n">
        <x:v>3</x:v>
      </x:c>
      <x:c r="R537" s="10" t="n">
        <x:v>5</x:v>
      </x:c>
      <x:c r="S537" s="10" t="n">
        <x:v>1</x:v>
      </x:c>
      <x:c r="T537" s="10" t="n">
        <x:v>0</x:v>
      </x:c>
      <x:c r="U537" s="10" t="n">
        <x:f>IF(AND(ISNUMBER(X537),X537&gt;=0,Y537&lt;&gt;1),X537,"")</x:f>
        <x:v>0</x:v>
      </x:c>
      <x:c r="V537" s="10" t="n">
        <x:v>0</x:v>
      </x:c>
      <x:c r="W537" s="10" t="n">
        <x:v>0</x:v>
      </x:c>
      <x:c r="X537" s="10" t="n">
        <x:v>0</x:v>
      </x:c>
      <x:c r="Y537" s="3" t="n">
        <x:v>0</x:v>
      </x:c>
      <x:c r="Z537" s="3" t="str">
        <x:v>新增</x:v>
      </x:c>
      <x:c r="AA537" s="3" t="str">
        <x:v>在售</x:v>
      </x:c>
      <x:c r="AB537" s="12" t="str">
        <x:f>IF(AND(Z537="共同",ISNUMBER(G537),ISNUMBER(AD537)),G537-AD537,"")</x:f>
      </x:c>
      <x:c r="AC537" s="3" t="str"/>
      <x:c r="AD537" s="12"/>
      <x:c r="AE537" s="3" t="str">
        <x:v>[6574,"8392-ND-42"]</x:v>
      </x:c>
      <x:c r="AF537" t="n">
        <x:f>IF(ISNUMBER(H537),1,0)</x:f>
        <x:v>1</x:v>
      </x:c>
      <x:c r="AG537" t="n">
        <x:f>IF(ISNUMBER(I537),1,0)</x:f>
        <x:v>0</x:v>
      </x:c>
      <x:c r="AH537" t="str">
        <x:v>["8392","8392-ND","ND","裸色"]</x:v>
      </x:c>
      <x:c r="AI537" t="n">
        <x:f>IF(ISNUMBER(G537),1,0)</x:f>
        <x:v>1</x:v>
      </x:c>
      <x:c r="AJ537" t="n">
        <x:f>IF(ISNUMBER(AD537),1,0)</x:f>
        <x:v>0</x:v>
      </x:c>
    </x:row>
    <x:row r="538" ht="30" customHeight="1">
      <x:c r="A538" s="3" t="str">
        <x:v>8392-NY-S-K-39</x:v>
      </x:c>
      <x:c r="B538" s="3" t="str">
        <x:v>3店-SANDIEX-US</x:v>
      </x:c>
      <x:c r="C538" s="3" t="str">
        <x:v>徐新怡</x:v>
      </x:c>
      <x:c r="D538" s="3" t="str">
        <x:v>8392</x:v>
      </x:c>
      <x:c r="E538" s="3" t="str">
        <x:f>IF(Z538="移出","已移出",IF(NOT(ISNUMBER(H538)),"数据待核",IF(H538=0,"断货",IF(NOT(ISNUMBER(G538)),"数据待核",IF(G538=0,"零日销待复核",IF(F538&lt;60,"补货提醒",IF(F538&lt;=90,"正常库存",IF(F538&lt;180,"促销",IF(F538&lt;=365,"红线促销","考虑清仓")))))))))</x:f>
        <x:v>断货</x:v>
      </x:c>
      <x:c r="F538" s="11" t="n">
        <x:f>IF(AND(ISNUMBER(H538),ISNUMBER(G538),G538&gt;0),H538/G538,"")</x:f>
        <x:v>0</x:v>
      </x:c>
      <x:c r="G538" s="12" t="n">
        <x:f>IF(AND(COUNT(P538:R538)=3,MIN(P538:R538)&gt;=0,P538&lt;=Q538,Q538&lt;=R538),P538/7*0.5+Q538/14*0.3+R538/30*0.2,"")</x:f>
        <x:v>0.028095238095238093</x:v>
      </x:c>
      <x:c r="H538" s="10" t="n">
        <x:f>IF(ISNUMBER(U538),U538,"")</x:f>
        <x:v>0</x:v>
      </x:c>
      <x:c r="I538" s="10"/>
      <x:c r="J538" s="11" t="str">
        <x:f>IF(AND(Z538="共同",ISNUMBER(F538),ISNUMBER(M538)),F538-M538,"")</x:f>
      </x:c>
      <x:c r="K538" s="13" t="str">
        <x:f>IF(AND(ISNUMBER(J538),M538&lt;&gt;0),J538/M538,"")</x:f>
      </x:c>
      <x:c r="L538" s="10"/>
      <x:c r="M538" s="11"/>
      <x:c r="N538" s="10" t="str">
        <x:f>IF(AND(Z538="共同",COUNT(H538:I538)=2),H538-I538,"")</x:f>
      </x:c>
      <x:c r="O538" s="10" t="n">
        <x:v>0</x:v>
      </x:c>
      <x:c r="P538" s="10" t="n">
        <x:v>0</x:v>
      </x:c>
      <x:c r="Q538" s="10" t="n">
        <x:v>1</x:v>
      </x:c>
      <x:c r="R538" s="10" t="n">
        <x:v>1</x:v>
      </x:c>
      <x:c r="S538" s="10" t="n">
        <x:v>0</x:v>
      </x:c>
      <x:c r="T538" s="10" t="n">
        <x:v>0</x:v>
      </x:c>
      <x:c r="U538" s="10" t="n">
        <x:f>IF(AND(ISNUMBER(X538),X538&gt;=0,Y538&lt;&gt;1),X538,"")</x:f>
        <x:v>0</x:v>
      </x:c>
      <x:c r="V538" s="10" t="n">
        <x:v>0</x:v>
      </x:c>
      <x:c r="W538" s="10" t="n">
        <x:v>0</x:v>
      </x:c>
      <x:c r="X538" s="10" t="n">
        <x:v>0</x:v>
      </x:c>
      <x:c r="Y538" s="3" t="n">
        <x:v>0</x:v>
      </x:c>
      <x:c r="Z538" s="3" t="str">
        <x:v>新增</x:v>
      </x:c>
      <x:c r="AA538" s="3" t="str">
        <x:v>停售</x:v>
      </x:c>
      <x:c r="AB538" s="12" t="str">
        <x:f>IF(AND(Z538="共同",ISNUMBER(G538),ISNUMBER(AD538)),G538-AD538,"")</x:f>
      </x:c>
      <x:c r="AC538" s="3" t="str"/>
      <x:c r="AD538" s="12"/>
      <x:c r="AE538" s="3" t="str">
        <x:v>[6574,"8392-NY-S-K-39"]</x:v>
      </x:c>
      <x:c r="AF538" t="n">
        <x:f>IF(ISNUMBER(H538),1,0)</x:f>
        <x:v>1</x:v>
      </x:c>
      <x:c r="AG538" t="n">
        <x:f>IF(ISNUMBER(I538),1,0)</x:f>
        <x:v>0</x:v>
      </x:c>
      <x:c r="AH538" t="str">
        <x:v>["8392","8392-NY-S-K","NY","藏青色"]</x:v>
      </x:c>
      <x:c r="AI538" t="n">
        <x:f>IF(ISNUMBER(G538),1,0)</x:f>
        <x:v>1</x:v>
      </x:c>
      <x:c r="AJ538" t="n">
        <x:f>IF(ISNUMBER(AD538),1,0)</x:f>
        <x:v>0</x:v>
      </x:c>
    </x:row>
    <x:row r="539" ht="30" customHeight="1">
      <x:c r="A539" s="3" t="str">
        <x:v>8392-NY-S-K-41.5</x:v>
      </x:c>
      <x:c r="B539" s="3" t="str">
        <x:v>3店-SANDIEX-US</x:v>
      </x:c>
      <x:c r="C539" s="3" t="str">
        <x:v>徐新怡</x:v>
      </x:c>
      <x:c r="D539" s="3" t="str">
        <x:v>8392</x:v>
      </x:c>
      <x:c r="E539" s="3" t="str">
        <x:f>IF(Z539="移出","已移出",IF(NOT(ISNUMBER(H539)),"数据待核",IF(H539=0,"断货",IF(NOT(ISNUMBER(G539)),"数据待核",IF(G539=0,"零日销待复核",IF(F539&lt;60,"补货提醒",IF(F539&lt;=90,"正常库存",IF(F539&lt;180,"促销",IF(F539&lt;=365,"红线促销","考虑清仓")))))))))</x:f>
        <x:v>断货</x:v>
      </x:c>
      <x:c r="F539" s="11" t="str">
        <x:f>IF(AND(ISNUMBER(H539),ISNUMBER(G539),G539&gt;0),H539/G539,"")</x:f>
      </x:c>
      <x:c r="G539" s="12" t="n">
        <x:f>IF(AND(COUNT(P539:R539)=3,MIN(P539:R539)&gt;=0,P539&lt;=Q539,Q539&lt;=R539),P539/7*0.5+Q539/14*0.3+R539/30*0.2,"")</x:f>
        <x:v>0</x:v>
      </x:c>
      <x:c r="H539" s="10" t="n">
        <x:f>IF(ISNUMBER(U539),U539,"")</x:f>
        <x:v>0</x:v>
      </x:c>
      <x:c r="I539" s="10"/>
      <x:c r="J539" s="11" t="str">
        <x:f>IF(AND(Z539="共同",ISNUMBER(F539),ISNUMBER(M539)),F539-M539,"")</x:f>
      </x:c>
      <x:c r="K539" s="13" t="str">
        <x:f>IF(AND(ISNUMBER(J539),M539&lt;&gt;0),J539/M539,"")</x:f>
      </x:c>
      <x:c r="L539" s="10"/>
      <x:c r="M539" s="11"/>
      <x:c r="N539" s="10" t="str">
        <x:f>IF(AND(Z539="共同",COUNT(H539:I539)=2),H539-I539,"")</x:f>
      </x:c>
      <x:c r="O539" s="10" t="n">
        <x:v>0</x:v>
      </x:c>
      <x:c r="P539" s="10" t="n">
        <x:v>0</x:v>
      </x:c>
      <x:c r="Q539" s="10" t="n">
        <x:v>0</x:v>
      </x:c>
      <x:c r="R539" s="10" t="n">
        <x:v>0</x:v>
      </x:c>
      <x:c r="S539" s="10" t="n">
        <x:v>0</x:v>
      </x:c>
      <x:c r="T539" s="10" t="n">
        <x:v>0</x:v>
      </x:c>
      <x:c r="U539" s="10" t="n">
        <x:f>IF(AND(ISNUMBER(X539),X539&gt;=0,Y539&lt;&gt;1),X539,"")</x:f>
        <x:v>0</x:v>
      </x:c>
      <x:c r="V539" s="10" t="n">
        <x:v>0</x:v>
      </x:c>
      <x:c r="W539" s="10" t="n">
        <x:v>0</x:v>
      </x:c>
      <x:c r="X539" s="10" t="n">
        <x:v>0</x:v>
      </x:c>
      <x:c r="Y539" s="3" t="n">
        <x:v>0</x:v>
      </x:c>
      <x:c r="Z539" s="3" t="str">
        <x:v>新增</x:v>
      </x:c>
      <x:c r="AA539" s="3" t="str">
        <x:v>停售</x:v>
      </x:c>
      <x:c r="AB539" s="12" t="str">
        <x:f>IF(AND(Z539="共同",ISNUMBER(G539),ISNUMBER(AD539)),G539-AD539,"")</x:f>
      </x:c>
      <x:c r="AC539" s="3" t="str"/>
      <x:c r="AD539" s="12"/>
      <x:c r="AE539" s="3" t="str">
        <x:v>[6574,"8392-NY-S-K-41.5"]</x:v>
      </x:c>
      <x:c r="AF539" t="n">
        <x:f>IF(ISNUMBER(H539),1,0)</x:f>
        <x:v>1</x:v>
      </x:c>
      <x:c r="AG539" t="n">
        <x:f>IF(ISNUMBER(I539),1,0)</x:f>
        <x:v>0</x:v>
      </x:c>
      <x:c r="AH539" t="str">
        <x:v>["8392","8392-NY-S-K","NY","藏青色"]</x:v>
      </x:c>
      <x:c r="AI539" t="n">
        <x:f>IF(ISNUMBER(G539),1,0)</x:f>
        <x:v>1</x:v>
      </x:c>
      <x:c r="AJ539" t="n">
        <x:f>IF(ISNUMBER(AD539),1,0)</x:f>
        <x:v>0</x:v>
      </x:c>
    </x:row>
    <x:row r="540" ht="30" customHeight="1">
      <x:c r="A540" s="3" t="str">
        <x:v>8392-NY-S-K-42</x:v>
      </x:c>
      <x:c r="B540" s="3" t="str">
        <x:v>3店-SANDIEX-US</x:v>
      </x:c>
      <x:c r="C540" s="3" t="str">
        <x:v>徐新怡</x:v>
      </x:c>
      <x:c r="D540" s="3" t="str">
        <x:v>8392</x:v>
      </x:c>
      <x:c r="E540" s="3" t="str">
        <x:f>IF(Z540="移出","已移出",IF(NOT(ISNUMBER(H540)),"数据待核",IF(H540=0,"断货",IF(NOT(ISNUMBER(G540)),"数据待核",IF(G540=0,"零日销待复核",IF(F540&lt;60,"补货提醒",IF(F540&lt;=90,"正常库存",IF(F540&lt;180,"促销",IF(F540&lt;=365,"红线促销","考虑清仓")))))))))</x:f>
        <x:v>断货</x:v>
      </x:c>
      <x:c r="F540" s="11" t="str">
        <x:f>IF(AND(ISNUMBER(H540),ISNUMBER(G540),G540&gt;0),H540/G540,"")</x:f>
      </x:c>
      <x:c r="G540" s="12" t="n">
        <x:f>IF(AND(COUNT(P540:R540)=3,MIN(P540:R540)&gt;=0,P540&lt;=Q540,Q540&lt;=R540),P540/7*0.5+Q540/14*0.3+R540/30*0.2,"")</x:f>
        <x:v>0</x:v>
      </x:c>
      <x:c r="H540" s="10" t="n">
        <x:f>IF(ISNUMBER(U540),U540,"")</x:f>
        <x:v>0</x:v>
      </x:c>
      <x:c r="I540" s="10"/>
      <x:c r="J540" s="11" t="str">
        <x:f>IF(AND(Z540="共同",ISNUMBER(F540),ISNUMBER(M540)),F540-M540,"")</x:f>
      </x:c>
      <x:c r="K540" s="13" t="str">
        <x:f>IF(AND(ISNUMBER(J540),M540&lt;&gt;0),J540/M540,"")</x:f>
      </x:c>
      <x:c r="L540" s="10"/>
      <x:c r="M540" s="11"/>
      <x:c r="N540" s="10" t="str">
        <x:f>IF(AND(Z540="共同",COUNT(H540:I540)=2),H540-I540,"")</x:f>
      </x:c>
      <x:c r="O540" s="10" t="n">
        <x:v>0</x:v>
      </x:c>
      <x:c r="P540" s="10" t="n">
        <x:v>0</x:v>
      </x:c>
      <x:c r="Q540" s="10" t="n">
        <x:v>0</x:v>
      </x:c>
      <x:c r="R540" s="10" t="n">
        <x:v>0</x:v>
      </x:c>
      <x:c r="S540" s="10" t="n">
        <x:v>0</x:v>
      </x:c>
      <x:c r="T540" s="10" t="n">
        <x:v>0</x:v>
      </x:c>
      <x:c r="U540" s="10" t="n">
        <x:f>IF(AND(ISNUMBER(X540),X540&gt;=0,Y540&lt;&gt;1),X540,"")</x:f>
        <x:v>0</x:v>
      </x:c>
      <x:c r="V540" s="10" t="n">
        <x:v>0</x:v>
      </x:c>
      <x:c r="W540" s="10" t="n">
        <x:v>0</x:v>
      </x:c>
      <x:c r="X540" s="10" t="n">
        <x:v>0</x:v>
      </x:c>
      <x:c r="Y540" s="3" t="n">
        <x:v>0</x:v>
      </x:c>
      <x:c r="Z540" s="3" t="str">
        <x:v>新增</x:v>
      </x:c>
      <x:c r="AA540" s="3" t="str">
        <x:v>停售</x:v>
      </x:c>
      <x:c r="AB540" s="12" t="str">
        <x:f>IF(AND(Z540="共同",ISNUMBER(G540),ISNUMBER(AD540)),G540-AD540,"")</x:f>
      </x:c>
      <x:c r="AC540" s="3" t="str">
        <x:v>近90天SKU销量未匹配，未按0处理</x:v>
      </x:c>
      <x:c r="AD540" s="12"/>
      <x:c r="AE540" s="3" t="str">
        <x:v>[6574,"8392-NY-S-K-42"]</x:v>
      </x:c>
      <x:c r="AF540" t="n">
        <x:f>IF(ISNUMBER(H540),1,0)</x:f>
        <x:v>1</x:v>
      </x:c>
      <x:c r="AG540" t="n">
        <x:f>IF(ISNUMBER(I540),1,0)</x:f>
        <x:v>0</x:v>
      </x:c>
      <x:c r="AH540" t="str">
        <x:v>["8392","8392-NY-S-K","NY","藏青色"]</x:v>
      </x:c>
      <x:c r="AI540" t="n">
        <x:f>IF(ISNUMBER(G540),1,0)</x:f>
        <x:v>1</x:v>
      </x:c>
      <x:c r="AJ540" t="n">
        <x:f>IF(ISNUMBER(AD540),1,0)</x:f>
        <x:v>0</x:v>
      </x:c>
    </x:row>
    <x:row r="541" ht="30" customHeight="1">
      <x:c r="A541" s="3" t="str">
        <x:v>8392-NY-S-K-4K</x:v>
      </x:c>
      <x:c r="B541" s="3" t="str">
        <x:v>3店-SANDIEX-US</x:v>
      </x:c>
      <x:c r="C541" s="3" t="str">
        <x:v>徐新怡</x:v>
      </x:c>
      <x:c r="D541" s="3" t="str">
        <x:v>8392</x:v>
      </x:c>
      <x:c r="E541" s="3" t="str">
        <x:f>IF(Z541="移出","已移出",IF(NOT(ISNUMBER(H541)),"数据待核",IF(H541=0,"断货",IF(NOT(ISNUMBER(G541)),"数据待核",IF(G541=0,"零日销待复核",IF(F541&lt;60,"补货提醒",IF(F541&lt;=90,"正常库存",IF(F541&lt;180,"促销",IF(F541&lt;=365,"红线促销","考虑清仓")))))))))</x:f>
        <x:v>断货</x:v>
      </x:c>
      <x:c r="F541" s="11" t="str">
        <x:f>IF(AND(ISNUMBER(H541),ISNUMBER(G541),G541&gt;0),H541/G541,"")</x:f>
      </x:c>
      <x:c r="G541" s="12" t="n">
        <x:f>IF(AND(COUNT(P541:R541)=3,MIN(P541:R541)&gt;=0,P541&lt;=Q541,Q541&lt;=R541),P541/7*0.5+Q541/14*0.3+R541/30*0.2,"")</x:f>
        <x:v>0</x:v>
      </x:c>
      <x:c r="H541" s="10" t="n">
        <x:f>IF(ISNUMBER(U541),U541,"")</x:f>
        <x:v>0</x:v>
      </x:c>
      <x:c r="I541" s="10"/>
      <x:c r="J541" s="11" t="str">
        <x:f>IF(AND(Z541="共同",ISNUMBER(F541),ISNUMBER(M541)),F541-M541,"")</x:f>
      </x:c>
      <x:c r="K541" s="13" t="str">
        <x:f>IF(AND(ISNUMBER(J541),M541&lt;&gt;0),J541/M541,"")</x:f>
      </x:c>
      <x:c r="L541" s="10"/>
      <x:c r="M541" s="11"/>
      <x:c r="N541" s="10" t="str">
        <x:f>IF(AND(Z541="共同",COUNT(H541:I541)=2),H541-I541,"")</x:f>
      </x:c>
      <x:c r="O541" s="10" t="n">
        <x:v>0</x:v>
      </x:c>
      <x:c r="P541" s="10" t="n">
        <x:v>0</x:v>
      </x:c>
      <x:c r="Q541" s="10" t="n">
        <x:v>0</x:v>
      </x:c>
      <x:c r="R541" s="10" t="n">
        <x:v>0</x:v>
      </x:c>
      <x:c r="S541" s="10" t="n">
        <x:v>0</x:v>
      </x:c>
      <x:c r="T541" s="10" t="n">
        <x:v>0</x:v>
      </x:c>
      <x:c r="U541" s="10" t="n">
        <x:f>IF(AND(ISNUMBER(X541),X541&gt;=0,Y541&lt;&gt;1),X541,"")</x:f>
        <x:v>0</x:v>
      </x:c>
      <x:c r="V541" s="10" t="n">
        <x:v>0</x:v>
      </x:c>
      <x:c r="W541" s="10" t="n">
        <x:v>0</x:v>
      </x:c>
      <x:c r="X541" s="10" t="n">
        <x:v>0</x:v>
      </x:c>
      <x:c r="Y541" s="3" t="n">
        <x:v>0</x:v>
      </x:c>
      <x:c r="Z541" s="3" t="str">
        <x:v>新增</x:v>
      </x:c>
      <x:c r="AA541" s="3" t="str">
        <x:v>停售</x:v>
      </x:c>
      <x:c r="AB541" s="12" t="str">
        <x:f>IF(AND(Z541="共同",ISNUMBER(G541),ISNUMBER(AD541)),G541-AD541,"")</x:f>
      </x:c>
      <x:c r="AC541" s="3" t="str">
        <x:v>近90天SKU销量未匹配，未按0处理</x:v>
      </x:c>
      <x:c r="AD541" s="12"/>
      <x:c r="AE541" s="3" t="str">
        <x:v>[6574,"8392-NY-S-K-4K"]</x:v>
      </x:c>
      <x:c r="AF541" t="n">
        <x:f>IF(ISNUMBER(H541),1,0)</x:f>
        <x:v>1</x:v>
      </x:c>
      <x:c r="AG541" t="n">
        <x:f>IF(ISNUMBER(I541),1,0)</x:f>
        <x:v>0</x:v>
      </x:c>
      <x:c r="AH541" t="str">
        <x:v>["8392","8392-NY-S-K-4K","NY","藏青色"]</x:v>
      </x:c>
      <x:c r="AI541" t="n">
        <x:f>IF(ISNUMBER(G541),1,0)</x:f>
        <x:v>1</x:v>
      </x:c>
      <x:c r="AJ541" t="n">
        <x:f>IF(ISNUMBER(AD541),1,0)</x:f>
        <x:v>0</x:v>
      </x:c>
    </x:row>
    <x:row r="542" ht="30" customHeight="1">
      <x:c r="A542" s="3" t="str">
        <x:v>8392-NY-S-K-4K.5</x:v>
      </x:c>
      <x:c r="B542" s="3" t="str">
        <x:v>3店-SANDIEX-US</x:v>
      </x:c>
      <x:c r="C542" s="3" t="str">
        <x:v>徐新怡</x:v>
      </x:c>
      <x:c r="D542" s="3" t="str">
        <x:v>8392</x:v>
      </x:c>
      <x:c r="E542" s="3" t="str">
        <x:f>IF(Z542="移出","已移出",IF(NOT(ISNUMBER(H542)),"数据待核",IF(H542=0,"断货",IF(NOT(ISNUMBER(G542)),"数据待核",IF(G542=0,"零日销待复核",IF(F542&lt;60,"补货提醒",IF(F542&lt;=90,"正常库存",IF(F542&lt;180,"促销",IF(F542&lt;=365,"红线促销","考虑清仓")))))))))</x:f>
        <x:v>断货</x:v>
      </x:c>
      <x:c r="F542" s="11" t="str">
        <x:f>IF(AND(ISNUMBER(H542),ISNUMBER(G542),G542&gt;0),H542/G542,"")</x:f>
      </x:c>
      <x:c r="G542" s="12" t="n">
        <x:f>IF(AND(COUNT(P542:R542)=3,MIN(P542:R542)&gt;=0,P542&lt;=Q542,Q542&lt;=R542),P542/7*0.5+Q542/14*0.3+R542/30*0.2,"")</x:f>
        <x:v>0</x:v>
      </x:c>
      <x:c r="H542" s="10" t="n">
        <x:f>IF(ISNUMBER(U542),U542,"")</x:f>
        <x:v>0</x:v>
      </x:c>
      <x:c r="I542" s="10"/>
      <x:c r="J542" s="11" t="str">
        <x:f>IF(AND(Z542="共同",ISNUMBER(F542),ISNUMBER(M542)),F542-M542,"")</x:f>
      </x:c>
      <x:c r="K542" s="13" t="str">
        <x:f>IF(AND(ISNUMBER(J542),M542&lt;&gt;0),J542/M542,"")</x:f>
      </x:c>
      <x:c r="L542" s="10"/>
      <x:c r="M542" s="11"/>
      <x:c r="N542" s="10" t="str">
        <x:f>IF(AND(Z542="共同",COUNT(H542:I542)=2),H542-I542,"")</x:f>
      </x:c>
      <x:c r="O542" s="10" t="n">
        <x:v>0</x:v>
      </x:c>
      <x:c r="P542" s="10" t="n">
        <x:v>0</x:v>
      </x:c>
      <x:c r="Q542" s="10" t="n">
        <x:v>0</x:v>
      </x:c>
      <x:c r="R542" s="10" t="n">
        <x:v>0</x:v>
      </x:c>
      <x:c r="S542" s="10" t="n">
        <x:v>0</x:v>
      </x:c>
      <x:c r="T542" s="10" t="n">
        <x:v>0</x:v>
      </x:c>
      <x:c r="U542" s="10" t="n">
        <x:f>IF(AND(ISNUMBER(X542),X542&gt;=0,Y542&lt;&gt;1),X542,"")</x:f>
        <x:v>0</x:v>
      </x:c>
      <x:c r="V542" s="10" t="n">
        <x:v>0</x:v>
      </x:c>
      <x:c r="W542" s="10" t="n">
        <x:v>0</x:v>
      </x:c>
      <x:c r="X542" s="10" t="n">
        <x:v>0</x:v>
      </x:c>
      <x:c r="Y542" s="3" t="n">
        <x:v>0</x:v>
      </x:c>
      <x:c r="Z542" s="3" t="str">
        <x:v>新增</x:v>
      </x:c>
      <x:c r="AA542" s="3" t="str">
        <x:v>停售</x:v>
      </x:c>
      <x:c r="AB542" s="12" t="str">
        <x:f>IF(AND(Z542="共同",ISNUMBER(G542),ISNUMBER(AD542)),G542-AD542,"")</x:f>
      </x:c>
      <x:c r="AC542" s="3" t="str">
        <x:v>近90天SKU销量未匹配，未按0处理</x:v>
      </x:c>
      <x:c r="AD542" s="12"/>
      <x:c r="AE542" s="3" t="str">
        <x:v>[6574,"8392-NY-S-K-4K.5"]</x:v>
      </x:c>
      <x:c r="AF542" t="n">
        <x:f>IF(ISNUMBER(H542),1,0)</x:f>
        <x:v>1</x:v>
      </x:c>
      <x:c r="AG542" t="n">
        <x:f>IF(ISNUMBER(I542),1,0)</x:f>
        <x:v>0</x:v>
      </x:c>
      <x:c r="AH542" t="str">
        <x:v>["8392","8392-NY-S-K-4K.5","NY","藏青色"]</x:v>
      </x:c>
      <x:c r="AI542" t="n">
        <x:f>IF(ISNUMBER(G542),1,0)</x:f>
        <x:v>1</x:v>
      </x:c>
      <x:c r="AJ542" t="n">
        <x:f>IF(ISNUMBER(AD542),1,0)</x:f>
        <x:v>0</x:v>
      </x:c>
    </x:row>
    <x:row r="543" ht="30" customHeight="1">
      <x:c r="A543" s="3" t="str">
        <x:v>8392-RD-S-K-37</x:v>
      </x:c>
      <x:c r="B543" s="3" t="str">
        <x:v>3店-SANDIEX-US</x:v>
      </x:c>
      <x:c r="C543" s="3" t="str">
        <x:v>徐新怡</x:v>
      </x:c>
      <x:c r="D543" s="3" t="str">
        <x:v>8392</x:v>
      </x:c>
      <x:c r="E543" s="3" t="str">
        <x:f>IF(Z543="移出","已移出",IF(NOT(ISNUMBER(H543)),"数据待核",IF(H543=0,"断货",IF(NOT(ISNUMBER(G543)),"数据待核",IF(G543=0,"零日销待复核",IF(F543&lt;60,"补货提醒",IF(F543&lt;=90,"正常库存",IF(F543&lt;180,"促销",IF(F543&lt;=365,"红线促销","考虑清仓")))))))))</x:f>
        <x:v>断货</x:v>
      </x:c>
      <x:c r="F543" s="11" t="str">
        <x:f>IF(AND(ISNUMBER(H543),ISNUMBER(G543),G543&gt;0),H543/G543,"")</x:f>
      </x:c>
      <x:c r="G543" s="12" t="n">
        <x:f>IF(AND(COUNT(P543:R543)=3,MIN(P543:R543)&gt;=0,P543&lt;=Q543,Q543&lt;=R543),P543/7*0.5+Q543/14*0.3+R543/30*0.2,"")</x:f>
        <x:v>0</x:v>
      </x:c>
      <x:c r="H543" s="10" t="n">
        <x:f>IF(ISNUMBER(U543),U543,"")</x:f>
        <x:v>0</x:v>
      </x:c>
      <x:c r="I543" s="10"/>
      <x:c r="J543" s="11" t="str">
        <x:f>IF(AND(Z543="共同",ISNUMBER(F543),ISNUMBER(M543)),F543-M543,"")</x:f>
      </x:c>
      <x:c r="K543" s="13" t="str">
        <x:f>IF(AND(ISNUMBER(J543),M543&lt;&gt;0),J543/M543,"")</x:f>
      </x:c>
      <x:c r="L543" s="10"/>
      <x:c r="M543" s="11"/>
      <x:c r="N543" s="10" t="str">
        <x:f>IF(AND(Z543="共同",COUNT(H543:I543)=2),H543-I543,"")</x:f>
      </x:c>
      <x:c r="O543" s="10" t="n">
        <x:v>0</x:v>
      </x:c>
      <x:c r="P543" s="10" t="n">
        <x:v>0</x:v>
      </x:c>
      <x:c r="Q543" s="10" t="n">
        <x:v>0</x:v>
      </x:c>
      <x:c r="R543" s="10" t="n">
        <x:v>0</x:v>
      </x:c>
      <x:c r="S543" s="10" t="n">
        <x:v>0</x:v>
      </x:c>
      <x:c r="T543" s="10" t="n">
        <x:v>0</x:v>
      </x:c>
      <x:c r="U543" s="10" t="n">
        <x:f>IF(AND(ISNUMBER(X543),X543&gt;=0,Y543&lt;&gt;1),X543,"")</x:f>
        <x:v>0</x:v>
      </x:c>
      <x:c r="V543" s="10" t="n">
        <x:v>0</x:v>
      </x:c>
      <x:c r="W543" s="10" t="n">
        <x:v>0</x:v>
      </x:c>
      <x:c r="X543" s="10" t="n">
        <x:v>0</x:v>
      </x:c>
      <x:c r="Y543" s="3" t="n">
        <x:v>0</x:v>
      </x:c>
      <x:c r="Z543" s="3" t="str">
        <x:v>新增</x:v>
      </x:c>
      <x:c r="AA543" s="3" t="str">
        <x:v>停售</x:v>
      </x:c>
      <x:c r="AB543" s="12" t="str">
        <x:f>IF(AND(Z543="共同",ISNUMBER(G543),ISNUMBER(AD543)),G543-AD543,"")</x:f>
      </x:c>
      <x:c r="AC543" s="3" t="str">
        <x:v>近90天SKU销量未匹配，未按0处理</x:v>
      </x:c>
      <x:c r="AD543" s="12"/>
      <x:c r="AE543" s="3" t="str">
        <x:v>[6574,"8392-RD-S-K-37"]</x:v>
      </x:c>
      <x:c r="AF543" t="n">
        <x:f>IF(ISNUMBER(H543),1,0)</x:f>
        <x:v>1</x:v>
      </x:c>
      <x:c r="AG543" t="n">
        <x:f>IF(ISNUMBER(I543),1,0)</x:f>
        <x:v>0</x:v>
      </x:c>
      <x:c r="AH543" t="str">
        <x:v>["8392","8392-RD-S-K","RD","红色"]</x:v>
      </x:c>
      <x:c r="AI543" t="n">
        <x:f>IF(ISNUMBER(G543),1,0)</x:f>
        <x:v>1</x:v>
      </x:c>
      <x:c r="AJ543" t="n">
        <x:f>IF(ISNUMBER(AD543),1,0)</x:f>
        <x:v>0</x:v>
      </x:c>
    </x:row>
    <x:row r="544" ht="30" customHeight="1">
      <x:c r="A544" s="3" t="str">
        <x:v>8392-RD-S-K-38</x:v>
      </x:c>
      <x:c r="B544" s="3" t="str">
        <x:v>3店-SANDIEX-US</x:v>
      </x:c>
      <x:c r="C544" s="3" t="str">
        <x:v>徐新怡</x:v>
      </x:c>
      <x:c r="D544" s="3" t="str">
        <x:v>8392</x:v>
      </x:c>
      <x:c r="E544" s="3" t="str">
        <x:f>IF(Z544="移出","已移出",IF(NOT(ISNUMBER(H544)),"数据待核",IF(H544=0,"断货",IF(NOT(ISNUMBER(G544)),"数据待核",IF(G544=0,"零日销待复核",IF(F544&lt;60,"补货提醒",IF(F544&lt;=90,"正常库存",IF(F544&lt;180,"促销",IF(F544&lt;=365,"红线促销","考虑清仓")))))))))</x:f>
        <x:v>断货</x:v>
      </x:c>
      <x:c r="F544" s="11" t="str">
        <x:f>IF(AND(ISNUMBER(H544),ISNUMBER(G544),G544&gt;0),H544/G544,"")</x:f>
      </x:c>
      <x:c r="G544" s="12" t="n">
        <x:f>IF(AND(COUNT(P544:R544)=3,MIN(P544:R544)&gt;=0,P544&lt;=Q544,Q544&lt;=R544),P544/7*0.5+Q544/14*0.3+R544/30*0.2,"")</x:f>
        <x:v>0</x:v>
      </x:c>
      <x:c r="H544" s="10" t="n">
        <x:f>IF(ISNUMBER(U544),U544,"")</x:f>
        <x:v>0</x:v>
      </x:c>
      <x:c r="I544" s="10"/>
      <x:c r="J544" s="11" t="str">
        <x:f>IF(AND(Z544="共同",ISNUMBER(F544),ISNUMBER(M544)),F544-M544,"")</x:f>
      </x:c>
      <x:c r="K544" s="13" t="str">
        <x:f>IF(AND(ISNUMBER(J544),M544&lt;&gt;0),J544/M544,"")</x:f>
      </x:c>
      <x:c r="L544" s="10"/>
      <x:c r="M544" s="11"/>
      <x:c r="N544" s="10" t="str">
        <x:f>IF(AND(Z544="共同",COUNT(H544:I544)=2),H544-I544,"")</x:f>
      </x:c>
      <x:c r="O544" s="10" t="n">
        <x:v>0</x:v>
      </x:c>
      <x:c r="P544" s="10" t="n">
        <x:v>0</x:v>
      </x:c>
      <x:c r="Q544" s="10" t="n">
        <x:v>0</x:v>
      </x:c>
      <x:c r="R544" s="10" t="n">
        <x:v>0</x:v>
      </x:c>
      <x:c r="S544" s="10" t="n">
        <x:v>0</x:v>
      </x:c>
      <x:c r="T544" s="10" t="n">
        <x:v>0</x:v>
      </x:c>
      <x:c r="U544" s="10" t="n">
        <x:f>IF(AND(ISNUMBER(X544),X544&gt;=0,Y544&lt;&gt;1),X544,"")</x:f>
        <x:v>0</x:v>
      </x:c>
      <x:c r="V544" s="10" t="n">
        <x:v>0</x:v>
      </x:c>
      <x:c r="W544" s="10" t="n">
        <x:v>0</x:v>
      </x:c>
      <x:c r="X544" s="10" t="n">
        <x:v>0</x:v>
      </x:c>
      <x:c r="Y544" s="3" t="n">
        <x:v>0</x:v>
      </x:c>
      <x:c r="Z544" s="3" t="str">
        <x:v>新增</x:v>
      </x:c>
      <x:c r="AA544" s="3" t="str">
        <x:v>停售</x:v>
      </x:c>
      <x:c r="AB544" s="12" t="str">
        <x:f>IF(AND(Z544="共同",ISNUMBER(G544),ISNUMBER(AD544)),G544-AD544,"")</x:f>
      </x:c>
      <x:c r="AC544" s="3" t="str">
        <x:v>近90天SKU销量未匹配，未按0处理</x:v>
      </x:c>
      <x:c r="AD544" s="12"/>
      <x:c r="AE544" s="3" t="str">
        <x:v>[6574,"8392-RD-S-K-38"]</x:v>
      </x:c>
      <x:c r="AF544" t="n">
        <x:f>IF(ISNUMBER(H544),1,0)</x:f>
        <x:v>1</x:v>
      </x:c>
      <x:c r="AG544" t="n">
        <x:f>IF(ISNUMBER(I544),1,0)</x:f>
        <x:v>0</x:v>
      </x:c>
      <x:c r="AH544" t="str">
        <x:v>["8392","8392-RD-S-K","RD","红色"]</x:v>
      </x:c>
      <x:c r="AI544" t="n">
        <x:f>IF(ISNUMBER(G544),1,0)</x:f>
        <x:v>1</x:v>
      </x:c>
      <x:c r="AJ544" t="n">
        <x:f>IF(ISNUMBER(AD544),1,0)</x:f>
        <x:v>0</x:v>
      </x:c>
    </x:row>
    <x:row r="545" ht="30" customHeight="1">
      <x:c r="A545" s="3" t="str">
        <x:v>8392-RD-S-K-39</x:v>
      </x:c>
      <x:c r="B545" s="3" t="str">
        <x:v>3店-SANDIEX-US</x:v>
      </x:c>
      <x:c r="C545" s="3" t="str">
        <x:v>徐新怡</x:v>
      </x:c>
      <x:c r="D545" s="3" t="str">
        <x:v>8392</x:v>
      </x:c>
      <x:c r="E545" s="3" t="str">
        <x:f>IF(Z545="移出","已移出",IF(NOT(ISNUMBER(H545)),"数据待核",IF(H545=0,"断货",IF(NOT(ISNUMBER(G545)),"数据待核",IF(G545=0,"零日销待复核",IF(F545&lt;60,"补货提醒",IF(F545&lt;=90,"正常库存",IF(F545&lt;180,"促销",IF(F545&lt;=365,"红线促销","考虑清仓")))))))))</x:f>
        <x:v>断货</x:v>
      </x:c>
      <x:c r="F545" s="11" t="str">
        <x:f>IF(AND(ISNUMBER(H545),ISNUMBER(G545),G545&gt;0),H545/G545,"")</x:f>
      </x:c>
      <x:c r="G545" s="12" t="n">
        <x:f>IF(AND(COUNT(P545:R545)=3,MIN(P545:R545)&gt;=0,P545&lt;=Q545,Q545&lt;=R545),P545/7*0.5+Q545/14*0.3+R545/30*0.2,"")</x:f>
        <x:v>0</x:v>
      </x:c>
      <x:c r="H545" s="10" t="n">
        <x:f>IF(ISNUMBER(U545),U545,"")</x:f>
        <x:v>0</x:v>
      </x:c>
      <x:c r="I545" s="10"/>
      <x:c r="J545" s="11" t="str">
        <x:f>IF(AND(Z545="共同",ISNUMBER(F545),ISNUMBER(M545)),F545-M545,"")</x:f>
      </x:c>
      <x:c r="K545" s="13" t="str">
        <x:f>IF(AND(ISNUMBER(J545),M545&lt;&gt;0),J545/M545,"")</x:f>
      </x:c>
      <x:c r="L545" s="10"/>
      <x:c r="M545" s="11"/>
      <x:c r="N545" s="10" t="str">
        <x:f>IF(AND(Z545="共同",COUNT(H545:I545)=2),H545-I545,"")</x:f>
      </x:c>
      <x:c r="O545" s="10" t="n">
        <x:v>0</x:v>
      </x:c>
      <x:c r="P545" s="10" t="n">
        <x:v>0</x:v>
      </x:c>
      <x:c r="Q545" s="10" t="n">
        <x:v>0</x:v>
      </x:c>
      <x:c r="R545" s="10" t="n">
        <x:v>0</x:v>
      </x:c>
      <x:c r="S545" s="10" t="n">
        <x:v>0</x:v>
      </x:c>
      <x:c r="T545" s="10" t="n">
        <x:v>0</x:v>
      </x:c>
      <x:c r="U545" s="10" t="n">
        <x:f>IF(AND(ISNUMBER(X545),X545&gt;=0,Y545&lt;&gt;1),X545,"")</x:f>
        <x:v>0</x:v>
      </x:c>
      <x:c r="V545" s="10" t="n">
        <x:v>0</x:v>
      </x:c>
      <x:c r="W545" s="10" t="n">
        <x:v>0</x:v>
      </x:c>
      <x:c r="X545" s="10" t="n">
        <x:v>0</x:v>
      </x:c>
      <x:c r="Y545" s="3" t="n">
        <x:v>0</x:v>
      </x:c>
      <x:c r="Z545" s="3" t="str">
        <x:v>新增</x:v>
      </x:c>
      <x:c r="AA545" s="3" t="str">
        <x:v>停售</x:v>
      </x:c>
      <x:c r="AB545" s="12" t="str">
        <x:f>IF(AND(Z545="共同",ISNUMBER(G545),ISNUMBER(AD545)),G545-AD545,"")</x:f>
      </x:c>
      <x:c r="AC545" s="3" t="str">
        <x:v>近90天SKU销量未匹配，未按0处理</x:v>
      </x:c>
      <x:c r="AD545" s="12"/>
      <x:c r="AE545" s="3" t="str">
        <x:v>[6574,"8392-RD-S-K-39"]</x:v>
      </x:c>
      <x:c r="AF545" t="n">
        <x:f>IF(ISNUMBER(H545),1,0)</x:f>
        <x:v>1</x:v>
      </x:c>
      <x:c r="AG545" t="n">
        <x:f>IF(ISNUMBER(I545),1,0)</x:f>
        <x:v>0</x:v>
      </x:c>
      <x:c r="AH545" t="str">
        <x:v>["8392","8392-RD-S-K","RD","红色"]</x:v>
      </x:c>
      <x:c r="AI545" t="n">
        <x:f>IF(ISNUMBER(G545),1,0)</x:f>
        <x:v>1</x:v>
      </x:c>
      <x:c r="AJ545" t="n">
        <x:f>IF(ISNUMBER(AD545),1,0)</x:f>
        <x:v>0</x:v>
      </x:c>
    </x:row>
    <x:row r="546" ht="30" customHeight="1">
      <x:c r="A546" s="3" t="str">
        <x:v>8392-RD-S-K-41</x:v>
      </x:c>
      <x:c r="B546" s="3" t="str">
        <x:v>3店-SANDIEX-US</x:v>
      </x:c>
      <x:c r="C546" s="3" t="str">
        <x:v>徐新怡</x:v>
      </x:c>
      <x:c r="D546" s="3" t="str">
        <x:v>8392</x:v>
      </x:c>
      <x:c r="E546" s="3" t="str">
        <x:f>IF(Z546="移出","已移出",IF(NOT(ISNUMBER(H546)),"数据待核",IF(H546=0,"断货",IF(NOT(ISNUMBER(G546)),"数据待核",IF(G546=0,"零日销待复核",IF(F546&lt;60,"补货提醒",IF(F546&lt;=90,"正常库存",IF(F546&lt;180,"促销",IF(F546&lt;=365,"红线促销","考虑清仓")))))))))</x:f>
        <x:v>断货</x:v>
      </x:c>
      <x:c r="F546" s="11" t="str">
        <x:f>IF(AND(ISNUMBER(H546),ISNUMBER(G546),G546&gt;0),H546/G546,"")</x:f>
      </x:c>
      <x:c r="G546" s="12" t="n">
        <x:f>IF(AND(COUNT(P546:R546)=3,MIN(P546:R546)&gt;=0,P546&lt;=Q546,Q546&lt;=R546),P546/7*0.5+Q546/14*0.3+R546/30*0.2,"")</x:f>
        <x:v>0</x:v>
      </x:c>
      <x:c r="H546" s="10" t="n">
        <x:f>IF(ISNUMBER(U546),U546,"")</x:f>
        <x:v>0</x:v>
      </x:c>
      <x:c r="I546" s="10"/>
      <x:c r="J546" s="11" t="str">
        <x:f>IF(AND(Z546="共同",ISNUMBER(F546),ISNUMBER(M546)),F546-M546,"")</x:f>
      </x:c>
      <x:c r="K546" s="13" t="str">
        <x:f>IF(AND(ISNUMBER(J546),M546&lt;&gt;0),J546/M546,"")</x:f>
      </x:c>
      <x:c r="L546" s="10"/>
      <x:c r="M546" s="11"/>
      <x:c r="N546" s="10" t="str">
        <x:f>IF(AND(Z546="共同",COUNT(H546:I546)=2),H546-I546,"")</x:f>
      </x:c>
      <x:c r="O546" s="10" t="n">
        <x:v>0</x:v>
      </x:c>
      <x:c r="P546" s="10" t="n">
        <x:v>0</x:v>
      </x:c>
      <x:c r="Q546" s="10" t="n">
        <x:v>0</x:v>
      </x:c>
      <x:c r="R546" s="10" t="n">
        <x:v>0</x:v>
      </x:c>
      <x:c r="S546" s="10" t="n">
        <x:v>0</x:v>
      </x:c>
      <x:c r="T546" s="10" t="n">
        <x:v>0</x:v>
      </x:c>
      <x:c r="U546" s="10" t="n">
        <x:f>IF(AND(ISNUMBER(X546),X546&gt;=0,Y546&lt;&gt;1),X546,"")</x:f>
        <x:v>0</x:v>
      </x:c>
      <x:c r="V546" s="10" t="n">
        <x:v>0</x:v>
      </x:c>
      <x:c r="W546" s="10" t="n">
        <x:v>0</x:v>
      </x:c>
      <x:c r="X546" s="10" t="n">
        <x:v>0</x:v>
      </x:c>
      <x:c r="Y546" s="3" t="n">
        <x:v>0</x:v>
      </x:c>
      <x:c r="Z546" s="3" t="str">
        <x:v>新增</x:v>
      </x:c>
      <x:c r="AA546" s="3" t="str">
        <x:v>停售</x:v>
      </x:c>
      <x:c r="AB546" s="12" t="str">
        <x:f>IF(AND(Z546="共同",ISNUMBER(G546),ISNUMBER(AD546)),G546-AD546,"")</x:f>
      </x:c>
      <x:c r="AC546" s="3" t="str">
        <x:v>近90天SKU销量未匹配，未按0处理</x:v>
      </x:c>
      <x:c r="AD546" s="12"/>
      <x:c r="AE546" s="3" t="str">
        <x:v>[6574,"8392-RD-S-K-41"]</x:v>
      </x:c>
      <x:c r="AF546" t="n">
        <x:f>IF(ISNUMBER(H546),1,0)</x:f>
        <x:v>1</x:v>
      </x:c>
      <x:c r="AG546" t="n">
        <x:f>IF(ISNUMBER(I546),1,0)</x:f>
        <x:v>0</x:v>
      </x:c>
      <x:c r="AH546" t="str">
        <x:v>["8392","8392-RD-S-K","RD","红色"]</x:v>
      </x:c>
      <x:c r="AI546" t="n">
        <x:f>IF(ISNUMBER(G546),1,0)</x:f>
        <x:v>1</x:v>
      </x:c>
      <x:c r="AJ546" t="n">
        <x:f>IF(ISNUMBER(AD546),1,0)</x:f>
        <x:v>0</x:v>
      </x:c>
    </x:row>
    <x:row r="547" ht="30" customHeight="1">
      <x:c r="A547" s="3" t="str">
        <x:v>8392-TN-37</x:v>
      </x:c>
      <x:c r="B547" s="3" t="str">
        <x:v>3店-SANDIEX-US</x:v>
      </x:c>
      <x:c r="C547" s="3" t="str">
        <x:v>徐新怡</x:v>
      </x:c>
      <x:c r="D547" s="3" t="str">
        <x:v>8392</x:v>
      </x:c>
      <x:c r="E547" s="3" t="str">
        <x:f>IF(Z547="移出","已移出",IF(NOT(ISNUMBER(H547)),"数据待核",IF(H547=0,"断货",IF(NOT(ISNUMBER(G547)),"数据待核",IF(G547=0,"零日销待复核",IF(F547&lt;60,"补货提醒",IF(F547&lt;=90,"正常库存",IF(F547&lt;180,"促销",IF(F547&lt;=365,"红线促销","考虑清仓")))))))))</x:f>
        <x:v>断货</x:v>
      </x:c>
      <x:c r="F547" s="11" t="str">
        <x:f>IF(AND(ISNUMBER(H547),ISNUMBER(G547),G547&gt;0),H547/G547,"")</x:f>
      </x:c>
      <x:c r="G547" s="12" t="n">
        <x:f>IF(AND(COUNT(P547:R547)=3,MIN(P547:R547)&gt;=0,P547&lt;=Q547,Q547&lt;=R547),P547/7*0.5+Q547/14*0.3+R547/30*0.2,"")</x:f>
        <x:v>0</x:v>
      </x:c>
      <x:c r="H547" s="10" t="n">
        <x:f>IF(ISNUMBER(U547),U547,"")</x:f>
        <x:v>0</x:v>
      </x:c>
      <x:c r="I547" s="10"/>
      <x:c r="J547" s="11" t="str">
        <x:f>IF(AND(Z547="共同",ISNUMBER(F547),ISNUMBER(M547)),F547-M547,"")</x:f>
      </x:c>
      <x:c r="K547" s="13" t="str">
        <x:f>IF(AND(ISNUMBER(J547),M547&lt;&gt;0),J547/M547,"")</x:f>
      </x:c>
      <x:c r="L547" s="10"/>
      <x:c r="M547" s="11"/>
      <x:c r="N547" s="10" t="str">
        <x:f>IF(AND(Z547="共同",COUNT(H547:I547)=2),H547-I547,"")</x:f>
      </x:c>
      <x:c r="O547" s="10" t="n">
        <x:v>0</x:v>
      </x:c>
      <x:c r="P547" s="10" t="n">
        <x:v>0</x:v>
      </x:c>
      <x:c r="Q547" s="10" t="n">
        <x:v>0</x:v>
      </x:c>
      <x:c r="R547" s="10" t="n">
        <x:v>0</x:v>
      </x:c>
      <x:c r="S547" s="10" t="n">
        <x:v>0</x:v>
      </x:c>
      <x:c r="T547" s="10" t="n">
        <x:v>0</x:v>
      </x:c>
      <x:c r="U547" s="10" t="n">
        <x:f>IF(AND(ISNUMBER(X547),X547&gt;=0,Y547&lt;&gt;1),X547,"")</x:f>
        <x:v>0</x:v>
      </x:c>
      <x:c r="V547" s="10" t="n">
        <x:v>0</x:v>
      </x:c>
      <x:c r="W547" s="10" t="n">
        <x:v>0</x:v>
      </x:c>
      <x:c r="X547" s="10" t="n">
        <x:v>0</x:v>
      </x:c>
      <x:c r="Y547" s="3" t="n">
        <x:v>0</x:v>
      </x:c>
      <x:c r="Z547" s="3" t="str">
        <x:v>新增</x:v>
      </x:c>
      <x:c r="AA547" s="3" t="str">
        <x:v>停售</x:v>
      </x:c>
      <x:c r="AB547" s="12" t="str">
        <x:f>IF(AND(Z547="共同",ISNUMBER(G547),ISNUMBER(AD547)),G547-AD547,"")</x:f>
      </x:c>
      <x:c r="AC547" s="3" t="str"/>
      <x:c r="AD547" s="12"/>
      <x:c r="AE547" s="3" t="str">
        <x:v>[6574,"8392-TN-37"]</x:v>
      </x:c>
      <x:c r="AF547" t="n">
        <x:f>IF(ISNUMBER(H547),1,0)</x:f>
        <x:v>1</x:v>
      </x:c>
      <x:c r="AG547" t="n">
        <x:f>IF(ISNUMBER(I547),1,0)</x:f>
        <x:v>0</x:v>
      </x:c>
      <x:c r="AH547" t="str">
        <x:v>["8392","8392-TN","TN","驼色"]</x:v>
      </x:c>
      <x:c r="AI547" t="n">
        <x:f>IF(ISNUMBER(G547),1,0)</x:f>
        <x:v>1</x:v>
      </x:c>
      <x:c r="AJ547" t="n">
        <x:f>IF(ISNUMBER(AD547),1,0)</x:f>
        <x:v>0</x:v>
      </x:c>
    </x:row>
    <x:row r="548" ht="30" customHeight="1">
      <x:c r="A548" s="3" t="str">
        <x:v>8392-TN-37.5</x:v>
      </x:c>
      <x:c r="B548" s="3" t="str">
        <x:v>3店-SANDIEX-US</x:v>
      </x:c>
      <x:c r="C548" s="3" t="str">
        <x:v>徐新怡</x:v>
      </x:c>
      <x:c r="D548" s="3" t="str">
        <x:v>8392</x:v>
      </x:c>
      <x:c r="E548" s="3" t="str">
        <x:f>IF(Z548="移出","已移出",IF(NOT(ISNUMBER(H548)),"数据待核",IF(H548=0,"断货",IF(NOT(ISNUMBER(G548)),"数据待核",IF(G548=0,"零日销待复核",IF(F548&lt;60,"补货提醒",IF(F548&lt;=90,"正常库存",IF(F548&lt;180,"促销",IF(F548&lt;=365,"红线促销","考虑清仓")))))))))</x:f>
        <x:v>断货</x:v>
      </x:c>
      <x:c r="F548" s="11" t="str">
        <x:f>IF(AND(ISNUMBER(H548),ISNUMBER(G548),G548&gt;0),H548/G548,"")</x:f>
      </x:c>
      <x:c r="G548" s="12" t="n">
        <x:f>IF(AND(COUNT(P548:R548)=3,MIN(P548:R548)&gt;=0,P548&lt;=Q548,Q548&lt;=R548),P548/7*0.5+Q548/14*0.3+R548/30*0.2,"")</x:f>
        <x:v>0</x:v>
      </x:c>
      <x:c r="H548" s="10" t="n">
        <x:f>IF(ISNUMBER(U548),U548,"")</x:f>
        <x:v>0</x:v>
      </x:c>
      <x:c r="I548" s="10"/>
      <x:c r="J548" s="11" t="str">
        <x:f>IF(AND(Z548="共同",ISNUMBER(F548),ISNUMBER(M548)),F548-M548,"")</x:f>
      </x:c>
      <x:c r="K548" s="13" t="str">
        <x:f>IF(AND(ISNUMBER(J548),M548&lt;&gt;0),J548/M548,"")</x:f>
      </x:c>
      <x:c r="L548" s="10"/>
      <x:c r="M548" s="11"/>
      <x:c r="N548" s="10" t="str">
        <x:f>IF(AND(Z548="共同",COUNT(H548:I548)=2),H548-I548,"")</x:f>
      </x:c>
      <x:c r="O548" s="10" t="n">
        <x:v>0</x:v>
      </x:c>
      <x:c r="P548" s="10" t="n">
        <x:v>0</x:v>
      </x:c>
      <x:c r="Q548" s="10" t="n">
        <x:v>0</x:v>
      </x:c>
      <x:c r="R548" s="10" t="n">
        <x:v>0</x:v>
      </x:c>
      <x:c r="S548" s="10" t="n">
        <x:v>0</x:v>
      </x:c>
      <x:c r="T548" s="10" t="n">
        <x:v>0</x:v>
      </x:c>
      <x:c r="U548" s="10" t="n">
        <x:f>IF(AND(ISNUMBER(X548),X548&gt;=0,Y548&lt;&gt;1),X548,"")</x:f>
        <x:v>0</x:v>
      </x:c>
      <x:c r="V548" s="10" t="n">
        <x:v>0</x:v>
      </x:c>
      <x:c r="W548" s="10" t="n">
        <x:v>0</x:v>
      </x:c>
      <x:c r="X548" s="10" t="n">
        <x:v>0</x:v>
      </x:c>
      <x:c r="Y548" s="3" t="n">
        <x:v>0</x:v>
      </x:c>
      <x:c r="Z548" s="3" t="str">
        <x:v>新增</x:v>
      </x:c>
      <x:c r="AA548" s="3" t="str">
        <x:v>停售</x:v>
      </x:c>
      <x:c r="AB548" s="12" t="str">
        <x:f>IF(AND(Z548="共同",ISNUMBER(G548),ISNUMBER(AD548)),G548-AD548,"")</x:f>
      </x:c>
      <x:c r="AC548" s="3" t="str"/>
      <x:c r="AD548" s="12"/>
      <x:c r="AE548" s="3" t="str">
        <x:v>[6574,"8392-TN-37.5"]</x:v>
      </x:c>
      <x:c r="AF548" t="n">
        <x:f>IF(ISNUMBER(H548),1,0)</x:f>
        <x:v>1</x:v>
      </x:c>
      <x:c r="AG548" t="n">
        <x:f>IF(ISNUMBER(I548),1,0)</x:f>
        <x:v>0</x:v>
      </x:c>
      <x:c r="AH548" t="str">
        <x:v>["8392","8392-TN","TN","驼色"]</x:v>
      </x:c>
      <x:c r="AI548" t="n">
        <x:f>IF(ISNUMBER(G548),1,0)</x:f>
        <x:v>1</x:v>
      </x:c>
      <x:c r="AJ548" t="n">
        <x:f>IF(ISNUMBER(AD548),1,0)</x:f>
        <x:v>0</x:v>
      </x:c>
    </x:row>
    <x:row r="549" ht="30" customHeight="1">
      <x:c r="A549" s="3" t="str">
        <x:v>8392-TN-38</x:v>
      </x:c>
      <x:c r="B549" s="3" t="str">
        <x:v>3店-SANDIEX-US</x:v>
      </x:c>
      <x:c r="C549" s="3" t="str">
        <x:v>徐新怡</x:v>
      </x:c>
      <x:c r="D549" s="3" t="str">
        <x:v>8392</x:v>
      </x:c>
      <x:c r="E549" s="3" t="str">
        <x:f>IF(Z549="移出","已移出",IF(NOT(ISNUMBER(H549)),"数据待核",IF(H549=0,"断货",IF(NOT(ISNUMBER(G549)),"数据待核",IF(G549=0,"零日销待复核",IF(F549&lt;60,"补货提醒",IF(F549&lt;=90,"正常库存",IF(F549&lt;180,"促销",IF(F549&lt;=365,"红线促销","考虑清仓")))))))))</x:f>
        <x:v>断货</x:v>
      </x:c>
      <x:c r="F549" s="11" t="str">
        <x:f>IF(AND(ISNUMBER(H549),ISNUMBER(G549),G549&gt;0),H549/G549,"")</x:f>
      </x:c>
      <x:c r="G549" s="12" t="n">
        <x:f>IF(AND(COUNT(P549:R549)=3,MIN(P549:R549)&gt;=0,P549&lt;=Q549,Q549&lt;=R549),P549/7*0.5+Q549/14*0.3+R549/30*0.2,"")</x:f>
        <x:v>0</x:v>
      </x:c>
      <x:c r="H549" s="10" t="n">
        <x:f>IF(ISNUMBER(U549),U549,"")</x:f>
        <x:v>0</x:v>
      </x:c>
      <x:c r="I549" s="10"/>
      <x:c r="J549" s="11" t="str">
        <x:f>IF(AND(Z549="共同",ISNUMBER(F549),ISNUMBER(M549)),F549-M549,"")</x:f>
      </x:c>
      <x:c r="K549" s="13" t="str">
        <x:f>IF(AND(ISNUMBER(J549),M549&lt;&gt;0),J549/M549,"")</x:f>
      </x:c>
      <x:c r="L549" s="10"/>
      <x:c r="M549" s="11"/>
      <x:c r="N549" s="10" t="str">
        <x:f>IF(AND(Z549="共同",COUNT(H549:I549)=2),H549-I549,"")</x:f>
      </x:c>
      <x:c r="O549" s="10" t="n">
        <x:v>0</x:v>
      </x:c>
      <x:c r="P549" s="10" t="n">
        <x:v>0</x:v>
      </x:c>
      <x:c r="Q549" s="10" t="n">
        <x:v>0</x:v>
      </x:c>
      <x:c r="R549" s="10" t="n">
        <x:v>0</x:v>
      </x:c>
      <x:c r="S549" s="10" t="n">
        <x:v>0</x:v>
      </x:c>
      <x:c r="T549" s="10" t="n">
        <x:v>0</x:v>
      </x:c>
      <x:c r="U549" s="10" t="n">
        <x:f>IF(AND(ISNUMBER(X549),X549&gt;=0,Y549&lt;&gt;1),X549,"")</x:f>
        <x:v>0</x:v>
      </x:c>
      <x:c r="V549" s="10" t="n">
        <x:v>0</x:v>
      </x:c>
      <x:c r="W549" s="10" t="n">
        <x:v>0</x:v>
      </x:c>
      <x:c r="X549" s="10" t="n">
        <x:v>0</x:v>
      </x:c>
      <x:c r="Y549" s="3" t="n">
        <x:v>0</x:v>
      </x:c>
      <x:c r="Z549" s="3" t="str">
        <x:v>新增</x:v>
      </x:c>
      <x:c r="AA549" s="3" t="str">
        <x:v>停售</x:v>
      </x:c>
      <x:c r="AB549" s="12" t="str">
        <x:f>IF(AND(Z549="共同",ISNUMBER(G549),ISNUMBER(AD549)),G549-AD549,"")</x:f>
      </x:c>
      <x:c r="AC549" s="3" t="str">
        <x:v>近90天SKU销量未匹配，未按0处理</x:v>
      </x:c>
      <x:c r="AD549" s="12"/>
      <x:c r="AE549" s="3" t="str">
        <x:v>[6574,"8392-TN-38"]</x:v>
      </x:c>
      <x:c r="AF549" t="n">
        <x:f>IF(ISNUMBER(H549),1,0)</x:f>
        <x:v>1</x:v>
      </x:c>
      <x:c r="AG549" t="n">
        <x:f>IF(ISNUMBER(I549),1,0)</x:f>
        <x:v>0</x:v>
      </x:c>
      <x:c r="AH549" t="str">
        <x:v>["8392","8392-TN","TN","驼色"]</x:v>
      </x:c>
      <x:c r="AI549" t="n">
        <x:f>IF(ISNUMBER(G549),1,0)</x:f>
        <x:v>1</x:v>
      </x:c>
      <x:c r="AJ549" t="n">
        <x:f>IF(ISNUMBER(AD549),1,0)</x:f>
        <x:v>0</x:v>
      </x:c>
    </x:row>
    <x:row r="550" ht="30" customHeight="1">
      <x:c r="A550" s="3" t="str">
        <x:v>8392-TN-39</x:v>
      </x:c>
      <x:c r="B550" s="3" t="str">
        <x:v>3店-SANDIEX-US</x:v>
      </x:c>
      <x:c r="C550" s="3" t="str">
        <x:v>徐新怡</x:v>
      </x:c>
      <x:c r="D550" s="3" t="str">
        <x:v>8392</x:v>
      </x:c>
      <x:c r="E550" s="3" t="str">
        <x:f>IF(Z550="移出","已移出",IF(NOT(ISNUMBER(H550)),"数据待核",IF(H550=0,"断货",IF(NOT(ISNUMBER(G550)),"数据待核",IF(G550=0,"零日销待复核",IF(F550&lt;60,"补货提醒",IF(F550&lt;=90,"正常库存",IF(F550&lt;180,"促销",IF(F550&lt;=365,"红线促销","考虑清仓")))))))))</x:f>
        <x:v>断货</x:v>
      </x:c>
      <x:c r="F550" s="11" t="str">
        <x:f>IF(AND(ISNUMBER(H550),ISNUMBER(G550),G550&gt;0),H550/G550,"")</x:f>
      </x:c>
      <x:c r="G550" s="12" t="n">
        <x:f>IF(AND(COUNT(P550:R550)=3,MIN(P550:R550)&gt;=0,P550&lt;=Q550,Q550&lt;=R550),P550/7*0.5+Q550/14*0.3+R550/30*0.2,"")</x:f>
        <x:v>0</x:v>
      </x:c>
      <x:c r="H550" s="10" t="n">
        <x:f>IF(ISNUMBER(U550),U550,"")</x:f>
        <x:v>0</x:v>
      </x:c>
      <x:c r="I550" s="10"/>
      <x:c r="J550" s="11" t="str">
        <x:f>IF(AND(Z550="共同",ISNUMBER(F550),ISNUMBER(M550)),F550-M550,"")</x:f>
      </x:c>
      <x:c r="K550" s="13" t="str">
        <x:f>IF(AND(ISNUMBER(J550),M550&lt;&gt;0),J550/M550,"")</x:f>
      </x:c>
      <x:c r="L550" s="10"/>
      <x:c r="M550" s="11"/>
      <x:c r="N550" s="10" t="str">
        <x:f>IF(AND(Z550="共同",COUNT(H550:I550)=2),H550-I550,"")</x:f>
      </x:c>
      <x:c r="O550" s="10" t="n">
        <x:v>99</x:v>
      </x:c>
      <x:c r="P550" s="10" t="n">
        <x:v>0</x:v>
      </x:c>
      <x:c r="Q550" s="10" t="n">
        <x:v>0</x:v>
      </x:c>
      <x:c r="R550" s="10" t="n">
        <x:v>0</x:v>
      </x:c>
      <x:c r="S550" s="10" t="n">
        <x:v>0</x:v>
      </x:c>
      <x:c r="T550" s="10" t="n">
        <x:v>0</x:v>
      </x:c>
      <x:c r="U550" s="10" t="n">
        <x:f>IF(AND(ISNUMBER(X550),X550&gt;=0,Y550&lt;&gt;1),X550,"")</x:f>
        <x:v>0</x:v>
      </x:c>
      <x:c r="V550" s="10" t="n">
        <x:v>0</x:v>
      </x:c>
      <x:c r="W550" s="10" t="n">
        <x:v>0</x:v>
      </x:c>
      <x:c r="X550" s="10" t="n">
        <x:v>0</x:v>
      </x:c>
      <x:c r="Y550" s="3" t="n">
        <x:v>0</x:v>
      </x:c>
      <x:c r="Z550" s="3" t="str">
        <x:v>新增</x:v>
      </x:c>
      <x:c r="AA550" s="3" t="str">
        <x:v>停售</x:v>
      </x:c>
      <x:c r="AB550" s="12" t="str">
        <x:f>IF(AND(Z550="共同",ISNUMBER(G550),ISNUMBER(AD550)),G550-AD550,"")</x:f>
      </x:c>
      <x:c r="AC550" s="3" t="str"/>
      <x:c r="AD550" s="12"/>
      <x:c r="AE550" s="3" t="str">
        <x:v>[6574,"8392-TN-39"]</x:v>
      </x:c>
      <x:c r="AF550" t="n">
        <x:f>IF(ISNUMBER(H550),1,0)</x:f>
        <x:v>1</x:v>
      </x:c>
      <x:c r="AG550" t="n">
        <x:f>IF(ISNUMBER(I550),1,0)</x:f>
        <x:v>0</x:v>
      </x:c>
      <x:c r="AH550" t="str">
        <x:v>["8392","8392-TN","TN","驼色"]</x:v>
      </x:c>
      <x:c r="AI550" t="n">
        <x:f>IF(ISNUMBER(G550),1,0)</x:f>
        <x:v>1</x:v>
      </x:c>
      <x:c r="AJ550" t="n">
        <x:f>IF(ISNUMBER(AD550),1,0)</x:f>
        <x:v>0</x:v>
      </x:c>
    </x:row>
    <x:row r="551" ht="30" customHeight="1">
      <x:c r="A551" s="3" t="str">
        <x:v>8392-TN-39.5</x:v>
      </x:c>
      <x:c r="B551" s="3" t="str">
        <x:v>3店-SANDIEX-US</x:v>
      </x:c>
      <x:c r="C551" s="3" t="str">
        <x:v>徐新怡</x:v>
      </x:c>
      <x:c r="D551" s="3" t="str">
        <x:v>8392</x:v>
      </x:c>
      <x:c r="E551" s="3" t="str">
        <x:f>IF(Z551="移出","已移出",IF(NOT(ISNUMBER(H551)),"数据待核",IF(H551=0,"断货",IF(NOT(ISNUMBER(G551)),"数据待核",IF(G551=0,"零日销待复核",IF(F551&lt;60,"补货提醒",IF(F551&lt;=90,"正常库存",IF(F551&lt;180,"促销",IF(F551&lt;=365,"红线促销","考虑清仓")))))))))</x:f>
        <x:v>断货</x:v>
      </x:c>
      <x:c r="F551" s="11" t="n">
        <x:f>IF(AND(ISNUMBER(H551),ISNUMBER(G551),G551&gt;0),H551/G551,"")</x:f>
        <x:v>0</x:v>
      </x:c>
      <x:c r="G551" s="12" t="n">
        <x:f>IF(AND(COUNT(P551:R551)=3,MIN(P551:R551)&gt;=0,P551&lt;=Q551,Q551&lt;=R551),P551/7*0.5+Q551/14*0.3+R551/30*0.2,"")</x:f>
        <x:v>0.013333333333333334</x:v>
      </x:c>
      <x:c r="H551" s="10" t="n">
        <x:f>IF(ISNUMBER(U551),U551,"")</x:f>
        <x:v>0</x:v>
      </x:c>
      <x:c r="I551" s="10"/>
      <x:c r="J551" s="11" t="str">
        <x:f>IF(AND(Z551="共同",ISNUMBER(F551),ISNUMBER(M551)),F551-M551,"")</x:f>
      </x:c>
      <x:c r="K551" s="13" t="str">
        <x:f>IF(AND(ISNUMBER(J551),M551&lt;&gt;0),J551/M551,"")</x:f>
      </x:c>
      <x:c r="L551" s="10"/>
      <x:c r="M551" s="11"/>
      <x:c r="N551" s="10" t="str">
        <x:f>IF(AND(Z551="共同",COUNT(H551:I551)=2),H551-I551,"")</x:f>
      </x:c>
      <x:c r="O551" s="10" t="n">
        <x:v>0</x:v>
      </x:c>
      <x:c r="P551" s="10" t="n">
        <x:v>0</x:v>
      </x:c>
      <x:c r="Q551" s="10" t="n">
        <x:v>0</x:v>
      </x:c>
      <x:c r="R551" s="10" t="n">
        <x:v>2</x:v>
      </x:c>
      <x:c r="S551" s="10" t="n">
        <x:v>0</x:v>
      </x:c>
      <x:c r="T551" s="10" t="n">
        <x:v>0</x:v>
      </x:c>
      <x:c r="U551" s="10" t="n">
        <x:f>IF(AND(ISNUMBER(X551),X551&gt;=0,Y551&lt;&gt;1),X551,"")</x:f>
        <x:v>0</x:v>
      </x:c>
      <x:c r="V551" s="10" t="n">
        <x:v>0</x:v>
      </x:c>
      <x:c r="W551" s="10" t="n">
        <x:v>0</x:v>
      </x:c>
      <x:c r="X551" s="10" t="n">
        <x:v>0</x:v>
      </x:c>
      <x:c r="Y551" s="3" t="n">
        <x:v>0</x:v>
      </x:c>
      <x:c r="Z551" s="3" t="str">
        <x:v>新增</x:v>
      </x:c>
      <x:c r="AA551" s="3" t="str">
        <x:v>停售</x:v>
      </x:c>
      <x:c r="AB551" s="12" t="str">
        <x:f>IF(AND(Z551="共同",ISNUMBER(G551),ISNUMBER(AD551)),G551-AD551,"")</x:f>
      </x:c>
      <x:c r="AC551" s="3" t="str"/>
      <x:c r="AD551" s="12"/>
      <x:c r="AE551" s="3" t="str">
        <x:v>[6574,"8392-TN-39.5"]</x:v>
      </x:c>
      <x:c r="AF551" t="n">
        <x:f>IF(ISNUMBER(H551),1,0)</x:f>
        <x:v>1</x:v>
      </x:c>
      <x:c r="AG551" t="n">
        <x:f>IF(ISNUMBER(I551),1,0)</x:f>
        <x:v>0</x:v>
      </x:c>
      <x:c r="AH551" t="str">
        <x:v>["8392","8392-TN","TN","驼色"]</x:v>
      </x:c>
      <x:c r="AI551" t="n">
        <x:f>IF(ISNUMBER(G551),1,0)</x:f>
        <x:v>1</x:v>
      </x:c>
      <x:c r="AJ551" t="n">
        <x:f>IF(ISNUMBER(AD551),1,0)</x:f>
        <x:v>0</x:v>
      </x:c>
    </x:row>
    <x:row r="552" ht="30" customHeight="1">
      <x:c r="A552" s="3" t="str">
        <x:v>8392-TN-41</x:v>
      </x:c>
      <x:c r="B552" s="3" t="str">
        <x:v>3店-SANDIEX-US</x:v>
      </x:c>
      <x:c r="C552" s="3" t="str">
        <x:v>徐新怡</x:v>
      </x:c>
      <x:c r="D552" s="3" t="str">
        <x:v>8392</x:v>
      </x:c>
      <x:c r="E552" s="3" t="str">
        <x:f>IF(Z552="移出","已移出",IF(NOT(ISNUMBER(H552)),"数据待核",IF(H552=0,"断货",IF(NOT(ISNUMBER(G552)),"数据待核",IF(G552=0,"零日销待复核",IF(F552&lt;60,"补货提醒",IF(F552&lt;=90,"正常库存",IF(F552&lt;180,"促销",IF(F552&lt;=365,"红线促销","考虑清仓")))))))))</x:f>
        <x:v>断货</x:v>
      </x:c>
      <x:c r="F552" s="11" t="str">
        <x:f>IF(AND(ISNUMBER(H552),ISNUMBER(G552),G552&gt;0),H552/G552,"")</x:f>
      </x:c>
      <x:c r="G552" s="12" t="n">
        <x:f>IF(AND(COUNT(P552:R552)=3,MIN(P552:R552)&gt;=0,P552&lt;=Q552,Q552&lt;=R552),P552/7*0.5+Q552/14*0.3+R552/30*0.2,"")</x:f>
        <x:v>0</x:v>
      </x:c>
      <x:c r="H552" s="10" t="n">
        <x:f>IF(ISNUMBER(U552),U552,"")</x:f>
        <x:v>0</x:v>
      </x:c>
      <x:c r="I552" s="10"/>
      <x:c r="J552" s="11" t="str">
        <x:f>IF(AND(Z552="共同",ISNUMBER(F552),ISNUMBER(M552)),F552-M552,"")</x:f>
      </x:c>
      <x:c r="K552" s="13" t="str">
        <x:f>IF(AND(ISNUMBER(J552),M552&lt;&gt;0),J552/M552,"")</x:f>
      </x:c>
      <x:c r="L552" s="10"/>
      <x:c r="M552" s="11"/>
      <x:c r="N552" s="10" t="str">
        <x:f>IF(AND(Z552="共同",COUNT(H552:I552)=2),H552-I552,"")</x:f>
      </x:c>
      <x:c r="O552" s="10" t="n">
        <x:v>0</x:v>
      </x:c>
      <x:c r="P552" s="10" t="n">
        <x:v>0</x:v>
      </x:c>
      <x:c r="Q552" s="10" t="n">
        <x:v>0</x:v>
      </x:c>
      <x:c r="R552" s="10" t="n">
        <x:v>0</x:v>
      </x:c>
      <x:c r="S552" s="10" t="n">
        <x:v>0</x:v>
      </x:c>
      <x:c r="T552" s="10" t="n">
        <x:v>0</x:v>
      </x:c>
      <x:c r="U552" s="10" t="n">
        <x:f>IF(AND(ISNUMBER(X552),X552&gt;=0,Y552&lt;&gt;1),X552,"")</x:f>
        <x:v>0</x:v>
      </x:c>
      <x:c r="V552" s="10" t="n">
        <x:v>0</x:v>
      </x:c>
      <x:c r="W552" s="10" t="n">
        <x:v>0</x:v>
      </x:c>
      <x:c r="X552" s="10" t="n">
        <x:v>0</x:v>
      </x:c>
      <x:c r="Y552" s="3" t="n">
        <x:v>0</x:v>
      </x:c>
      <x:c r="Z552" s="3" t="str">
        <x:v>新增</x:v>
      </x:c>
      <x:c r="AA552" s="3" t="str">
        <x:v>停售</x:v>
      </x:c>
      <x:c r="AB552" s="12" t="str">
        <x:f>IF(AND(Z552="共同",ISNUMBER(G552),ISNUMBER(AD552)),G552-AD552,"")</x:f>
      </x:c>
      <x:c r="AC552" s="3" t="str">
        <x:v>近90天SKU销量未匹配，未按0处理</x:v>
      </x:c>
      <x:c r="AD552" s="12"/>
      <x:c r="AE552" s="3" t="str">
        <x:v>[6574,"8392-TN-41"]</x:v>
      </x:c>
      <x:c r="AF552" t="n">
        <x:f>IF(ISNUMBER(H552),1,0)</x:f>
        <x:v>1</x:v>
      </x:c>
      <x:c r="AG552" t="n">
        <x:f>IF(ISNUMBER(I552),1,0)</x:f>
        <x:v>0</x:v>
      </x:c>
      <x:c r="AH552" t="str">
        <x:v>["8392","8392-TN","TN","驼色"]</x:v>
      </x:c>
      <x:c r="AI552" t="n">
        <x:f>IF(ISNUMBER(G552),1,0)</x:f>
        <x:v>1</x:v>
      </x:c>
      <x:c r="AJ552" t="n">
        <x:f>IF(ISNUMBER(AD552),1,0)</x:f>
        <x:v>0</x:v>
      </x:c>
    </x:row>
    <x:row r="553" ht="30" customHeight="1">
      <x:c r="A553" s="3" t="str">
        <x:v>8392-TN-41.5</x:v>
      </x:c>
      <x:c r="B553" s="3" t="str">
        <x:v>3店-SANDIEX-US</x:v>
      </x:c>
      <x:c r="C553" s="3" t="str">
        <x:v>徐新怡</x:v>
      </x:c>
      <x:c r="D553" s="3" t="str">
        <x:v>8392</x:v>
      </x:c>
      <x:c r="E553" s="3" t="str">
        <x:f>IF(Z553="移出","已移出",IF(NOT(ISNUMBER(H553)),"数据待核",IF(H553=0,"断货",IF(NOT(ISNUMBER(G553)),"数据待核",IF(G553=0,"零日销待复核",IF(F553&lt;60,"补货提醒",IF(F553&lt;=90,"正常库存",IF(F553&lt;180,"促销",IF(F553&lt;=365,"红线促销","考虑清仓")))))))))</x:f>
        <x:v>断货</x:v>
      </x:c>
      <x:c r="F553" s="11" t="str">
        <x:f>IF(AND(ISNUMBER(H553),ISNUMBER(G553),G553&gt;0),H553/G553,"")</x:f>
      </x:c>
      <x:c r="G553" s="12" t="n">
        <x:f>IF(AND(COUNT(P553:R553)=3,MIN(P553:R553)&gt;=0,P553&lt;=Q553,Q553&lt;=R553),P553/7*0.5+Q553/14*0.3+R553/30*0.2,"")</x:f>
        <x:v>0</x:v>
      </x:c>
      <x:c r="H553" s="10" t="n">
        <x:f>IF(ISNUMBER(U553),U553,"")</x:f>
        <x:v>0</x:v>
      </x:c>
      <x:c r="I553" s="10"/>
      <x:c r="J553" s="11" t="str">
        <x:f>IF(AND(Z553="共同",ISNUMBER(F553),ISNUMBER(M553)),F553-M553,"")</x:f>
      </x:c>
      <x:c r="K553" s="13" t="str">
        <x:f>IF(AND(ISNUMBER(J553),M553&lt;&gt;0),J553/M553,"")</x:f>
      </x:c>
      <x:c r="L553" s="10"/>
      <x:c r="M553" s="11"/>
      <x:c r="N553" s="10" t="str">
        <x:f>IF(AND(Z553="共同",COUNT(H553:I553)=2),H553-I553,"")</x:f>
      </x:c>
      <x:c r="O553" s="10" t="n">
        <x:v>0</x:v>
      </x:c>
      <x:c r="P553" s="10" t="n">
        <x:v>0</x:v>
      </x:c>
      <x:c r="Q553" s="10" t="n">
        <x:v>0</x:v>
      </x:c>
      <x:c r="R553" s="10" t="n">
        <x:v>0</x:v>
      </x:c>
      <x:c r="S553" s="10" t="n">
        <x:v>0</x:v>
      </x:c>
      <x:c r="T553" s="10" t="n">
        <x:v>0</x:v>
      </x:c>
      <x:c r="U553" s="10" t="n">
        <x:f>IF(AND(ISNUMBER(X553),X553&gt;=0,Y553&lt;&gt;1),X553,"")</x:f>
        <x:v>0</x:v>
      </x:c>
      <x:c r="V553" s="10" t="n">
        <x:v>0</x:v>
      </x:c>
      <x:c r="W553" s="10" t="n">
        <x:v>0</x:v>
      </x:c>
      <x:c r="X553" s="10" t="n">
        <x:v>0</x:v>
      </x:c>
      <x:c r="Y553" s="3" t="n">
        <x:v>0</x:v>
      </x:c>
      <x:c r="Z553" s="3" t="str">
        <x:v>新增</x:v>
      </x:c>
      <x:c r="AA553" s="3" t="str">
        <x:v>停售</x:v>
      </x:c>
      <x:c r="AB553" s="12" t="str">
        <x:f>IF(AND(Z553="共同",ISNUMBER(G553),ISNUMBER(AD553)),G553-AD553,"")</x:f>
      </x:c>
      <x:c r="AC553" s="3" t="str">
        <x:v>近90天SKU销量未匹配，未按0处理</x:v>
      </x:c>
      <x:c r="AD553" s="12"/>
      <x:c r="AE553" s="3" t="str">
        <x:v>[6574,"8392-TN-41.5"]</x:v>
      </x:c>
      <x:c r="AF553" t="n">
        <x:f>IF(ISNUMBER(H553),1,0)</x:f>
        <x:v>1</x:v>
      </x:c>
      <x:c r="AG553" t="n">
        <x:f>IF(ISNUMBER(I553),1,0)</x:f>
        <x:v>0</x:v>
      </x:c>
      <x:c r="AH553" t="str">
        <x:v>["8392","8392-TN","TN","驼色"]</x:v>
      </x:c>
      <x:c r="AI553" t="n">
        <x:f>IF(ISNUMBER(G553),1,0)</x:f>
        <x:v>1</x:v>
      </x:c>
      <x:c r="AJ553" t="n">
        <x:f>IF(ISNUMBER(AD553),1,0)</x:f>
        <x:v>0</x:v>
      </x:c>
    </x:row>
    <x:row r="554" ht="30" customHeight="1">
      <x:c r="A554" s="3" t="str">
        <x:v>9967-GY-39B</x:v>
      </x:c>
      <x:c r="B554" s="3" t="str">
        <x:v>1店-MUSSHOE-US</x:v>
      </x:c>
      <x:c r="C554" s="3" t="str">
        <x:v>徐新怡</x:v>
      </x:c>
      <x:c r="D554" s="3" t="str">
        <x:v>9967</x:v>
      </x:c>
      <x:c r="E554" s="3" t="str">
        <x:f>IF(Z554="移出","已移出",IF(NOT(ISNUMBER(H554)),"数据待核",IF(H554=0,"断货",IF(NOT(ISNUMBER(G554)),"数据待核",IF(G554=0,"零日销待复核",IF(F554&lt;60,"补货提醒",IF(F554&lt;=90,"正常库存",IF(F554&lt;180,"促销",IF(F554&lt;=365,"红线促销","考虑清仓")))))))))</x:f>
        <x:v>断货</x:v>
      </x:c>
      <x:c r="F554" s="11" t="str">
        <x:f>IF(AND(ISNUMBER(H554),ISNUMBER(G554),G554&gt;0),H554/G554,"")</x:f>
      </x:c>
      <x:c r="G554" s="12" t="n">
        <x:f>IF(AND(COUNT(P554:R554)=3,MIN(P554:R554)&gt;=0,P554&lt;=Q554,Q554&lt;=R554),P554/7*0.5+Q554/14*0.3+R554/30*0.2,"")</x:f>
        <x:v>0</x:v>
      </x:c>
      <x:c r="H554" s="10" t="n">
        <x:f>IF(ISNUMBER(U554),U554,"")</x:f>
        <x:v>0</x:v>
      </x:c>
      <x:c r="I554" s="10"/>
      <x:c r="J554" s="11" t="str">
        <x:f>IF(AND(Z554="共同",ISNUMBER(F554),ISNUMBER(M554)),F554-M554,"")</x:f>
      </x:c>
      <x:c r="K554" s="13" t="str">
        <x:f>IF(AND(ISNUMBER(J554),M554&lt;&gt;0),J554/M554,"")</x:f>
      </x:c>
      <x:c r="L554" s="10"/>
      <x:c r="M554" s="11"/>
      <x:c r="N554" s="10" t="str">
        <x:f>IF(AND(Z554="共同",COUNT(H554:I554)=2),H554-I554,"")</x:f>
      </x:c>
      <x:c r="O554" s="10" t="n">
        <x:v>6</x:v>
      </x:c>
      <x:c r="P554" s="10" t="n">
        <x:v>0</x:v>
      </x:c>
      <x:c r="Q554" s="10" t="n">
        <x:v>0</x:v>
      </x:c>
      <x:c r="R554" s="10" t="n">
        <x:v>0</x:v>
      </x:c>
      <x:c r="S554" s="10" t="n">
        <x:v>0</x:v>
      </x:c>
      <x:c r="T554" s="10" t="n">
        <x:v>0</x:v>
      </x:c>
      <x:c r="U554" s="10" t="n">
        <x:f>IF(AND(ISNUMBER(X554),X554&gt;=0,Y554&lt;&gt;1),X554,"")</x:f>
        <x:v>0</x:v>
      </x:c>
      <x:c r="V554" s="10" t="n">
        <x:v>0</x:v>
      </x:c>
      <x:c r="W554" s="10" t="n">
        <x:v>0</x:v>
      </x:c>
      <x:c r="X554" s="10" t="n">
        <x:v>0</x:v>
      </x:c>
      <x:c r="Y554" s="3" t="n">
        <x:v>0</x:v>
      </x:c>
      <x:c r="Z554" s="3" t="str">
        <x:v>新增</x:v>
      </x:c>
      <x:c r="AA554" s="3" t="str">
        <x:v>停售</x:v>
      </x:c>
      <x:c r="AB554" s="12" t="str">
        <x:f>IF(AND(Z554="共同",ISNUMBER(G554),ISNUMBER(AD554)),G554-AD554,"")</x:f>
      </x:c>
      <x:c r="AC554" s="3" t="str">
        <x:v>近90天SKU销量未匹配，未按0处理</x:v>
      </x:c>
      <x:c r="AD554" s="12"/>
      <x:c r="AE554" s="3" t="str">
        <x:v>[13120,"9967-GY-39B"]</x:v>
      </x:c>
      <x:c r="AF554" t="n">
        <x:f>IF(ISNUMBER(H554),1,0)</x:f>
        <x:v>1</x:v>
      </x:c>
      <x:c r="AG554" t="n">
        <x:f>IF(ISNUMBER(I554),1,0)</x:f>
        <x:v>0</x:v>
      </x:c>
      <x:c r="AH554" t="str">
        <x:v>["9967","9967-GY-39B","GY-39B","灰色"]</x:v>
      </x:c>
      <x:c r="AI554" t="n">
        <x:f>IF(ISNUMBER(G554),1,0)</x:f>
        <x:v>1</x:v>
      </x:c>
      <x:c r="AJ554" t="n">
        <x:f>IF(ISNUMBER(AD554),1,0)</x:f>
        <x:v>0</x:v>
      </x:c>
    </x:row>
    <x:row r="555" ht="30" customHeight="1">
      <x:c r="A555" s="3" t="str">
        <x:v>9967-GY-40B</x:v>
      </x:c>
      <x:c r="B555" s="3" t="str">
        <x:v>1店-MUSSHOE-US</x:v>
      </x:c>
      <x:c r="C555" s="3" t="str">
        <x:v>徐新怡</x:v>
      </x:c>
      <x:c r="D555" s="3" t="str">
        <x:v>9967</x:v>
      </x:c>
      <x:c r="E555" s="3" t="str">
        <x:f>IF(Z555="移出","已移出",IF(NOT(ISNUMBER(H555)),"数据待核",IF(H555=0,"断货",IF(NOT(ISNUMBER(G555)),"数据待核",IF(G555=0,"零日销待复核",IF(F555&lt;60,"补货提醒",IF(F555&lt;=90,"正常库存",IF(F555&lt;180,"促销",IF(F555&lt;=365,"红线促销","考虑清仓")))))))))</x:f>
        <x:v>断货</x:v>
      </x:c>
      <x:c r="F555" s="11" t="str">
        <x:f>IF(AND(ISNUMBER(H555),ISNUMBER(G555),G555&gt;0),H555/G555,"")</x:f>
      </x:c>
      <x:c r="G555" s="12" t="n">
        <x:f>IF(AND(COUNT(P555:R555)=3,MIN(P555:R555)&gt;=0,P555&lt;=Q555,Q555&lt;=R555),P555/7*0.5+Q555/14*0.3+R555/30*0.2,"")</x:f>
        <x:v>0</x:v>
      </x:c>
      <x:c r="H555" s="10" t="n">
        <x:f>IF(ISNUMBER(U555),U555,"")</x:f>
        <x:v>0</x:v>
      </x:c>
      <x:c r="I555" s="10"/>
      <x:c r="J555" s="11" t="str">
        <x:f>IF(AND(Z555="共同",ISNUMBER(F555),ISNUMBER(M555)),F555-M555,"")</x:f>
      </x:c>
      <x:c r="K555" s="13" t="str">
        <x:f>IF(AND(ISNUMBER(J555),M555&lt;&gt;0),J555/M555,"")</x:f>
      </x:c>
      <x:c r="L555" s="10"/>
      <x:c r="M555" s="11"/>
      <x:c r="N555" s="10" t="str">
        <x:f>IF(AND(Z555="共同",COUNT(H555:I555)=2),H555-I555,"")</x:f>
      </x:c>
      <x:c r="O555" s="10" t="n">
        <x:v>1</x:v>
      </x:c>
      <x:c r="P555" s="10" t="n">
        <x:v>0</x:v>
      </x:c>
      <x:c r="Q555" s="10" t="n">
        <x:v>0</x:v>
      </x:c>
      <x:c r="R555" s="10" t="n">
        <x:v>0</x:v>
      </x:c>
      <x:c r="S555" s="10" t="n">
        <x:v>0</x:v>
      </x:c>
      <x:c r="T555" s="10" t="n">
        <x:v>0</x:v>
      </x:c>
      <x:c r="U555" s="10" t="n">
        <x:f>IF(AND(ISNUMBER(X555),X555&gt;=0,Y555&lt;&gt;1),X555,"")</x:f>
        <x:v>0</x:v>
      </x:c>
      <x:c r="V555" s="10" t="n">
        <x:v>0</x:v>
      </x:c>
      <x:c r="W555" s="10" t="n">
        <x:v>0</x:v>
      </x:c>
      <x:c r="X555" s="10" t="n">
        <x:v>0</x:v>
      </x:c>
      <x:c r="Y555" s="3" t="n">
        <x:v>0</x:v>
      </x:c>
      <x:c r="Z555" s="3" t="str">
        <x:v>新增</x:v>
      </x:c>
      <x:c r="AA555" s="3" t="str">
        <x:v>停售</x:v>
      </x:c>
      <x:c r="AB555" s="12" t="str">
        <x:f>IF(AND(Z555="共同",ISNUMBER(G555),ISNUMBER(AD555)),G555-AD555,"")</x:f>
      </x:c>
      <x:c r="AC555" s="3" t="str">
        <x:v>近90天SKU销量未匹配，未按0处理</x:v>
      </x:c>
      <x:c r="AD555" s="12"/>
      <x:c r="AE555" s="3" t="str">
        <x:v>[13120,"9967-GY-40B"]</x:v>
      </x:c>
      <x:c r="AF555" t="n">
        <x:f>IF(ISNUMBER(H555),1,0)</x:f>
        <x:v>1</x:v>
      </x:c>
      <x:c r="AG555" t="n">
        <x:f>IF(ISNUMBER(I555),1,0)</x:f>
        <x:v>0</x:v>
      </x:c>
      <x:c r="AH555" t="str">
        <x:v>["9967","9967-GY-40B","GY-40B","灰色"]</x:v>
      </x:c>
      <x:c r="AI555" t="n">
        <x:f>IF(ISNUMBER(G555),1,0)</x:f>
        <x:v>1</x:v>
      </x:c>
      <x:c r="AJ555" t="n">
        <x:f>IF(ISNUMBER(AD555),1,0)</x:f>
        <x:v>0</x:v>
      </x:c>
    </x:row>
    <x:row r="556" ht="30" customHeight="1">
      <x:c r="A556" s="3" t="str">
        <x:v>9967-GY-41</x:v>
      </x:c>
      <x:c r="B556" s="3" t="str">
        <x:v>1店-MUSSHOE-US</x:v>
      </x:c>
      <x:c r="C556" s="3" t="str">
        <x:v>徐新怡</x:v>
      </x:c>
      <x:c r="D556" s="3" t="str">
        <x:v>9967</x:v>
      </x:c>
      <x:c r="E556" s="3" t="str">
        <x:f>IF(Z556="移出","已移出",IF(NOT(ISNUMBER(H556)),"数据待核",IF(H556=0,"断货",IF(NOT(ISNUMBER(G556)),"数据待核",IF(G556=0,"零日销待复核",IF(F556&lt;60,"补货提醒",IF(F556&lt;=90,"正常库存",IF(F556&lt;180,"促销",IF(F556&lt;=365,"红线促销","考虑清仓")))))))))</x:f>
        <x:v>断货</x:v>
      </x:c>
      <x:c r="F556" s="11" t="str">
        <x:f>IF(AND(ISNUMBER(H556),ISNUMBER(G556),G556&gt;0),H556/G556,"")</x:f>
      </x:c>
      <x:c r="G556" s="12" t="n">
        <x:f>IF(AND(COUNT(P556:R556)=3,MIN(P556:R556)&gt;=0,P556&lt;=Q556,Q556&lt;=R556),P556/7*0.5+Q556/14*0.3+R556/30*0.2,"")</x:f>
        <x:v>0</x:v>
      </x:c>
      <x:c r="H556" s="10" t="n">
        <x:f>IF(ISNUMBER(U556),U556,"")</x:f>
        <x:v>0</x:v>
      </x:c>
      <x:c r="I556" s="10"/>
      <x:c r="J556" s="11" t="str">
        <x:f>IF(AND(Z556="共同",ISNUMBER(F556),ISNUMBER(M556)),F556-M556,"")</x:f>
      </x:c>
      <x:c r="K556" s="13" t="str">
        <x:f>IF(AND(ISNUMBER(J556),M556&lt;&gt;0),J556/M556,"")</x:f>
      </x:c>
      <x:c r="L556" s="10"/>
      <x:c r="M556" s="11"/>
      <x:c r="N556" s="10" t="str">
        <x:f>IF(AND(Z556="共同",COUNT(H556:I556)=2),H556-I556,"")</x:f>
      </x:c>
      <x:c r="O556" s="10" t="n">
        <x:v>2</x:v>
      </x:c>
      <x:c r="P556" s="10" t="n">
        <x:v>0</x:v>
      </x:c>
      <x:c r="Q556" s="10" t="n">
        <x:v>0</x:v>
      </x:c>
      <x:c r="R556" s="10" t="n">
        <x:v>0</x:v>
      </x:c>
      <x:c r="S556" s="10" t="n">
        <x:v>0</x:v>
      </x:c>
      <x:c r="T556" s="10" t="n">
        <x:v>0</x:v>
      </x:c>
      <x:c r="U556" s="10" t="n">
        <x:f>IF(AND(ISNUMBER(X556),X556&gt;=0,Y556&lt;&gt;1),X556,"")</x:f>
        <x:v>0</x:v>
      </x:c>
      <x:c r="V556" s="10" t="n">
        <x:v>0</x:v>
      </x:c>
      <x:c r="W556" s="10" t="n">
        <x:v>0</x:v>
      </x:c>
      <x:c r="X556" s="10" t="n">
        <x:v>0</x:v>
      </x:c>
      <x:c r="Y556" s="3" t="n">
        <x:v>0</x:v>
      </x:c>
      <x:c r="Z556" s="3" t="str">
        <x:v>新增</x:v>
      </x:c>
      <x:c r="AA556" s="3" t="str">
        <x:v>停售</x:v>
      </x:c>
      <x:c r="AB556" s="12" t="str">
        <x:f>IF(AND(Z556="共同",ISNUMBER(G556),ISNUMBER(AD556)),G556-AD556,"")</x:f>
      </x:c>
      <x:c r="AC556" s="3" t="str">
        <x:v>近90天SKU销量未匹配，未按0处理</x:v>
      </x:c>
      <x:c r="AD556" s="12"/>
      <x:c r="AE556" s="3" t="str">
        <x:v>[13120,"9967-GY-41"]</x:v>
      </x:c>
      <x:c r="AF556" t="n">
        <x:f>IF(ISNUMBER(H556),1,0)</x:f>
        <x:v>1</x:v>
      </x:c>
      <x:c r="AG556" t="n">
        <x:f>IF(ISNUMBER(I556),1,0)</x:f>
        <x:v>0</x:v>
      </x:c>
      <x:c r="AH556" t="str">
        <x:v>["9967","9967-GY","GY","灰色"]</x:v>
      </x:c>
      <x:c r="AI556" t="n">
        <x:f>IF(ISNUMBER(G556),1,0)</x:f>
        <x:v>1</x:v>
      </x:c>
      <x:c r="AJ556" t="n">
        <x:f>IF(ISNUMBER(AD556),1,0)</x:f>
        <x:v>0</x:v>
      </x:c>
    </x:row>
    <x:row r="557" ht="30" customHeight="1">
      <x:c r="A557" s="3" t="str">
        <x:v>9967-GY-42</x:v>
      </x:c>
      <x:c r="B557" s="3" t="str">
        <x:v>1店-MUSSHOE-US</x:v>
      </x:c>
      <x:c r="C557" s="3" t="str">
        <x:v>徐新怡</x:v>
      </x:c>
      <x:c r="D557" s="3" t="str">
        <x:v>9967</x:v>
      </x:c>
      <x:c r="E557" s="3" t="str">
        <x:f>IF(Z557="移出","已移出",IF(NOT(ISNUMBER(H557)),"数据待核",IF(H557=0,"断货",IF(NOT(ISNUMBER(G557)),"数据待核",IF(G557=0,"零日销待复核",IF(F557&lt;60,"补货提醒",IF(F557&lt;=90,"正常库存",IF(F557&lt;180,"促销",IF(F557&lt;=365,"红线促销","考虑清仓")))))))))</x:f>
        <x:v>断货</x:v>
      </x:c>
      <x:c r="F557" s="11" t="str">
        <x:f>IF(AND(ISNUMBER(H557),ISNUMBER(G557),G557&gt;0),H557/G557,"")</x:f>
      </x:c>
      <x:c r="G557" s="12" t="n">
        <x:f>IF(AND(COUNT(P557:R557)=3,MIN(P557:R557)&gt;=0,P557&lt;=Q557,Q557&lt;=R557),P557/7*0.5+Q557/14*0.3+R557/30*0.2,"")</x:f>
        <x:v>0</x:v>
      </x:c>
      <x:c r="H557" s="10" t="n">
        <x:f>IF(ISNUMBER(U557),U557,"")</x:f>
        <x:v>0</x:v>
      </x:c>
      <x:c r="I557" s="10"/>
      <x:c r="J557" s="11" t="str">
        <x:f>IF(AND(Z557="共同",ISNUMBER(F557),ISNUMBER(M557)),F557-M557,"")</x:f>
      </x:c>
      <x:c r="K557" s="13" t="str">
        <x:f>IF(AND(ISNUMBER(J557),M557&lt;&gt;0),J557/M557,"")</x:f>
      </x:c>
      <x:c r="L557" s="10"/>
      <x:c r="M557" s="11"/>
      <x:c r="N557" s="10" t="str">
        <x:f>IF(AND(Z557="共同",COUNT(H557:I557)=2),H557-I557,"")</x:f>
      </x:c>
      <x:c r="O557" s="10" t="n">
        <x:v>0</x:v>
      </x:c>
      <x:c r="P557" s="10" t="n">
        <x:v>0</x:v>
      </x:c>
      <x:c r="Q557" s="10" t="n">
        <x:v>0</x:v>
      </x:c>
      <x:c r="R557" s="10" t="n">
        <x:v>0</x:v>
      </x:c>
      <x:c r="S557" s="10" t="n">
        <x:v>0</x:v>
      </x:c>
      <x:c r="T557" s="10" t="n">
        <x:v>0</x:v>
      </x:c>
      <x:c r="U557" s="10" t="n">
        <x:f>IF(AND(ISNUMBER(X557),X557&gt;=0,Y557&lt;&gt;1),X557,"")</x:f>
        <x:v>0</x:v>
      </x:c>
      <x:c r="V557" s="10" t="n">
        <x:v>0</x:v>
      </x:c>
      <x:c r="W557" s="10" t="n">
        <x:v>0</x:v>
      </x:c>
      <x:c r="X557" s="10" t="n">
        <x:v>0</x:v>
      </x:c>
      <x:c r="Y557" s="3" t="n">
        <x:v>0</x:v>
      </x:c>
      <x:c r="Z557" s="3" t="str">
        <x:v>新增</x:v>
      </x:c>
      <x:c r="AA557" s="3" t="str">
        <x:v>停售</x:v>
      </x:c>
      <x:c r="AB557" s="12" t="str">
        <x:f>IF(AND(Z557="共同",ISNUMBER(G557),ISNUMBER(AD557)),G557-AD557,"")</x:f>
      </x:c>
      <x:c r="AC557" s="3" t="str">
        <x:v>近90天SKU销量未匹配，未按0处理</x:v>
      </x:c>
      <x:c r="AD557" s="12"/>
      <x:c r="AE557" s="3" t="str">
        <x:v>[13120,"9967-GY-42"]</x:v>
      </x:c>
      <x:c r="AF557" t="n">
        <x:f>IF(ISNUMBER(H557),1,0)</x:f>
        <x:v>1</x:v>
      </x:c>
      <x:c r="AG557" t="n">
        <x:f>IF(ISNUMBER(I557),1,0)</x:f>
        <x:v>0</x:v>
      </x:c>
      <x:c r="AH557" t="str">
        <x:v>["9967","9967-GY","GY","灰色"]</x:v>
      </x:c>
      <x:c r="AI557" t="n">
        <x:f>IF(ISNUMBER(G557),1,0)</x:f>
        <x:v>1</x:v>
      </x:c>
      <x:c r="AJ557" t="n">
        <x:f>IF(ISNUMBER(AD557),1,0)</x:f>
        <x:v>0</x:v>
      </x:c>
    </x:row>
    <x:row r="558" ht="30" customHeight="1">
      <x:c r="A558" s="3" t="str">
        <x:v>B06-BGP-41</x:v>
      </x:c>
      <x:c r="B558" s="3" t="str">
        <x:v>1店-MUSSHOE-US</x:v>
      </x:c>
      <x:c r="C558" s="3" t="str">
        <x:v>艾年</x:v>
      </x:c>
      <x:c r="D558" s="3" t="str">
        <x:v>B06</x:v>
      </x:c>
      <x:c r="E558" s="3" t="str">
        <x:f>IF(Z558="移出","已移出",IF(NOT(ISNUMBER(H558)),"数据待核",IF(H558=0,"断货",IF(NOT(ISNUMBER(G558)),"数据待核",IF(G558=0,"零日销待复核",IF(F558&lt;60,"补货提醒",IF(F558&lt;=90,"正常库存",IF(F558&lt;180,"促销",IF(F558&lt;=365,"红线促销","考虑清仓")))))))))</x:f>
        <x:v>断货</x:v>
      </x:c>
      <x:c r="F558" s="11" t="n">
        <x:f>IF(AND(ISNUMBER(H558),ISNUMBER(G558),G558&gt;0),H558/G558,"")</x:f>
        <x:v>0</x:v>
      </x:c>
      <x:c r="G558" s="12" t="n">
        <x:f>IF(AND(COUNT(P558:R558)=3,MIN(P558:R558)&gt;=0,P558&lt;=Q558,Q558&lt;=R558),P558/7*0.5+Q558/14*0.3+R558/30*0.2,"")</x:f>
        <x:v>0.09952380952380951</x:v>
      </x:c>
      <x:c r="H558" s="10" t="n">
        <x:f>IF(ISNUMBER(U558),U558,"")</x:f>
        <x:v>0</x:v>
      </x:c>
      <x:c r="I558" s="10" t="n">
        <x:v>0</x:v>
      </x:c>
      <x:c r="J558" s="11" t="n">
        <x:f>IF(AND(Z558="共同",ISNUMBER(F558),ISNUMBER(M558)),F558-M558,"")</x:f>
        <x:v>0</x:v>
      </x:c>
      <x:c r="K558" s="13" t="str">
        <x:f>IF(AND(ISNUMBER(J558),M558&lt;&gt;0),J558/M558,"")</x:f>
      </x:c>
      <x:c r="L558" s="10" t="str">
        <x:v>断货</x:v>
      </x:c>
      <x:c r="M558" s="11" t="n">
        <x:v>0</x:v>
      </x:c>
      <x:c r="N558" s="10" t="n">
        <x:f>IF(AND(Z558="共同",COUNT(H558:I558)=2),H558-I558,"")</x:f>
        <x:v>0</x:v>
      </x:c>
      <x:c r="O558" s="10" t="n">
        <x:v>28</x:v>
      </x:c>
      <x:c r="P558" s="10" t="n">
        <x:v>1</x:v>
      </x:c>
      <x:c r="Q558" s="10" t="n">
        <x:v>1</x:v>
      </x:c>
      <x:c r="R558" s="10" t="n">
        <x:v>1</x:v>
      </x:c>
      <x:c r="S558" s="10" t="n">
        <x:v>1</x:v>
      </x:c>
      <x:c r="T558" s="10" t="n">
        <x:v>0</x:v>
      </x:c>
      <x:c r="U558" s="10" t="n">
        <x:f>IF(AND(ISNUMBER(X558),X558&gt;=0,Y558&lt;&gt;1),X558,"")</x:f>
        <x:v>0</x:v>
      </x:c>
      <x:c r="V558" s="10" t="n">
        <x:v>0</x:v>
      </x:c>
      <x:c r="W558" s="10" t="n">
        <x:v>19</x:v>
      </x:c>
      <x:c r="X558" s="10" t="n">
        <x:v>0</x:v>
      </x:c>
      <x:c r="Y558" s="3" t="n">
        <x:v>0</x:v>
      </x:c>
      <x:c r="Z558" s="3" t="str">
        <x:v>共同</x:v>
      </x:c>
      <x:c r="AA558" s="3" t="str">
        <x:v>在售</x:v>
      </x:c>
      <x:c r="AB558" s="12" t="n">
        <x:f>IF(AND(Z558="共同",ISNUMBER(G558),ISNUMBER(AD558)),G558-AD558,"")</x:f>
        <x:v>0.07952380952380951</x:v>
      </x:c>
      <x:c r="AC558" s="3" t="str"/>
      <x:c r="AD558" s="12" t="n">
        <x:v>0.02</x:v>
      </x:c>
      <x:c r="AE558" s="3" t="str">
        <x:v>[13120,"B06-BGP-41"]</x:v>
      </x:c>
      <x:c r="AF558" t="n">
        <x:f>IF(ISNUMBER(H558),1,0)</x:f>
        <x:v>1</x:v>
      </x:c>
      <x:c r="AG558" t="n">
        <x:f>IF(ISNUMBER(I558),1,0)</x:f>
        <x:v>1</x:v>
      </x:c>
      <x:c r="AH558" t="str">
        <x:v>["B06","B06-BGP","BGP","米色PU"]</x:v>
      </x:c>
      <x:c r="AI558" t="n">
        <x:f>IF(ISNUMBER(G558),1,0)</x:f>
        <x:v>1</x:v>
      </x:c>
      <x:c r="AJ558" t="n">
        <x:f>IF(ISNUMBER(AD558),1,0)</x:f>
        <x:v>1</x:v>
      </x:c>
    </x:row>
    <x:row r="559" ht="30" customHeight="1">
      <x:c r="A559" s="3" t="str">
        <x:v>B06-BGP-41.5</x:v>
      </x:c>
      <x:c r="B559" s="3" t="str">
        <x:v>1店-MUSSHOE-US</x:v>
      </x:c>
      <x:c r="C559" s="3" t="str">
        <x:v>艾年</x:v>
      </x:c>
      <x:c r="D559" s="3" t="str">
        <x:v>B06</x:v>
      </x:c>
      <x:c r="E559" s="3" t="str">
        <x:f>IF(Z559="移出","已移出",IF(NOT(ISNUMBER(H559)),"数据待核",IF(H559=0,"断货",IF(NOT(ISNUMBER(G559)),"数据待核",IF(G559=0,"零日销待复核",IF(F559&lt;60,"补货提醒",IF(F559&lt;=90,"正常库存",IF(F559&lt;180,"促销",IF(F559&lt;=365,"红线促销","考虑清仓")))))))))</x:f>
        <x:v>断货</x:v>
      </x:c>
      <x:c r="F559" s="11" t="str">
        <x:f>IF(AND(ISNUMBER(H559),ISNUMBER(G559),G559&gt;0),H559/G559,"")</x:f>
      </x:c>
      <x:c r="G559" s="12" t="n">
        <x:f>IF(AND(COUNT(P559:R559)=3,MIN(P559:R559)&gt;=0,P559&lt;=Q559,Q559&lt;=R559),P559/7*0.5+Q559/14*0.3+R559/30*0.2,"")</x:f>
        <x:v>0</x:v>
      </x:c>
      <x:c r="H559" s="10" t="n">
        <x:f>IF(ISNUMBER(U559),U559,"")</x:f>
        <x:v>0</x:v>
      </x:c>
      <x:c r="I559" s="10" t="n">
        <x:v>1</x:v>
      </x:c>
      <x:c r="J559" s="11" t="str">
        <x:f>IF(AND(Z559="共同",ISNUMBER(F559),ISNUMBER(M559)),F559-M559,"")</x:f>
      </x:c>
      <x:c r="K559" s="13" t="str">
        <x:f>IF(AND(ISNUMBER(J559),M559&lt;&gt;0),J559/M559,"")</x:f>
      </x:c>
      <x:c r="L559" s="10" t="str">
        <x:v>数据待核</x:v>
      </x:c>
      <x:c r="M559" s="11"/>
      <x:c r="N559" s="10" t="n">
        <x:f>IF(AND(Z559="共同",COUNT(H559:I559)=2),H559-I559,"")</x:f>
        <x:v>-1</x:v>
      </x:c>
      <x:c r="O559" s="10" t="n">
        <x:v>9</x:v>
      </x:c>
      <x:c r="P559" s="10" t="n">
        <x:v>0</x:v>
      </x:c>
      <x:c r="Q559" s="10" t="n">
        <x:v>0</x:v>
      </x:c>
      <x:c r="R559" s="10" t="n">
        <x:v>0</x:v>
      </x:c>
      <x:c r="S559" s="10" t="n">
        <x:v>1</x:v>
      </x:c>
      <x:c r="T559" s="10" t="n">
        <x:v>0</x:v>
      </x:c>
      <x:c r="U559" s="10" t="n">
        <x:f>IF(AND(ISNUMBER(X559),X559&gt;=0,Y559&lt;&gt;1),X559,"")</x:f>
        <x:v>0</x:v>
      </x:c>
      <x:c r="V559" s="10" t="n">
        <x:v>0</x:v>
      </x:c>
      <x:c r="W559" s="10" t="n">
        <x:v>0</x:v>
      </x:c>
      <x:c r="X559" s="10" t="n">
        <x:v>0</x:v>
      </x:c>
      <x:c r="Y559" s="3" t="n">
        <x:v>0</x:v>
      </x:c>
      <x:c r="Z559" s="3" t="str">
        <x:v>共同</x:v>
      </x:c>
      <x:c r="AA559" s="3" t="str">
        <x:v>在售</x:v>
      </x:c>
      <x:c r="AB559" s="12" t="str">
        <x:f>IF(AND(Z559="共同",ISNUMBER(G559),ISNUMBER(AD559)),G559-AD559,"")</x:f>
      </x:c>
      <x:c r="AC559" s="3" t="str">
        <x:v>近90天SKU销量未匹配，未按0处理</x:v>
      </x:c>
      <x:c r="AD559" s="12"/>
      <x:c r="AE559" s="3" t="str">
        <x:v>[13120,"B06-BGP-41.5"]</x:v>
      </x:c>
      <x:c r="AF559" t="n">
        <x:f>IF(ISNUMBER(H559),1,0)</x:f>
        <x:v>1</x:v>
      </x:c>
      <x:c r="AG559" t="n">
        <x:f>IF(ISNUMBER(I559),1,0)</x:f>
        <x:v>1</x:v>
      </x:c>
      <x:c r="AH559" t="str">
        <x:v>["B06","B06-BGP","BGP","米色PU"]</x:v>
      </x:c>
      <x:c r="AI559" t="n">
        <x:f>IF(ISNUMBER(G559),1,0)</x:f>
        <x:v>1</x:v>
      </x:c>
      <x:c r="AJ559" t="n">
        <x:f>IF(ISNUMBER(AD559),1,0)</x:f>
        <x:v>0</x:v>
      </x:c>
    </x:row>
    <x:row r="560" ht="30" customHeight="1">
      <x:c r="A560" s="3" t="str">
        <x:v>B06-BK-41.5</x:v>
      </x:c>
      <x:c r="B560" s="3" t="str">
        <x:v>1店-MUSSHOE-US</x:v>
      </x:c>
      <x:c r="C560" s="3" t="str">
        <x:v>艾年</x:v>
      </x:c>
      <x:c r="D560" s="3" t="str">
        <x:v>B06</x:v>
      </x:c>
      <x:c r="E560" s="3" t="str">
        <x:f>IF(Z560="移出","已移出",IF(NOT(ISNUMBER(H560)),"数据待核",IF(H560=0,"断货",IF(NOT(ISNUMBER(G560)),"数据待核",IF(G560=0,"零日销待复核",IF(F560&lt;60,"补货提醒",IF(F560&lt;=90,"正常库存",IF(F560&lt;180,"促销",IF(F560&lt;=365,"红线促销","考虑清仓")))))))))</x:f>
        <x:v>断货</x:v>
      </x:c>
      <x:c r="F560" s="11" t="n">
        <x:f>IF(AND(ISNUMBER(H560),ISNUMBER(G560),G560&gt;0),H560/G560,"")</x:f>
        <x:v>0</x:v>
      </x:c>
      <x:c r="G560" s="12" t="n">
        <x:f>IF(AND(COUNT(P560:R560)=3,MIN(P560:R560)&gt;=0,P560&lt;=Q560,Q560&lt;=R560),P560/7*0.5+Q560/14*0.3+R560/30*0.2,"")</x:f>
        <x:v>0.3333333333333333</x:v>
      </x:c>
      <x:c r="H560" s="10" t="n">
        <x:f>IF(ISNUMBER(U560),U560,"")</x:f>
        <x:v>0</x:v>
      </x:c>
      <x:c r="I560" s="10" t="n">
        <x:v>1</x:v>
      </x:c>
      <x:c r="J560" s="11" t="n">
        <x:f>IF(AND(Z560="共同",ISNUMBER(F560),ISNUMBER(M560)),F560-M560,"")</x:f>
        <x:v>-7.9245283018867925</x:v>
      </x:c>
      <x:c r="K560" s="13" t="n">
        <x:f>IF(AND(ISNUMBER(J560),M560&lt;&gt;0),J560/M560,"")</x:f>
        <x:v>-1</x:v>
      </x:c>
      <x:c r="L560" s="10" t="str">
        <x:v>补货提醒</x:v>
      </x:c>
      <x:c r="M560" s="11" t="n">
        <x:v>7.9245283018867925</x:v>
      </x:c>
      <x:c r="N560" s="10" t="n">
        <x:f>IF(AND(Z560="共同",COUNT(H560:I560)=2),H560-I560,"")</x:f>
        <x:v>-1</x:v>
      </x:c>
      <x:c r="O560" s="10" t="n">
        <x:v>25</x:v>
      </x:c>
      <x:c r="P560" s="10" t="n">
        <x:v>3</x:v>
      </x:c>
      <x:c r="Q560" s="10" t="n">
        <x:v>4</x:v>
      </x:c>
      <x:c r="R560" s="10" t="n">
        <x:v>5</x:v>
      </x:c>
      <x:c r="S560" s="10" t="n">
        <x:v>1</x:v>
      </x:c>
      <x:c r="T560" s="10" t="n">
        <x:v>0</x:v>
      </x:c>
      <x:c r="U560" s="10" t="n">
        <x:f>IF(AND(ISNUMBER(X560),X560&gt;=0,Y560&lt;&gt;1),X560,"")</x:f>
        <x:v>0</x:v>
      </x:c>
      <x:c r="V560" s="10" t="n">
        <x:v>0</x:v>
      </x:c>
      <x:c r="W560" s="10" t="n">
        <x:v>38</x:v>
      </x:c>
      <x:c r="X560" s="10" t="n">
        <x:v>0</x:v>
      </x:c>
      <x:c r="Y560" s="3" t="n">
        <x:v>0</x:v>
      </x:c>
      <x:c r="Z560" s="3" t="str">
        <x:v>共同</x:v>
      </x:c>
      <x:c r="AA560" s="3" t="str">
        <x:v>在售</x:v>
      </x:c>
      <x:c r="AB560" s="12" t="n">
        <x:f>IF(AND(Z560="共同",ISNUMBER(G560),ISNUMBER(AD560)),G560-AD560,"")</x:f>
        <x:v>0.20714285714285713</x:v>
      </x:c>
      <x:c r="AC560" s="3" t="str"/>
      <x:c r="AD560" s="12" t="n">
        <x:v>0.1261904761904762</x:v>
      </x:c>
      <x:c r="AE560" s="3" t="str">
        <x:v>[13120,"B06-BK-41.5"]</x:v>
      </x:c>
      <x:c r="AF560" t="n">
        <x:f>IF(ISNUMBER(H560),1,0)</x:f>
        <x:v>1</x:v>
      </x:c>
      <x:c r="AG560" t="n">
        <x:f>IF(ISNUMBER(I560),1,0)</x:f>
        <x:v>1</x:v>
      </x:c>
      <x:c r="AH560" t="str">
        <x:v>["B06","B06-BK","BK","黑色羊京绒"]</x:v>
      </x:c>
      <x:c r="AI560" t="n">
        <x:f>IF(ISNUMBER(G560),1,0)</x:f>
        <x:v>1</x:v>
      </x:c>
      <x:c r="AJ560" t="n">
        <x:f>IF(ISNUMBER(AD560),1,0)</x:f>
        <x:v>1</x:v>
      </x:c>
    </x:row>
    <x:row r="561" ht="30" customHeight="1">
      <x:c r="A561" s="3" t="str">
        <x:v>B06-BK-V-0-38</x:v>
      </x:c>
      <x:c r="B561" s="3" t="str">
        <x:v>1店-MUSSHOE-US</x:v>
      </x:c>
      <x:c r="C561" s="3" t="str">
        <x:v>艾年</x:v>
      </x:c>
      <x:c r="D561" s="3" t="str">
        <x:v>B06</x:v>
      </x:c>
      <x:c r="E561" s="3" t="str">
        <x:f>IF(Z561="移出","已移出",IF(NOT(ISNUMBER(H561)),"数据待核",IF(H561=0,"断货",IF(NOT(ISNUMBER(G561)),"数据待核",IF(G561=0,"零日销待复核",IF(F561&lt;60,"补货提醒",IF(F561&lt;=90,"正常库存",IF(F561&lt;180,"促销",IF(F561&lt;=365,"红线促销","考虑清仓")))))))))</x:f>
        <x:v>断货</x:v>
      </x:c>
      <x:c r="F561" s="11" t="n">
        <x:f>IF(AND(ISNUMBER(H561),ISNUMBER(G561),G561&gt;0),H561/G561,"")</x:f>
        <x:v>0</x:v>
      </x:c>
      <x:c r="G561" s="12" t="n">
        <x:f>IF(AND(COUNT(P561:R561)=3,MIN(P561:R561)&gt;=0,P561&lt;=Q561,Q561&lt;=R561),P561/7*0.5+Q561/14*0.3+R561/30*0.2,"")</x:f>
        <x:v>0.02666666666666667</x:v>
      </x:c>
      <x:c r="H561" s="10" t="n">
        <x:f>IF(ISNUMBER(U561),U561,"")</x:f>
        <x:v>0</x:v>
      </x:c>
      <x:c r="I561" s="10" t="n">
        <x:v>0</x:v>
      </x:c>
      <x:c r="J561" s="11" t="n">
        <x:f>IF(AND(Z561="共同",ISNUMBER(F561),ISNUMBER(M561)),F561-M561,"")</x:f>
        <x:v>0</x:v>
      </x:c>
      <x:c r="K561" s="13" t="str">
        <x:f>IF(AND(ISNUMBER(J561),M561&lt;&gt;0),J561/M561,"")</x:f>
      </x:c>
      <x:c r="L561" s="10" t="str">
        <x:v>断货</x:v>
      </x:c>
      <x:c r="M561" s="11" t="n">
        <x:v>0</x:v>
      </x:c>
      <x:c r="N561" s="10" t="n">
        <x:f>IF(AND(Z561="共同",COUNT(H561:I561)=2),H561-I561,"")</x:f>
        <x:v>0</x:v>
      </x:c>
      <x:c r="O561" s="10" t="n">
        <x:v>0</x:v>
      </x:c>
      <x:c r="P561" s="10" t="n">
        <x:v>0</x:v>
      </x:c>
      <x:c r="Q561" s="10" t="n">
        <x:v>0</x:v>
      </x:c>
      <x:c r="R561" s="10" t="n">
        <x:v>4</x:v>
      </x:c>
      <x:c r="S561" s="10" t="n">
        <x:v>0</x:v>
      </x:c>
      <x:c r="T561" s="10" t="n">
        <x:v>0</x:v>
      </x:c>
      <x:c r="U561" s="10" t="n">
        <x:f>IF(AND(ISNUMBER(X561),X561&gt;=0,Y561&lt;&gt;1),X561,"")</x:f>
        <x:v>0</x:v>
      </x:c>
      <x:c r="V561" s="10" t="n">
        <x:v>0</x:v>
      </x:c>
      <x:c r="W561" s="10" t="n">
        <x:v>0</x:v>
      </x:c>
      <x:c r="X561" s="10" t="n">
        <x:v>0</x:v>
      </x:c>
      <x:c r="Y561" s="3" t="n">
        <x:v>0</x:v>
      </x:c>
      <x:c r="Z561" s="3" t="str">
        <x:v>共同</x:v>
      </x:c>
      <x:c r="AA561" s="3" t="str">
        <x:v>停售</x:v>
      </x:c>
      <x:c r="AB561" s="12" t="n">
        <x:f>IF(AND(Z561="共同",ISNUMBER(G561),ISNUMBER(AD561)),G561-AD561,"")</x:f>
        <x:v>-0.042857142857142844</x:v>
      </x:c>
      <x:c r="AC561" s="3" t="str"/>
      <x:c r="AD561" s="12" t="n">
        <x:v>0.06952380952380952</x:v>
      </x:c>
      <x:c r="AE561" s="3" t="str">
        <x:v>[13120,"B06-BK-V-0-38"]</x:v>
      </x:c>
      <x:c r="AF561" t="n">
        <x:f>IF(ISNUMBER(H561),1,0)</x:f>
        <x:v>1</x:v>
      </x:c>
      <x:c r="AG561" t="n">
        <x:f>IF(ISNUMBER(I561),1,0)</x:f>
        <x:v>1</x:v>
      </x:c>
      <x:c r="AH561" t="str">
        <x:v>["B06","B06-BK-V-0","BK-V","黑色天鹅绒"]</x:v>
      </x:c>
      <x:c r="AI561" t="n">
        <x:f>IF(ISNUMBER(G561),1,0)</x:f>
        <x:v>1</x:v>
      </x:c>
      <x:c r="AJ561" t="n">
        <x:f>IF(ISNUMBER(AD561),1,0)</x:f>
        <x:v>1</x:v>
      </x:c>
    </x:row>
    <x:row r="562" ht="30" customHeight="1">
      <x:c r="A562" s="3" t="str">
        <x:v>B06-BK-V-0-41</x:v>
      </x:c>
      <x:c r="B562" s="3" t="str">
        <x:v>1店-MUSSHOE-US</x:v>
      </x:c>
      <x:c r="C562" s="3" t="str">
        <x:v>艾年</x:v>
      </x:c>
      <x:c r="D562" s="3" t="str">
        <x:v>B06</x:v>
      </x:c>
      <x:c r="E562" s="3" t="str">
        <x:f>IF(Z562="移出","已移出",IF(NOT(ISNUMBER(H562)),"数据待核",IF(H562=0,"断货",IF(NOT(ISNUMBER(G562)),"数据待核",IF(G562=0,"零日销待复核",IF(F562&lt;60,"补货提醒",IF(F562&lt;=90,"正常库存",IF(F562&lt;180,"促销",IF(F562&lt;=365,"红线促销","考虑清仓")))))))))</x:f>
        <x:v>断货</x:v>
      </x:c>
      <x:c r="F562" s="11" t="str">
        <x:f>IF(AND(ISNUMBER(H562),ISNUMBER(G562),G562&gt;0),H562/G562,"")</x:f>
      </x:c>
      <x:c r="G562" s="12" t="n">
        <x:f>IF(AND(COUNT(P562:R562)=3,MIN(P562:R562)&gt;=0,P562&lt;=Q562,Q562&lt;=R562),P562/7*0.5+Q562/14*0.3+R562/30*0.2,"")</x:f>
        <x:v>0</x:v>
      </x:c>
      <x:c r="H562" s="10" t="n">
        <x:f>IF(ISNUMBER(U562),U562,"")</x:f>
        <x:v>0</x:v>
      </x:c>
      <x:c r="I562" s="10" t="n">
        <x:v>0</x:v>
      </x:c>
      <x:c r="J562" s="11" t="str">
        <x:f>IF(AND(Z562="共同",ISNUMBER(F562),ISNUMBER(M562)),F562-M562,"")</x:f>
      </x:c>
      <x:c r="K562" s="13" t="str">
        <x:f>IF(AND(ISNUMBER(J562),M562&lt;&gt;0),J562/M562,"")</x:f>
      </x:c>
      <x:c r="L562" s="10" t="str">
        <x:v>断货</x:v>
      </x:c>
      <x:c r="M562" s="11"/>
      <x:c r="N562" s="10" t="n">
        <x:f>IF(AND(Z562="共同",COUNT(H562:I562)=2),H562-I562,"")</x:f>
        <x:v>0</x:v>
      </x:c>
      <x:c r="O562" s="10"/>
      <x:c r="P562" s="10" t="n">
        <x:v>0</x:v>
      </x:c>
      <x:c r="Q562" s="10" t="n">
        <x:v>0</x:v>
      </x:c>
      <x:c r="R562" s="10" t="n">
        <x:v>0</x:v>
      </x:c>
      <x:c r="S562" s="10" t="n">
        <x:v>0</x:v>
      </x:c>
      <x:c r="T562" s="10" t="n">
        <x:v>0</x:v>
      </x:c>
      <x:c r="U562" s="10" t="n">
        <x:f>IF(AND(ISNUMBER(X562),X562&gt;=0,Y562&lt;&gt;1),X562,"")</x:f>
        <x:v>0</x:v>
      </x:c>
      <x:c r="V562" s="10" t="n">
        <x:v>0</x:v>
      </x:c>
      <x:c r="W562" s="10" t="n">
        <x:v>0</x:v>
      </x:c>
      <x:c r="X562" s="10" t="n">
        <x:v>0</x:v>
      </x:c>
      <x:c r="Y562" s="3" t="n">
        <x:v>0</x:v>
      </x:c>
      <x:c r="Z562" s="3" t="str">
        <x:v>共同</x:v>
      </x:c>
      <x:c r="AA562" s="3" t="str">
        <x:v>停售</x:v>
      </x:c>
      <x:c r="AB562" s="12" t="n">
        <x:f>IF(AND(Z562="共同",ISNUMBER(G562),ISNUMBER(AD562)),G562-AD562,"")</x:f>
        <x:v>0</x:v>
      </x:c>
      <x:c r="AC562" s="3" t="str"/>
      <x:c r="AD562" s="12" t="n">
        <x:v>0</x:v>
      </x:c>
      <x:c r="AE562" s="3" t="str">
        <x:v>[13120,"B06-BK-V-0-41"]</x:v>
      </x:c>
      <x:c r="AF562" t="n">
        <x:f>IF(ISNUMBER(H562),1,0)</x:f>
        <x:v>1</x:v>
      </x:c>
      <x:c r="AG562" t="n">
        <x:f>IF(ISNUMBER(I562),1,0)</x:f>
        <x:v>1</x:v>
      </x:c>
      <x:c r="AH562" t="str">
        <x:v>["B06","B06-BK-V-0","BK-V","黑色天鹅绒"]</x:v>
      </x:c>
      <x:c r="AI562" t="n">
        <x:f>IF(ISNUMBER(G562),1,0)</x:f>
        <x:v>1</x:v>
      </x:c>
      <x:c r="AJ562" t="n">
        <x:f>IF(ISNUMBER(AD562),1,0)</x:f>
        <x:v>1</x:v>
      </x:c>
    </x:row>
    <x:row r="563" ht="30" customHeight="1">
      <x:c r="A563" s="3" t="str">
        <x:v>B06-BKP-37</x:v>
      </x:c>
      <x:c r="B563" s="3" t="str">
        <x:v>1店-MUSSHOE-US</x:v>
      </x:c>
      <x:c r="C563" s="3" t="str">
        <x:v>艾年</x:v>
      </x:c>
      <x:c r="D563" s="3" t="str">
        <x:v>B06</x:v>
      </x:c>
      <x:c r="E563" s="3" t="str">
        <x:f>IF(Z563="移出","已移出",IF(NOT(ISNUMBER(H563)),"数据待核",IF(H563=0,"断货",IF(NOT(ISNUMBER(G563)),"数据待核",IF(G563=0,"零日销待复核",IF(F563&lt;60,"补货提醒",IF(F563&lt;=90,"正常库存",IF(F563&lt;180,"促销",IF(F563&lt;=365,"红线促销","考虑清仓")))))))))</x:f>
        <x:v>断货</x:v>
      </x:c>
      <x:c r="F563" s="11" t="n">
        <x:f>IF(AND(ISNUMBER(H563),ISNUMBER(G563),G563&gt;0),H563/G563,"")</x:f>
        <x:v>0</x:v>
      </x:c>
      <x:c r="G563" s="12" t="n">
        <x:f>IF(AND(COUNT(P563:R563)=3,MIN(P563:R563)&gt;=0,P563&lt;=Q563,Q563&lt;=R563),P563/7*0.5+Q563/14*0.3+R563/30*0.2,"")</x:f>
        <x:v>0.2752380952380952</x:v>
      </x:c>
      <x:c r="H563" s="10" t="n">
        <x:f>IF(ISNUMBER(U563),U563,"")</x:f>
        <x:v>0</x:v>
      </x:c>
      <x:c r="I563" s="10" t="n">
        <x:v>1</x:v>
      </x:c>
      <x:c r="J563" s="11" t="n">
        <x:f>IF(AND(Z563="共同",ISNUMBER(F563),ISNUMBER(M563)),F563-M563,"")</x:f>
        <x:v>-5.483028720626632</x:v>
      </x:c>
      <x:c r="K563" s="13" t="n">
        <x:f>IF(AND(ISNUMBER(J563),M563&lt;&gt;0),J563/M563,"")</x:f>
        <x:v>-1</x:v>
      </x:c>
      <x:c r="L563" s="10" t="str">
        <x:v>补货提醒</x:v>
      </x:c>
      <x:c r="M563" s="11" t="n">
        <x:v>5.483028720626632</x:v>
      </x:c>
      <x:c r="N563" s="10" t="n">
        <x:f>IF(AND(Z563="共同",COUNT(H563:I563)=2),H563-I563,"")</x:f>
        <x:v>-1</x:v>
      </x:c>
      <x:c r="O563" s="10" t="n">
        <x:v>51</x:v>
      </x:c>
      <x:c r="P563" s="10" t="n">
        <x:v>2</x:v>
      </x:c>
      <x:c r="Q563" s="10" t="n">
        <x:v>4</x:v>
      </x:c>
      <x:c r="R563" s="10" t="n">
        <x:v>7</x:v>
      </x:c>
      <x:c r="S563" s="10" t="n">
        <x:v>2</x:v>
      </x:c>
      <x:c r="T563" s="10" t="n">
        <x:v>1</x:v>
      </x:c>
      <x:c r="U563" s="10" t="n">
        <x:f>IF(AND(ISNUMBER(X563),X563&gt;=0,Y563&lt;&gt;1),X563,"")</x:f>
        <x:v>0</x:v>
      </x:c>
      <x:c r="V563" s="10" t="n">
        <x:v>0</x:v>
      </x:c>
      <x:c r="W563" s="10" t="n">
        <x:v>40</x:v>
      </x:c>
      <x:c r="X563" s="10" t="n">
        <x:v>0</x:v>
      </x:c>
      <x:c r="Y563" s="3" t="n">
        <x:v>0</x:v>
      </x:c>
      <x:c r="Z563" s="3" t="str">
        <x:v>共同</x:v>
      </x:c>
      <x:c r="AA563" s="3" t="str">
        <x:v>在售</x:v>
      </x:c>
      <x:c r="AB563" s="12" t="n">
        <x:f>IF(AND(Z563="共同",ISNUMBER(G563),ISNUMBER(AD563)),G563-AD563,"")</x:f>
        <x:v>0.09285714285714286</x:v>
      </x:c>
      <x:c r="AC563" s="3" t="str"/>
      <x:c r="AD563" s="12" t="n">
        <x:v>0.18238095238095237</x:v>
      </x:c>
      <x:c r="AE563" s="3" t="str">
        <x:v>[13120,"B06-BKP-37"]</x:v>
      </x:c>
      <x:c r="AF563" t="n">
        <x:f>IF(ISNUMBER(H563),1,0)</x:f>
        <x:v>1</x:v>
      </x:c>
      <x:c r="AG563" t="n">
        <x:f>IF(ISNUMBER(I563),1,0)</x:f>
        <x:v>1</x:v>
      </x:c>
      <x:c r="AH563" t="str">
        <x:v>["B06","B06-BKP","BKP","黑色PU"]</x:v>
      </x:c>
      <x:c r="AI563" t="n">
        <x:f>IF(ISNUMBER(G563),1,0)</x:f>
        <x:v>1</x:v>
      </x:c>
      <x:c r="AJ563" t="n">
        <x:f>IF(ISNUMBER(AD563),1,0)</x:f>
        <x:v>1</x:v>
      </x:c>
    </x:row>
    <x:row r="564" ht="30" customHeight="1">
      <x:c r="A564" s="3" t="str">
        <x:v>B06-BKP-39.5</x:v>
      </x:c>
      <x:c r="B564" s="3" t="str">
        <x:v>1店-MUSSHOE-US</x:v>
      </x:c>
      <x:c r="C564" s="3" t="str">
        <x:v>艾年</x:v>
      </x:c>
      <x:c r="D564" s="3" t="str">
        <x:v>B06</x:v>
      </x:c>
      <x:c r="E564" s="3" t="str">
        <x:f>IF(Z564="移出","已移出",IF(NOT(ISNUMBER(H564)),"数据待核",IF(H564=0,"断货",IF(NOT(ISNUMBER(G564)),"数据待核",IF(G564=0,"零日销待复核",IF(F564&lt;60,"补货提醒",IF(F564&lt;=90,"正常库存",IF(F564&lt;180,"促销",IF(F564&lt;=365,"红线促销","考虑清仓")))))))))</x:f>
        <x:v>断货</x:v>
      </x:c>
      <x:c r="F564" s="11" t="n">
        <x:f>IF(AND(ISNUMBER(H564),ISNUMBER(G564),G564&gt;0),H564/G564,"")</x:f>
        <x:v>0</x:v>
      </x:c>
      <x:c r="G564" s="12" t="n">
        <x:f>IF(AND(COUNT(P564:R564)=3,MIN(P564:R564)&gt;=0,P564&lt;=Q564,Q564&lt;=R564),P564/7*0.5+Q564/14*0.3+R564/30*0.2,"")</x:f>
        <x:v>0.15285714285714286</x:v>
      </x:c>
      <x:c r="H564" s="10" t="n">
        <x:f>IF(ISNUMBER(U564),U564,"")</x:f>
        <x:v>0</x:v>
      </x:c>
      <x:c r="I564" s="10" t="n">
        <x:v>0</x:v>
      </x:c>
      <x:c r="J564" s="11" t="n">
        <x:f>IF(AND(Z564="共同",ISNUMBER(F564),ISNUMBER(M564)),F564-M564,"")</x:f>
        <x:v>0</x:v>
      </x:c>
      <x:c r="K564" s="13" t="str">
        <x:f>IF(AND(ISNUMBER(J564),M564&lt;&gt;0),J564/M564,"")</x:f>
      </x:c>
      <x:c r="L564" s="10" t="str">
        <x:v>断货</x:v>
      </x:c>
      <x:c r="M564" s="11" t="n">
        <x:v>0</x:v>
      </x:c>
      <x:c r="N564" s="10" t="n">
        <x:f>IF(AND(Z564="共同",COUNT(H564:I564)=2),H564-I564,"")</x:f>
        <x:v>0</x:v>
      </x:c>
      <x:c r="O564" s="10" t="n">
        <x:v>4</x:v>
      </x:c>
      <x:c r="P564" s="10" t="n">
        <x:v>1</x:v>
      </x:c>
      <x:c r="Q564" s="10" t="n">
        <x:v>1</x:v>
      </x:c>
      <x:c r="R564" s="10" t="n">
        <x:v>9</x:v>
      </x:c>
      <x:c r="S564" s="10" t="n">
        <x:v>2</x:v>
      </x:c>
      <x:c r="T564" s="10" t="n">
        <x:v>2</x:v>
      </x:c>
      <x:c r="U564" s="10" t="n">
        <x:f>IF(AND(ISNUMBER(X564),X564&gt;=0,Y564&lt;&gt;1),X564,"")</x:f>
        <x:v>0</x:v>
      </x:c>
      <x:c r="V564" s="10" t="n">
        <x:v>0</x:v>
      </x:c>
      <x:c r="W564" s="10" t="n">
        <x:v>58</x:v>
      </x:c>
      <x:c r="X564" s="10" t="n">
        <x:v>0</x:v>
      </x:c>
      <x:c r="Y564" s="3" t="n">
        <x:v>0</x:v>
      </x:c>
      <x:c r="Z564" s="3" t="str">
        <x:v>共同</x:v>
      </x:c>
      <x:c r="AA564" s="3" t="str">
        <x:v>在售</x:v>
      </x:c>
      <x:c r="AB564" s="12" t="n">
        <x:f>IF(AND(Z564="共同",ISNUMBER(G564),ISNUMBER(AD564)),G564-AD564,"")</x:f>
        <x:v>-0.40285714285714286</x:v>
      </x:c>
      <x:c r="AC564" s="3" t="str"/>
      <x:c r="AD564" s="12" t="n">
        <x:v>0.5557142857142857</x:v>
      </x:c>
      <x:c r="AE564" s="3" t="str">
        <x:v>[13120,"B06-BKP-39.5"]</x:v>
      </x:c>
      <x:c r="AF564" t="n">
        <x:f>IF(ISNUMBER(H564),1,0)</x:f>
        <x:v>1</x:v>
      </x:c>
      <x:c r="AG564" t="n">
        <x:f>IF(ISNUMBER(I564),1,0)</x:f>
        <x:v>1</x:v>
      </x:c>
      <x:c r="AH564" t="str">
        <x:v>["B06","B06-BKP","BKP","黑色PU"]</x:v>
      </x:c>
      <x:c r="AI564" t="n">
        <x:f>IF(ISNUMBER(G564),1,0)</x:f>
        <x:v>1</x:v>
      </x:c>
      <x:c r="AJ564" t="n">
        <x:f>IF(ISNUMBER(AD564),1,0)</x:f>
        <x:v>1</x:v>
      </x:c>
    </x:row>
    <x:row r="565" ht="30" customHeight="1">
      <x:c r="A565" s="3" t="str">
        <x:v>B06-BKP-41-N</x:v>
      </x:c>
      <x:c r="B565" s="3" t="str">
        <x:v>1店-MUSSHOE-US</x:v>
      </x:c>
      <x:c r="C565" s="3" t="str">
        <x:v>艾年</x:v>
      </x:c>
      <x:c r="D565" s="3" t="str">
        <x:v>B06</x:v>
      </x:c>
      <x:c r="E565" s="3" t="str">
        <x:f>IF(Z565="移出","已移出",IF(NOT(ISNUMBER(H565)),"数据待核",IF(H565=0,"断货",IF(NOT(ISNUMBER(G565)),"数据待核",IF(G565=0,"零日销待复核",IF(F565&lt;60,"补货提醒",IF(F565&lt;=90,"正常库存",IF(F565&lt;180,"促销",IF(F565&lt;=365,"红线促销","考虑清仓")))))))))</x:f>
        <x:v>断货</x:v>
      </x:c>
      <x:c r="F565" s="11" t="n">
        <x:f>IF(AND(ISNUMBER(H565),ISNUMBER(G565),G565&gt;0),H565/G565,"")</x:f>
        <x:v>0</x:v>
      </x:c>
      <x:c r="G565" s="12" t="n">
        <x:f>IF(AND(COUNT(P565:R565)=3,MIN(P565:R565)&gt;=0,P565&lt;=Q565,Q565&lt;=R565),P565/7*0.5+Q565/14*0.3+R565/30*0.2,"")</x:f>
        <x:v>0.9471428571428572</x:v>
      </x:c>
      <x:c r="H565" s="10" t="n">
        <x:f>IF(ISNUMBER(U565),U565,"")</x:f>
        <x:v>0</x:v>
      </x:c>
      <x:c r="I565" s="10" t="n">
        <x:v>11</x:v>
      </x:c>
      <x:c r="J565" s="11" t="n">
        <x:f>IF(AND(Z565="共同",ISNUMBER(F565),ISNUMBER(M565)),F565-M565,"")</x:f>
        <x:v>-22.041984732824428</x:v>
      </x:c>
      <x:c r="K565" s="13" t="n">
        <x:f>IF(AND(ISNUMBER(J565),M565&lt;&gt;0),J565/M565,"")</x:f>
        <x:v>-1</x:v>
      </x:c>
      <x:c r="L565" s="10" t="str">
        <x:v>补货提醒</x:v>
      </x:c>
      <x:c r="M565" s="11" t="n">
        <x:v>22.041984732824428</x:v>
      </x:c>
      <x:c r="N565" s="10" t="n">
        <x:f>IF(AND(Z565="共同",COUNT(H565:I565)=2),H565-I565,"")</x:f>
        <x:v>-11</x:v>
      </x:c>
      <x:c r="O565" s="10" t="n">
        <x:v>19</x:v>
      </x:c>
      <x:c r="P565" s="10" t="n">
        <x:v>8</x:v>
      </x:c>
      <x:c r="Q565" s="10" t="n">
        <x:v>11</x:v>
      </x:c>
      <x:c r="R565" s="10" t="n">
        <x:v>21</x:v>
      </x:c>
      <x:c r="S565" s="10" t="n">
        <x:v>6</x:v>
      </x:c>
      <x:c r="T565" s="10" t="n">
        <x:v>2</x:v>
      </x:c>
      <x:c r="U565" s="10" t="n">
        <x:f>IF(AND(ISNUMBER(X565),X565&gt;=0,Y565&lt;&gt;1),X565,"")</x:f>
        <x:v>0</x:v>
      </x:c>
      <x:c r="V565" s="10" t="n">
        <x:v>0</x:v>
      </x:c>
      <x:c r="W565" s="10" t="n">
        <x:v>36</x:v>
      </x:c>
      <x:c r="X565" s="10" t="n">
        <x:v>0</x:v>
      </x:c>
      <x:c r="Y565" s="3" t="n">
        <x:v>0</x:v>
      </x:c>
      <x:c r="Z565" s="3" t="str">
        <x:v>共同</x:v>
      </x:c>
      <x:c r="AA565" s="3" t="str">
        <x:v>在售</x:v>
      </x:c>
      <x:c r="AB565" s="12" t="n">
        <x:f>IF(AND(Z565="共同",ISNUMBER(G565),ISNUMBER(AD565)),G565-AD565,"")</x:f>
        <x:v>0.4480952380952381</x:v>
      </x:c>
      <x:c r="AC565" s="3" t="str"/>
      <x:c r="AD565" s="12" t="n">
        <x:v>0.4990476190476191</x:v>
      </x:c>
      <x:c r="AE565" s="3" t="str">
        <x:v>[13120,"B06-BKP-41-N"]</x:v>
      </x:c>
      <x:c r="AF565" t="n">
        <x:f>IF(ISNUMBER(H565),1,0)</x:f>
        <x:v>1</x:v>
      </x:c>
      <x:c r="AG565" t="n">
        <x:f>IF(ISNUMBER(I565),1,0)</x:f>
        <x:v>1</x:v>
      </x:c>
      <x:c r="AH565" t="str">
        <x:v>["B06","B06-BKP","BKP","黑色PU"]</x:v>
      </x:c>
      <x:c r="AI565" t="n">
        <x:f>IF(ISNUMBER(G565),1,0)</x:f>
        <x:v>1</x:v>
      </x:c>
      <x:c r="AJ565" t="n">
        <x:f>IF(ISNUMBER(AD565),1,0)</x:f>
        <x:v>1</x:v>
      </x:c>
    </x:row>
    <x:row r="566" ht="30" customHeight="1">
      <x:c r="A566" s="3" t="str">
        <x:v>B06-BKP-42-N</x:v>
      </x:c>
      <x:c r="B566" s="3" t="str">
        <x:v>1店-MUSSHOE-US</x:v>
      </x:c>
      <x:c r="C566" s="3" t="str">
        <x:v>艾年</x:v>
      </x:c>
      <x:c r="D566" s="3" t="str">
        <x:v>B06</x:v>
      </x:c>
      <x:c r="E566" s="3" t="str">
        <x:f>IF(Z566="移出","已移出",IF(NOT(ISNUMBER(H566)),"数据待核",IF(H566=0,"断货",IF(NOT(ISNUMBER(G566)),"数据待核",IF(G566=0,"零日销待复核",IF(F566&lt;60,"补货提醒",IF(F566&lt;=90,"正常库存",IF(F566&lt;180,"促销",IF(F566&lt;=365,"红线促销","考虑清仓")))))))))</x:f>
        <x:v>断货</x:v>
      </x:c>
      <x:c r="F566" s="11" t="n">
        <x:f>IF(AND(ISNUMBER(H566),ISNUMBER(G566),G566&gt;0),H566/G566,"")</x:f>
        <x:v>0</x:v>
      </x:c>
      <x:c r="G566" s="12" t="n">
        <x:f>IF(AND(COUNT(P566:R566)=3,MIN(P566:R566)&gt;=0,P566&lt;=Q566,Q566&lt;=R566),P566/7*0.5+Q566/14*0.3+R566/30*0.2,"")</x:f>
        <x:v>0.1261904761904762</x:v>
      </x:c>
      <x:c r="H566" s="10" t="n">
        <x:f>IF(ISNUMBER(U566),U566,"")</x:f>
        <x:v>0</x:v>
      </x:c>
      <x:c r="I566" s="10" t="n">
        <x:v>0</x:v>
      </x:c>
      <x:c r="J566" s="11" t="n">
        <x:f>IF(AND(Z566="共同",ISNUMBER(F566),ISNUMBER(M566)),F566-M566,"")</x:f>
        <x:v>0</x:v>
      </x:c>
      <x:c r="K566" s="13" t="str">
        <x:f>IF(AND(ISNUMBER(J566),M566&lt;&gt;0),J566/M566,"")</x:f>
      </x:c>
      <x:c r="L566" s="10" t="str">
        <x:v>断货</x:v>
      </x:c>
      <x:c r="M566" s="11" t="n">
        <x:v>0</x:v>
      </x:c>
      <x:c r="N566" s="10" t="n">
        <x:f>IF(AND(Z566="共同",COUNT(H566:I566)=2),H566-I566,"")</x:f>
        <x:v>0</x:v>
      </x:c>
      <x:c r="O566" s="10" t="n">
        <x:v>31</x:v>
      </x:c>
      <x:c r="P566" s="10" t="n">
        <x:v>1</x:v>
      </x:c>
      <x:c r="Q566" s="10" t="n">
        <x:v>1</x:v>
      </x:c>
      <x:c r="R566" s="10" t="n">
        <x:v>5</x:v>
      </x:c>
      <x:c r="S566" s="10" t="n">
        <x:v>1</x:v>
      </x:c>
      <x:c r="T566" s="10" t="n">
        <x:v>1</x:v>
      </x:c>
      <x:c r="U566" s="10" t="n">
        <x:f>IF(AND(ISNUMBER(X566),X566&gt;=0,Y566&lt;&gt;1),X566,"")</x:f>
        <x:v>0</x:v>
      </x:c>
      <x:c r="V566" s="10" t="n">
        <x:v>0</x:v>
      </x:c>
      <x:c r="W566" s="10" t="n">
        <x:v>18</x:v>
      </x:c>
      <x:c r="X566" s="10" t="n">
        <x:v>0</x:v>
      </x:c>
      <x:c r="Y566" s="3" t="n">
        <x:v>0</x:v>
      </x:c>
      <x:c r="Z566" s="3" t="str">
        <x:v>共同</x:v>
      </x:c>
      <x:c r="AA566" s="3" t="str">
        <x:v>停售</x:v>
      </x:c>
      <x:c r="AB566" s="12" t="n">
        <x:f>IF(AND(Z566="共同",ISNUMBER(G566),ISNUMBER(AD566)),G566-AD566,"")</x:f>
        <x:v>-0.006190476190476191</x:v>
      </x:c>
      <x:c r="AC566" s="3" t="str"/>
      <x:c r="AD566" s="12" t="n">
        <x:v>0.13238095238095238</x:v>
      </x:c>
      <x:c r="AE566" s="3" t="str">
        <x:v>[13120,"B06-BKP-42-N"]</x:v>
      </x:c>
      <x:c r="AF566" t="n">
        <x:f>IF(ISNUMBER(H566),1,0)</x:f>
        <x:v>1</x:v>
      </x:c>
      <x:c r="AG566" t="n">
        <x:f>IF(ISNUMBER(I566),1,0)</x:f>
        <x:v>1</x:v>
      </x:c>
      <x:c r="AH566" t="str">
        <x:v>["B06","B06-BKP","BKP","黑色PU"]</x:v>
      </x:c>
      <x:c r="AI566" t="n">
        <x:f>IF(ISNUMBER(G566),1,0)</x:f>
        <x:v>1</x:v>
      </x:c>
      <x:c r="AJ566" t="n">
        <x:f>IF(ISNUMBER(AD566),1,0)</x:f>
        <x:v>1</x:v>
      </x:c>
    </x:row>
    <x:row r="567" ht="30" customHeight="1">
      <x:c r="A567" s="3" t="str">
        <x:v>B06-BP-38.5</x:v>
      </x:c>
      <x:c r="B567" s="3" t="str">
        <x:v>1店-MUSSHOE-US</x:v>
      </x:c>
      <x:c r="C567" s="3" t="str">
        <x:v>艾年</x:v>
      </x:c>
      <x:c r="D567" s="3" t="str">
        <x:v>B06</x:v>
      </x:c>
      <x:c r="E567" s="3" t="str">
        <x:f>IF(Z567="移出","已移出",IF(NOT(ISNUMBER(H567)),"数据待核",IF(H567=0,"断货",IF(NOT(ISNUMBER(G567)),"数据待核",IF(G567=0,"零日销待复核",IF(F567&lt;60,"补货提醒",IF(F567&lt;=90,"正常库存",IF(F567&lt;180,"促销",IF(F567&lt;=365,"红线促销","考虑清仓")))))))))</x:f>
        <x:v>断货</x:v>
      </x:c>
      <x:c r="F567" s="11" t="str">
        <x:f>IF(AND(ISNUMBER(H567),ISNUMBER(G567),G567&gt;0),H567/G567,"")</x:f>
      </x:c>
      <x:c r="G567" s="12" t="n">
        <x:f>IF(AND(COUNT(P567:R567)=3,MIN(P567:R567)&gt;=0,P567&lt;=Q567,Q567&lt;=R567),P567/7*0.5+Q567/14*0.3+R567/30*0.2,"")</x:f>
        <x:v>0</x:v>
      </x:c>
      <x:c r="H567" s="10" t="n">
        <x:f>IF(ISNUMBER(U567),U567,"")</x:f>
        <x:v>0</x:v>
      </x:c>
      <x:c r="I567" s="10" t="n">
        <x:v>0</x:v>
      </x:c>
      <x:c r="J567" s="11" t="str">
        <x:f>IF(AND(Z567="共同",ISNUMBER(F567),ISNUMBER(M567)),F567-M567,"")</x:f>
      </x:c>
      <x:c r="K567" s="13" t="str">
        <x:f>IF(AND(ISNUMBER(J567),M567&lt;&gt;0),J567/M567,"")</x:f>
      </x:c>
      <x:c r="L567" s="10" t="str">
        <x:v>断货</x:v>
      </x:c>
      <x:c r="M567" s="11"/>
      <x:c r="N567" s="10" t="n">
        <x:f>IF(AND(Z567="共同",COUNT(H567:I567)=2),H567-I567,"")</x:f>
        <x:v>0</x:v>
      </x:c>
      <x:c r="O567" s="10"/>
      <x:c r="P567" s="10" t="n">
        <x:v>0</x:v>
      </x:c>
      <x:c r="Q567" s="10" t="n">
        <x:v>0</x:v>
      </x:c>
      <x:c r="R567" s="10" t="n">
        <x:v>0</x:v>
      </x:c>
      <x:c r="S567" s="10" t="n">
        <x:v>0</x:v>
      </x:c>
      <x:c r="T567" s="10" t="n">
        <x:v>0</x:v>
      </x:c>
      <x:c r="U567" s="10" t="n">
        <x:f>IF(AND(ISNUMBER(X567),X567&gt;=0,Y567&lt;&gt;1),X567,"")</x:f>
        <x:v>0</x:v>
      </x:c>
      <x:c r="V567" s="10" t="n">
        <x:v>0</x:v>
      </x:c>
      <x:c r="W567" s="10" t="n">
        <x:v>0</x:v>
      </x:c>
      <x:c r="X567" s="10" t="n">
        <x:v>0</x:v>
      </x:c>
      <x:c r="Y567" s="3" t="n">
        <x:v>0</x:v>
      </x:c>
      <x:c r="Z567" s="3" t="str">
        <x:v>共同</x:v>
      </x:c>
      <x:c r="AA567" s="3" t="str">
        <x:v>停售</x:v>
      </x:c>
      <x:c r="AB567" s="12" t="str">
        <x:f>IF(AND(Z567="共同",ISNUMBER(G567),ISNUMBER(AD567)),G567-AD567,"")</x:f>
      </x:c>
      <x:c r="AC567" s="3" t="str">
        <x:v>近90天SKU销量未匹配，未按0处理</x:v>
      </x:c>
      <x:c r="AD567" s="12"/>
      <x:c r="AE567" s="3" t="str">
        <x:v>[13120,"B06-BP-38.5"]</x:v>
      </x:c>
      <x:c r="AF567" t="n">
        <x:f>IF(ISNUMBER(H567),1,0)</x:f>
        <x:v>1</x:v>
      </x:c>
      <x:c r="AG567" t="n">
        <x:f>IF(ISNUMBER(I567),1,0)</x:f>
        <x:v>1</x:v>
      </x:c>
      <x:c r="AH567" t="str">
        <x:v>["B06","B06-BP","BP","黑色镜面PU"]</x:v>
      </x:c>
      <x:c r="AI567" t="n">
        <x:f>IF(ISNUMBER(G567),1,0)</x:f>
        <x:v>1</x:v>
      </x:c>
      <x:c r="AJ567" t="n">
        <x:f>IF(ISNUMBER(AD567),1,0)</x:f>
        <x:v>0</x:v>
      </x:c>
    </x:row>
    <x:row r="568" ht="30" customHeight="1">
      <x:c r="A568" s="3" t="str">
        <x:v>B06-BP-40</x:v>
      </x:c>
      <x:c r="B568" s="3" t="str">
        <x:v>1店-MUSSHOE-US</x:v>
      </x:c>
      <x:c r="C568" s="3" t="str">
        <x:v>艾年</x:v>
      </x:c>
      <x:c r="D568" s="3" t="str">
        <x:v>B06</x:v>
      </x:c>
      <x:c r="E568" s="3" t="str">
        <x:f>IF(Z568="移出","已移出",IF(NOT(ISNUMBER(H568)),"数据待核",IF(H568=0,"断货",IF(NOT(ISNUMBER(G568)),"数据待核",IF(G568=0,"零日销待复核",IF(F568&lt;60,"补货提醒",IF(F568&lt;=90,"正常库存",IF(F568&lt;180,"促销",IF(F568&lt;=365,"红线促销","考虑清仓")))))))))</x:f>
        <x:v>断货</x:v>
      </x:c>
      <x:c r="F568" s="11" t="n">
        <x:f>IF(AND(ISNUMBER(H568),ISNUMBER(G568),G568&gt;0),H568/G568,"")</x:f>
        <x:v>0</x:v>
      </x:c>
      <x:c r="G568" s="12" t="n">
        <x:f>IF(AND(COUNT(P568:R568)=3,MIN(P568:R568)&gt;=0,P568&lt;=Q568,Q568&lt;=R568),P568/7*0.5+Q568/14*0.3+R568/30*0.2,"")</x:f>
        <x:v>0.1276190476190476</x:v>
      </x:c>
      <x:c r="H568" s="10" t="n">
        <x:f>IF(ISNUMBER(U568),U568,"")</x:f>
        <x:v>0</x:v>
      </x:c>
      <x:c r="I568" s="10" t="n">
        <x:v>2</x:v>
      </x:c>
      <x:c r="J568" s="11" t="str">
        <x:f>IF(AND(Z568="共同",ISNUMBER(F568),ISNUMBER(M568)),F568-M568,"")</x:f>
      </x:c>
      <x:c r="K568" s="13" t="str">
        <x:f>IF(AND(ISNUMBER(J568),M568&lt;&gt;0),J568/M568,"")</x:f>
      </x:c>
      <x:c r="L568" s="10" t="str">
        <x:v>零日销待复核</x:v>
      </x:c>
      <x:c r="M568" s="11"/>
      <x:c r="N568" s="10" t="n">
        <x:f>IF(AND(Z568="共同",COUNT(H568:I568)=2),H568-I568,"")</x:f>
        <x:v>-2</x:v>
      </x:c>
      <x:c r="O568" s="10" t="n">
        <x:v>0</x:v>
      </x:c>
      <x:c r="P568" s="10" t="n">
        <x:v>1</x:v>
      </x:c>
      <x:c r="Q568" s="10" t="n">
        <x:v>2</x:v>
      </x:c>
      <x:c r="R568" s="10" t="n">
        <x:v>2</x:v>
      </x:c>
      <x:c r="S568" s="10" t="n">
        <x:v>0</x:v>
      </x:c>
      <x:c r="T568" s="10" t="n">
        <x:v>0</x:v>
      </x:c>
      <x:c r="U568" s="10" t="n">
        <x:f>IF(AND(ISNUMBER(X568),X568&gt;=0,Y568&lt;&gt;1),X568,"")</x:f>
        <x:v>0</x:v>
      </x:c>
      <x:c r="V568" s="10" t="n">
        <x:v>0</x:v>
      </x:c>
      <x:c r="W568" s="10" t="n">
        <x:v>0</x:v>
      </x:c>
      <x:c r="X568" s="10" t="n">
        <x:v>0</x:v>
      </x:c>
      <x:c r="Y568" s="3" t="n">
        <x:v>0</x:v>
      </x:c>
      <x:c r="Z568" s="3" t="str">
        <x:v>共同</x:v>
      </x:c>
      <x:c r="AA568" s="3" t="str">
        <x:v>停售</x:v>
      </x:c>
      <x:c r="AB568" s="12" t="n">
        <x:f>IF(AND(Z568="共同",ISNUMBER(G568),ISNUMBER(AD568)),G568-AD568,"")</x:f>
        <x:v>0.1276190476190476</x:v>
      </x:c>
      <x:c r="AC568" s="3" t="str"/>
      <x:c r="AD568" s="12" t="n">
        <x:v>0</x:v>
      </x:c>
      <x:c r="AE568" s="3" t="str">
        <x:v>[13120,"B06-BP-40"]</x:v>
      </x:c>
      <x:c r="AF568" t="n">
        <x:f>IF(ISNUMBER(H568),1,0)</x:f>
        <x:v>1</x:v>
      </x:c>
      <x:c r="AG568" t="n">
        <x:f>IF(ISNUMBER(I568),1,0)</x:f>
        <x:v>1</x:v>
      </x:c>
      <x:c r="AH568" t="str">
        <x:v>["B06","B06-BP","BP","黑色镜面"]</x:v>
      </x:c>
      <x:c r="AI568" t="n">
        <x:f>IF(ISNUMBER(G568),1,0)</x:f>
        <x:v>1</x:v>
      </x:c>
      <x:c r="AJ568" t="n">
        <x:f>IF(ISNUMBER(AD568),1,0)</x:f>
        <x:v>1</x:v>
      </x:c>
    </x:row>
    <x:row r="569" ht="30" customHeight="1">
      <x:c r="A569" s="3" t="str">
        <x:v>B06-BP-42</x:v>
      </x:c>
      <x:c r="B569" s="3" t="str">
        <x:v>1店-MUSSHOE-US</x:v>
      </x:c>
      <x:c r="C569" s="3" t="str">
        <x:v>艾年</x:v>
      </x:c>
      <x:c r="D569" s="3" t="str">
        <x:v>B06</x:v>
      </x:c>
      <x:c r="E569" s="3" t="str">
        <x:f>IF(Z569="移出","已移出",IF(NOT(ISNUMBER(H569)),"数据待核",IF(H569=0,"断货",IF(NOT(ISNUMBER(G569)),"数据待核",IF(G569=0,"零日销待复核",IF(F569&lt;60,"补货提醒",IF(F569&lt;=90,"正常库存",IF(F569&lt;180,"促销",IF(F569&lt;=365,"红线促销","考虑清仓")))))))))</x:f>
        <x:v>断货</x:v>
      </x:c>
      <x:c r="F569" s="11" t="str">
        <x:f>IF(AND(ISNUMBER(H569),ISNUMBER(G569),G569&gt;0),H569/G569,"")</x:f>
      </x:c>
      <x:c r="G569" s="12" t="n">
        <x:f>IF(AND(COUNT(P569:R569)=3,MIN(P569:R569)&gt;=0,P569&lt;=Q569,Q569&lt;=R569),P569/7*0.5+Q569/14*0.3+R569/30*0.2,"")</x:f>
        <x:v>0</x:v>
      </x:c>
      <x:c r="H569" s="10" t="n">
        <x:f>IF(ISNUMBER(U569),U569,"")</x:f>
        <x:v>0</x:v>
      </x:c>
      <x:c r="I569" s="10" t="n">
        <x:v>0</x:v>
      </x:c>
      <x:c r="J569" s="11" t="str">
        <x:f>IF(AND(Z569="共同",ISNUMBER(F569),ISNUMBER(M569)),F569-M569,"")</x:f>
      </x:c>
      <x:c r="K569" s="13" t="str">
        <x:f>IF(AND(ISNUMBER(J569),M569&lt;&gt;0),J569/M569,"")</x:f>
      </x:c>
      <x:c r="L569" s="10" t="str">
        <x:v>断货</x:v>
      </x:c>
      <x:c r="M569" s="11"/>
      <x:c r="N569" s="10" t="n">
        <x:f>IF(AND(Z569="共同",COUNT(H569:I569)=2),H569-I569,"")</x:f>
        <x:v>0</x:v>
      </x:c>
      <x:c r="O569" s="10"/>
      <x:c r="P569" s="10" t="n">
        <x:v>0</x:v>
      </x:c>
      <x:c r="Q569" s="10" t="n">
        <x:v>0</x:v>
      </x:c>
      <x:c r="R569" s="10" t="n">
        <x:v>0</x:v>
      </x:c>
      <x:c r="S569" s="10" t="n">
        <x:v>0</x:v>
      </x:c>
      <x:c r="T569" s="10" t="n">
        <x:v>0</x:v>
      </x:c>
      <x:c r="U569" s="10" t="n">
        <x:f>IF(AND(ISNUMBER(X569),X569&gt;=0,Y569&lt;&gt;1),X569,"")</x:f>
        <x:v>0</x:v>
      </x:c>
      <x:c r="V569" s="10" t="n">
        <x:v>0</x:v>
      </x:c>
      <x:c r="W569" s="10" t="n">
        <x:v>0</x:v>
      </x:c>
      <x:c r="X569" s="10" t="n">
        <x:v>0</x:v>
      </x:c>
      <x:c r="Y569" s="3" t="n">
        <x:v>0</x:v>
      </x:c>
      <x:c r="Z569" s="3" t="str">
        <x:v>共同</x:v>
      </x:c>
      <x:c r="AA569" s="3" t="str">
        <x:v>停售</x:v>
      </x:c>
      <x:c r="AB569" s="12" t="str">
        <x:f>IF(AND(Z569="共同",ISNUMBER(G569),ISNUMBER(AD569)),G569-AD569,"")</x:f>
      </x:c>
      <x:c r="AC569" s="3" t="str">
        <x:v>近90天SKU销量未匹配，未按0处理</x:v>
      </x:c>
      <x:c r="AD569" s="12"/>
      <x:c r="AE569" s="3" t="str">
        <x:v>[13120,"B06-BP-42"]</x:v>
      </x:c>
      <x:c r="AF569" t="n">
        <x:f>IF(ISNUMBER(H569),1,0)</x:f>
        <x:v>1</x:v>
      </x:c>
      <x:c r="AG569" t="n">
        <x:f>IF(ISNUMBER(I569),1,0)</x:f>
        <x:v>1</x:v>
      </x:c>
      <x:c r="AH569" t="str">
        <x:v>["B06","B06-BP","BP","黑色镜面"]</x:v>
      </x:c>
      <x:c r="AI569" t="n">
        <x:f>IF(ISNUMBER(G569),1,0)</x:f>
        <x:v>1</x:v>
      </x:c>
      <x:c r="AJ569" t="n">
        <x:f>IF(ISNUMBER(AD569),1,0)</x:f>
        <x:v>0</x:v>
      </x:c>
    </x:row>
    <x:row r="570" ht="30" customHeight="1">
      <x:c r="A570" s="3" t="str">
        <x:v>B06-CFP-39</x:v>
      </x:c>
      <x:c r="B570" s="3" t="str">
        <x:v>1店-MUSSHOE-US</x:v>
      </x:c>
      <x:c r="C570" s="3" t="str">
        <x:v>艾年</x:v>
      </x:c>
      <x:c r="D570" s="3" t="str">
        <x:v>B06</x:v>
      </x:c>
      <x:c r="E570" s="3" t="str">
        <x:f>IF(Z570="移出","已移出",IF(NOT(ISNUMBER(H570)),"数据待核",IF(H570=0,"断货",IF(NOT(ISNUMBER(G570)),"数据待核",IF(G570=0,"零日销待复核",IF(F570&lt;60,"补货提醒",IF(F570&lt;=90,"正常库存",IF(F570&lt;180,"促销",IF(F570&lt;=365,"红线促销","考虑清仓")))))))))</x:f>
        <x:v>断货</x:v>
      </x:c>
      <x:c r="F570" s="11" t="n">
        <x:f>IF(AND(ISNUMBER(H570),ISNUMBER(G570),G570&gt;0),H570/G570,"")</x:f>
        <x:v>0</x:v>
      </x:c>
      <x:c r="G570" s="12" t="n">
        <x:f>IF(AND(COUNT(P570:R570)=3,MIN(P570:R570)&gt;=0,P570&lt;=Q570,Q570&lt;=R570),P570/7*0.5+Q570/14*0.3+R570/30*0.2,"")</x:f>
        <x:v>0.8657142857142857</x:v>
      </x:c>
      <x:c r="H570" s="10" t="n">
        <x:f>IF(ISNUMBER(U570),U570,"")</x:f>
        <x:v>0</x:v>
      </x:c>
      <x:c r="I570" s="10" t="n">
        <x:v>3</x:v>
      </x:c>
      <x:c r="J570" s="11" t="n">
        <x:f>IF(AND(Z570="共同",ISNUMBER(F570),ISNUMBER(M570)),F570-M570,"")</x:f>
        <x:v>-23.507462686567166</x:v>
      </x:c>
      <x:c r="K570" s="13" t="n">
        <x:f>IF(AND(ISNUMBER(J570),M570&lt;&gt;0),J570/M570,"")</x:f>
        <x:v>-1</x:v>
      </x:c>
      <x:c r="L570" s="10" t="str">
        <x:v>补货提醒</x:v>
      </x:c>
      <x:c r="M570" s="11" t="n">
        <x:v>23.507462686567166</x:v>
      </x:c>
      <x:c r="N570" s="10" t="n">
        <x:f>IF(AND(Z570="共同",COUNT(H570:I570)=2),H570-I570,"")</x:f>
        <x:v>-3</x:v>
      </x:c>
      <x:c r="O570" s="10" t="n">
        <x:v>21</x:v>
      </x:c>
      <x:c r="P570" s="10" t="n">
        <x:v>8</x:v>
      </x:c>
      <x:c r="Q570" s="10" t="n">
        <x:v>10</x:v>
      </x:c>
      <x:c r="R570" s="10" t="n">
        <x:v>12</x:v>
      </x:c>
      <x:c r="S570" s="10" t="n">
        <x:v>5</x:v>
      </x:c>
      <x:c r="T570" s="10" t="n">
        <x:v>4</x:v>
      </x:c>
      <x:c r="U570" s="10" t="n">
        <x:f>IF(AND(ISNUMBER(X570),X570&gt;=0,Y570&lt;&gt;1),X570,"")</x:f>
        <x:v>0</x:v>
      </x:c>
      <x:c r="V570" s="10" t="n">
        <x:v>0</x:v>
      </x:c>
      <x:c r="W570" s="10" t="n">
        <x:v>0</x:v>
      </x:c>
      <x:c r="X570" s="10" t="n">
        <x:v>0</x:v>
      </x:c>
      <x:c r="Y570" s="3" t="n">
        <x:v>0</x:v>
      </x:c>
      <x:c r="Z570" s="3" t="str">
        <x:v>共同</x:v>
      </x:c>
      <x:c r="AA570" s="3" t="str">
        <x:v>在售</x:v>
      </x:c>
      <x:c r="AB570" s="12" t="n">
        <x:f>IF(AND(Z570="共同",ISNUMBER(G570),ISNUMBER(AD570)),G570-AD570,"")</x:f>
        <x:v>0.738095238095238</x:v>
      </x:c>
      <x:c r="AC570" s="3" t="str"/>
      <x:c r="AD570" s="12" t="n">
        <x:v>0.1276190476190476</x:v>
      </x:c>
      <x:c r="AE570" s="3" t="str">
        <x:v>[13120,"B06-CFP-39"]</x:v>
      </x:c>
      <x:c r="AF570" t="n">
        <x:f>IF(ISNUMBER(H570),1,0)</x:f>
        <x:v>1</x:v>
      </x:c>
      <x:c r="AG570" t="n">
        <x:f>IF(ISNUMBER(I570),1,0)</x:f>
        <x:v>1</x:v>
      </x:c>
      <x:c r="AH570" t="str">
        <x:v>["B06","B06-CFP","CFP","咖色PU"]</x:v>
      </x:c>
      <x:c r="AI570" t="n">
        <x:f>IF(ISNUMBER(G570),1,0)</x:f>
        <x:v>1</x:v>
      </x:c>
      <x:c r="AJ570" t="n">
        <x:f>IF(ISNUMBER(AD570),1,0)</x:f>
        <x:v>1</x:v>
      </x:c>
    </x:row>
    <x:row r="571" ht="30" customHeight="1">
      <x:c r="A571" s="3" t="str">
        <x:v>B06-CFP-39.5</x:v>
      </x:c>
      <x:c r="B571" s="3" t="str">
        <x:v>1店-MUSSHOE-US</x:v>
      </x:c>
      <x:c r="C571" s="3" t="str">
        <x:v>艾年</x:v>
      </x:c>
      <x:c r="D571" s="3" t="str">
        <x:v>B06</x:v>
      </x:c>
      <x:c r="E571" s="3" t="str">
        <x:f>IF(Z571="移出","已移出",IF(NOT(ISNUMBER(H571)),"数据待核",IF(H571=0,"断货",IF(NOT(ISNUMBER(G571)),"数据待核",IF(G571=0,"零日销待复核",IF(F571&lt;60,"补货提醒",IF(F571&lt;=90,"正常库存",IF(F571&lt;180,"促销",IF(F571&lt;=365,"红线促销","考虑清仓")))))))))</x:f>
        <x:v>断货</x:v>
      </x:c>
      <x:c r="F571" s="11" t="n">
        <x:f>IF(AND(ISNUMBER(H571),ISNUMBER(G571),G571&gt;0),H571/G571,"")</x:f>
        <x:v>0</x:v>
      </x:c>
      <x:c r="G571" s="12" t="n">
        <x:f>IF(AND(COUNT(P571:R571)=3,MIN(P571:R571)&gt;=0,P571&lt;=Q571,Q571&lt;=R571),P571/7*0.5+Q571/14*0.3+R571/30*0.2,"")</x:f>
        <x:v>0.1757142857142857</x:v>
      </x:c>
      <x:c r="H571" s="10" t="n">
        <x:f>IF(ISNUMBER(U571),U571,"")</x:f>
        <x:v>0</x:v>
      </x:c>
      <x:c r="I571" s="10" t="n">
        <x:v>0</x:v>
      </x:c>
      <x:c r="J571" s="11" t="n">
        <x:f>IF(AND(Z571="共同",ISNUMBER(F571),ISNUMBER(M571)),F571-M571,"")</x:f>
        <x:v>0</x:v>
      </x:c>
      <x:c r="K571" s="13" t="str">
        <x:f>IF(AND(ISNUMBER(J571),M571&lt;&gt;0),J571/M571,"")</x:f>
      </x:c>
      <x:c r="L571" s="10" t="str">
        <x:v>断货</x:v>
      </x:c>
      <x:c r="M571" s="11" t="n">
        <x:v>0</x:v>
      </x:c>
      <x:c r="N571" s="10" t="n">
        <x:f>IF(AND(Z571="共同",COUNT(H571:I571)=2),H571-I571,"")</x:f>
        <x:v>0</x:v>
      </x:c>
      <x:c r="O571" s="10" t="n">
        <x:v>0</x:v>
      </x:c>
      <x:c r="P571" s="10" t="n">
        <x:v>1</x:v>
      </x:c>
      <x:c r="Q571" s="10" t="n">
        <x:v>3</x:v>
      </x:c>
      <x:c r="R571" s="10" t="n">
        <x:v>6</x:v>
      </x:c>
      <x:c r="S571" s="10" t="n">
        <x:v>1</x:v>
      </x:c>
      <x:c r="T571" s="10" t="n">
        <x:v>1</x:v>
      </x:c>
      <x:c r="U571" s="10" t="n">
        <x:f>IF(AND(ISNUMBER(X571),X571&gt;=0,Y571&lt;&gt;1),X571,"")</x:f>
        <x:v>0</x:v>
      </x:c>
      <x:c r="V571" s="10" t="n">
        <x:v>0</x:v>
      </x:c>
      <x:c r="W571" s="10" t="n">
        <x:v>0</x:v>
      </x:c>
      <x:c r="X571" s="10" t="n">
        <x:v>0</x:v>
      </x:c>
      <x:c r="Y571" s="3" t="n">
        <x:v>0</x:v>
      </x:c>
      <x:c r="Z571" s="3" t="str">
        <x:v>共同</x:v>
      </x:c>
      <x:c r="AA571" s="3" t="str">
        <x:v>在售</x:v>
      </x:c>
      <x:c r="AB571" s="12" t="n">
        <x:f>IF(AND(Z571="共同",ISNUMBER(G571),ISNUMBER(AD571)),G571-AD571,"")</x:f>
        <x:v>-0.2423809523809523</x:v>
      </x:c>
      <x:c r="AC571" s="3" t="str"/>
      <x:c r="AD571" s="12" t="n">
        <x:v>0.418095238095238</x:v>
      </x:c>
      <x:c r="AE571" s="3" t="str">
        <x:v>[13120,"B06-CFP-39.5"]</x:v>
      </x:c>
      <x:c r="AF571" t="n">
        <x:f>IF(ISNUMBER(H571),1,0)</x:f>
        <x:v>1</x:v>
      </x:c>
      <x:c r="AG571" t="n">
        <x:f>IF(ISNUMBER(I571),1,0)</x:f>
        <x:v>1</x:v>
      </x:c>
      <x:c r="AH571" t="str">
        <x:v>["B06","B06-CFP","CFP","咖色PU"]</x:v>
      </x:c>
      <x:c r="AI571" t="n">
        <x:f>IF(ISNUMBER(G571),1,0)</x:f>
        <x:v>1</x:v>
      </x:c>
      <x:c r="AJ571" t="n">
        <x:f>IF(ISNUMBER(AD571),1,0)</x:f>
        <x:v>1</x:v>
      </x:c>
    </x:row>
    <x:row r="572" ht="30" customHeight="1">
      <x:c r="A572" s="3" t="str">
        <x:v>B06-CPG-39.5</x:v>
      </x:c>
      <x:c r="B572" s="3" t="str">
        <x:v>1店-MUSSHOE-US</x:v>
      </x:c>
      <x:c r="C572" s="3" t="str">
        <x:v>艾年</x:v>
      </x:c>
      <x:c r="D572" s="3" t="str">
        <x:v>B06</x:v>
      </x:c>
      <x:c r="E572" s="3" t="str">
        <x:f>IF(Z572="移出","已移出",IF(NOT(ISNUMBER(H572)),"数据待核",IF(H572=0,"断货",IF(NOT(ISNUMBER(G572)),"数据待核",IF(G572=0,"零日销待复核",IF(F572&lt;60,"补货提醒",IF(F572&lt;=90,"正常库存",IF(F572&lt;180,"促销",IF(F572&lt;=365,"红线促销","考虑清仓")))))))))</x:f>
        <x:v>断货</x:v>
      </x:c>
      <x:c r="F572" s="11" t="str">
        <x:f>IF(AND(ISNUMBER(H572),ISNUMBER(G572),G572&gt;0),H572/G572,"")</x:f>
      </x:c>
      <x:c r="G572" s="12" t="n">
        <x:f>IF(AND(COUNT(P572:R572)=3,MIN(P572:R572)&gt;=0,P572&lt;=Q572,Q572&lt;=R572),P572/7*0.5+Q572/14*0.3+R572/30*0.2,"")</x:f>
        <x:v>0</x:v>
      </x:c>
      <x:c r="H572" s="10" t="n">
        <x:f>IF(ISNUMBER(U572),U572,"")</x:f>
        <x:v>0</x:v>
      </x:c>
      <x:c r="I572" s="10"/>
      <x:c r="J572" s="11" t="str">
        <x:f>IF(AND(Z572="共同",ISNUMBER(F572),ISNUMBER(M572)),F572-M572,"")</x:f>
      </x:c>
      <x:c r="K572" s="13" t="str">
        <x:f>IF(AND(ISNUMBER(J572),M572&lt;&gt;0),J572/M572,"")</x:f>
      </x:c>
      <x:c r="L572" s="10"/>
      <x:c r="M572" s="11"/>
      <x:c r="N572" s="10" t="str">
        <x:f>IF(AND(Z572="共同",COUNT(H572:I572)=2),H572-I572,"")</x:f>
      </x:c>
      <x:c r="O572" s="10"/>
      <x:c r="P572" s="10" t="n">
        <x:v>0</x:v>
      </x:c>
      <x:c r="Q572" s="10" t="n">
        <x:v>0</x:v>
      </x:c>
      <x:c r="R572" s="10" t="n">
        <x:v>0</x:v>
      </x:c>
      <x:c r="S572" s="10" t="n">
        <x:v>0</x:v>
      </x:c>
      <x:c r="T572" s="10" t="n">
        <x:v>0</x:v>
      </x:c>
      <x:c r="U572" s="10" t="n">
        <x:f>IF(AND(ISNUMBER(X572),X572&gt;=0,Y572&lt;&gt;1),X572,"")</x:f>
        <x:v>0</x:v>
      </x:c>
      <x:c r="V572" s="10" t="n">
        <x:v>0</x:v>
      </x:c>
      <x:c r="W572" s="10" t="n">
        <x:v>0</x:v>
      </x:c>
      <x:c r="X572" s="10" t="n">
        <x:v>0</x:v>
      </x:c>
      <x:c r="Y572" s="3" t="n">
        <x:v>0</x:v>
      </x:c>
      <x:c r="Z572" s="3" t="str">
        <x:v>新增</x:v>
      </x:c>
      <x:c r="AA572" s="3" t="str">
        <x:v>停售</x:v>
      </x:c>
      <x:c r="AB572" s="12" t="str">
        <x:f>IF(AND(Z572="共同",ISNUMBER(G572),ISNUMBER(AD572)),G572-AD572,"")</x:f>
      </x:c>
      <x:c r="AC572" s="3" t="str">
        <x:v>近90天SKU销量未匹配，未按0处理</x:v>
      </x:c>
      <x:c r="AD572" s="12"/>
      <x:c r="AE572" s="3" t="str">
        <x:v>[13120,"B06-CPG-39.5"]</x:v>
      </x:c>
      <x:c r="AF572" t="n">
        <x:f>IF(ISNUMBER(H572),1,0)</x:f>
        <x:v>1</x:v>
      </x:c>
      <x:c r="AG572" t="n">
        <x:f>IF(ISNUMBER(I572),1,0)</x:f>
        <x:v>0</x:v>
      </x:c>
      <x:c r="AH572" t="str">
        <x:v>["B06","B06-CPG","CPG","香槟金PU"]</x:v>
      </x:c>
      <x:c r="AI572" t="n">
        <x:f>IF(ISNUMBER(G572),1,0)</x:f>
        <x:v>1</x:v>
      </x:c>
      <x:c r="AJ572" t="n">
        <x:f>IF(ISNUMBER(AD572),1,0)</x:f>
        <x:v>0</x:v>
      </x:c>
    </x:row>
    <x:row r="573" ht="30" customHeight="1">
      <x:c r="A573" s="3" t="str">
        <x:v>B06-CPG-41</x:v>
      </x:c>
      <x:c r="B573" s="3" t="str">
        <x:v>1店-MUSSHOE-US</x:v>
      </x:c>
      <x:c r="C573" s="3" t="str">
        <x:v>艾年</x:v>
      </x:c>
      <x:c r="D573" s="3" t="str">
        <x:v>B06</x:v>
      </x:c>
      <x:c r="E573" s="3" t="str">
        <x:f>IF(Z573="移出","已移出",IF(NOT(ISNUMBER(H573)),"数据待核",IF(H573=0,"断货",IF(NOT(ISNUMBER(G573)),"数据待核",IF(G573=0,"零日销待复核",IF(F573&lt;60,"补货提醒",IF(F573&lt;=90,"正常库存",IF(F573&lt;180,"促销",IF(F573&lt;=365,"红线促销","考虑清仓")))))))))</x:f>
        <x:v>断货</x:v>
      </x:c>
      <x:c r="F573" s="11" t="str">
        <x:f>IF(AND(ISNUMBER(H573),ISNUMBER(G573),G573&gt;0),H573/G573,"")</x:f>
      </x:c>
      <x:c r="G573" s="12" t="n">
        <x:f>IF(AND(COUNT(P573:R573)=3,MIN(P573:R573)&gt;=0,P573&lt;=Q573,Q573&lt;=R573),P573/7*0.5+Q573/14*0.3+R573/30*0.2,"")</x:f>
        <x:v>0</x:v>
      </x:c>
      <x:c r="H573" s="10" t="n">
        <x:f>IF(ISNUMBER(U573),U573,"")</x:f>
        <x:v>0</x:v>
      </x:c>
      <x:c r="I573" s="10"/>
      <x:c r="J573" s="11" t="str">
        <x:f>IF(AND(Z573="共同",ISNUMBER(F573),ISNUMBER(M573)),F573-M573,"")</x:f>
      </x:c>
      <x:c r="K573" s="13" t="str">
        <x:f>IF(AND(ISNUMBER(J573),M573&lt;&gt;0),J573/M573,"")</x:f>
      </x:c>
      <x:c r="L573" s="10"/>
      <x:c r="M573" s="11"/>
      <x:c r="N573" s="10" t="str">
        <x:f>IF(AND(Z573="共同",COUNT(H573:I573)=2),H573-I573,"")</x:f>
      </x:c>
      <x:c r="O573" s="10"/>
      <x:c r="P573" s="10" t="n">
        <x:v>0</x:v>
      </x:c>
      <x:c r="Q573" s="10" t="n">
        <x:v>0</x:v>
      </x:c>
      <x:c r="R573" s="10" t="n">
        <x:v>0</x:v>
      </x:c>
      <x:c r="S573" s="10" t="n">
        <x:v>0</x:v>
      </x:c>
      <x:c r="T573" s="10" t="n">
        <x:v>0</x:v>
      </x:c>
      <x:c r="U573" s="10" t="n">
        <x:f>IF(AND(ISNUMBER(X573),X573&gt;=0,Y573&lt;&gt;1),X573,"")</x:f>
        <x:v>0</x:v>
      </x:c>
      <x:c r="V573" s="10" t="n">
        <x:v>0</x:v>
      </x:c>
      <x:c r="W573" s="10" t="n">
        <x:v>0</x:v>
      </x:c>
      <x:c r="X573" s="10" t="n">
        <x:v>0</x:v>
      </x:c>
      <x:c r="Y573" s="3" t="n">
        <x:v>0</x:v>
      </x:c>
      <x:c r="Z573" s="3" t="str">
        <x:v>新增</x:v>
      </x:c>
      <x:c r="AA573" s="3" t="str">
        <x:v>停售</x:v>
      </x:c>
      <x:c r="AB573" s="12" t="str">
        <x:f>IF(AND(Z573="共同",ISNUMBER(G573),ISNUMBER(AD573)),G573-AD573,"")</x:f>
      </x:c>
      <x:c r="AC573" s="3" t="str">
        <x:v>近90天SKU销量未匹配，未按0处理</x:v>
      </x:c>
      <x:c r="AD573" s="12"/>
      <x:c r="AE573" s="3" t="str">
        <x:v>[13120,"B06-CPG-41"]</x:v>
      </x:c>
      <x:c r="AF573" t="n">
        <x:f>IF(ISNUMBER(H573),1,0)</x:f>
        <x:v>1</x:v>
      </x:c>
      <x:c r="AG573" t="n">
        <x:f>IF(ISNUMBER(I573),1,0)</x:f>
        <x:v>0</x:v>
      </x:c>
      <x:c r="AH573" t="str">
        <x:v>["B06","B06-CPG","CPG","香槟金PU"]</x:v>
      </x:c>
      <x:c r="AI573" t="n">
        <x:f>IF(ISNUMBER(G573),1,0)</x:f>
        <x:v>1</x:v>
      </x:c>
      <x:c r="AJ573" t="n">
        <x:f>IF(ISNUMBER(AD573),1,0)</x:f>
        <x:v>0</x:v>
      </x:c>
    </x:row>
    <x:row r="574" ht="30" customHeight="1">
      <x:c r="A574" s="3" t="str">
        <x:v>B06-CPG-42</x:v>
      </x:c>
      <x:c r="B574" s="3" t="str">
        <x:v>1店-MUSSHOE-US</x:v>
      </x:c>
      <x:c r="C574" s="3" t="str">
        <x:v>艾年</x:v>
      </x:c>
      <x:c r="D574" s="3" t="str">
        <x:v>B06</x:v>
      </x:c>
      <x:c r="E574" s="3" t="str">
        <x:f>IF(Z574="移出","已移出",IF(NOT(ISNUMBER(H574)),"数据待核",IF(H574=0,"断货",IF(NOT(ISNUMBER(G574)),"数据待核",IF(G574=0,"零日销待复核",IF(F574&lt;60,"补货提醒",IF(F574&lt;=90,"正常库存",IF(F574&lt;180,"促销",IF(F574&lt;=365,"红线促销","考虑清仓")))))))))</x:f>
        <x:v>断货</x:v>
      </x:c>
      <x:c r="F574" s="11" t="str">
        <x:f>IF(AND(ISNUMBER(H574),ISNUMBER(G574),G574&gt;0),H574/G574,"")</x:f>
      </x:c>
      <x:c r="G574" s="12" t="n">
        <x:f>IF(AND(COUNT(P574:R574)=3,MIN(P574:R574)&gt;=0,P574&lt;=Q574,Q574&lt;=R574),P574/7*0.5+Q574/14*0.3+R574/30*0.2,"")</x:f>
        <x:v>0</x:v>
      </x:c>
      <x:c r="H574" s="10" t="n">
        <x:f>IF(ISNUMBER(U574),U574,"")</x:f>
        <x:v>0</x:v>
      </x:c>
      <x:c r="I574" s="10"/>
      <x:c r="J574" s="11" t="str">
        <x:f>IF(AND(Z574="共同",ISNUMBER(F574),ISNUMBER(M574)),F574-M574,"")</x:f>
      </x:c>
      <x:c r="K574" s="13" t="str">
        <x:f>IF(AND(ISNUMBER(J574),M574&lt;&gt;0),J574/M574,"")</x:f>
      </x:c>
      <x:c r="L574" s="10"/>
      <x:c r="M574" s="11"/>
      <x:c r="N574" s="10" t="str">
        <x:f>IF(AND(Z574="共同",COUNT(H574:I574)=2),H574-I574,"")</x:f>
      </x:c>
      <x:c r="O574" s="10" t="n">
        <x:v>0</x:v>
      </x:c>
      <x:c r="P574" s="10" t="n">
        <x:v>0</x:v>
      </x:c>
      <x:c r="Q574" s="10" t="n">
        <x:v>0</x:v>
      </x:c>
      <x:c r="R574" s="10" t="n">
        <x:v>0</x:v>
      </x:c>
      <x:c r="S574" s="10" t="n">
        <x:v>0</x:v>
      </x:c>
      <x:c r="T574" s="10" t="n">
        <x:v>0</x:v>
      </x:c>
      <x:c r="U574" s="10" t="n">
        <x:f>IF(AND(ISNUMBER(X574),X574&gt;=0,Y574&lt;&gt;1),X574,"")</x:f>
        <x:v>0</x:v>
      </x:c>
      <x:c r="V574" s="10" t="n">
        <x:v>0</x:v>
      </x:c>
      <x:c r="W574" s="10" t="n">
        <x:v>0</x:v>
      </x:c>
      <x:c r="X574" s="10" t="n">
        <x:v>0</x:v>
      </x:c>
      <x:c r="Y574" s="3" t="n">
        <x:v>0</x:v>
      </x:c>
      <x:c r="Z574" s="3" t="str">
        <x:v>新增</x:v>
      </x:c>
      <x:c r="AA574" s="3" t="str">
        <x:v>停售</x:v>
      </x:c>
      <x:c r="AB574" s="12" t="str">
        <x:f>IF(AND(Z574="共同",ISNUMBER(G574),ISNUMBER(AD574)),G574-AD574,"")</x:f>
      </x:c>
      <x:c r="AC574" s="3" t="str">
        <x:v>近90天SKU销量未匹配，未按0处理</x:v>
      </x:c>
      <x:c r="AD574" s="12"/>
      <x:c r="AE574" s="3" t="str">
        <x:v>[13120,"B06-CPG-42"]</x:v>
      </x:c>
      <x:c r="AF574" t="n">
        <x:f>IF(ISNUMBER(H574),1,0)</x:f>
        <x:v>1</x:v>
      </x:c>
      <x:c r="AG574" t="n">
        <x:f>IF(ISNUMBER(I574),1,0)</x:f>
        <x:v>0</x:v>
      </x:c>
      <x:c r="AH574" t="str">
        <x:v>["B06","B06-CPG","CPG","香槟金PU"]</x:v>
      </x:c>
      <x:c r="AI574" t="n">
        <x:f>IF(ISNUMBER(G574),1,0)</x:f>
        <x:v>1</x:v>
      </x:c>
      <x:c r="AJ574" t="n">
        <x:f>IF(ISNUMBER(AD574),1,0)</x:f>
        <x:v>0</x:v>
      </x:c>
    </x:row>
    <x:row r="575" ht="30" customHeight="1">
      <x:c r="A575" s="3" t="str">
        <x:v>B06-GG-40</x:v>
      </x:c>
      <x:c r="B575" s="3" t="str">
        <x:v>1店-MUSSHOE-US</x:v>
      </x:c>
      <x:c r="C575" s="3" t="str">
        <x:v>艾年</x:v>
      </x:c>
      <x:c r="D575" s="3" t="str">
        <x:v>B06</x:v>
      </x:c>
      <x:c r="E575" s="3" t="str">
        <x:f>IF(Z575="移出","已移出",IF(NOT(ISNUMBER(H575)),"数据待核",IF(H575=0,"断货",IF(NOT(ISNUMBER(G575)),"数据待核",IF(G575=0,"零日销待复核",IF(F575&lt;60,"补货提醒",IF(F575&lt;=90,"正常库存",IF(F575&lt;180,"促销",IF(F575&lt;=365,"红线促销","考虑清仓")))))))))</x:f>
        <x:v>断货</x:v>
      </x:c>
      <x:c r="F575" s="11" t="str">
        <x:f>IF(AND(ISNUMBER(H575),ISNUMBER(G575),G575&gt;0),H575/G575,"")</x:f>
      </x:c>
      <x:c r="G575" s="12" t="n">
        <x:f>IF(AND(COUNT(P575:R575)=3,MIN(P575:R575)&gt;=0,P575&lt;=Q575,Q575&lt;=R575),P575/7*0.5+Q575/14*0.3+R575/30*0.2,"")</x:f>
        <x:v>0</x:v>
      </x:c>
      <x:c r="H575" s="10" t="n">
        <x:f>IF(ISNUMBER(U575),U575,"")</x:f>
        <x:v>0</x:v>
      </x:c>
      <x:c r="I575" s="10"/>
      <x:c r="J575" s="11" t="str">
        <x:f>IF(AND(Z575="共同",ISNUMBER(F575),ISNUMBER(M575)),F575-M575,"")</x:f>
      </x:c>
      <x:c r="K575" s="13" t="str">
        <x:f>IF(AND(ISNUMBER(J575),M575&lt;&gt;0),J575/M575,"")</x:f>
      </x:c>
      <x:c r="L575" s="10"/>
      <x:c r="M575" s="11"/>
      <x:c r="N575" s="10" t="str">
        <x:f>IF(AND(Z575="共同",COUNT(H575:I575)=2),H575-I575,"")</x:f>
      </x:c>
      <x:c r="O575" s="10"/>
      <x:c r="P575" s="10" t="n">
        <x:v>0</x:v>
      </x:c>
      <x:c r="Q575" s="10" t="n">
        <x:v>0</x:v>
      </x:c>
      <x:c r="R575" s="10" t="n">
        <x:v>0</x:v>
      </x:c>
      <x:c r="S575" s="10" t="n">
        <x:v>0</x:v>
      </x:c>
      <x:c r="T575" s="10" t="n">
        <x:v>0</x:v>
      </x:c>
      <x:c r="U575" s="10" t="n">
        <x:f>IF(AND(ISNUMBER(X575),X575&gt;=0,Y575&lt;&gt;1),X575,"")</x:f>
        <x:v>0</x:v>
      </x:c>
      <x:c r="V575" s="10" t="n">
        <x:v>0</x:v>
      </x:c>
      <x:c r="W575" s="10" t="n">
        <x:v>0</x:v>
      </x:c>
      <x:c r="X575" s="10" t="n">
        <x:v>0</x:v>
      </x:c>
      <x:c r="Y575" s="3" t="n">
        <x:v>0</x:v>
      </x:c>
      <x:c r="Z575" s="3" t="str">
        <x:v>新增</x:v>
      </x:c>
      <x:c r="AA575" s="3" t="str">
        <x:v>停售</x:v>
      </x:c>
      <x:c r="AB575" s="12" t="str">
        <x:f>IF(AND(Z575="共同",ISNUMBER(G575),ISNUMBER(AD575)),G575-AD575,"")</x:f>
      </x:c>
      <x:c r="AC575" s="3" t="str">
        <x:v>近90天SKU销量未匹配，未按0处理</x:v>
      </x:c>
      <x:c r="AD575" s="12"/>
      <x:c r="AE575" s="3" t="str">
        <x:v>[13120,"B06-GG-40"]</x:v>
      </x:c>
      <x:c r="AF575" t="n">
        <x:f>IF(ISNUMBER(H575),1,0)</x:f>
        <x:v>1</x:v>
      </x:c>
      <x:c r="AG575" t="n">
        <x:f>IF(ISNUMBER(I575),1,0)</x:f>
        <x:v>0</x:v>
      </x:c>
      <x:c r="AH575" t="str">
        <x:v>["B06","B06-GG","GG","金色格利特"]</x:v>
      </x:c>
      <x:c r="AI575" t="n">
        <x:f>IF(ISNUMBER(G575),1,0)</x:f>
        <x:v>1</x:v>
      </x:c>
      <x:c r="AJ575" t="n">
        <x:f>IF(ISNUMBER(AD575),1,0)</x:f>
        <x:v>0</x:v>
      </x:c>
    </x:row>
    <x:row r="576" ht="30" customHeight="1">
      <x:c r="A576" s="3" t="str">
        <x:v>B06-GG-41</x:v>
      </x:c>
      <x:c r="B576" s="3" t="str">
        <x:v>1店-MUSSHOE-US</x:v>
      </x:c>
      <x:c r="C576" s="3" t="str">
        <x:v>艾年</x:v>
      </x:c>
      <x:c r="D576" s="3" t="str">
        <x:v>B06</x:v>
      </x:c>
      <x:c r="E576" s="3" t="str">
        <x:f>IF(Z576="移出","已移出",IF(NOT(ISNUMBER(H576)),"数据待核",IF(H576=0,"断货",IF(NOT(ISNUMBER(G576)),"数据待核",IF(G576=0,"零日销待复核",IF(F576&lt;60,"补货提醒",IF(F576&lt;=90,"正常库存",IF(F576&lt;180,"促销",IF(F576&lt;=365,"红线促销","考虑清仓")))))))))</x:f>
        <x:v>断货</x:v>
      </x:c>
      <x:c r="F576" s="11" t="str">
        <x:f>IF(AND(ISNUMBER(H576),ISNUMBER(G576),G576&gt;0),H576/G576,"")</x:f>
      </x:c>
      <x:c r="G576" s="12" t="n">
        <x:f>IF(AND(COUNT(P576:R576)=3,MIN(P576:R576)&gt;=0,P576&lt;=Q576,Q576&lt;=R576),P576/7*0.5+Q576/14*0.3+R576/30*0.2,"")</x:f>
        <x:v>0</x:v>
      </x:c>
      <x:c r="H576" s="10" t="n">
        <x:f>IF(ISNUMBER(U576),U576,"")</x:f>
        <x:v>0</x:v>
      </x:c>
      <x:c r="I576" s="10"/>
      <x:c r="J576" s="11" t="str">
        <x:f>IF(AND(Z576="共同",ISNUMBER(F576),ISNUMBER(M576)),F576-M576,"")</x:f>
      </x:c>
      <x:c r="K576" s="13" t="str">
        <x:f>IF(AND(ISNUMBER(J576),M576&lt;&gt;0),J576/M576,"")</x:f>
      </x:c>
      <x:c r="L576" s="10"/>
      <x:c r="M576" s="11"/>
      <x:c r="N576" s="10" t="str">
        <x:f>IF(AND(Z576="共同",COUNT(H576:I576)=2),H576-I576,"")</x:f>
      </x:c>
      <x:c r="O576" s="10"/>
      <x:c r="P576" s="10" t="n">
        <x:v>0</x:v>
      </x:c>
      <x:c r="Q576" s="10" t="n">
        <x:v>0</x:v>
      </x:c>
      <x:c r="R576" s="10" t="n">
        <x:v>0</x:v>
      </x:c>
      <x:c r="S576" s="10" t="n">
        <x:v>0</x:v>
      </x:c>
      <x:c r="T576" s="10" t="n">
        <x:v>0</x:v>
      </x:c>
      <x:c r="U576" s="10" t="n">
        <x:f>IF(AND(ISNUMBER(X576),X576&gt;=0,Y576&lt;&gt;1),X576,"")</x:f>
        <x:v>0</x:v>
      </x:c>
      <x:c r="V576" s="10" t="n">
        <x:v>0</x:v>
      </x:c>
      <x:c r="W576" s="10" t="n">
        <x:v>0</x:v>
      </x:c>
      <x:c r="X576" s="10" t="n">
        <x:v>0</x:v>
      </x:c>
      <x:c r="Y576" s="3" t="n">
        <x:v>0</x:v>
      </x:c>
      <x:c r="Z576" s="3" t="str">
        <x:v>新增</x:v>
      </x:c>
      <x:c r="AA576" s="3" t="str">
        <x:v>停售</x:v>
      </x:c>
      <x:c r="AB576" s="12" t="str">
        <x:f>IF(AND(Z576="共同",ISNUMBER(G576),ISNUMBER(AD576)),G576-AD576,"")</x:f>
      </x:c>
      <x:c r="AC576" s="3" t="str">
        <x:v>近90天SKU销量未匹配，未按0处理</x:v>
      </x:c>
      <x:c r="AD576" s="12"/>
      <x:c r="AE576" s="3" t="str">
        <x:v>[13120,"B06-GG-41"]</x:v>
      </x:c>
      <x:c r="AF576" t="n">
        <x:f>IF(ISNUMBER(H576),1,0)</x:f>
        <x:v>1</x:v>
      </x:c>
      <x:c r="AG576" t="n">
        <x:f>IF(ISNUMBER(I576),1,0)</x:f>
        <x:v>0</x:v>
      </x:c>
      <x:c r="AH576" t="str">
        <x:v>["B06","B06-GG","GG","金色格利特"]</x:v>
      </x:c>
      <x:c r="AI576" t="n">
        <x:f>IF(ISNUMBER(G576),1,0)</x:f>
        <x:v>1</x:v>
      </x:c>
      <x:c r="AJ576" t="n">
        <x:f>IF(ISNUMBER(AD576),1,0)</x:f>
        <x:v>0</x:v>
      </x:c>
    </x:row>
    <x:row r="577" ht="30" customHeight="1">
      <x:c r="A577" s="3" t="str">
        <x:v>B06-GY-40</x:v>
      </x:c>
      <x:c r="B577" s="3" t="str">
        <x:v>1店-MUSSHOE-US</x:v>
      </x:c>
      <x:c r="C577" s="3" t="str">
        <x:v>艾年</x:v>
      </x:c>
      <x:c r="D577" s="3" t="str">
        <x:v>B06</x:v>
      </x:c>
      <x:c r="E577" s="3" t="str">
        <x:f>IF(Z577="移出","已移出",IF(NOT(ISNUMBER(H577)),"数据待核",IF(H577=0,"断货",IF(NOT(ISNUMBER(G577)),"数据待核",IF(G577=0,"零日销待复核",IF(F577&lt;60,"补货提醒",IF(F577&lt;=90,"正常库存",IF(F577&lt;180,"促销",IF(F577&lt;=365,"红线促销","考虑清仓")))))))))</x:f>
        <x:v>断货</x:v>
      </x:c>
      <x:c r="F577" s="11" t="str">
        <x:f>IF(AND(ISNUMBER(H577),ISNUMBER(G577),G577&gt;0),H577/G577,"")</x:f>
      </x:c>
      <x:c r="G577" s="12" t="n">
        <x:f>IF(AND(COUNT(P577:R577)=3,MIN(P577:R577)&gt;=0,P577&lt;=Q577,Q577&lt;=R577),P577/7*0.5+Q577/14*0.3+R577/30*0.2,"")</x:f>
        <x:v>0</x:v>
      </x:c>
      <x:c r="H577" s="10" t="n">
        <x:f>IF(ISNUMBER(U577),U577,"")</x:f>
        <x:v>0</x:v>
      </x:c>
      <x:c r="I577" s="10" t="n">
        <x:v>0</x:v>
      </x:c>
      <x:c r="J577" s="11" t="str">
        <x:f>IF(AND(Z577="共同",ISNUMBER(F577),ISNUMBER(M577)),F577-M577,"")</x:f>
      </x:c>
      <x:c r="K577" s="13" t="str">
        <x:f>IF(AND(ISNUMBER(J577),M577&lt;&gt;0),J577/M577,"")</x:f>
      </x:c>
      <x:c r="L577" s="10" t="str">
        <x:v>断货</x:v>
      </x:c>
      <x:c r="M577" s="11"/>
      <x:c r="N577" s="10" t="n">
        <x:f>IF(AND(Z577="共同",COUNT(H577:I577)=2),H577-I577,"")</x:f>
        <x:v>0</x:v>
      </x:c>
      <x:c r="O577" s="10" t="n">
        <x:v>0</x:v>
      </x:c>
      <x:c r="P577" s="10" t="n">
        <x:v>0</x:v>
      </x:c>
      <x:c r="Q577" s="10" t="n">
        <x:v>0</x:v>
      </x:c>
      <x:c r="R577" s="10" t="n">
        <x:v>0</x:v>
      </x:c>
      <x:c r="S577" s="10" t="n">
        <x:v>0</x:v>
      </x:c>
      <x:c r="T577" s="10" t="n">
        <x:v>0</x:v>
      </x:c>
      <x:c r="U577" s="10" t="n">
        <x:f>IF(AND(ISNUMBER(X577),X577&gt;=0,Y577&lt;&gt;1),X577,"")</x:f>
        <x:v>0</x:v>
      </x:c>
      <x:c r="V577" s="10" t="n">
        <x:v>0</x:v>
      </x:c>
      <x:c r="W577" s="10" t="n">
        <x:v>0</x:v>
      </x:c>
      <x:c r="X577" s="10" t="n">
        <x:v>0</x:v>
      </x:c>
      <x:c r="Y577" s="3" t="n">
        <x:v>0</x:v>
      </x:c>
      <x:c r="Z577" s="3" t="str">
        <x:v>共同</x:v>
      </x:c>
      <x:c r="AA577" s="3" t="str">
        <x:v>停售</x:v>
      </x:c>
      <x:c r="AB577" s="12" t="str">
        <x:f>IF(AND(Z577="共同",ISNUMBER(G577),ISNUMBER(AD577)),G577-AD577,"")</x:f>
      </x:c>
      <x:c r="AC577" s="3" t="str">
        <x:v>近90天SKU销量未匹配，未按0处理</x:v>
      </x:c>
      <x:c r="AD577" s="12"/>
      <x:c r="AE577" s="3" t="str">
        <x:v>[13120,"B06-GY-40"]</x:v>
      </x:c>
      <x:c r="AF577" t="n">
        <x:f>IF(ISNUMBER(H577),1,0)</x:f>
        <x:v>1</x:v>
      </x:c>
      <x:c r="AG577" t="n">
        <x:f>IF(ISNUMBER(I577),1,0)</x:f>
        <x:v>1</x:v>
      </x:c>
      <x:c r="AH577" t="str">
        <x:v>["B06","B06-GY","GY","灰色羊京绒"]</x:v>
      </x:c>
      <x:c r="AI577" t="n">
        <x:f>IF(ISNUMBER(G577),1,0)</x:f>
        <x:v>1</x:v>
      </x:c>
      <x:c r="AJ577" t="n">
        <x:f>IF(ISNUMBER(AD577),1,0)</x:f>
        <x:v>0</x:v>
      </x:c>
    </x:row>
    <x:row r="578" ht="30" customHeight="1">
      <x:c r="A578" s="3" t="str">
        <x:v>B06-GY-40.5</x:v>
      </x:c>
      <x:c r="B578" s="3" t="str">
        <x:v>1店-MUSSHOE-US</x:v>
      </x:c>
      <x:c r="C578" s="3" t="str">
        <x:v>艾年</x:v>
      </x:c>
      <x:c r="D578" s="3" t="str">
        <x:v>B06</x:v>
      </x:c>
      <x:c r="E578" s="3" t="str">
        <x:f>IF(Z578="移出","已移出",IF(NOT(ISNUMBER(H578)),"数据待核",IF(H578=0,"断货",IF(NOT(ISNUMBER(G578)),"数据待核",IF(G578=0,"零日销待复核",IF(F578&lt;60,"补货提醒",IF(F578&lt;=90,"正常库存",IF(F578&lt;180,"促销",IF(F578&lt;=365,"红线促销","考虑清仓")))))))))</x:f>
        <x:v>断货</x:v>
      </x:c>
      <x:c r="F578" s="11" t="str">
        <x:f>IF(AND(ISNUMBER(H578),ISNUMBER(G578),G578&gt;0),H578/G578,"")</x:f>
      </x:c>
      <x:c r="G578" s="12" t="n">
        <x:f>IF(AND(COUNT(P578:R578)=3,MIN(P578:R578)&gt;=0,P578&lt;=Q578,Q578&lt;=R578),P578/7*0.5+Q578/14*0.3+R578/30*0.2,"")</x:f>
        <x:v>0</x:v>
      </x:c>
      <x:c r="H578" s="10" t="n">
        <x:f>IF(ISNUMBER(U578),U578,"")</x:f>
        <x:v>0</x:v>
      </x:c>
      <x:c r="I578" s="10" t="n">
        <x:v>0</x:v>
      </x:c>
      <x:c r="J578" s="11" t="str">
        <x:f>IF(AND(Z578="共同",ISNUMBER(F578),ISNUMBER(M578)),F578-M578,"")</x:f>
      </x:c>
      <x:c r="K578" s="13" t="str">
        <x:f>IF(AND(ISNUMBER(J578),M578&lt;&gt;0),J578/M578,"")</x:f>
      </x:c>
      <x:c r="L578" s="10" t="str">
        <x:v>断货</x:v>
      </x:c>
      <x:c r="M578" s="11"/>
      <x:c r="N578" s="10" t="n">
        <x:f>IF(AND(Z578="共同",COUNT(H578:I578)=2),H578-I578,"")</x:f>
        <x:v>0</x:v>
      </x:c>
      <x:c r="O578" s="10"/>
      <x:c r="P578" s="10" t="n">
        <x:v>0</x:v>
      </x:c>
      <x:c r="Q578" s="10" t="n">
        <x:v>0</x:v>
      </x:c>
      <x:c r="R578" s="10" t="n">
        <x:v>0</x:v>
      </x:c>
      <x:c r="S578" s="10" t="n">
        <x:v>0</x:v>
      </x:c>
      <x:c r="T578" s="10" t="n">
        <x:v>0</x:v>
      </x:c>
      <x:c r="U578" s="10" t="n">
        <x:f>IF(AND(ISNUMBER(X578),X578&gt;=0,Y578&lt;&gt;1),X578,"")</x:f>
        <x:v>0</x:v>
      </x:c>
      <x:c r="V578" s="10" t="n">
        <x:v>0</x:v>
      </x:c>
      <x:c r="W578" s="10" t="n">
        <x:v>0</x:v>
      </x:c>
      <x:c r="X578" s="10" t="n">
        <x:v>0</x:v>
      </x:c>
      <x:c r="Y578" s="3" t="n">
        <x:v>0</x:v>
      </x:c>
      <x:c r="Z578" s="3" t="str">
        <x:v>共同</x:v>
      </x:c>
      <x:c r="AA578" s="3" t="str">
        <x:v>停售</x:v>
      </x:c>
      <x:c r="AB578" s="12" t="str">
        <x:f>IF(AND(Z578="共同",ISNUMBER(G578),ISNUMBER(AD578)),G578-AD578,"")</x:f>
      </x:c>
      <x:c r="AC578" s="3" t="str">
        <x:v>近90天SKU销量未匹配，未按0处理</x:v>
      </x:c>
      <x:c r="AD578" s="12"/>
      <x:c r="AE578" s="3" t="str">
        <x:v>[13120,"B06-GY-40.5"]</x:v>
      </x:c>
      <x:c r="AF578" t="n">
        <x:f>IF(ISNUMBER(H578),1,0)</x:f>
        <x:v>1</x:v>
      </x:c>
      <x:c r="AG578" t="n">
        <x:f>IF(ISNUMBER(I578),1,0)</x:f>
        <x:v>1</x:v>
      </x:c>
      <x:c r="AH578" t="str">
        <x:v>["B06","B06-GY","GY","灰色羊京绒"]</x:v>
      </x:c>
      <x:c r="AI578" t="n">
        <x:f>IF(ISNUMBER(G578),1,0)</x:f>
        <x:v>1</x:v>
      </x:c>
      <x:c r="AJ578" t="n">
        <x:f>IF(ISNUMBER(AD578),1,0)</x:f>
        <x:v>0</x:v>
      </x:c>
    </x:row>
    <x:row r="579" ht="30" customHeight="1">
      <x:c r="A579" s="3" t="str">
        <x:v>B06-GY-41</x:v>
      </x:c>
      <x:c r="B579" s="3" t="str">
        <x:v>1店-MUSSHOE-US</x:v>
      </x:c>
      <x:c r="C579" s="3" t="str">
        <x:v>艾年</x:v>
      </x:c>
      <x:c r="D579" s="3" t="str">
        <x:v>B06</x:v>
      </x:c>
      <x:c r="E579" s="3" t="str">
        <x:f>IF(Z579="移出","已移出",IF(NOT(ISNUMBER(H579)),"数据待核",IF(H579=0,"断货",IF(NOT(ISNUMBER(G579)),"数据待核",IF(G579=0,"零日销待复核",IF(F579&lt;60,"补货提醒",IF(F579&lt;=90,"正常库存",IF(F579&lt;180,"促销",IF(F579&lt;=365,"红线促销","考虑清仓")))))))))</x:f>
        <x:v>断货</x:v>
      </x:c>
      <x:c r="F579" s="11" t="str">
        <x:f>IF(AND(ISNUMBER(H579),ISNUMBER(G579),G579&gt;0),H579/G579,"")</x:f>
      </x:c>
      <x:c r="G579" s="12" t="n">
        <x:f>IF(AND(COUNT(P579:R579)=3,MIN(P579:R579)&gt;=0,P579&lt;=Q579,Q579&lt;=R579),P579/7*0.5+Q579/14*0.3+R579/30*0.2,"")</x:f>
        <x:v>0</x:v>
      </x:c>
      <x:c r="H579" s="10" t="n">
        <x:f>IF(ISNUMBER(U579),U579,"")</x:f>
        <x:v>0</x:v>
      </x:c>
      <x:c r="I579" s="10" t="n">
        <x:v>0</x:v>
      </x:c>
      <x:c r="J579" s="11" t="str">
        <x:f>IF(AND(Z579="共同",ISNUMBER(F579),ISNUMBER(M579)),F579-M579,"")</x:f>
      </x:c>
      <x:c r="K579" s="13" t="str">
        <x:f>IF(AND(ISNUMBER(J579),M579&lt;&gt;0),J579/M579,"")</x:f>
      </x:c>
      <x:c r="L579" s="10" t="str">
        <x:v>断货</x:v>
      </x:c>
      <x:c r="M579" s="11"/>
      <x:c r="N579" s="10" t="n">
        <x:f>IF(AND(Z579="共同",COUNT(H579:I579)=2),H579-I579,"")</x:f>
        <x:v>0</x:v>
      </x:c>
      <x:c r="O579" s="10"/>
      <x:c r="P579" s="10" t="n">
        <x:v>0</x:v>
      </x:c>
      <x:c r="Q579" s="10" t="n">
        <x:v>0</x:v>
      </x:c>
      <x:c r="R579" s="10" t="n">
        <x:v>0</x:v>
      </x:c>
      <x:c r="S579" s="10" t="n">
        <x:v>0</x:v>
      </x:c>
      <x:c r="T579" s="10" t="n">
        <x:v>0</x:v>
      </x:c>
      <x:c r="U579" s="10" t="n">
        <x:f>IF(AND(ISNUMBER(X579),X579&gt;=0,Y579&lt;&gt;1),X579,"")</x:f>
        <x:v>0</x:v>
      </x:c>
      <x:c r="V579" s="10" t="n">
        <x:v>0</x:v>
      </x:c>
      <x:c r="W579" s="10" t="n">
        <x:v>0</x:v>
      </x:c>
      <x:c r="X579" s="10" t="n">
        <x:v>0</x:v>
      </x:c>
      <x:c r="Y579" s="3" t="n">
        <x:v>0</x:v>
      </x:c>
      <x:c r="Z579" s="3" t="str">
        <x:v>共同</x:v>
      </x:c>
      <x:c r="AA579" s="3" t="str">
        <x:v>停售</x:v>
      </x:c>
      <x:c r="AB579" s="12" t="str">
        <x:f>IF(AND(Z579="共同",ISNUMBER(G579),ISNUMBER(AD579)),G579-AD579,"")</x:f>
      </x:c>
      <x:c r="AC579" s="3" t="str">
        <x:v>近90天SKU销量未匹配，未按0处理</x:v>
      </x:c>
      <x:c r="AD579" s="12"/>
      <x:c r="AE579" s="3" t="str">
        <x:v>[13120,"B06-GY-41"]</x:v>
      </x:c>
      <x:c r="AF579" t="n">
        <x:f>IF(ISNUMBER(H579),1,0)</x:f>
        <x:v>1</x:v>
      </x:c>
      <x:c r="AG579" t="n">
        <x:f>IF(ISNUMBER(I579),1,0)</x:f>
        <x:v>1</x:v>
      </x:c>
      <x:c r="AH579" t="str">
        <x:v>["B06","B06-GY","GY","灰色羊京绒"]</x:v>
      </x:c>
      <x:c r="AI579" t="n">
        <x:f>IF(ISNUMBER(G579),1,0)</x:f>
        <x:v>1</x:v>
      </x:c>
      <x:c r="AJ579" t="n">
        <x:f>IF(ISNUMBER(AD579),1,0)</x:f>
        <x:v>0</x:v>
      </x:c>
    </x:row>
    <x:row r="580" ht="30" customHeight="1">
      <x:c r="A580" s="3" t="str">
        <x:v>B06-HP-38</x:v>
      </x:c>
      <x:c r="B580" s="3" t="str">
        <x:v>1店-MUSSHOE-US</x:v>
      </x:c>
      <x:c r="C580" s="3" t="str">
        <x:v>艾年</x:v>
      </x:c>
      <x:c r="D580" s="3" t="str">
        <x:v>B06</x:v>
      </x:c>
      <x:c r="E580" s="3" t="str">
        <x:f>IF(Z580="移出","已移出",IF(NOT(ISNUMBER(H580)),"数据待核",IF(H580=0,"断货",IF(NOT(ISNUMBER(G580)),"数据待核",IF(G580=0,"零日销待复核",IF(F580&lt;60,"补货提醒",IF(F580&lt;=90,"正常库存",IF(F580&lt;180,"促销",IF(F580&lt;=365,"红线促销","考虑清仓")))))))))</x:f>
        <x:v>断货</x:v>
      </x:c>
      <x:c r="F580" s="11" t="str">
        <x:f>IF(AND(ISNUMBER(H580),ISNUMBER(G580),G580&gt;0),H580/G580,"")</x:f>
      </x:c>
      <x:c r="G580" s="12" t="n">
        <x:f>IF(AND(COUNT(P580:R580)=3,MIN(P580:R580)&gt;=0,P580&lt;=Q580,Q580&lt;=R580),P580/7*0.5+Q580/14*0.3+R580/30*0.2,"")</x:f>
        <x:v>0</x:v>
      </x:c>
      <x:c r="H580" s="10" t="n">
        <x:f>IF(ISNUMBER(U580),U580,"")</x:f>
        <x:v>0</x:v>
      </x:c>
      <x:c r="I580" s="10"/>
      <x:c r="J580" s="11" t="str">
        <x:f>IF(AND(Z580="共同",ISNUMBER(F580),ISNUMBER(M580)),F580-M580,"")</x:f>
      </x:c>
      <x:c r="K580" s="13" t="str">
        <x:f>IF(AND(ISNUMBER(J580),M580&lt;&gt;0),J580/M580,"")</x:f>
      </x:c>
      <x:c r="L580" s="10"/>
      <x:c r="M580" s="11"/>
      <x:c r="N580" s="10" t="str">
        <x:f>IF(AND(Z580="共同",COUNT(H580:I580)=2),H580-I580,"")</x:f>
      </x:c>
      <x:c r="O580" s="10"/>
      <x:c r="P580" s="10" t="n">
        <x:v>0</x:v>
      </x:c>
      <x:c r="Q580" s="10" t="n">
        <x:v>0</x:v>
      </x:c>
      <x:c r="R580" s="10" t="n">
        <x:v>0</x:v>
      </x:c>
      <x:c r="S580" s="10" t="n">
        <x:v>0</x:v>
      </x:c>
      <x:c r="T580" s="10" t="n">
        <x:v>0</x:v>
      </x:c>
      <x:c r="U580" s="10" t="n">
        <x:f>IF(AND(ISNUMBER(X580),X580&gt;=0,Y580&lt;&gt;1),X580,"")</x:f>
        <x:v>0</x:v>
      </x:c>
      <x:c r="V580" s="10" t="n">
        <x:v>0</x:v>
      </x:c>
      <x:c r="W580" s="10" t="n">
        <x:v>0</x:v>
      </x:c>
      <x:c r="X580" s="10" t="n">
        <x:v>0</x:v>
      </x:c>
      <x:c r="Y580" s="3" t="n">
        <x:v>0</x:v>
      </x:c>
      <x:c r="Z580" s="3" t="str">
        <x:v>新增</x:v>
      </x:c>
      <x:c r="AA580" s="3" t="str">
        <x:v>停售</x:v>
      </x:c>
      <x:c r="AB580" s="12" t="str">
        <x:f>IF(AND(Z580="共同",ISNUMBER(G580),ISNUMBER(AD580)),G580-AD580,"")</x:f>
      </x:c>
      <x:c r="AC580" s="3" t="str">
        <x:v>近90天SKU销量未匹配，未按0处理</x:v>
      </x:c>
      <x:c r="AD580" s="12"/>
      <x:c r="AE580" s="3" t="str">
        <x:v>[13120,"B06-HP-38"]</x:v>
      </x:c>
      <x:c r="AF580" t="n">
        <x:f>IF(ISNUMBER(H580),1,0)</x:f>
        <x:v>1</x:v>
      </x:c>
      <x:c r="AG580" t="n">
        <x:f>IF(ISNUMBER(I580),1,0)</x:f>
        <x:v>0</x:v>
      </x:c>
      <x:c r="AH580" t="str">
        <x:v>["B06","B06-HP","HP","芭比粉羊京绒"]</x:v>
      </x:c>
      <x:c r="AI580" t="n">
        <x:f>IF(ISNUMBER(G580),1,0)</x:f>
        <x:v>1</x:v>
      </x:c>
      <x:c r="AJ580" t="n">
        <x:f>IF(ISNUMBER(AD580),1,0)</x:f>
        <x:v>0</x:v>
      </x:c>
    </x:row>
    <x:row r="581" ht="30" customHeight="1">
      <x:c r="A581" s="3" t="str">
        <x:v>B06-HP-38.5</x:v>
      </x:c>
      <x:c r="B581" s="3" t="str">
        <x:v>1店-MUSSHOE-US</x:v>
      </x:c>
      <x:c r="C581" s="3" t="str">
        <x:v>艾年</x:v>
      </x:c>
      <x:c r="D581" s="3" t="str">
        <x:v>B06</x:v>
      </x:c>
      <x:c r="E581" s="3" t="str">
        <x:f>IF(Z581="移出","已移出",IF(NOT(ISNUMBER(H581)),"数据待核",IF(H581=0,"断货",IF(NOT(ISNUMBER(G581)),"数据待核",IF(G581=0,"零日销待复核",IF(F581&lt;60,"补货提醒",IF(F581&lt;=90,"正常库存",IF(F581&lt;180,"促销",IF(F581&lt;=365,"红线促销","考虑清仓")))))))))</x:f>
        <x:v>断货</x:v>
      </x:c>
      <x:c r="F581" s="11" t="str">
        <x:f>IF(AND(ISNUMBER(H581),ISNUMBER(G581),G581&gt;0),H581/G581,"")</x:f>
      </x:c>
      <x:c r="G581" s="12" t="n">
        <x:f>IF(AND(COUNT(P581:R581)=3,MIN(P581:R581)&gt;=0,P581&lt;=Q581,Q581&lt;=R581),P581/7*0.5+Q581/14*0.3+R581/30*0.2,"")</x:f>
        <x:v>0</x:v>
      </x:c>
      <x:c r="H581" s="10" t="n">
        <x:f>IF(ISNUMBER(U581),U581,"")</x:f>
        <x:v>0</x:v>
      </x:c>
      <x:c r="I581" s="10"/>
      <x:c r="J581" s="11" t="str">
        <x:f>IF(AND(Z581="共同",ISNUMBER(F581),ISNUMBER(M581)),F581-M581,"")</x:f>
      </x:c>
      <x:c r="K581" s="13" t="str">
        <x:f>IF(AND(ISNUMBER(J581),M581&lt;&gt;0),J581/M581,"")</x:f>
      </x:c>
      <x:c r="L581" s="10"/>
      <x:c r="M581" s="11"/>
      <x:c r="N581" s="10" t="str">
        <x:f>IF(AND(Z581="共同",COUNT(H581:I581)=2),H581-I581,"")</x:f>
      </x:c>
      <x:c r="O581" s="10" t="n">
        <x:v>0</x:v>
      </x:c>
      <x:c r="P581" s="10" t="n">
        <x:v>0</x:v>
      </x:c>
      <x:c r="Q581" s="10" t="n">
        <x:v>0</x:v>
      </x:c>
      <x:c r="R581" s="10" t="n">
        <x:v>0</x:v>
      </x:c>
      <x:c r="S581" s="10" t="n">
        <x:v>0</x:v>
      </x:c>
      <x:c r="T581" s="10" t="n">
        <x:v>0</x:v>
      </x:c>
      <x:c r="U581" s="10" t="n">
        <x:f>IF(AND(ISNUMBER(X581),X581&gt;=0,Y581&lt;&gt;1),X581,"")</x:f>
        <x:v>0</x:v>
      </x:c>
      <x:c r="V581" s="10" t="n">
        <x:v>0</x:v>
      </x:c>
      <x:c r="W581" s="10" t="n">
        <x:v>0</x:v>
      </x:c>
      <x:c r="X581" s="10" t="n">
        <x:v>0</x:v>
      </x:c>
      <x:c r="Y581" s="3" t="n">
        <x:v>0</x:v>
      </x:c>
      <x:c r="Z581" s="3" t="str">
        <x:v>新增</x:v>
      </x:c>
      <x:c r="AA581" s="3" t="str">
        <x:v>停售</x:v>
      </x:c>
      <x:c r="AB581" s="12" t="str">
        <x:f>IF(AND(Z581="共同",ISNUMBER(G581),ISNUMBER(AD581)),G581-AD581,"")</x:f>
      </x:c>
      <x:c r="AC581" s="3" t="str">
        <x:v>近90天SKU销量未匹配，未按0处理</x:v>
      </x:c>
      <x:c r="AD581" s="12"/>
      <x:c r="AE581" s="3" t="str">
        <x:v>[13120,"B06-HP-38.5"]</x:v>
      </x:c>
      <x:c r="AF581" t="n">
        <x:f>IF(ISNUMBER(H581),1,0)</x:f>
        <x:v>1</x:v>
      </x:c>
      <x:c r="AG581" t="n">
        <x:f>IF(ISNUMBER(I581),1,0)</x:f>
        <x:v>0</x:v>
      </x:c>
      <x:c r="AH581" t="str">
        <x:v>["B06","B06-HP","HP","芭比粉羊京绒"]</x:v>
      </x:c>
      <x:c r="AI581" t="n">
        <x:f>IF(ISNUMBER(G581),1,0)</x:f>
        <x:v>1</x:v>
      </x:c>
      <x:c r="AJ581" t="n">
        <x:f>IF(ISNUMBER(AD581),1,0)</x:f>
        <x:v>0</x:v>
      </x:c>
    </x:row>
    <x:row r="582" ht="30" customHeight="1">
      <x:c r="A582" s="3" t="str">
        <x:v>B06-HP-39.5</x:v>
      </x:c>
      <x:c r="B582" s="3" t="str">
        <x:v>1店-MUSSHOE-US</x:v>
      </x:c>
      <x:c r="C582" s="3" t="str">
        <x:v>艾年</x:v>
      </x:c>
      <x:c r="D582" s="3" t="str">
        <x:v>B06</x:v>
      </x:c>
      <x:c r="E582" s="3" t="str">
        <x:f>IF(Z582="移出","已移出",IF(NOT(ISNUMBER(H582)),"数据待核",IF(H582=0,"断货",IF(NOT(ISNUMBER(G582)),"数据待核",IF(G582=0,"零日销待复核",IF(F582&lt;60,"补货提醒",IF(F582&lt;=90,"正常库存",IF(F582&lt;180,"促销",IF(F582&lt;=365,"红线促销","考虑清仓")))))))))</x:f>
        <x:v>断货</x:v>
      </x:c>
      <x:c r="F582" s="11" t="str">
        <x:f>IF(AND(ISNUMBER(H582),ISNUMBER(G582),G582&gt;0),H582/G582,"")</x:f>
      </x:c>
      <x:c r="G582" s="12" t="n">
        <x:f>IF(AND(COUNT(P582:R582)=3,MIN(P582:R582)&gt;=0,P582&lt;=Q582,Q582&lt;=R582),P582/7*0.5+Q582/14*0.3+R582/30*0.2,"")</x:f>
        <x:v>0</x:v>
      </x:c>
      <x:c r="H582" s="10" t="n">
        <x:f>IF(ISNUMBER(U582),U582,"")</x:f>
        <x:v>0</x:v>
      </x:c>
      <x:c r="I582" s="10"/>
      <x:c r="J582" s="11" t="str">
        <x:f>IF(AND(Z582="共同",ISNUMBER(F582),ISNUMBER(M582)),F582-M582,"")</x:f>
      </x:c>
      <x:c r="K582" s="13" t="str">
        <x:f>IF(AND(ISNUMBER(J582),M582&lt;&gt;0),J582/M582,"")</x:f>
      </x:c>
      <x:c r="L582" s="10"/>
      <x:c r="M582" s="11"/>
      <x:c r="N582" s="10" t="str">
        <x:f>IF(AND(Z582="共同",COUNT(H582:I582)=2),H582-I582,"")</x:f>
      </x:c>
      <x:c r="O582" s="10" t="n">
        <x:v>0</x:v>
      </x:c>
      <x:c r="P582" s="10" t="n">
        <x:v>0</x:v>
      </x:c>
      <x:c r="Q582" s="10" t="n">
        <x:v>0</x:v>
      </x:c>
      <x:c r="R582" s="10" t="n">
        <x:v>0</x:v>
      </x:c>
      <x:c r="S582" s="10" t="n">
        <x:v>0</x:v>
      </x:c>
      <x:c r="T582" s="10" t="n">
        <x:v>0</x:v>
      </x:c>
      <x:c r="U582" s="10" t="n">
        <x:f>IF(AND(ISNUMBER(X582),X582&gt;=0,Y582&lt;&gt;1),X582,"")</x:f>
        <x:v>0</x:v>
      </x:c>
      <x:c r="V582" s="10" t="n">
        <x:v>0</x:v>
      </x:c>
      <x:c r="W582" s="10" t="n">
        <x:v>0</x:v>
      </x:c>
      <x:c r="X582" s="10" t="n">
        <x:v>0</x:v>
      </x:c>
      <x:c r="Y582" s="3" t="n">
        <x:v>0</x:v>
      </x:c>
      <x:c r="Z582" s="3" t="str">
        <x:v>新增</x:v>
      </x:c>
      <x:c r="AA582" s="3" t="str">
        <x:v>停售</x:v>
      </x:c>
      <x:c r="AB582" s="12" t="str">
        <x:f>IF(AND(Z582="共同",ISNUMBER(G582),ISNUMBER(AD582)),G582-AD582,"")</x:f>
      </x:c>
      <x:c r="AC582" s="3" t="str">
        <x:v>近90天SKU销量未匹配，未按0处理</x:v>
      </x:c>
      <x:c r="AD582" s="12"/>
      <x:c r="AE582" s="3" t="str">
        <x:v>[13120,"B06-HP-39.5"]</x:v>
      </x:c>
      <x:c r="AF582" t="n">
        <x:f>IF(ISNUMBER(H582),1,0)</x:f>
        <x:v>1</x:v>
      </x:c>
      <x:c r="AG582" t="n">
        <x:f>IF(ISNUMBER(I582),1,0)</x:f>
        <x:v>0</x:v>
      </x:c>
      <x:c r="AH582" t="str">
        <x:v>["B06","B06-HP","HP","芭比粉羊京绒"]</x:v>
      </x:c>
      <x:c r="AI582" t="n">
        <x:f>IF(ISNUMBER(G582),1,0)</x:f>
        <x:v>1</x:v>
      </x:c>
      <x:c r="AJ582" t="n">
        <x:f>IF(ISNUMBER(AD582),1,0)</x:f>
        <x:v>0</x:v>
      </x:c>
    </x:row>
    <x:row r="583" ht="30" customHeight="1">
      <x:c r="A583" s="3" t="str">
        <x:v>B06-HP-40.5</x:v>
      </x:c>
      <x:c r="B583" s="3" t="str">
        <x:v>1店-MUSSHOE-US</x:v>
      </x:c>
      <x:c r="C583" s="3" t="str">
        <x:v>艾年</x:v>
      </x:c>
      <x:c r="D583" s="3" t="str">
        <x:v>B06</x:v>
      </x:c>
      <x:c r="E583" s="3" t="str">
        <x:f>IF(Z583="移出","已移出",IF(NOT(ISNUMBER(H583)),"数据待核",IF(H583=0,"断货",IF(NOT(ISNUMBER(G583)),"数据待核",IF(G583=0,"零日销待复核",IF(F583&lt;60,"补货提醒",IF(F583&lt;=90,"正常库存",IF(F583&lt;180,"促销",IF(F583&lt;=365,"红线促销","考虑清仓")))))))))</x:f>
        <x:v>断货</x:v>
      </x:c>
      <x:c r="F583" s="11" t="str">
        <x:f>IF(AND(ISNUMBER(H583),ISNUMBER(G583),G583&gt;0),H583/G583,"")</x:f>
      </x:c>
      <x:c r="G583" s="12" t="n">
        <x:f>IF(AND(COUNT(P583:R583)=3,MIN(P583:R583)&gt;=0,P583&lt;=Q583,Q583&lt;=R583),P583/7*0.5+Q583/14*0.3+R583/30*0.2,"")</x:f>
        <x:v>0</x:v>
      </x:c>
      <x:c r="H583" s="10" t="n">
        <x:f>IF(ISNUMBER(U583),U583,"")</x:f>
        <x:v>0</x:v>
      </x:c>
      <x:c r="I583" s="10"/>
      <x:c r="J583" s="11" t="str">
        <x:f>IF(AND(Z583="共同",ISNUMBER(F583),ISNUMBER(M583)),F583-M583,"")</x:f>
      </x:c>
      <x:c r="K583" s="13" t="str">
        <x:f>IF(AND(ISNUMBER(J583),M583&lt;&gt;0),J583/M583,"")</x:f>
      </x:c>
      <x:c r="L583" s="10"/>
      <x:c r="M583" s="11"/>
      <x:c r="N583" s="10" t="str">
        <x:f>IF(AND(Z583="共同",COUNT(H583:I583)=2),H583-I583,"")</x:f>
      </x:c>
      <x:c r="O583" s="10" t="n">
        <x:v>0</x:v>
      </x:c>
      <x:c r="P583" s="10" t="n">
        <x:v>0</x:v>
      </x:c>
      <x:c r="Q583" s="10" t="n">
        <x:v>0</x:v>
      </x:c>
      <x:c r="R583" s="10" t="n">
        <x:v>0</x:v>
      </x:c>
      <x:c r="S583" s="10" t="n">
        <x:v>0</x:v>
      </x:c>
      <x:c r="T583" s="10" t="n">
        <x:v>0</x:v>
      </x:c>
      <x:c r="U583" s="10" t="n">
        <x:f>IF(AND(ISNUMBER(X583),X583&gt;=0,Y583&lt;&gt;1),X583,"")</x:f>
        <x:v>0</x:v>
      </x:c>
      <x:c r="V583" s="10" t="n">
        <x:v>0</x:v>
      </x:c>
      <x:c r="W583" s="10" t="n">
        <x:v>0</x:v>
      </x:c>
      <x:c r="X583" s="10" t="n">
        <x:v>0</x:v>
      </x:c>
      <x:c r="Y583" s="3" t="n">
        <x:v>0</x:v>
      </x:c>
      <x:c r="Z583" s="3" t="str">
        <x:v>新增</x:v>
      </x:c>
      <x:c r="AA583" s="3" t="str">
        <x:v>停售</x:v>
      </x:c>
      <x:c r="AB583" s="12" t="str">
        <x:f>IF(AND(Z583="共同",ISNUMBER(G583),ISNUMBER(AD583)),G583-AD583,"")</x:f>
      </x:c>
      <x:c r="AC583" s="3" t="str">
        <x:v>近90天SKU销量未匹配，未按0处理</x:v>
      </x:c>
      <x:c r="AD583" s="12"/>
      <x:c r="AE583" s="3" t="str">
        <x:v>[13120,"B06-HP-40.5"]</x:v>
      </x:c>
      <x:c r="AF583" t="n">
        <x:f>IF(ISNUMBER(H583),1,0)</x:f>
        <x:v>1</x:v>
      </x:c>
      <x:c r="AG583" t="n">
        <x:f>IF(ISNUMBER(I583),1,0)</x:f>
        <x:v>0</x:v>
      </x:c>
      <x:c r="AH583" t="str">
        <x:v>["B06","B06-HP","HP","芭比粉羊京绒"]</x:v>
      </x:c>
      <x:c r="AI583" t="n">
        <x:f>IF(ISNUMBER(G583),1,0)</x:f>
        <x:v>1</x:v>
      </x:c>
      <x:c r="AJ583" t="n">
        <x:f>IF(ISNUMBER(AD583),1,0)</x:f>
        <x:v>0</x:v>
      </x:c>
    </x:row>
    <x:row r="584" ht="30" customHeight="1">
      <x:c r="A584" s="3" t="str">
        <x:v>B06-IV-P-0-37.5</x:v>
      </x:c>
      <x:c r="B584" s="3" t="str">
        <x:v>1店-MUSSHOE-US</x:v>
      </x:c>
      <x:c r="C584" s="3" t="str">
        <x:v>艾年</x:v>
      </x:c>
      <x:c r="D584" s="3" t="str">
        <x:v>B06</x:v>
      </x:c>
      <x:c r="E584" s="3" t="str">
        <x:f>IF(Z584="移出","已移出",IF(NOT(ISNUMBER(H584)),"数据待核",IF(H584=0,"断货",IF(NOT(ISNUMBER(G584)),"数据待核",IF(G584=0,"零日销待复核",IF(F584&lt;60,"补货提醒",IF(F584&lt;=90,"正常库存",IF(F584&lt;180,"促销",IF(F584&lt;=365,"红线促销","考虑清仓")))))))))</x:f>
        <x:v>断货</x:v>
      </x:c>
      <x:c r="F584" s="11" t="str">
        <x:f>IF(AND(ISNUMBER(H584),ISNUMBER(G584),G584&gt;0),H584/G584,"")</x:f>
      </x:c>
      <x:c r="G584" s="12" t="n">
        <x:f>IF(AND(COUNT(P584:R584)=3,MIN(P584:R584)&gt;=0,P584&lt;=Q584,Q584&lt;=R584),P584/7*0.5+Q584/14*0.3+R584/30*0.2,"")</x:f>
        <x:v>0</x:v>
      </x:c>
      <x:c r="H584" s="10" t="n">
        <x:f>IF(ISNUMBER(U584),U584,"")</x:f>
        <x:v>0</x:v>
      </x:c>
      <x:c r="I584" s="10" t="n">
        <x:v>0</x:v>
      </x:c>
      <x:c r="J584" s="11" t="str">
        <x:f>IF(AND(Z584="共同",ISNUMBER(F584),ISNUMBER(M584)),F584-M584,"")</x:f>
      </x:c>
      <x:c r="K584" s="13" t="str">
        <x:f>IF(AND(ISNUMBER(J584),M584&lt;&gt;0),J584/M584,"")</x:f>
      </x:c>
      <x:c r="L584" s="10" t="str">
        <x:v>断货</x:v>
      </x:c>
      <x:c r="M584" s="11"/>
      <x:c r="N584" s="10" t="n">
        <x:f>IF(AND(Z584="共同",COUNT(H584:I584)=2),H584-I584,"")</x:f>
        <x:v>0</x:v>
      </x:c>
      <x:c r="O584" s="10" t="n">
        <x:v>0</x:v>
      </x:c>
      <x:c r="P584" s="10" t="n">
        <x:v>0</x:v>
      </x:c>
      <x:c r="Q584" s="10" t="n">
        <x:v>0</x:v>
      </x:c>
      <x:c r="R584" s="10" t="n">
        <x:v>0</x:v>
      </x:c>
      <x:c r="S584" s="10" t="n">
        <x:v>0</x:v>
      </x:c>
      <x:c r="T584" s="10" t="n">
        <x:v>0</x:v>
      </x:c>
      <x:c r="U584" s="10" t="n">
        <x:f>IF(AND(ISNUMBER(X584),X584&gt;=0,Y584&lt;&gt;1),X584,"")</x:f>
        <x:v>0</x:v>
      </x:c>
      <x:c r="V584" s="10" t="n">
        <x:v>0</x:v>
      </x:c>
      <x:c r="W584" s="10" t="n">
        <x:v>0</x:v>
      </x:c>
      <x:c r="X584" s="10" t="n">
        <x:v>0</x:v>
      </x:c>
      <x:c r="Y584" s="3" t="n">
        <x:v>0</x:v>
      </x:c>
      <x:c r="Z584" s="3" t="str">
        <x:v>共同</x:v>
      </x:c>
      <x:c r="AA584" s="3" t="str">
        <x:v>停售</x:v>
      </x:c>
      <x:c r="AB584" s="12" t="str">
        <x:f>IF(AND(Z584="共同",ISNUMBER(G584),ISNUMBER(AD584)),G584-AD584,"")</x:f>
      </x:c>
      <x:c r="AC584" s="3" t="str">
        <x:v>近90天SKU销量未匹配，未按0处理</x:v>
      </x:c>
      <x:c r="AD584" s="12"/>
      <x:c r="AE584" s="3" t="str">
        <x:v>[13120,"B06-IV-P-0-37.5"]</x:v>
      </x:c>
      <x:c r="AF584" t="n">
        <x:f>IF(ISNUMBER(H584),1,0)</x:f>
        <x:v>1</x:v>
      </x:c>
      <x:c r="AG584" t="n">
        <x:f>IF(ISNUMBER(I584),1,0)</x:f>
        <x:v>1</x:v>
      </x:c>
      <x:c r="AH584" t="str">
        <x:v>["B06","B06-IV-P-0","IV-P","米白色PU"]</x:v>
      </x:c>
      <x:c r="AI584" t="n">
        <x:f>IF(ISNUMBER(G584),1,0)</x:f>
        <x:v>1</x:v>
      </x:c>
      <x:c r="AJ584" t="n">
        <x:f>IF(ISNUMBER(AD584),1,0)</x:f>
        <x:v>0</x:v>
      </x:c>
    </x:row>
    <x:row r="585" ht="30" customHeight="1">
      <x:c r="A585" s="3" t="str">
        <x:v>B06-IV-P-0-38</x:v>
      </x:c>
      <x:c r="B585" s="3" t="str">
        <x:v>1店-MUSSHOE-US</x:v>
      </x:c>
      <x:c r="C585" s="3" t="str">
        <x:v>艾年</x:v>
      </x:c>
      <x:c r="D585" s="3" t="str">
        <x:v>B06</x:v>
      </x:c>
      <x:c r="E585" s="3" t="str">
        <x:f>IF(Z585="移出","已移出",IF(NOT(ISNUMBER(H585)),"数据待核",IF(H585=0,"断货",IF(NOT(ISNUMBER(G585)),"数据待核",IF(G585=0,"零日销待复核",IF(F585&lt;60,"补货提醒",IF(F585&lt;=90,"正常库存",IF(F585&lt;180,"促销",IF(F585&lt;=365,"红线促销","考虑清仓")))))))))</x:f>
        <x:v>断货</x:v>
      </x:c>
      <x:c r="F585" s="11" t="str">
        <x:f>IF(AND(ISNUMBER(H585),ISNUMBER(G585),G585&gt;0),H585/G585,"")</x:f>
      </x:c>
      <x:c r="G585" s="12" t="n">
        <x:f>IF(AND(COUNT(P585:R585)=3,MIN(P585:R585)&gt;=0,P585&lt;=Q585,Q585&lt;=R585),P585/7*0.5+Q585/14*0.3+R585/30*0.2,"")</x:f>
        <x:v>0</x:v>
      </x:c>
      <x:c r="H585" s="10" t="n">
        <x:f>IF(ISNUMBER(U585),U585,"")</x:f>
        <x:v>0</x:v>
      </x:c>
      <x:c r="I585" s="10" t="n">
        <x:v>0</x:v>
      </x:c>
      <x:c r="J585" s="11" t="str">
        <x:f>IF(AND(Z585="共同",ISNUMBER(F585),ISNUMBER(M585)),F585-M585,"")</x:f>
      </x:c>
      <x:c r="K585" s="13" t="str">
        <x:f>IF(AND(ISNUMBER(J585),M585&lt;&gt;0),J585/M585,"")</x:f>
      </x:c>
      <x:c r="L585" s="10" t="str">
        <x:v>断货</x:v>
      </x:c>
      <x:c r="M585" s="11"/>
      <x:c r="N585" s="10" t="n">
        <x:f>IF(AND(Z585="共同",COUNT(H585:I585)=2),H585-I585,"")</x:f>
        <x:v>0</x:v>
      </x:c>
      <x:c r="O585" s="10" t="n">
        <x:v>0</x:v>
      </x:c>
      <x:c r="P585" s="10" t="n">
        <x:v>0</x:v>
      </x:c>
      <x:c r="Q585" s="10" t="n">
        <x:v>0</x:v>
      </x:c>
      <x:c r="R585" s="10" t="n">
        <x:v>0</x:v>
      </x:c>
      <x:c r="S585" s="10" t="n">
        <x:v>0</x:v>
      </x:c>
      <x:c r="T585" s="10" t="n">
        <x:v>0</x:v>
      </x:c>
      <x:c r="U585" s="10" t="n">
        <x:f>IF(AND(ISNUMBER(X585),X585&gt;=0,Y585&lt;&gt;1),X585,"")</x:f>
        <x:v>0</x:v>
      </x:c>
      <x:c r="V585" s="10" t="n">
        <x:v>0</x:v>
      </x:c>
      <x:c r="W585" s="10" t="n">
        <x:v>0</x:v>
      </x:c>
      <x:c r="X585" s="10" t="n">
        <x:v>0</x:v>
      </x:c>
      <x:c r="Y585" s="3" t="n">
        <x:v>0</x:v>
      </x:c>
      <x:c r="Z585" s="3" t="str">
        <x:v>共同</x:v>
      </x:c>
      <x:c r="AA585" s="3" t="str">
        <x:v>停售</x:v>
      </x:c>
      <x:c r="AB585" s="12" t="str">
        <x:f>IF(AND(Z585="共同",ISNUMBER(G585),ISNUMBER(AD585)),G585-AD585,"")</x:f>
      </x:c>
      <x:c r="AC585" s="3" t="str">
        <x:v>近90天SKU销量未匹配，未按0处理</x:v>
      </x:c>
      <x:c r="AD585" s="12"/>
      <x:c r="AE585" s="3" t="str">
        <x:v>[13120,"B06-IV-P-0-38"]</x:v>
      </x:c>
      <x:c r="AF585" t="n">
        <x:f>IF(ISNUMBER(H585),1,0)</x:f>
        <x:v>1</x:v>
      </x:c>
      <x:c r="AG585" t="n">
        <x:f>IF(ISNUMBER(I585),1,0)</x:f>
        <x:v>1</x:v>
      </x:c>
      <x:c r="AH585" t="str">
        <x:v>["B06","B06-IV-P-0","IV-P","米白色PU"]</x:v>
      </x:c>
      <x:c r="AI585" t="n">
        <x:f>IF(ISNUMBER(G585),1,0)</x:f>
        <x:v>1</x:v>
      </x:c>
      <x:c r="AJ585" t="n">
        <x:f>IF(ISNUMBER(AD585),1,0)</x:f>
        <x:v>0</x:v>
      </x:c>
    </x:row>
    <x:row r="586" ht="30" customHeight="1">
      <x:c r="A586" s="3" t="str">
        <x:v>B06-IV-P-0-39</x:v>
      </x:c>
      <x:c r="B586" s="3" t="str">
        <x:v>1店-MUSSHOE-US</x:v>
      </x:c>
      <x:c r="C586" s="3" t="str">
        <x:v>艾年</x:v>
      </x:c>
      <x:c r="D586" s="3" t="str">
        <x:v>B06</x:v>
      </x:c>
      <x:c r="E586" s="3" t="str">
        <x:f>IF(Z586="移出","已移出",IF(NOT(ISNUMBER(H586)),"数据待核",IF(H586=0,"断货",IF(NOT(ISNUMBER(G586)),"数据待核",IF(G586=0,"零日销待复核",IF(F586&lt;60,"补货提醒",IF(F586&lt;=90,"正常库存",IF(F586&lt;180,"促销",IF(F586&lt;=365,"红线促销","考虑清仓")))))))))</x:f>
        <x:v>断货</x:v>
      </x:c>
      <x:c r="F586" s="11" t="str">
        <x:f>IF(AND(ISNUMBER(H586),ISNUMBER(G586),G586&gt;0),H586/G586,"")</x:f>
      </x:c>
      <x:c r="G586" s="12" t="n">
        <x:f>IF(AND(COUNT(P586:R586)=3,MIN(P586:R586)&gt;=0,P586&lt;=Q586,Q586&lt;=R586),P586/7*0.5+Q586/14*0.3+R586/30*0.2,"")</x:f>
        <x:v>0</x:v>
      </x:c>
      <x:c r="H586" s="10" t="n">
        <x:f>IF(ISNUMBER(U586),U586,"")</x:f>
        <x:v>0</x:v>
      </x:c>
      <x:c r="I586" s="10" t="n">
        <x:v>0</x:v>
      </x:c>
      <x:c r="J586" s="11" t="str">
        <x:f>IF(AND(Z586="共同",ISNUMBER(F586),ISNUMBER(M586)),F586-M586,"")</x:f>
      </x:c>
      <x:c r="K586" s="13" t="str">
        <x:f>IF(AND(ISNUMBER(J586),M586&lt;&gt;0),J586/M586,"")</x:f>
      </x:c>
      <x:c r="L586" s="10" t="str">
        <x:v>断货</x:v>
      </x:c>
      <x:c r="M586" s="11"/>
      <x:c r="N586" s="10" t="n">
        <x:f>IF(AND(Z586="共同",COUNT(H586:I586)=2),H586-I586,"")</x:f>
        <x:v>0</x:v>
      </x:c>
      <x:c r="O586" s="10" t="n">
        <x:v>16</x:v>
      </x:c>
      <x:c r="P586" s="10" t="n">
        <x:v>0</x:v>
      </x:c>
      <x:c r="Q586" s="10" t="n">
        <x:v>0</x:v>
      </x:c>
      <x:c r="R586" s="10" t="n">
        <x:v>0</x:v>
      </x:c>
      <x:c r="S586" s="10" t="n">
        <x:v>0</x:v>
      </x:c>
      <x:c r="T586" s="10" t="n">
        <x:v>0</x:v>
      </x:c>
      <x:c r="U586" s="10" t="n">
        <x:f>IF(AND(ISNUMBER(X586),X586&gt;=0,Y586&lt;&gt;1),X586,"")</x:f>
        <x:v>0</x:v>
      </x:c>
      <x:c r="V586" s="10" t="n">
        <x:v>0</x:v>
      </x:c>
      <x:c r="W586" s="10" t="n">
        <x:v>0</x:v>
      </x:c>
      <x:c r="X586" s="10" t="n">
        <x:v>0</x:v>
      </x:c>
      <x:c r="Y586" s="3" t="n">
        <x:v>0</x:v>
      </x:c>
      <x:c r="Z586" s="3" t="str">
        <x:v>共同</x:v>
      </x:c>
      <x:c r="AA586" s="3" t="str">
        <x:v>停售</x:v>
      </x:c>
      <x:c r="AB586" s="12" t="n">
        <x:f>IF(AND(Z586="共同",ISNUMBER(G586),ISNUMBER(AD586)),G586-AD586,"")</x:f>
        <x:v>0</x:v>
      </x:c>
      <x:c r="AC586" s="3" t="str"/>
      <x:c r="AD586" s="12" t="n">
        <x:v>0</x:v>
      </x:c>
      <x:c r="AE586" s="3" t="str">
        <x:v>[13120,"B06-IV-P-0-39"]</x:v>
      </x:c>
      <x:c r="AF586" t="n">
        <x:f>IF(ISNUMBER(H586),1,0)</x:f>
        <x:v>1</x:v>
      </x:c>
      <x:c r="AG586" t="n">
        <x:f>IF(ISNUMBER(I586),1,0)</x:f>
        <x:v>1</x:v>
      </x:c>
      <x:c r="AH586" t="str">
        <x:v>["B06","B06-IV-P-0","IV-P","米白色PU"]</x:v>
      </x:c>
      <x:c r="AI586" t="n">
        <x:f>IF(ISNUMBER(G586),1,0)</x:f>
        <x:v>1</x:v>
      </x:c>
      <x:c r="AJ586" t="n">
        <x:f>IF(ISNUMBER(AD586),1,0)</x:f>
        <x:v>1</x:v>
      </x:c>
    </x:row>
    <x:row r="587" ht="30" customHeight="1">
      <x:c r="A587" s="3" t="str">
        <x:v>B06-IV-P-0-41</x:v>
      </x:c>
      <x:c r="B587" s="3" t="str">
        <x:v>1店-MUSSHOE-US</x:v>
      </x:c>
      <x:c r="C587" s="3" t="str">
        <x:v>艾年</x:v>
      </x:c>
      <x:c r="D587" s="3" t="str">
        <x:v>B06</x:v>
      </x:c>
      <x:c r="E587" s="3" t="str">
        <x:f>IF(Z587="移出","已移出",IF(NOT(ISNUMBER(H587)),"数据待核",IF(H587=0,"断货",IF(NOT(ISNUMBER(G587)),"数据待核",IF(G587=0,"零日销待复核",IF(F587&lt;60,"补货提醒",IF(F587&lt;=90,"正常库存",IF(F587&lt;180,"促销",IF(F587&lt;=365,"红线促销","考虑清仓")))))))))</x:f>
        <x:v>断货</x:v>
      </x:c>
      <x:c r="F587" s="11" t="str">
        <x:f>IF(AND(ISNUMBER(H587),ISNUMBER(G587),G587&gt;0),H587/G587,"")</x:f>
      </x:c>
      <x:c r="G587" s="12" t="n">
        <x:f>IF(AND(COUNT(P587:R587)=3,MIN(P587:R587)&gt;=0,P587&lt;=Q587,Q587&lt;=R587),P587/7*0.5+Q587/14*0.3+R587/30*0.2,"")</x:f>
        <x:v>0</x:v>
      </x:c>
      <x:c r="H587" s="10" t="n">
        <x:f>IF(ISNUMBER(U587),U587,"")</x:f>
        <x:v>0</x:v>
      </x:c>
      <x:c r="I587" s="10" t="n">
        <x:v>0</x:v>
      </x:c>
      <x:c r="J587" s="11" t="str">
        <x:f>IF(AND(Z587="共同",ISNUMBER(F587),ISNUMBER(M587)),F587-M587,"")</x:f>
      </x:c>
      <x:c r="K587" s="13" t="str">
        <x:f>IF(AND(ISNUMBER(J587),M587&lt;&gt;0),J587/M587,"")</x:f>
      </x:c>
      <x:c r="L587" s="10" t="str">
        <x:v>断货</x:v>
      </x:c>
      <x:c r="M587" s="11"/>
      <x:c r="N587" s="10" t="n">
        <x:f>IF(AND(Z587="共同",COUNT(H587:I587)=2),H587-I587,"")</x:f>
        <x:v>0</x:v>
      </x:c>
      <x:c r="O587" s="10" t="n">
        <x:v>0</x:v>
      </x:c>
      <x:c r="P587" s="10" t="n">
        <x:v>0</x:v>
      </x:c>
      <x:c r="Q587" s="10" t="n">
        <x:v>0</x:v>
      </x:c>
      <x:c r="R587" s="10" t="n">
        <x:v>0</x:v>
      </x:c>
      <x:c r="S587" s="10" t="n">
        <x:v>0</x:v>
      </x:c>
      <x:c r="T587" s="10" t="n">
        <x:v>0</x:v>
      </x:c>
      <x:c r="U587" s="10" t="n">
        <x:f>IF(AND(ISNUMBER(X587),X587&gt;=0,Y587&lt;&gt;1),X587,"")</x:f>
        <x:v>0</x:v>
      </x:c>
      <x:c r="V587" s="10" t="n">
        <x:v>0</x:v>
      </x:c>
      <x:c r="W587" s="10" t="n">
        <x:v>0</x:v>
      </x:c>
      <x:c r="X587" s="10" t="n">
        <x:v>0</x:v>
      </x:c>
      <x:c r="Y587" s="3" t="n">
        <x:v>0</x:v>
      </x:c>
      <x:c r="Z587" s="3" t="str">
        <x:v>共同</x:v>
      </x:c>
      <x:c r="AA587" s="3" t="str">
        <x:v>停售</x:v>
      </x:c>
      <x:c r="AB587" s="12" t="str">
        <x:f>IF(AND(Z587="共同",ISNUMBER(G587),ISNUMBER(AD587)),G587-AD587,"")</x:f>
      </x:c>
      <x:c r="AC587" s="3" t="str">
        <x:v>近90天SKU销量未匹配，未按0处理</x:v>
      </x:c>
      <x:c r="AD587" s="12"/>
      <x:c r="AE587" s="3" t="str">
        <x:v>[13120,"B06-IV-P-0-41"]</x:v>
      </x:c>
      <x:c r="AF587" t="n">
        <x:f>IF(ISNUMBER(H587),1,0)</x:f>
        <x:v>1</x:v>
      </x:c>
      <x:c r="AG587" t="n">
        <x:f>IF(ISNUMBER(I587),1,0)</x:f>
        <x:v>1</x:v>
      </x:c>
      <x:c r="AH587" t="str">
        <x:v>["B06","B06-IV-P-0","IV-P","米白色PU"]</x:v>
      </x:c>
      <x:c r="AI587" t="n">
        <x:f>IF(ISNUMBER(G587),1,0)</x:f>
        <x:v>1</x:v>
      </x:c>
      <x:c r="AJ587" t="n">
        <x:f>IF(ISNUMBER(AD587),1,0)</x:f>
        <x:v>0</x:v>
      </x:c>
    </x:row>
    <x:row r="588" ht="30" customHeight="1">
      <x:c r="A588" s="3" t="str">
        <x:v>B06-LP-39.5</x:v>
      </x:c>
      <x:c r="B588" s="3" t="str">
        <x:v>1店-MUSSHOE-US</x:v>
      </x:c>
      <x:c r="C588" s="3" t="str">
        <x:v>艾年</x:v>
      </x:c>
      <x:c r="D588" s="3" t="str">
        <x:v>B06</x:v>
      </x:c>
      <x:c r="E588" s="3" t="str">
        <x:f>IF(Z588="移出","已移出",IF(NOT(ISNUMBER(H588)),"数据待核",IF(H588=0,"断货",IF(NOT(ISNUMBER(G588)),"数据待核",IF(G588=0,"零日销待复核",IF(F588&lt;60,"补货提醒",IF(F588&lt;=90,"正常库存",IF(F588&lt;180,"促销",IF(F588&lt;=365,"红线促销","考虑清仓")))))))))</x:f>
        <x:v>断货</x:v>
      </x:c>
      <x:c r="F588" s="11" t="n">
        <x:f>IF(AND(ISNUMBER(H588),ISNUMBER(G588),G588&gt;0),H588/G588,"")</x:f>
        <x:v>0</x:v>
      </x:c>
      <x:c r="G588" s="12" t="n">
        <x:f>IF(AND(COUNT(P588:R588)=3,MIN(P588:R588)&gt;=0,P588&lt;=Q588,Q588&lt;=R588),P588/7*0.5+Q588/14*0.3+R588/30*0.2,"")</x:f>
        <x:v>1.0514285714285714</x:v>
      </x:c>
      <x:c r="H588" s="10" t="n">
        <x:f>IF(ISNUMBER(U588),U588,"")</x:f>
        <x:v>0</x:v>
      </x:c>
      <x:c r="I588" s="10" t="n">
        <x:v>0</x:v>
      </x:c>
      <x:c r="J588" s="11" t="n">
        <x:f>IF(AND(Z588="共同",ISNUMBER(F588),ISNUMBER(M588)),F588-M588,"")</x:f>
        <x:v>0</x:v>
      </x:c>
      <x:c r="K588" s="13" t="str">
        <x:f>IF(AND(ISNUMBER(J588),M588&lt;&gt;0),J588/M588,"")</x:f>
      </x:c>
      <x:c r="L588" s="10" t="str">
        <x:v>断货</x:v>
      </x:c>
      <x:c r="M588" s="11" t="n">
        <x:v>0</x:v>
      </x:c>
      <x:c r="N588" s="10" t="n">
        <x:f>IF(AND(Z588="共同",COUNT(H588:I588)=2),H588-I588,"")</x:f>
        <x:v>0</x:v>
      </x:c>
      <x:c r="O588" s="10" t="n">
        <x:v>80</x:v>
      </x:c>
      <x:c r="P588" s="10" t="n">
        <x:v>8</x:v>
      </x:c>
      <x:c r="Q588" s="10" t="n">
        <x:v>14</x:v>
      </x:c>
      <x:c r="R588" s="10" t="n">
        <x:v>27</x:v>
      </x:c>
      <x:c r="S588" s="10" t="n">
        <x:v>4</x:v>
      </x:c>
      <x:c r="T588" s="10" t="n">
        <x:v>2</x:v>
      </x:c>
      <x:c r="U588" s="10" t="n">
        <x:f>IF(AND(ISNUMBER(X588),X588&gt;=0,Y588&lt;&gt;1),X588,"")</x:f>
        <x:v>0</x:v>
      </x:c>
      <x:c r="V588" s="10" t="n">
        <x:v>0</x:v>
      </x:c>
      <x:c r="W588" s="10" t="n">
        <x:v>0</x:v>
      </x:c>
      <x:c r="X588" s="10" t="n">
        <x:v>0</x:v>
      </x:c>
      <x:c r="Y588" s="3" t="n">
        <x:v>0</x:v>
      </x:c>
      <x:c r="Z588" s="3" t="str">
        <x:v>共同</x:v>
      </x:c>
      <x:c r="AA588" s="3" t="str">
        <x:v>在售</x:v>
      </x:c>
      <x:c r="AB588" s="12" t="n">
        <x:f>IF(AND(Z588="共同",ISNUMBER(G588),ISNUMBER(AD588)),G588-AD588,"")</x:f>
        <x:v>0.18714285714285717</x:v>
      </x:c>
      <x:c r="AC588" s="3" t="str"/>
      <x:c r="AD588" s="12" t="n">
        <x:v>0.8642857142857142</x:v>
      </x:c>
      <x:c r="AE588" s="3" t="str">
        <x:v>[13120,"B06-LP-39.5"]</x:v>
      </x:c>
      <x:c r="AF588" t="n">
        <x:f>IF(ISNUMBER(H588),1,0)</x:f>
        <x:v>1</x:v>
      </x:c>
      <x:c r="AG588" t="n">
        <x:f>IF(ISNUMBER(I588),1,0)</x:f>
        <x:v>1</x:v>
      </x:c>
      <x:c r="AH588" t="str">
        <x:v>["B06","B06-LP","LP","豹纹羊京绒"]</x:v>
      </x:c>
      <x:c r="AI588" t="n">
        <x:f>IF(ISNUMBER(G588),1,0)</x:f>
        <x:v>1</x:v>
      </x:c>
      <x:c r="AJ588" t="n">
        <x:f>IF(ISNUMBER(AD588),1,0)</x:f>
        <x:v>1</x:v>
      </x:c>
    </x:row>
    <x:row r="589" ht="30" customHeight="1">
      <x:c r="A589" s="3" t="str">
        <x:v>B06-LP-41</x:v>
      </x:c>
      <x:c r="B589" s="3" t="str">
        <x:v>1店-MUSSHOE-US</x:v>
      </x:c>
      <x:c r="C589" s="3" t="str">
        <x:v>艾年</x:v>
      </x:c>
      <x:c r="D589" s="3" t="str">
        <x:v>B06</x:v>
      </x:c>
      <x:c r="E589" s="3" t="str">
        <x:f>IF(Z589="移出","已移出",IF(NOT(ISNUMBER(H589)),"数据待核",IF(H589=0,"断货",IF(NOT(ISNUMBER(G589)),"数据待核",IF(G589=0,"零日销待复核",IF(F589&lt;60,"补货提醒",IF(F589&lt;=90,"正常库存",IF(F589&lt;180,"促销",IF(F589&lt;=365,"红线促销","考虑清仓")))))))))</x:f>
        <x:v>断货</x:v>
      </x:c>
      <x:c r="F589" s="11" t="n">
        <x:f>IF(AND(ISNUMBER(H589),ISNUMBER(G589),G589&gt;0),H589/G589,"")</x:f>
        <x:v>0</x:v>
      </x:c>
      <x:c r="G589" s="12" t="n">
        <x:f>IF(AND(COUNT(P589:R589)=3,MIN(P589:R589)&gt;=0,P589&lt;=Q589,Q589&lt;=R589),P589/7*0.5+Q589/14*0.3+R589/30*0.2,"")</x:f>
        <x:v>0.39809523809523806</x:v>
      </x:c>
      <x:c r="H589" s="10" t="n">
        <x:f>IF(ISNUMBER(U589),U589,"")</x:f>
        <x:v>0</x:v>
      </x:c>
      <x:c r="I589" s="10" t="n">
        <x:v>0</x:v>
      </x:c>
      <x:c r="J589" s="11" t="n">
        <x:f>IF(AND(Z589="共同",ISNUMBER(F589),ISNUMBER(M589)),F589-M589,"")</x:f>
        <x:v>0</x:v>
      </x:c>
      <x:c r="K589" s="13" t="str">
        <x:f>IF(AND(ISNUMBER(J589),M589&lt;&gt;0),J589/M589,"")</x:f>
      </x:c>
      <x:c r="L589" s="10" t="str">
        <x:v>断货</x:v>
      </x:c>
      <x:c r="M589" s="11" t="n">
        <x:v>0</x:v>
      </x:c>
      <x:c r="N589" s="10" t="n">
        <x:f>IF(AND(Z589="共同",COUNT(H589:I589)=2),H589-I589,"")</x:f>
        <x:v>0</x:v>
      </x:c>
      <x:c r="O589" s="10" t="n">
        <x:v>93</x:v>
      </x:c>
      <x:c r="P589" s="10" t="n">
        <x:v>2</x:v>
      </x:c>
      <x:c r="Q589" s="10" t="n">
        <x:v>6</x:v>
      </x:c>
      <x:c r="R589" s="10" t="n">
        <x:v>19</x:v>
      </x:c>
      <x:c r="S589" s="10" t="n">
        <x:v>2</x:v>
      </x:c>
      <x:c r="T589" s="10" t="n">
        <x:v>1</x:v>
      </x:c>
      <x:c r="U589" s="10" t="n">
        <x:f>IF(AND(ISNUMBER(X589),X589&gt;=0,Y589&lt;&gt;1),X589,"")</x:f>
        <x:v>0</x:v>
      </x:c>
      <x:c r="V589" s="10" t="n">
        <x:v>0</x:v>
      </x:c>
      <x:c r="W589" s="10" t="n">
        <x:v>0</x:v>
      </x:c>
      <x:c r="X589" s="10" t="n">
        <x:v>0</x:v>
      </x:c>
      <x:c r="Y589" s="3" t="n">
        <x:v>0</x:v>
      </x:c>
      <x:c r="Z589" s="3" t="str">
        <x:v>共同</x:v>
      </x:c>
      <x:c r="AA589" s="3" t="str">
        <x:v>在售</x:v>
      </x:c>
      <x:c r="AB589" s="12" t="n">
        <x:f>IF(AND(Z589="共同",ISNUMBER(G589),ISNUMBER(AD589)),G589-AD589,"")</x:f>
        <x:v>-0.42095238095238097</x:v>
      </x:c>
      <x:c r="AC589" s="3" t="str"/>
      <x:c r="AD589" s="12" t="n">
        <x:v>0.819047619047619</x:v>
      </x:c>
      <x:c r="AE589" s="3" t="str">
        <x:v>[13120,"B06-LP-41"]</x:v>
      </x:c>
      <x:c r="AF589" t="n">
        <x:f>IF(ISNUMBER(H589),1,0)</x:f>
        <x:v>1</x:v>
      </x:c>
      <x:c r="AG589" t="n">
        <x:f>IF(ISNUMBER(I589),1,0)</x:f>
        <x:v>1</x:v>
      </x:c>
      <x:c r="AH589" t="str">
        <x:v>["B06","B06-LP","LP","豹纹羊京绒"]</x:v>
      </x:c>
      <x:c r="AI589" t="n">
        <x:f>IF(ISNUMBER(G589),1,0)</x:f>
        <x:v>1</x:v>
      </x:c>
      <x:c r="AJ589" t="n">
        <x:f>IF(ISNUMBER(AD589),1,0)</x:f>
        <x:v>1</x:v>
      </x:c>
    </x:row>
    <x:row r="590" ht="30" customHeight="1">
      <x:c r="A590" s="3" t="str">
        <x:v>B06-MT-37-N</x:v>
      </x:c>
      <x:c r="B590" s="3" t="str">
        <x:v>1店-MUSSHOE-US</x:v>
      </x:c>
      <x:c r="C590" s="3" t="str">
        <x:v>艾年</x:v>
      </x:c>
      <x:c r="D590" s="3" t="str">
        <x:v>B06</x:v>
      </x:c>
      <x:c r="E590" s="3" t="str">
        <x:f>IF(Z590="移出","已移出",IF(NOT(ISNUMBER(H590)),"数据待核",IF(H590=0,"断货",IF(NOT(ISNUMBER(G590)),"数据待核",IF(G590=0,"零日销待复核",IF(F590&lt;60,"补货提醒",IF(F590&lt;=90,"正常库存",IF(F590&lt;180,"促销",IF(F590&lt;=365,"红线促销","考虑清仓")))))))))</x:f>
        <x:v>断货</x:v>
      </x:c>
      <x:c r="F590" s="11" t="str">
        <x:f>IF(AND(ISNUMBER(H590),ISNUMBER(G590),G590&gt;0),H590/G590,"")</x:f>
      </x:c>
      <x:c r="G590" s="12" t="n">
        <x:f>IF(AND(COUNT(P590:R590)=3,MIN(P590:R590)&gt;=0,P590&lt;=Q590,Q590&lt;=R590),P590/7*0.5+Q590/14*0.3+R590/30*0.2,"")</x:f>
        <x:v>0</x:v>
      </x:c>
      <x:c r="H590" s="10" t="n">
        <x:f>IF(ISNUMBER(U590),U590,"")</x:f>
        <x:v>0</x:v>
      </x:c>
      <x:c r="I590" s="10" t="n">
        <x:v>0</x:v>
      </x:c>
      <x:c r="J590" s="11" t="str">
        <x:f>IF(AND(Z590="共同",ISNUMBER(F590),ISNUMBER(M590)),F590-M590,"")</x:f>
      </x:c>
      <x:c r="K590" s="13" t="str">
        <x:f>IF(AND(ISNUMBER(J590),M590&lt;&gt;0),J590/M590,"")</x:f>
      </x:c>
      <x:c r="L590" s="10" t="str">
        <x:v>断货</x:v>
      </x:c>
      <x:c r="M590" s="11"/>
      <x:c r="N590" s="10" t="n">
        <x:f>IF(AND(Z590="共同",COUNT(H590:I590)=2),H590-I590,"")</x:f>
        <x:v>0</x:v>
      </x:c>
      <x:c r="O590" s="10"/>
      <x:c r="P590" s="10" t="n">
        <x:v>0</x:v>
      </x:c>
      <x:c r="Q590" s="10" t="n">
        <x:v>0</x:v>
      </x:c>
      <x:c r="R590" s="10" t="n">
        <x:v>0</x:v>
      </x:c>
      <x:c r="S590" s="10" t="n">
        <x:v>0</x:v>
      </x:c>
      <x:c r="T590" s="10" t="n">
        <x:v>0</x:v>
      </x:c>
      <x:c r="U590" s="10" t="n">
        <x:f>IF(AND(ISNUMBER(X590),X590&gt;=0,Y590&lt;&gt;1),X590,"")</x:f>
        <x:v>0</x:v>
      </x:c>
      <x:c r="V590" s="10" t="n">
        <x:v>0</x:v>
      </x:c>
      <x:c r="W590" s="10" t="n">
        <x:v>0</x:v>
      </x:c>
      <x:c r="X590" s="10" t="n">
        <x:v>0</x:v>
      </x:c>
      <x:c r="Y590" s="3" t="n">
        <x:v>0</x:v>
      </x:c>
      <x:c r="Z590" s="3" t="str">
        <x:v>共同</x:v>
      </x:c>
      <x:c r="AA590" s="3" t="str">
        <x:v>停售</x:v>
      </x:c>
      <x:c r="AB590" s="12" t="n">
        <x:f>IF(AND(Z590="共同",ISNUMBER(G590),ISNUMBER(AD590)),G590-AD590,"")</x:f>
        <x:v>0</x:v>
      </x:c>
      <x:c r="AC590" s="3" t="str"/>
      <x:c r="AD590" s="12" t="n">
        <x:v>0</x:v>
      </x:c>
      <x:c r="AE590" s="3" t="str">
        <x:v>[13120,"B06-MT-37-N"]</x:v>
      </x:c>
      <x:c r="AF590" t="n">
        <x:f>IF(ISNUMBER(H590),1,0)</x:f>
        <x:v>1</x:v>
      </x:c>
      <x:c r="AG590" t="n">
        <x:f>IF(ISNUMBER(I590),1,0)</x:f>
        <x:v>1</x:v>
      </x:c>
      <x:c r="AH590" t="str">
        <x:v>["B06","B06-MT","MT","黄色羊京绒"]</x:v>
      </x:c>
      <x:c r="AI590" t="n">
        <x:f>IF(ISNUMBER(G590),1,0)</x:f>
        <x:v>1</x:v>
      </x:c>
      <x:c r="AJ590" t="n">
        <x:f>IF(ISNUMBER(AD590),1,0)</x:f>
        <x:v>1</x:v>
      </x:c>
    </x:row>
    <x:row r="591" ht="30" customHeight="1">
      <x:c r="A591" s="3" t="str">
        <x:v>B06-MT-37.5</x:v>
      </x:c>
      <x:c r="B591" s="3" t="str">
        <x:v>1店-MUSSHOE-US</x:v>
      </x:c>
      <x:c r="C591" s="3" t="str">
        <x:v>艾年</x:v>
      </x:c>
      <x:c r="D591" s="3" t="str">
        <x:v>B06</x:v>
      </x:c>
      <x:c r="E591" s="3" t="str">
        <x:f>IF(Z591="移出","已移出",IF(NOT(ISNUMBER(H591)),"数据待核",IF(H591=0,"断货",IF(NOT(ISNUMBER(G591)),"数据待核",IF(G591=0,"零日销待复核",IF(F591&lt;60,"补货提醒",IF(F591&lt;=90,"正常库存",IF(F591&lt;180,"促销",IF(F591&lt;=365,"红线促销","考虑清仓")))))))))</x:f>
        <x:v>断货</x:v>
      </x:c>
      <x:c r="F591" s="11" t="str">
        <x:f>IF(AND(ISNUMBER(H591),ISNUMBER(G591),G591&gt;0),H591/G591,"")</x:f>
      </x:c>
      <x:c r="G591" s="12" t="n">
        <x:f>IF(AND(COUNT(P591:R591)=3,MIN(P591:R591)&gt;=0,P591&lt;=Q591,Q591&lt;=R591),P591/7*0.5+Q591/14*0.3+R591/30*0.2,"")</x:f>
        <x:v>0</x:v>
      </x:c>
      <x:c r="H591" s="10" t="n">
        <x:f>IF(ISNUMBER(U591),U591,"")</x:f>
        <x:v>0</x:v>
      </x:c>
      <x:c r="I591" s="10" t="n">
        <x:v>0</x:v>
      </x:c>
      <x:c r="J591" s="11" t="str">
        <x:f>IF(AND(Z591="共同",ISNUMBER(F591),ISNUMBER(M591)),F591-M591,"")</x:f>
      </x:c>
      <x:c r="K591" s="13" t="str">
        <x:f>IF(AND(ISNUMBER(J591),M591&lt;&gt;0),J591/M591,"")</x:f>
      </x:c>
      <x:c r="L591" s="10" t="str">
        <x:v>断货</x:v>
      </x:c>
      <x:c r="M591" s="11"/>
      <x:c r="N591" s="10" t="n">
        <x:f>IF(AND(Z591="共同",COUNT(H591:I591)=2),H591-I591,"")</x:f>
        <x:v>0</x:v>
      </x:c>
      <x:c r="O591" s="10"/>
      <x:c r="P591" s="10" t="n">
        <x:v>0</x:v>
      </x:c>
      <x:c r="Q591" s="10" t="n">
        <x:v>0</x:v>
      </x:c>
      <x:c r="R591" s="10" t="n">
        <x:v>0</x:v>
      </x:c>
      <x:c r="S591" s="10" t="n">
        <x:v>0</x:v>
      </x:c>
      <x:c r="T591" s="10" t="n">
        <x:v>0</x:v>
      </x:c>
      <x:c r="U591" s="10" t="n">
        <x:f>IF(AND(ISNUMBER(X591),X591&gt;=0,Y591&lt;&gt;1),X591,"")</x:f>
        <x:v>0</x:v>
      </x:c>
      <x:c r="V591" s="10" t="n">
        <x:v>0</x:v>
      </x:c>
      <x:c r="W591" s="10" t="n">
        <x:v>0</x:v>
      </x:c>
      <x:c r="X591" s="10" t="n">
        <x:v>0</x:v>
      </x:c>
      <x:c r="Y591" s="3" t="n">
        <x:v>0</x:v>
      </x:c>
      <x:c r="Z591" s="3" t="str">
        <x:v>共同</x:v>
      </x:c>
      <x:c r="AA591" s="3" t="str">
        <x:v>停售</x:v>
      </x:c>
      <x:c r="AB591" s="12" t="str">
        <x:f>IF(AND(Z591="共同",ISNUMBER(G591),ISNUMBER(AD591)),G591-AD591,"")</x:f>
      </x:c>
      <x:c r="AC591" s="3" t="str">
        <x:v>近90天SKU销量未匹配，未按0处理</x:v>
      </x:c>
      <x:c r="AD591" s="12"/>
      <x:c r="AE591" s="3" t="str">
        <x:v>[13120,"B06-MT-37.5"]</x:v>
      </x:c>
      <x:c r="AF591" t="n">
        <x:f>IF(ISNUMBER(H591),1,0)</x:f>
        <x:v>1</x:v>
      </x:c>
      <x:c r="AG591" t="n">
        <x:f>IF(ISNUMBER(I591),1,0)</x:f>
        <x:v>1</x:v>
      </x:c>
      <x:c r="AH591" t="str">
        <x:v>["B06","B06-MT","MT","黄色羊京绒"]</x:v>
      </x:c>
      <x:c r="AI591" t="n">
        <x:f>IF(ISNUMBER(G591),1,0)</x:f>
        <x:v>1</x:v>
      </x:c>
      <x:c r="AJ591" t="n">
        <x:f>IF(ISNUMBER(AD591),1,0)</x:f>
        <x:v>0</x:v>
      </x:c>
    </x:row>
    <x:row r="592" ht="30" customHeight="1">
      <x:c r="A592" s="3" t="str">
        <x:v>B06-MT-38</x:v>
      </x:c>
      <x:c r="B592" s="3" t="str">
        <x:v>1店-MUSSHOE-US</x:v>
      </x:c>
      <x:c r="C592" s="3" t="str">
        <x:v>艾年</x:v>
      </x:c>
      <x:c r="D592" s="3" t="str">
        <x:v>B06</x:v>
      </x:c>
      <x:c r="E592" s="3" t="str">
        <x:f>IF(Z592="移出","已移出",IF(NOT(ISNUMBER(H592)),"数据待核",IF(H592=0,"断货",IF(NOT(ISNUMBER(G592)),"数据待核",IF(G592=0,"零日销待复核",IF(F592&lt;60,"补货提醒",IF(F592&lt;=90,"正常库存",IF(F592&lt;180,"促销",IF(F592&lt;=365,"红线促销","考虑清仓")))))))))</x:f>
        <x:v>断货</x:v>
      </x:c>
      <x:c r="F592" s="11" t="str">
        <x:f>IF(AND(ISNUMBER(H592),ISNUMBER(G592),G592&gt;0),H592/G592,"")</x:f>
      </x:c>
      <x:c r="G592" s="12" t="n">
        <x:f>IF(AND(COUNT(P592:R592)=3,MIN(P592:R592)&gt;=0,P592&lt;=Q592,Q592&lt;=R592),P592/7*0.5+Q592/14*0.3+R592/30*0.2,"")</x:f>
        <x:v>0</x:v>
      </x:c>
      <x:c r="H592" s="10" t="n">
        <x:f>IF(ISNUMBER(U592),U592,"")</x:f>
        <x:v>0</x:v>
      </x:c>
      <x:c r="I592" s="10" t="n">
        <x:v>0</x:v>
      </x:c>
      <x:c r="J592" s="11" t="str">
        <x:f>IF(AND(Z592="共同",ISNUMBER(F592),ISNUMBER(M592)),F592-M592,"")</x:f>
      </x:c>
      <x:c r="K592" s="13" t="str">
        <x:f>IF(AND(ISNUMBER(J592),M592&lt;&gt;0),J592/M592,"")</x:f>
      </x:c>
      <x:c r="L592" s="10" t="str">
        <x:v>断货</x:v>
      </x:c>
      <x:c r="M592" s="11"/>
      <x:c r="N592" s="10" t="n">
        <x:f>IF(AND(Z592="共同",COUNT(H592:I592)=2),H592-I592,"")</x:f>
        <x:v>0</x:v>
      </x:c>
      <x:c r="O592" s="10"/>
      <x:c r="P592" s="10" t="n">
        <x:v>0</x:v>
      </x:c>
      <x:c r="Q592" s="10" t="n">
        <x:v>0</x:v>
      </x:c>
      <x:c r="R592" s="10" t="n">
        <x:v>0</x:v>
      </x:c>
      <x:c r="S592" s="10" t="n">
        <x:v>0</x:v>
      </x:c>
      <x:c r="T592" s="10" t="n">
        <x:v>0</x:v>
      </x:c>
      <x:c r="U592" s="10" t="n">
        <x:f>IF(AND(ISNUMBER(X592),X592&gt;=0,Y592&lt;&gt;1),X592,"")</x:f>
        <x:v>0</x:v>
      </x:c>
      <x:c r="V592" s="10" t="n">
        <x:v>0</x:v>
      </x:c>
      <x:c r="W592" s="10" t="n">
        <x:v>0</x:v>
      </x:c>
      <x:c r="X592" s="10" t="n">
        <x:v>0</x:v>
      </x:c>
      <x:c r="Y592" s="3" t="n">
        <x:v>0</x:v>
      </x:c>
      <x:c r="Z592" s="3" t="str">
        <x:v>共同</x:v>
      </x:c>
      <x:c r="AA592" s="3" t="str">
        <x:v>停售</x:v>
      </x:c>
      <x:c r="AB592" s="12" t="str">
        <x:f>IF(AND(Z592="共同",ISNUMBER(G592),ISNUMBER(AD592)),G592-AD592,"")</x:f>
      </x:c>
      <x:c r="AC592" s="3" t="str">
        <x:v>近90天SKU销量未匹配，未按0处理</x:v>
      </x:c>
      <x:c r="AD592" s="12"/>
      <x:c r="AE592" s="3" t="str">
        <x:v>[13120,"B06-MT-38"]</x:v>
      </x:c>
      <x:c r="AF592" t="n">
        <x:f>IF(ISNUMBER(H592),1,0)</x:f>
        <x:v>1</x:v>
      </x:c>
      <x:c r="AG592" t="n">
        <x:f>IF(ISNUMBER(I592),1,0)</x:f>
        <x:v>1</x:v>
      </x:c>
      <x:c r="AH592" t="str">
        <x:v>["B06","B06-MT","MT","黄色羊京绒"]</x:v>
      </x:c>
      <x:c r="AI592" t="n">
        <x:f>IF(ISNUMBER(G592),1,0)</x:f>
        <x:v>1</x:v>
      </x:c>
      <x:c r="AJ592" t="n">
        <x:f>IF(ISNUMBER(AD592),1,0)</x:f>
        <x:v>0</x:v>
      </x:c>
    </x:row>
    <x:row r="593" ht="30" customHeight="1">
      <x:c r="A593" s="3" t="str">
        <x:v>B06-MT-40.5</x:v>
      </x:c>
      <x:c r="B593" s="3" t="str">
        <x:v>1店-MUSSHOE-US</x:v>
      </x:c>
      <x:c r="C593" s="3" t="str">
        <x:v>艾年</x:v>
      </x:c>
      <x:c r="D593" s="3" t="str">
        <x:v>B06</x:v>
      </x:c>
      <x:c r="E593" s="3" t="str">
        <x:f>IF(Z593="移出","已移出",IF(NOT(ISNUMBER(H593)),"数据待核",IF(H593=0,"断货",IF(NOT(ISNUMBER(G593)),"数据待核",IF(G593=0,"零日销待复核",IF(F593&lt;60,"补货提醒",IF(F593&lt;=90,"正常库存",IF(F593&lt;180,"促销",IF(F593&lt;=365,"红线促销","考虑清仓")))))))))</x:f>
        <x:v>断货</x:v>
      </x:c>
      <x:c r="F593" s="11" t="str">
        <x:f>IF(AND(ISNUMBER(H593),ISNUMBER(G593),G593&gt;0),H593/G593,"")</x:f>
      </x:c>
      <x:c r="G593" s="12" t="n">
        <x:f>IF(AND(COUNT(P593:R593)=3,MIN(P593:R593)&gt;=0,P593&lt;=Q593,Q593&lt;=R593),P593/7*0.5+Q593/14*0.3+R593/30*0.2,"")</x:f>
        <x:v>0</x:v>
      </x:c>
      <x:c r="H593" s="10" t="n">
        <x:f>IF(ISNUMBER(U593),U593,"")</x:f>
        <x:v>0</x:v>
      </x:c>
      <x:c r="I593" s="10" t="n">
        <x:v>0</x:v>
      </x:c>
      <x:c r="J593" s="11" t="str">
        <x:f>IF(AND(Z593="共同",ISNUMBER(F593),ISNUMBER(M593)),F593-M593,"")</x:f>
      </x:c>
      <x:c r="K593" s="13" t="str">
        <x:f>IF(AND(ISNUMBER(J593),M593&lt;&gt;0),J593/M593,"")</x:f>
      </x:c>
      <x:c r="L593" s="10" t="str">
        <x:v>断货</x:v>
      </x:c>
      <x:c r="M593" s="11"/>
      <x:c r="N593" s="10" t="n">
        <x:f>IF(AND(Z593="共同",COUNT(H593:I593)=2),H593-I593,"")</x:f>
        <x:v>0</x:v>
      </x:c>
      <x:c r="O593" s="10"/>
      <x:c r="P593" s="10" t="n">
        <x:v>0</x:v>
      </x:c>
      <x:c r="Q593" s="10" t="n">
        <x:v>0</x:v>
      </x:c>
      <x:c r="R593" s="10" t="n">
        <x:v>0</x:v>
      </x:c>
      <x:c r="S593" s="10" t="n">
        <x:v>0</x:v>
      </x:c>
      <x:c r="T593" s="10" t="n">
        <x:v>0</x:v>
      </x:c>
      <x:c r="U593" s="10" t="n">
        <x:f>IF(AND(ISNUMBER(X593),X593&gt;=0,Y593&lt;&gt;1),X593,"")</x:f>
        <x:v>0</x:v>
      </x:c>
      <x:c r="V593" s="10" t="n">
        <x:v>0</x:v>
      </x:c>
      <x:c r="W593" s="10" t="n">
        <x:v>0</x:v>
      </x:c>
      <x:c r="X593" s="10" t="n">
        <x:v>0</x:v>
      </x:c>
      <x:c r="Y593" s="3" t="n">
        <x:v>0</x:v>
      </x:c>
      <x:c r="Z593" s="3" t="str">
        <x:v>共同</x:v>
      </x:c>
      <x:c r="AA593" s="3" t="str">
        <x:v>停售</x:v>
      </x:c>
      <x:c r="AB593" s="12" t="str">
        <x:f>IF(AND(Z593="共同",ISNUMBER(G593),ISNUMBER(AD593)),G593-AD593,"")</x:f>
      </x:c>
      <x:c r="AC593" s="3" t="str">
        <x:v>近90天SKU销量未匹配，未按0处理</x:v>
      </x:c>
      <x:c r="AD593" s="12"/>
      <x:c r="AE593" s="3" t="str">
        <x:v>[13120,"B06-MT-40.5"]</x:v>
      </x:c>
      <x:c r="AF593" t="n">
        <x:f>IF(ISNUMBER(H593),1,0)</x:f>
        <x:v>1</x:v>
      </x:c>
      <x:c r="AG593" t="n">
        <x:f>IF(ISNUMBER(I593),1,0)</x:f>
        <x:v>1</x:v>
      </x:c>
      <x:c r="AH593" t="str">
        <x:v>["B06","B06-MT","MT","黄色羊京绒"]</x:v>
      </x:c>
      <x:c r="AI593" t="n">
        <x:f>IF(ISNUMBER(G593),1,0)</x:f>
        <x:v>1</x:v>
      </x:c>
      <x:c r="AJ593" t="n">
        <x:f>IF(ISNUMBER(AD593),1,0)</x:f>
        <x:v>0</x:v>
      </x:c>
    </x:row>
    <x:row r="594" ht="30" customHeight="1">
      <x:c r="A594" s="3" t="str">
        <x:v>B06-MT-41.5</x:v>
      </x:c>
      <x:c r="B594" s="3" t="str">
        <x:v>1店-MUSSHOE-US</x:v>
      </x:c>
      <x:c r="C594" s="3" t="str">
        <x:v>艾年</x:v>
      </x:c>
      <x:c r="D594" s="3" t="str">
        <x:v>B06</x:v>
      </x:c>
      <x:c r="E594" s="3" t="str">
        <x:f>IF(Z594="移出","已移出",IF(NOT(ISNUMBER(H594)),"数据待核",IF(H594=0,"断货",IF(NOT(ISNUMBER(G594)),"数据待核",IF(G594=0,"零日销待复核",IF(F594&lt;60,"补货提醒",IF(F594&lt;=90,"正常库存",IF(F594&lt;180,"促销",IF(F594&lt;=365,"红线促销","考虑清仓")))))))))</x:f>
        <x:v>断货</x:v>
      </x:c>
      <x:c r="F594" s="11" t="str">
        <x:f>IF(AND(ISNUMBER(H594),ISNUMBER(G594),G594&gt;0),H594/G594,"")</x:f>
      </x:c>
      <x:c r="G594" s="12" t="n">
        <x:f>IF(AND(COUNT(P594:R594)=3,MIN(P594:R594)&gt;=0,P594&lt;=Q594,Q594&lt;=R594),P594/7*0.5+Q594/14*0.3+R594/30*0.2,"")</x:f>
        <x:v>0</x:v>
      </x:c>
      <x:c r="H594" s="10" t="n">
        <x:f>IF(ISNUMBER(U594),U594,"")</x:f>
        <x:v>0</x:v>
      </x:c>
      <x:c r="I594" s="10" t="n">
        <x:v>0</x:v>
      </x:c>
      <x:c r="J594" s="11" t="str">
        <x:f>IF(AND(Z594="共同",ISNUMBER(F594),ISNUMBER(M594)),F594-M594,"")</x:f>
      </x:c>
      <x:c r="K594" s="13" t="str">
        <x:f>IF(AND(ISNUMBER(J594),M594&lt;&gt;0),J594/M594,"")</x:f>
      </x:c>
      <x:c r="L594" s="10" t="str">
        <x:v>断货</x:v>
      </x:c>
      <x:c r="M594" s="11"/>
      <x:c r="N594" s="10" t="n">
        <x:f>IF(AND(Z594="共同",COUNT(H594:I594)=2),H594-I594,"")</x:f>
        <x:v>0</x:v>
      </x:c>
      <x:c r="O594" s="10"/>
      <x:c r="P594" s="10" t="n">
        <x:v>0</x:v>
      </x:c>
      <x:c r="Q594" s="10" t="n">
        <x:v>0</x:v>
      </x:c>
      <x:c r="R594" s="10" t="n">
        <x:v>0</x:v>
      </x:c>
      <x:c r="S594" s="10" t="n">
        <x:v>0</x:v>
      </x:c>
      <x:c r="T594" s="10" t="n">
        <x:v>0</x:v>
      </x:c>
      <x:c r="U594" s="10" t="n">
        <x:f>IF(AND(ISNUMBER(X594),X594&gt;=0,Y594&lt;&gt;1),X594,"")</x:f>
        <x:v>0</x:v>
      </x:c>
      <x:c r="V594" s="10" t="n">
        <x:v>0</x:v>
      </x:c>
      <x:c r="W594" s="10" t="n">
        <x:v>0</x:v>
      </x:c>
      <x:c r="X594" s="10" t="n">
        <x:v>0</x:v>
      </x:c>
      <x:c r="Y594" s="3" t="n">
        <x:v>0</x:v>
      </x:c>
      <x:c r="Z594" s="3" t="str">
        <x:v>共同</x:v>
      </x:c>
      <x:c r="AA594" s="3" t="str">
        <x:v>停售</x:v>
      </x:c>
      <x:c r="AB594" s="12" t="str">
        <x:f>IF(AND(Z594="共同",ISNUMBER(G594),ISNUMBER(AD594)),G594-AD594,"")</x:f>
      </x:c>
      <x:c r="AC594" s="3" t="str">
        <x:v>近90天SKU销量未匹配，未按0处理</x:v>
      </x:c>
      <x:c r="AD594" s="12"/>
      <x:c r="AE594" s="3" t="str">
        <x:v>[13120,"B06-MT-41.5"]</x:v>
      </x:c>
      <x:c r="AF594" t="n">
        <x:f>IF(ISNUMBER(H594),1,0)</x:f>
        <x:v>1</x:v>
      </x:c>
      <x:c r="AG594" t="n">
        <x:f>IF(ISNUMBER(I594),1,0)</x:f>
        <x:v>1</x:v>
      </x:c>
      <x:c r="AH594" t="str">
        <x:v>["B06","B06-MT","MT","黄色羊京绒"]</x:v>
      </x:c>
      <x:c r="AI594" t="n">
        <x:f>IF(ISNUMBER(G594),1,0)</x:f>
        <x:v>1</x:v>
      </x:c>
      <x:c r="AJ594" t="n">
        <x:f>IF(ISNUMBER(AD594),1,0)</x:f>
        <x:v>0</x:v>
      </x:c>
    </x:row>
    <x:row r="595" ht="30" customHeight="1">
      <x:c r="A595" s="3" t="str">
        <x:v>B06-ND-I-0-37</x:v>
      </x:c>
      <x:c r="B595" s="3" t="str">
        <x:v>1店-MUSSHOE-US</x:v>
      </x:c>
      <x:c r="C595" s="3" t="str">
        <x:v>艾年</x:v>
      </x:c>
      <x:c r="D595" s="3" t="str">
        <x:v>B06</x:v>
      </x:c>
      <x:c r="E595" s="3" t="str">
        <x:f>IF(Z595="移出","已移出",IF(NOT(ISNUMBER(H595)),"数据待核",IF(H595=0,"断货",IF(NOT(ISNUMBER(G595)),"数据待核",IF(G595=0,"零日销待复核",IF(F595&lt;60,"补货提醒",IF(F595&lt;=90,"正常库存",IF(F595&lt;180,"促销",IF(F595&lt;=365,"红线促销","考虑清仓")))))))))</x:f>
        <x:v>断货</x:v>
      </x:c>
      <x:c r="F595" s="11" t="str">
        <x:f>IF(AND(ISNUMBER(H595),ISNUMBER(G595),G595&gt;0),H595/G595,"")</x:f>
      </x:c>
      <x:c r="G595" s="12" t="n">
        <x:f>IF(AND(COUNT(P595:R595)=3,MIN(P595:R595)&gt;=0,P595&lt;=Q595,Q595&lt;=R595),P595/7*0.5+Q595/14*0.3+R595/30*0.2,"")</x:f>
        <x:v>0</x:v>
      </x:c>
      <x:c r="H595" s="10" t="n">
        <x:f>IF(ISNUMBER(U595),U595,"")</x:f>
        <x:v>0</x:v>
      </x:c>
      <x:c r="I595" s="10" t="n">
        <x:v>0</x:v>
      </x:c>
      <x:c r="J595" s="11" t="str">
        <x:f>IF(AND(Z595="共同",ISNUMBER(F595),ISNUMBER(M595)),F595-M595,"")</x:f>
      </x:c>
      <x:c r="K595" s="13" t="str">
        <x:f>IF(AND(ISNUMBER(J595),M595&lt;&gt;0),J595/M595,"")</x:f>
      </x:c>
      <x:c r="L595" s="10" t="str">
        <x:v>断货</x:v>
      </x:c>
      <x:c r="M595" s="11"/>
      <x:c r="N595" s="10" t="n">
        <x:f>IF(AND(Z595="共同",COUNT(H595:I595)=2),H595-I595,"")</x:f>
        <x:v>0</x:v>
      </x:c>
      <x:c r="O595" s="10"/>
      <x:c r="P595" s="10" t="n">
        <x:v>0</x:v>
      </x:c>
      <x:c r="Q595" s="10" t="n">
        <x:v>0</x:v>
      </x:c>
      <x:c r="R595" s="10" t="n">
        <x:v>0</x:v>
      </x:c>
      <x:c r="S595" s="10" t="n">
        <x:v>0</x:v>
      </x:c>
      <x:c r="T595" s="10" t="n">
        <x:v>0</x:v>
      </x:c>
      <x:c r="U595" s="10" t="n">
        <x:f>IF(AND(ISNUMBER(X595),X595&gt;=0,Y595&lt;&gt;1),X595,"")</x:f>
        <x:v>0</x:v>
      </x:c>
      <x:c r="V595" s="10" t="n">
        <x:v>0</x:v>
      </x:c>
      <x:c r="W595" s="10" t="n">
        <x:v>0</x:v>
      </x:c>
      <x:c r="X595" s="10" t="n">
        <x:v>0</x:v>
      </x:c>
      <x:c r="Y595" s="3" t="n">
        <x:v>0</x:v>
      </x:c>
      <x:c r="Z595" s="3" t="str">
        <x:v>共同</x:v>
      </x:c>
      <x:c r="AA595" s="3" t="str">
        <x:v>停售</x:v>
      </x:c>
      <x:c r="AB595" s="12" t="str">
        <x:f>IF(AND(Z595="共同",ISNUMBER(G595),ISNUMBER(AD595)),G595-AD595,"")</x:f>
      </x:c>
      <x:c r="AC595" s="3" t="str">
        <x:v>近90天SKU销量未匹配，未按0处理</x:v>
      </x:c>
      <x:c r="AD595" s="12"/>
      <x:c r="AE595" s="3" t="str">
        <x:v>[13120,"B06-ND-I-0-37"]</x:v>
      </x:c>
      <x:c r="AF595" t="n">
        <x:f>IF(ISNUMBER(H595),1,0)</x:f>
        <x:v>1</x:v>
      </x:c>
      <x:c r="AG595" t="n">
        <x:f>IF(ISNUMBER(I595),1,0)</x:f>
        <x:v>1</x:v>
      </x:c>
      <x:c r="AH595" t="str">
        <x:v>["B06","B06-ND-I-0","ND-I","裸色色织提花"]</x:v>
      </x:c>
      <x:c r="AI595" t="n">
        <x:f>IF(ISNUMBER(G595),1,0)</x:f>
        <x:v>1</x:v>
      </x:c>
      <x:c r="AJ595" t="n">
        <x:f>IF(ISNUMBER(AD595),1,0)</x:f>
        <x:v>0</x:v>
      </x:c>
    </x:row>
    <x:row r="596" ht="30" customHeight="1">
      <x:c r="A596" s="3" t="str">
        <x:v>B06-ND-I-0-37.5</x:v>
      </x:c>
      <x:c r="B596" s="3" t="str">
        <x:v>1店-MUSSHOE-US</x:v>
      </x:c>
      <x:c r="C596" s="3" t="str">
        <x:v>艾年</x:v>
      </x:c>
      <x:c r="D596" s="3" t="str">
        <x:v>B06</x:v>
      </x:c>
      <x:c r="E596" s="3" t="str">
        <x:f>IF(Z596="移出","已移出",IF(NOT(ISNUMBER(H596)),"数据待核",IF(H596=0,"断货",IF(NOT(ISNUMBER(G596)),"数据待核",IF(G596=0,"零日销待复核",IF(F596&lt;60,"补货提醒",IF(F596&lt;=90,"正常库存",IF(F596&lt;180,"促销",IF(F596&lt;=365,"红线促销","考虑清仓")))))))))</x:f>
        <x:v>断货</x:v>
      </x:c>
      <x:c r="F596" s="11" t="str">
        <x:f>IF(AND(ISNUMBER(H596),ISNUMBER(G596),G596&gt;0),H596/G596,"")</x:f>
      </x:c>
      <x:c r="G596" s="12" t="n">
        <x:f>IF(AND(COUNT(P596:R596)=3,MIN(P596:R596)&gt;=0,P596&lt;=Q596,Q596&lt;=R596),P596/7*0.5+Q596/14*0.3+R596/30*0.2,"")</x:f>
        <x:v>0</x:v>
      </x:c>
      <x:c r="H596" s="10" t="n">
        <x:f>IF(ISNUMBER(U596),U596,"")</x:f>
        <x:v>0</x:v>
      </x:c>
      <x:c r="I596" s="10" t="n">
        <x:v>0</x:v>
      </x:c>
      <x:c r="J596" s="11" t="str">
        <x:f>IF(AND(Z596="共同",ISNUMBER(F596),ISNUMBER(M596)),F596-M596,"")</x:f>
      </x:c>
      <x:c r="K596" s="13" t="str">
        <x:f>IF(AND(ISNUMBER(J596),M596&lt;&gt;0),J596/M596,"")</x:f>
      </x:c>
      <x:c r="L596" s="10" t="str">
        <x:v>断货</x:v>
      </x:c>
      <x:c r="M596" s="11" t="n">
        <x:v>0</x:v>
      </x:c>
      <x:c r="N596" s="10" t="n">
        <x:f>IF(AND(Z596="共同",COUNT(H596:I596)=2),H596-I596,"")</x:f>
        <x:v>0</x:v>
      </x:c>
      <x:c r="O596" s="10"/>
      <x:c r="P596" s="10" t="n">
        <x:v>0</x:v>
      </x:c>
      <x:c r="Q596" s="10" t="n">
        <x:v>0</x:v>
      </x:c>
      <x:c r="R596" s="10" t="n">
        <x:v>0</x:v>
      </x:c>
      <x:c r="S596" s="10" t="n">
        <x:v>0</x:v>
      </x:c>
      <x:c r="T596" s="10" t="n">
        <x:v>0</x:v>
      </x:c>
      <x:c r="U596" s="10" t="n">
        <x:f>IF(AND(ISNUMBER(X596),X596&gt;=0,Y596&lt;&gt;1),X596,"")</x:f>
        <x:v>0</x:v>
      </x:c>
      <x:c r="V596" s="10" t="n">
        <x:v>0</x:v>
      </x:c>
      <x:c r="W596" s="10" t="n">
        <x:v>0</x:v>
      </x:c>
      <x:c r="X596" s="10" t="n">
        <x:v>0</x:v>
      </x:c>
      <x:c r="Y596" s="3" t="n">
        <x:v>0</x:v>
      </x:c>
      <x:c r="Z596" s="3" t="str">
        <x:v>共同</x:v>
      </x:c>
      <x:c r="AA596" s="3" t="str">
        <x:v>停售</x:v>
      </x:c>
      <x:c r="AB596" s="12" t="n">
        <x:f>IF(AND(Z596="共同",ISNUMBER(G596),ISNUMBER(AD596)),G596-AD596,"")</x:f>
        <x:v>-0.006666666666666666</x:v>
      </x:c>
      <x:c r="AC596" s="3" t="str"/>
      <x:c r="AD596" s="12" t="n">
        <x:v>0.006666666666666666</x:v>
      </x:c>
      <x:c r="AE596" s="3" t="str">
        <x:v>[13120,"B06-ND-I-0-37.5"]</x:v>
      </x:c>
      <x:c r="AF596" t="n">
        <x:f>IF(ISNUMBER(H596),1,0)</x:f>
        <x:v>1</x:v>
      </x:c>
      <x:c r="AG596" t="n">
        <x:f>IF(ISNUMBER(I596),1,0)</x:f>
        <x:v>1</x:v>
      </x:c>
      <x:c r="AH596" t="str">
        <x:v>["B06","B06-ND-I-0","ND-I","裸色色织提花"]</x:v>
      </x:c>
      <x:c r="AI596" t="n">
        <x:f>IF(ISNUMBER(G596),1,0)</x:f>
        <x:v>1</x:v>
      </x:c>
      <x:c r="AJ596" t="n">
        <x:f>IF(ISNUMBER(AD596),1,0)</x:f>
        <x:v>1</x:v>
      </x:c>
    </x:row>
    <x:row r="597" ht="30" customHeight="1">
      <x:c r="A597" s="3" t="str">
        <x:v>B06-ND-Z-0-37</x:v>
      </x:c>
      <x:c r="B597" s="3" t="str">
        <x:v>1店-MUSSHOE-US</x:v>
      </x:c>
      <x:c r="C597" s="3" t="str">
        <x:v>艾年</x:v>
      </x:c>
      <x:c r="D597" s="3" t="str">
        <x:v>B06</x:v>
      </x:c>
      <x:c r="E597" s="3" t="str">
        <x:f>IF(Z597="移出","已移出",IF(NOT(ISNUMBER(H597)),"数据待核",IF(H597=0,"断货",IF(NOT(ISNUMBER(G597)),"数据待核",IF(G597=0,"零日销待复核",IF(F597&lt;60,"补货提醒",IF(F597&lt;=90,"正常库存",IF(F597&lt;180,"促销",IF(F597&lt;=365,"红线促销","考虑清仓")))))))))</x:f>
        <x:v>断货</x:v>
      </x:c>
      <x:c r="F597" s="11" t="n">
        <x:f>IF(AND(ISNUMBER(H597),ISNUMBER(G597),G597&gt;0),H597/G597,"")</x:f>
        <x:v>0</x:v>
      </x:c>
      <x:c r="G597" s="12" t="n">
        <x:f>IF(AND(COUNT(P597:R597)=3,MIN(P597:R597)&gt;=0,P597&lt;=Q597,Q597&lt;=R597),P597/7*0.5+Q597/14*0.3+R597/30*0.2,"")</x:f>
        <x:v>0.006666666666666667</x:v>
      </x:c>
      <x:c r="H597" s="10" t="n">
        <x:f>IF(ISNUMBER(U597),U597,"")</x:f>
        <x:v>0</x:v>
      </x:c>
      <x:c r="I597" s="10" t="n">
        <x:v>0</x:v>
      </x:c>
      <x:c r="J597" s="11" t="n">
        <x:f>IF(AND(Z597="共同",ISNUMBER(F597),ISNUMBER(M597)),F597-M597,"")</x:f>
        <x:v>0</x:v>
      </x:c>
      <x:c r="K597" s="13" t="str">
        <x:f>IF(AND(ISNUMBER(J597),M597&lt;&gt;0),J597/M597,"")</x:f>
      </x:c>
      <x:c r="L597" s="10" t="str">
        <x:v>断货</x:v>
      </x:c>
      <x:c r="M597" s="11" t="n">
        <x:v>0</x:v>
      </x:c>
      <x:c r="N597" s="10" t="n">
        <x:f>IF(AND(Z597="共同",COUNT(H597:I597)=2),H597-I597,"")</x:f>
        <x:v>0</x:v>
      </x:c>
      <x:c r="O597" s="10"/>
      <x:c r="P597" s="10" t="n">
        <x:v>0</x:v>
      </x:c>
      <x:c r="Q597" s="10" t="n">
        <x:v>0</x:v>
      </x:c>
      <x:c r="R597" s="10" t="n">
        <x:v>1</x:v>
      </x:c>
      <x:c r="S597" s="10" t="n">
        <x:v>0</x:v>
      </x:c>
      <x:c r="T597" s="10" t="n">
        <x:v>0</x:v>
      </x:c>
      <x:c r="U597" s="10" t="n">
        <x:f>IF(AND(ISNUMBER(X597),X597&gt;=0,Y597&lt;&gt;1),X597,"")</x:f>
        <x:v>0</x:v>
      </x:c>
      <x:c r="V597" s="10" t="n">
        <x:v>0</x:v>
      </x:c>
      <x:c r="W597" s="10" t="n">
        <x:v>0</x:v>
      </x:c>
      <x:c r="X597" s="10" t="n">
        <x:v>0</x:v>
      </x:c>
      <x:c r="Y597" s="3" t="n">
        <x:v>0</x:v>
      </x:c>
      <x:c r="Z597" s="3" t="str">
        <x:v>共同</x:v>
      </x:c>
      <x:c r="AA597" s="3" t="str">
        <x:v>停售</x:v>
      </x:c>
      <x:c r="AB597" s="12" t="n">
        <x:f>IF(AND(Z597="共同",ISNUMBER(G597),ISNUMBER(AD597)),G597-AD597,"")</x:f>
        <x:v>-0.09285714285714285</x:v>
      </x:c>
      <x:c r="AC597" s="3" t="str"/>
      <x:c r="AD597" s="12" t="n">
        <x:v>0.09952380952380951</x:v>
      </x:c>
      <x:c r="AE597" s="3" t="str">
        <x:v>[13120,"B06-ND-Z-0-37"]</x:v>
      </x:c>
      <x:c r="AF597" t="n">
        <x:f>IF(ISNUMBER(H597),1,0)</x:f>
        <x:v>1</x:v>
      </x:c>
      <x:c r="AG597" t="n">
        <x:f>IF(ISNUMBER(I597),1,0)</x:f>
        <x:v>1</x:v>
      </x:c>
      <x:c r="AH597" t="str">
        <x:v>["B06","B06-ND-Z-0","ND-Z","裸色镜面PU"]</x:v>
      </x:c>
      <x:c r="AI597" t="n">
        <x:f>IF(ISNUMBER(G597),1,0)</x:f>
        <x:v>1</x:v>
      </x:c>
      <x:c r="AJ597" t="n">
        <x:f>IF(ISNUMBER(AD597),1,0)</x:f>
        <x:v>1</x:v>
      </x:c>
    </x:row>
    <x:row r="598" ht="30" customHeight="1">
      <x:c r="A598" s="3" t="str">
        <x:v>B06-ND-Z-0-37.5</x:v>
      </x:c>
      <x:c r="B598" s="3" t="str">
        <x:v>1店-MUSSHOE-US</x:v>
      </x:c>
      <x:c r="C598" s="3" t="str">
        <x:v>艾年</x:v>
      </x:c>
      <x:c r="D598" s="3" t="str">
        <x:v>B06</x:v>
      </x:c>
      <x:c r="E598" s="3" t="str">
        <x:f>IF(Z598="移出","已移出",IF(NOT(ISNUMBER(H598)),"数据待核",IF(H598=0,"断货",IF(NOT(ISNUMBER(G598)),"数据待核",IF(G598=0,"零日销待复核",IF(F598&lt;60,"补货提醒",IF(F598&lt;=90,"正常库存",IF(F598&lt;180,"促销",IF(F598&lt;=365,"红线促销","考虑清仓")))))))))</x:f>
        <x:v>断货</x:v>
      </x:c>
      <x:c r="F598" s="11" t="str">
        <x:f>IF(AND(ISNUMBER(H598),ISNUMBER(G598),G598&gt;0),H598/G598,"")</x:f>
      </x:c>
      <x:c r="G598" s="12" t="n">
        <x:f>IF(AND(COUNT(P598:R598)=3,MIN(P598:R598)&gt;=0,P598&lt;=Q598,Q598&lt;=R598),P598/7*0.5+Q598/14*0.3+R598/30*0.2,"")</x:f>
        <x:v>0</x:v>
      </x:c>
      <x:c r="H598" s="10" t="n">
        <x:f>IF(ISNUMBER(U598),U598,"")</x:f>
        <x:v>0</x:v>
      </x:c>
      <x:c r="I598" s="10" t="n">
        <x:v>0</x:v>
      </x:c>
      <x:c r="J598" s="11" t="str">
        <x:f>IF(AND(Z598="共同",ISNUMBER(F598),ISNUMBER(M598)),F598-M598,"")</x:f>
      </x:c>
      <x:c r="K598" s="13" t="str">
        <x:f>IF(AND(ISNUMBER(J598),M598&lt;&gt;0),J598/M598,"")</x:f>
      </x:c>
      <x:c r="L598" s="10" t="str">
        <x:v>断货</x:v>
      </x:c>
      <x:c r="M598" s="11"/>
      <x:c r="N598" s="10" t="n">
        <x:f>IF(AND(Z598="共同",COUNT(H598:I598)=2),H598-I598,"")</x:f>
        <x:v>0</x:v>
      </x:c>
      <x:c r="O598" s="10"/>
      <x:c r="P598" s="10" t="n">
        <x:v>0</x:v>
      </x:c>
      <x:c r="Q598" s="10" t="n">
        <x:v>0</x:v>
      </x:c>
      <x:c r="R598" s="10" t="n">
        <x:v>0</x:v>
      </x:c>
      <x:c r="S598" s="10" t="n">
        <x:v>0</x:v>
      </x:c>
      <x:c r="T598" s="10" t="n">
        <x:v>0</x:v>
      </x:c>
      <x:c r="U598" s="10" t="n">
        <x:f>IF(AND(ISNUMBER(X598),X598&gt;=0,Y598&lt;&gt;1),X598,"")</x:f>
        <x:v>0</x:v>
      </x:c>
      <x:c r="V598" s="10" t="n">
        <x:v>0</x:v>
      </x:c>
      <x:c r="W598" s="10" t="n">
        <x:v>0</x:v>
      </x:c>
      <x:c r="X598" s="10" t="n">
        <x:v>0</x:v>
      </x:c>
      <x:c r="Y598" s="3" t="n">
        <x:v>0</x:v>
      </x:c>
      <x:c r="Z598" s="3" t="str">
        <x:v>共同</x:v>
      </x:c>
      <x:c r="AA598" s="3" t="str">
        <x:v>停售</x:v>
      </x:c>
      <x:c r="AB598" s="12" t="str">
        <x:f>IF(AND(Z598="共同",ISNUMBER(G598),ISNUMBER(AD598)),G598-AD598,"")</x:f>
      </x:c>
      <x:c r="AC598" s="3" t="str">
        <x:v>近90天SKU销量未匹配，未按0处理</x:v>
      </x:c>
      <x:c r="AD598" s="12"/>
      <x:c r="AE598" s="3" t="str">
        <x:v>[13120,"B06-ND-Z-0-37.5"]</x:v>
      </x:c>
      <x:c r="AF598" t="n">
        <x:f>IF(ISNUMBER(H598),1,0)</x:f>
        <x:v>1</x:v>
      </x:c>
      <x:c r="AG598" t="n">
        <x:f>IF(ISNUMBER(I598),1,0)</x:f>
        <x:v>1</x:v>
      </x:c>
      <x:c r="AH598" t="str">
        <x:v>["B06","B06-ND-Z-0","ND-Z","裸色镜面PU"]</x:v>
      </x:c>
      <x:c r="AI598" t="n">
        <x:f>IF(ISNUMBER(G598),1,0)</x:f>
        <x:v>1</x:v>
      </x:c>
      <x:c r="AJ598" t="n">
        <x:f>IF(ISNUMBER(AD598),1,0)</x:f>
        <x:v>0</x:v>
      </x:c>
    </x:row>
    <x:row r="599" ht="30" customHeight="1">
      <x:c r="A599" s="3" t="str">
        <x:v>B06-ND-Z-0-42</x:v>
      </x:c>
      <x:c r="B599" s="3" t="str">
        <x:v>1店-MUSSHOE-US</x:v>
      </x:c>
      <x:c r="C599" s="3" t="str">
        <x:v>艾年</x:v>
      </x:c>
      <x:c r="D599" s="3" t="str">
        <x:v>B06</x:v>
      </x:c>
      <x:c r="E599" s="3" t="str">
        <x:f>IF(Z599="移出","已移出",IF(NOT(ISNUMBER(H599)),"数据待核",IF(H599=0,"断货",IF(NOT(ISNUMBER(G599)),"数据待核",IF(G599=0,"零日销待复核",IF(F599&lt;60,"补货提醒",IF(F599&lt;=90,"正常库存",IF(F599&lt;180,"促销",IF(F599&lt;=365,"红线促销","考虑清仓")))))))))</x:f>
        <x:v>断货</x:v>
      </x:c>
      <x:c r="F599" s="11" t="str">
        <x:f>IF(AND(ISNUMBER(H599),ISNUMBER(G599),G599&gt;0),H599/G599,"")</x:f>
      </x:c>
      <x:c r="G599" s="12" t="n">
        <x:f>IF(AND(COUNT(P599:R599)=3,MIN(P599:R599)&gt;=0,P599&lt;=Q599,Q599&lt;=R599),P599/7*0.5+Q599/14*0.3+R599/30*0.2,"")</x:f>
        <x:v>0</x:v>
      </x:c>
      <x:c r="H599" s="10" t="n">
        <x:f>IF(ISNUMBER(U599),U599,"")</x:f>
        <x:v>0</x:v>
      </x:c>
      <x:c r="I599" s="10" t="n">
        <x:v>0</x:v>
      </x:c>
      <x:c r="J599" s="11" t="str">
        <x:f>IF(AND(Z599="共同",ISNUMBER(F599),ISNUMBER(M599)),F599-M599,"")</x:f>
      </x:c>
      <x:c r="K599" s="13" t="str">
        <x:f>IF(AND(ISNUMBER(J599),M599&lt;&gt;0),J599/M599,"")</x:f>
      </x:c>
      <x:c r="L599" s="10" t="str">
        <x:v>断货</x:v>
      </x:c>
      <x:c r="M599" s="11"/>
      <x:c r="N599" s="10" t="n">
        <x:f>IF(AND(Z599="共同",COUNT(H599:I599)=2),H599-I599,"")</x:f>
        <x:v>0</x:v>
      </x:c>
      <x:c r="O599" s="10" t="n">
        <x:v>0</x:v>
      </x:c>
      <x:c r="P599" s="10" t="n">
        <x:v>0</x:v>
      </x:c>
      <x:c r="Q599" s="10" t="n">
        <x:v>0</x:v>
      </x:c>
      <x:c r="R599" s="10" t="n">
        <x:v>0</x:v>
      </x:c>
      <x:c r="S599" s="10" t="n">
        <x:v>0</x:v>
      </x:c>
      <x:c r="T599" s="10" t="n">
        <x:v>0</x:v>
      </x:c>
      <x:c r="U599" s="10" t="n">
        <x:f>IF(AND(ISNUMBER(X599),X599&gt;=0,Y599&lt;&gt;1),X599,"")</x:f>
        <x:v>0</x:v>
      </x:c>
      <x:c r="V599" s="10" t="n">
        <x:v>0</x:v>
      </x:c>
      <x:c r="W599" s="10" t="n">
        <x:v>0</x:v>
      </x:c>
      <x:c r="X599" s="10" t="n">
        <x:v>0</x:v>
      </x:c>
      <x:c r="Y599" s="3" t="n">
        <x:v>0</x:v>
      </x:c>
      <x:c r="Z599" s="3" t="str">
        <x:v>共同</x:v>
      </x:c>
      <x:c r="AA599" s="3" t="str">
        <x:v>停售</x:v>
      </x:c>
      <x:c r="AB599" s="12" t="str">
        <x:f>IF(AND(Z599="共同",ISNUMBER(G599),ISNUMBER(AD599)),G599-AD599,"")</x:f>
      </x:c>
      <x:c r="AC599" s="3" t="str">
        <x:v>近90天SKU销量未匹配，未按0处理</x:v>
      </x:c>
      <x:c r="AD599" s="12"/>
      <x:c r="AE599" s="3" t="str">
        <x:v>[13120,"B06-ND-Z-0-42"]</x:v>
      </x:c>
      <x:c r="AF599" t="n">
        <x:f>IF(ISNUMBER(H599),1,0)</x:f>
        <x:v>1</x:v>
      </x:c>
      <x:c r="AG599" t="n">
        <x:f>IF(ISNUMBER(I599),1,0)</x:f>
        <x:v>1</x:v>
      </x:c>
      <x:c r="AH599" t="str">
        <x:v>["B06","B06-ND-Z-0","ND-Z","裸色镜面PU"]</x:v>
      </x:c>
      <x:c r="AI599" t="n">
        <x:f>IF(ISNUMBER(G599),1,0)</x:f>
        <x:v>1</x:v>
      </x:c>
      <x:c r="AJ599" t="n">
        <x:f>IF(ISNUMBER(AD599),1,0)</x:f>
        <x:v>0</x:v>
      </x:c>
    </x:row>
    <x:row r="600" ht="30" customHeight="1">
      <x:c r="A600" s="3" t="str">
        <x:v>B06-NY-41</x:v>
      </x:c>
      <x:c r="B600" s="3" t="str">
        <x:v>1店-MUSSHOE-US</x:v>
      </x:c>
      <x:c r="C600" s="3" t="str">
        <x:v>艾年</x:v>
      </x:c>
      <x:c r="D600" s="3" t="str">
        <x:v>B06</x:v>
      </x:c>
      <x:c r="E600" s="3" t="str">
        <x:f>IF(Z600="移出","已移出",IF(NOT(ISNUMBER(H600)),"数据待核",IF(H600=0,"断货",IF(NOT(ISNUMBER(G600)),"数据待核",IF(G600=0,"零日销待复核",IF(F600&lt;60,"补货提醒",IF(F600&lt;=90,"正常库存",IF(F600&lt;180,"促销",IF(F600&lt;=365,"红线促销","考虑清仓")))))))))</x:f>
        <x:v>断货</x:v>
      </x:c>
      <x:c r="F600" s="11" t="n">
        <x:f>IF(AND(ISNUMBER(H600),ISNUMBER(G600),G600&gt;0),H600/G600,"")</x:f>
        <x:v>0</x:v>
      </x:c>
      <x:c r="G600" s="12" t="n">
        <x:f>IF(AND(COUNT(P600:R600)=3,MIN(P600:R600)&gt;=0,P600&lt;=Q600,Q600&lt;=R600),P600/7*0.5+Q600/14*0.3+R600/30*0.2,"")</x:f>
        <x:v>0.028095238095238093</x:v>
      </x:c>
      <x:c r="H600" s="10" t="n">
        <x:f>IF(ISNUMBER(U600),U600,"")</x:f>
        <x:v>0</x:v>
      </x:c>
      <x:c r="I600" s="10" t="n">
        <x:v>0</x:v>
      </x:c>
      <x:c r="J600" s="11" t="n">
        <x:f>IF(AND(Z600="共同",ISNUMBER(F600),ISNUMBER(M600)),F600-M600,"")</x:f>
        <x:v>0</x:v>
      </x:c>
      <x:c r="K600" s="13" t="str">
        <x:f>IF(AND(ISNUMBER(J600),M600&lt;&gt;0),J600/M600,"")</x:f>
      </x:c>
      <x:c r="L600" s="10" t="str">
        <x:v>断货</x:v>
      </x:c>
      <x:c r="M600" s="11" t="n">
        <x:v>0</x:v>
      </x:c>
      <x:c r="N600" s="10" t="n">
        <x:f>IF(AND(Z600="共同",COUNT(H600:I600)=2),H600-I600,"")</x:f>
        <x:v>0</x:v>
      </x:c>
      <x:c r="O600" s="10" t="n">
        <x:v>36</x:v>
      </x:c>
      <x:c r="P600" s="10" t="n">
        <x:v>0</x:v>
      </x:c>
      <x:c r="Q600" s="10" t="n">
        <x:v>1</x:v>
      </x:c>
      <x:c r="R600" s="10" t="n">
        <x:v>1</x:v>
      </x:c>
      <x:c r="S600" s="10" t="n">
        <x:v>0</x:v>
      </x:c>
      <x:c r="T600" s="10" t="n">
        <x:v>0</x:v>
      </x:c>
      <x:c r="U600" s="10" t="n">
        <x:f>IF(AND(ISNUMBER(X600),X600&gt;=0,Y600&lt;&gt;1),X600,"")</x:f>
        <x:v>0</x:v>
      </x:c>
      <x:c r="V600" s="10" t="n">
        <x:v>0</x:v>
      </x:c>
      <x:c r="W600" s="10" t="n">
        <x:v>19</x:v>
      </x:c>
      <x:c r="X600" s="10" t="n">
        <x:v>0</x:v>
      </x:c>
      <x:c r="Y600" s="3" t="n">
        <x:v>0</x:v>
      </x:c>
      <x:c r="Z600" s="3" t="str">
        <x:v>共同</x:v>
      </x:c>
      <x:c r="AA600" s="3" t="str">
        <x:v>停售</x:v>
      </x:c>
      <x:c r="AB600" s="12" t="n">
        <x:f>IF(AND(Z600="共同",ISNUMBER(G600),ISNUMBER(AD600)),G600-AD600,"")</x:f>
        <x:v>-0.07142857142857142</x:v>
      </x:c>
      <x:c r="AC600" s="3" t="str"/>
      <x:c r="AD600" s="12" t="n">
        <x:v>0.09952380952380951</x:v>
      </x:c>
      <x:c r="AE600" s="3" t="str">
        <x:v>[13120,"B06-NY-41"]</x:v>
      </x:c>
      <x:c r="AF600" t="n">
        <x:f>IF(ISNUMBER(H600),1,0)</x:f>
        <x:v>1</x:v>
      </x:c>
      <x:c r="AG600" t="n">
        <x:f>IF(ISNUMBER(I600),1,0)</x:f>
        <x:v>1</x:v>
      </x:c>
      <x:c r="AH600" t="str">
        <x:v>["B06","B06-NY","NY","藏青色羊京绒"]</x:v>
      </x:c>
      <x:c r="AI600" t="n">
        <x:f>IF(ISNUMBER(G600),1,0)</x:f>
        <x:v>1</x:v>
      </x:c>
      <x:c r="AJ600" t="n">
        <x:f>IF(ISNUMBER(AD600),1,0)</x:f>
        <x:v>1</x:v>
      </x:c>
    </x:row>
    <x:row r="601" ht="30" customHeight="1">
      <x:c r="A601" s="3" t="str">
        <x:v>B06-PDBG-40</x:v>
      </x:c>
      <x:c r="B601" s="3" t="str">
        <x:v>1店-MUSSHOE-US</x:v>
      </x:c>
      <x:c r="C601" s="3" t="str">
        <x:v>艾年</x:v>
      </x:c>
      <x:c r="D601" s="3" t="str">
        <x:v>B06</x:v>
      </x:c>
      <x:c r="E601" s="3" t="str">
        <x:f>IF(Z601="移出","已移出",IF(NOT(ISNUMBER(H601)),"数据待核",IF(H601=0,"断货",IF(NOT(ISNUMBER(G601)),"数据待核",IF(G601=0,"零日销待复核",IF(F601&lt;60,"补货提醒",IF(F601&lt;=90,"正常库存",IF(F601&lt;180,"促销",IF(F601&lt;=365,"红线促销","考虑清仓")))))))))</x:f>
        <x:v>断货</x:v>
      </x:c>
      <x:c r="F601" s="11" t="str">
        <x:f>IF(AND(ISNUMBER(H601),ISNUMBER(G601),G601&gt;0),H601/G601,"")</x:f>
      </x:c>
      <x:c r="G601" s="12" t="n">
        <x:f>IF(AND(COUNT(P601:R601)=3,MIN(P601:R601)&gt;=0,P601&lt;=Q601,Q601&lt;=R601),P601/7*0.5+Q601/14*0.3+R601/30*0.2,"")</x:f>
        <x:v>0</x:v>
      </x:c>
      <x:c r="H601" s="10" t="n">
        <x:f>IF(ISNUMBER(U601),U601,"")</x:f>
        <x:v>0</x:v>
      </x:c>
      <x:c r="I601" s="10"/>
      <x:c r="J601" s="11" t="str">
        <x:f>IF(AND(Z601="共同",ISNUMBER(F601),ISNUMBER(M601)),F601-M601,"")</x:f>
      </x:c>
      <x:c r="K601" s="13" t="str">
        <x:f>IF(AND(ISNUMBER(J601),M601&lt;&gt;0),J601/M601,"")</x:f>
      </x:c>
      <x:c r="L601" s="10"/>
      <x:c r="M601" s="11"/>
      <x:c r="N601" s="10" t="str">
        <x:f>IF(AND(Z601="共同",COUNT(H601:I601)=2),H601-I601,"")</x:f>
      </x:c>
      <x:c r="O601" s="10" t="n">
        <x:v>0</x:v>
      </x:c>
      <x:c r="P601" s="10" t="n">
        <x:v>0</x:v>
      </x:c>
      <x:c r="Q601" s="10" t="n">
        <x:v>0</x:v>
      </x:c>
      <x:c r="R601" s="10" t="n">
        <x:v>0</x:v>
      </x:c>
      <x:c r="S601" s="10" t="n">
        <x:v>0</x:v>
      </x:c>
      <x:c r="T601" s="10" t="n">
        <x:v>0</x:v>
      </x:c>
      <x:c r="U601" s="10" t="n">
        <x:f>IF(AND(ISNUMBER(X601),X601&gt;=0,Y601&lt;&gt;1),X601,"")</x:f>
        <x:v>0</x:v>
      </x:c>
      <x:c r="V601" s="10" t="n">
        <x:v>0</x:v>
      </x:c>
      <x:c r="W601" s="10" t="n">
        <x:v>0</x:v>
      </x:c>
      <x:c r="X601" s="10" t="n">
        <x:v>0</x:v>
      </x:c>
      <x:c r="Y601" s="3" t="n">
        <x:v>0</x:v>
      </x:c>
      <x:c r="Z601" s="3" t="str">
        <x:v>新增</x:v>
      </x:c>
      <x:c r="AA601" s="3" t="str">
        <x:v>停售</x:v>
      </x:c>
      <x:c r="AB601" s="12" t="str">
        <x:f>IF(AND(Z601="共同",ISNUMBER(G601),ISNUMBER(AD601)),G601-AD601,"")</x:f>
      </x:c>
      <x:c r="AC601" s="3" t="str"/>
      <x:c r="AD601" s="12"/>
      <x:c r="AE601" s="3" t="str">
        <x:v>[13120,"B06-PDBG-40"]</x:v>
      </x:c>
      <x:c r="AF601" t="n">
        <x:f>IF(ISNUMBER(H601),1,0)</x:f>
        <x:v>1</x:v>
      </x:c>
      <x:c r="AG601" t="n">
        <x:f>IF(ISNUMBER(I601),1,0)</x:f>
        <x:v>0</x:v>
      </x:c>
      <x:c r="AH601" t="str">
        <x:v>["B06","B06-PDBG","PDBG","米色圆点布"]</x:v>
      </x:c>
      <x:c r="AI601" t="n">
        <x:f>IF(ISNUMBER(G601),1,0)</x:f>
        <x:v>1</x:v>
      </x:c>
      <x:c r="AJ601" t="n">
        <x:f>IF(ISNUMBER(AD601),1,0)</x:f>
        <x:v>0</x:v>
      </x:c>
    </x:row>
    <x:row r="602" ht="30" customHeight="1">
      <x:c r="A602" s="3" t="str">
        <x:v>B06-PDBG-40.5</x:v>
      </x:c>
      <x:c r="B602" s="3" t="str">
        <x:v>1店-MUSSHOE-US</x:v>
      </x:c>
      <x:c r="C602" s="3" t="str">
        <x:v>艾年</x:v>
      </x:c>
      <x:c r="D602" s="3" t="str">
        <x:v>B06</x:v>
      </x:c>
      <x:c r="E602" s="3" t="str">
        <x:f>IF(Z602="移出","已移出",IF(NOT(ISNUMBER(H602)),"数据待核",IF(H602=0,"断货",IF(NOT(ISNUMBER(G602)),"数据待核",IF(G602=0,"零日销待复核",IF(F602&lt;60,"补货提醒",IF(F602&lt;=90,"正常库存",IF(F602&lt;180,"促销",IF(F602&lt;=365,"红线促销","考虑清仓")))))))))</x:f>
        <x:v>断货</x:v>
      </x:c>
      <x:c r="F602" s="11" t="str">
        <x:f>IF(AND(ISNUMBER(H602),ISNUMBER(G602),G602&gt;0),H602/G602,"")</x:f>
      </x:c>
      <x:c r="G602" s="12" t="n">
        <x:f>IF(AND(COUNT(P602:R602)=3,MIN(P602:R602)&gt;=0,P602&lt;=Q602,Q602&lt;=R602),P602/7*0.5+Q602/14*0.3+R602/30*0.2,"")</x:f>
        <x:v>0</x:v>
      </x:c>
      <x:c r="H602" s="10" t="n">
        <x:f>IF(ISNUMBER(U602),U602,"")</x:f>
        <x:v>0</x:v>
      </x:c>
      <x:c r="I602" s="10"/>
      <x:c r="J602" s="11" t="str">
        <x:f>IF(AND(Z602="共同",ISNUMBER(F602),ISNUMBER(M602)),F602-M602,"")</x:f>
      </x:c>
      <x:c r="K602" s="13" t="str">
        <x:f>IF(AND(ISNUMBER(J602),M602&lt;&gt;0),J602/M602,"")</x:f>
      </x:c>
      <x:c r="L602" s="10"/>
      <x:c r="M602" s="11"/>
      <x:c r="N602" s="10" t="str">
        <x:f>IF(AND(Z602="共同",COUNT(H602:I602)=2),H602-I602,"")</x:f>
      </x:c>
      <x:c r="O602" s="10"/>
      <x:c r="P602" s="10" t="n">
        <x:v>0</x:v>
      </x:c>
      <x:c r="Q602" s="10" t="n">
        <x:v>0</x:v>
      </x:c>
      <x:c r="R602" s="10" t="n">
        <x:v>0</x:v>
      </x:c>
      <x:c r="S602" s="10" t="n">
        <x:v>0</x:v>
      </x:c>
      <x:c r="T602" s="10" t="n">
        <x:v>0</x:v>
      </x:c>
      <x:c r="U602" s="10" t="n">
        <x:f>IF(AND(ISNUMBER(X602),X602&gt;=0,Y602&lt;&gt;1),X602,"")</x:f>
        <x:v>0</x:v>
      </x:c>
      <x:c r="V602" s="10" t="n">
        <x:v>0</x:v>
      </x:c>
      <x:c r="W602" s="10" t="n">
        <x:v>0</x:v>
      </x:c>
      <x:c r="X602" s="10" t="n">
        <x:v>0</x:v>
      </x:c>
      <x:c r="Y602" s="3" t="n">
        <x:v>0</x:v>
      </x:c>
      <x:c r="Z602" s="3" t="str">
        <x:v>新增</x:v>
      </x:c>
      <x:c r="AA602" s="3" t="str">
        <x:v>停售</x:v>
      </x:c>
      <x:c r="AB602" s="12" t="str">
        <x:f>IF(AND(Z602="共同",ISNUMBER(G602),ISNUMBER(AD602)),G602-AD602,"")</x:f>
      </x:c>
      <x:c r="AC602" s="3" t="str">
        <x:v>近90天SKU销量未匹配，未按0处理</x:v>
      </x:c>
      <x:c r="AD602" s="12"/>
      <x:c r="AE602" s="3" t="str">
        <x:v>[13120,"B06-PDBG-40.5"]</x:v>
      </x:c>
      <x:c r="AF602" t="n">
        <x:f>IF(ISNUMBER(H602),1,0)</x:f>
        <x:v>1</x:v>
      </x:c>
      <x:c r="AG602" t="n">
        <x:f>IF(ISNUMBER(I602),1,0)</x:f>
        <x:v>0</x:v>
      </x:c>
      <x:c r="AH602" t="str">
        <x:v>["B06","B06-PDBG","PDBG","米色圆点布"]</x:v>
      </x:c>
      <x:c r="AI602" t="n">
        <x:f>IF(ISNUMBER(G602),1,0)</x:f>
        <x:v>1</x:v>
      </x:c>
      <x:c r="AJ602" t="n">
        <x:f>IF(ISNUMBER(AD602),1,0)</x:f>
        <x:v>0</x:v>
      </x:c>
    </x:row>
    <x:row r="603" ht="30" customHeight="1">
      <x:c r="A603" s="3" t="str">
        <x:v>B06-PDBG-42</x:v>
      </x:c>
      <x:c r="B603" s="3" t="str">
        <x:v>1店-MUSSHOE-US</x:v>
      </x:c>
      <x:c r="C603" s="3" t="str">
        <x:v>艾年</x:v>
      </x:c>
      <x:c r="D603" s="3" t="str">
        <x:v>B06</x:v>
      </x:c>
      <x:c r="E603" s="3" t="str">
        <x:f>IF(Z603="移出","已移出",IF(NOT(ISNUMBER(H603)),"数据待核",IF(H603=0,"断货",IF(NOT(ISNUMBER(G603)),"数据待核",IF(G603=0,"零日销待复核",IF(F603&lt;60,"补货提醒",IF(F603&lt;=90,"正常库存",IF(F603&lt;180,"促销",IF(F603&lt;=365,"红线促销","考虑清仓")))))))))</x:f>
        <x:v>断货</x:v>
      </x:c>
      <x:c r="F603" s="11" t="str">
        <x:f>IF(AND(ISNUMBER(H603),ISNUMBER(G603),G603&gt;0),H603/G603,"")</x:f>
      </x:c>
      <x:c r="G603" s="12" t="n">
        <x:f>IF(AND(COUNT(P603:R603)=3,MIN(P603:R603)&gt;=0,P603&lt;=Q603,Q603&lt;=R603),P603/7*0.5+Q603/14*0.3+R603/30*0.2,"")</x:f>
        <x:v>0</x:v>
      </x:c>
      <x:c r="H603" s="10" t="n">
        <x:f>IF(ISNUMBER(U603),U603,"")</x:f>
        <x:v>0</x:v>
      </x:c>
      <x:c r="I603" s="10"/>
      <x:c r="J603" s="11" t="str">
        <x:f>IF(AND(Z603="共同",ISNUMBER(F603),ISNUMBER(M603)),F603-M603,"")</x:f>
      </x:c>
      <x:c r="K603" s="13" t="str">
        <x:f>IF(AND(ISNUMBER(J603),M603&lt;&gt;0),J603/M603,"")</x:f>
      </x:c>
      <x:c r="L603" s="10"/>
      <x:c r="M603" s="11"/>
      <x:c r="N603" s="10" t="str">
        <x:f>IF(AND(Z603="共同",COUNT(H603:I603)=2),H603-I603,"")</x:f>
      </x:c>
      <x:c r="O603" s="10"/>
      <x:c r="P603" s="10" t="n">
        <x:v>0</x:v>
      </x:c>
      <x:c r="Q603" s="10" t="n">
        <x:v>0</x:v>
      </x:c>
      <x:c r="R603" s="10" t="n">
        <x:v>0</x:v>
      </x:c>
      <x:c r="S603" s="10" t="n">
        <x:v>0</x:v>
      </x:c>
      <x:c r="T603" s="10" t="n">
        <x:v>0</x:v>
      </x:c>
      <x:c r="U603" s="10" t="n">
        <x:f>IF(AND(ISNUMBER(X603),X603&gt;=0,Y603&lt;&gt;1),X603,"")</x:f>
        <x:v>0</x:v>
      </x:c>
      <x:c r="V603" s="10" t="n">
        <x:v>0</x:v>
      </x:c>
      <x:c r="W603" s="10" t="n">
        <x:v>0</x:v>
      </x:c>
      <x:c r="X603" s="10" t="n">
        <x:v>0</x:v>
      </x:c>
      <x:c r="Y603" s="3" t="n">
        <x:v>0</x:v>
      </x:c>
      <x:c r="Z603" s="3" t="str">
        <x:v>新增</x:v>
      </x:c>
      <x:c r="AA603" s="3" t="str">
        <x:v>停售</x:v>
      </x:c>
      <x:c r="AB603" s="12" t="str">
        <x:f>IF(AND(Z603="共同",ISNUMBER(G603),ISNUMBER(AD603)),G603-AD603,"")</x:f>
      </x:c>
      <x:c r="AC603" s="3" t="str">
        <x:v>近90天SKU销量未匹配，未按0处理</x:v>
      </x:c>
      <x:c r="AD603" s="12"/>
      <x:c r="AE603" s="3" t="str">
        <x:v>[13120,"B06-PDBG-42"]</x:v>
      </x:c>
      <x:c r="AF603" t="n">
        <x:f>IF(ISNUMBER(H603),1,0)</x:f>
        <x:v>1</x:v>
      </x:c>
      <x:c r="AG603" t="n">
        <x:f>IF(ISNUMBER(I603),1,0)</x:f>
        <x:v>0</x:v>
      </x:c>
      <x:c r="AH603" t="str">
        <x:v>["B06","B06-PDBG","PDBG","米色圆点布"]</x:v>
      </x:c>
      <x:c r="AI603" t="n">
        <x:f>IF(ISNUMBER(G603),1,0)</x:f>
        <x:v>1</x:v>
      </x:c>
      <x:c r="AJ603" t="n">
        <x:f>IF(ISNUMBER(AD603),1,0)</x:f>
        <x:v>0</x:v>
      </x:c>
    </x:row>
    <x:row r="604" ht="30" customHeight="1">
      <x:c r="A604" s="3" t="str">
        <x:v>B06-PDBK-37</x:v>
      </x:c>
      <x:c r="B604" s="3" t="str">
        <x:v>1店-MUSSHOE-US</x:v>
      </x:c>
      <x:c r="C604" s="3" t="str">
        <x:v>艾年</x:v>
      </x:c>
      <x:c r="D604" s="3" t="str">
        <x:v>B06</x:v>
      </x:c>
      <x:c r="E604" s="3" t="str">
        <x:f>IF(Z604="移出","已移出",IF(NOT(ISNUMBER(H604)),"数据待核",IF(H604=0,"断货",IF(NOT(ISNUMBER(G604)),"数据待核",IF(G604=0,"零日销待复核",IF(F604&lt;60,"补货提醒",IF(F604&lt;=90,"正常库存",IF(F604&lt;180,"促销",IF(F604&lt;=365,"红线促销","考虑清仓")))))))))</x:f>
        <x:v>断货</x:v>
      </x:c>
      <x:c r="F604" s="11" t="str">
        <x:f>IF(AND(ISNUMBER(H604),ISNUMBER(G604),G604&gt;0),H604/G604,"")</x:f>
      </x:c>
      <x:c r="G604" s="12" t="n">
        <x:f>IF(AND(COUNT(P604:R604)=3,MIN(P604:R604)&gt;=0,P604&lt;=Q604,Q604&lt;=R604),P604/7*0.5+Q604/14*0.3+R604/30*0.2,"")</x:f>
        <x:v>0</x:v>
      </x:c>
      <x:c r="H604" s="10" t="n">
        <x:f>IF(ISNUMBER(U604),U604,"")</x:f>
        <x:v>0</x:v>
      </x:c>
      <x:c r="I604" s="10" t="n">
        <x:v>0</x:v>
      </x:c>
      <x:c r="J604" s="11" t="str">
        <x:f>IF(AND(Z604="共同",ISNUMBER(F604),ISNUMBER(M604)),F604-M604,"")</x:f>
      </x:c>
      <x:c r="K604" s="13" t="str">
        <x:f>IF(AND(ISNUMBER(J604),M604&lt;&gt;0),J604/M604,"")</x:f>
      </x:c>
      <x:c r="L604" s="10" t="str">
        <x:v>断货</x:v>
      </x:c>
      <x:c r="M604" s="11"/>
      <x:c r="N604" s="10" t="n">
        <x:f>IF(AND(Z604="共同",COUNT(H604:I604)=2),H604-I604,"")</x:f>
        <x:v>0</x:v>
      </x:c>
      <x:c r="O604" s="10"/>
      <x:c r="P604" s="10" t="n">
        <x:v>0</x:v>
      </x:c>
      <x:c r="Q604" s="10" t="n">
        <x:v>0</x:v>
      </x:c>
      <x:c r="R604" s="10" t="n">
        <x:v>0</x:v>
      </x:c>
      <x:c r="S604" s="10" t="n">
        <x:v>0</x:v>
      </x:c>
      <x:c r="T604" s="10" t="n">
        <x:v>0</x:v>
      </x:c>
      <x:c r="U604" s="10" t="n">
        <x:f>IF(AND(ISNUMBER(X604),X604&gt;=0,Y604&lt;&gt;1),X604,"")</x:f>
        <x:v>0</x:v>
      </x:c>
      <x:c r="V604" s="10" t="n">
        <x:v>0</x:v>
      </x:c>
      <x:c r="W604" s="10" t="n">
        <x:v>0</x:v>
      </x:c>
      <x:c r="X604" s="10" t="n">
        <x:v>0</x:v>
      </x:c>
      <x:c r="Y604" s="3" t="n">
        <x:v>0</x:v>
      </x:c>
      <x:c r="Z604" s="3" t="str">
        <x:v>共同</x:v>
      </x:c>
      <x:c r="AA604" s="3" t="str">
        <x:v>停售</x:v>
      </x:c>
      <x:c r="AB604" s="12" t="str">
        <x:f>IF(AND(Z604="共同",ISNUMBER(G604),ISNUMBER(AD604)),G604-AD604,"")</x:f>
      </x:c>
      <x:c r="AC604" s="3" t="str">
        <x:v>近90天SKU销量未匹配，未按0处理</x:v>
      </x:c>
      <x:c r="AD604" s="12"/>
      <x:c r="AE604" s="3" t="str">
        <x:v>[13120,"B06-PDBK-37"]</x:v>
      </x:c>
      <x:c r="AF604" t="n">
        <x:f>IF(ISNUMBER(H604),1,0)</x:f>
        <x:v>1</x:v>
      </x:c>
      <x:c r="AG604" t="n">
        <x:f>IF(ISNUMBER(I604),1,0)</x:f>
        <x:v>1</x:v>
      </x:c>
      <x:c r="AH604" t="str">
        <x:v>["B06","B06-PDBK","PDBK","黑色圆点布"]</x:v>
      </x:c>
      <x:c r="AI604" t="n">
        <x:f>IF(ISNUMBER(G604),1,0)</x:f>
        <x:v>1</x:v>
      </x:c>
      <x:c r="AJ604" t="n">
        <x:f>IF(ISNUMBER(AD604),1,0)</x:f>
        <x:v>0</x:v>
      </x:c>
    </x:row>
    <x:row r="605" ht="30" customHeight="1">
      <x:c r="A605" s="3" t="str">
        <x:v>B06-PDBK-41.5</x:v>
      </x:c>
      <x:c r="B605" s="3" t="str">
        <x:v>1店-MUSSHOE-US</x:v>
      </x:c>
      <x:c r="C605" s="3" t="str">
        <x:v>艾年</x:v>
      </x:c>
      <x:c r="D605" s="3" t="str">
        <x:v>B06</x:v>
      </x:c>
      <x:c r="E605" s="3" t="str">
        <x:f>IF(Z605="移出","已移出",IF(NOT(ISNUMBER(H605)),"数据待核",IF(H605=0,"断货",IF(NOT(ISNUMBER(G605)),"数据待核",IF(G605=0,"零日销待复核",IF(F605&lt;60,"补货提醒",IF(F605&lt;=90,"正常库存",IF(F605&lt;180,"促销",IF(F605&lt;=365,"红线促销","考虑清仓")))))))))</x:f>
        <x:v>断货</x:v>
      </x:c>
      <x:c r="F605" s="11" t="str">
        <x:f>IF(AND(ISNUMBER(H605),ISNUMBER(G605),G605&gt;0),H605/G605,"")</x:f>
      </x:c>
      <x:c r="G605" s="12" t="n">
        <x:f>IF(AND(COUNT(P605:R605)=3,MIN(P605:R605)&gt;=0,P605&lt;=Q605,Q605&lt;=R605),P605/7*0.5+Q605/14*0.3+R605/30*0.2,"")</x:f>
        <x:v>0</x:v>
      </x:c>
      <x:c r="H605" s="10" t="n">
        <x:f>IF(ISNUMBER(U605),U605,"")</x:f>
        <x:v>0</x:v>
      </x:c>
      <x:c r="I605" s="10" t="n">
        <x:v>0</x:v>
      </x:c>
      <x:c r="J605" s="11" t="str">
        <x:f>IF(AND(Z605="共同",ISNUMBER(F605),ISNUMBER(M605)),F605-M605,"")</x:f>
      </x:c>
      <x:c r="K605" s="13" t="str">
        <x:f>IF(AND(ISNUMBER(J605),M605&lt;&gt;0),J605/M605,"")</x:f>
      </x:c>
      <x:c r="L605" s="10" t="str">
        <x:v>断货</x:v>
      </x:c>
      <x:c r="M605" s="11"/>
      <x:c r="N605" s="10" t="n">
        <x:f>IF(AND(Z605="共同",COUNT(H605:I605)=2),H605-I605,"")</x:f>
        <x:v>0</x:v>
      </x:c>
      <x:c r="O605" s="10"/>
      <x:c r="P605" s="10" t="n">
        <x:v>0</x:v>
      </x:c>
      <x:c r="Q605" s="10" t="n">
        <x:v>0</x:v>
      </x:c>
      <x:c r="R605" s="10" t="n">
        <x:v>0</x:v>
      </x:c>
      <x:c r="S605" s="10" t="n">
        <x:v>0</x:v>
      </x:c>
      <x:c r="T605" s="10" t="n">
        <x:v>0</x:v>
      </x:c>
      <x:c r="U605" s="10" t="n">
        <x:f>IF(AND(ISNUMBER(X605),X605&gt;=0,Y605&lt;&gt;1),X605,"")</x:f>
        <x:v>0</x:v>
      </x:c>
      <x:c r="V605" s="10" t="n">
        <x:v>0</x:v>
      </x:c>
      <x:c r="W605" s="10" t="n">
        <x:v>0</x:v>
      </x:c>
      <x:c r="X605" s="10" t="n">
        <x:v>0</x:v>
      </x:c>
      <x:c r="Y605" s="3" t="n">
        <x:v>0</x:v>
      </x:c>
      <x:c r="Z605" s="3" t="str">
        <x:v>共同</x:v>
      </x:c>
      <x:c r="AA605" s="3" t="str">
        <x:v>停售</x:v>
      </x:c>
      <x:c r="AB605" s="12" t="str">
        <x:f>IF(AND(Z605="共同",ISNUMBER(G605),ISNUMBER(AD605)),G605-AD605,"")</x:f>
      </x:c>
      <x:c r="AC605" s="3" t="str">
        <x:v>近90天SKU销量未匹配，未按0处理</x:v>
      </x:c>
      <x:c r="AD605" s="12"/>
      <x:c r="AE605" s="3" t="str">
        <x:v>[13120,"B06-PDBK-41.5"]</x:v>
      </x:c>
      <x:c r="AF605" t="n">
        <x:f>IF(ISNUMBER(H605),1,0)</x:f>
        <x:v>1</x:v>
      </x:c>
      <x:c r="AG605" t="n">
        <x:f>IF(ISNUMBER(I605),1,0)</x:f>
        <x:v>1</x:v>
      </x:c>
      <x:c r="AH605" t="str">
        <x:v>["B06","B06-PDBK","PDBK","黑色圆点布"]</x:v>
      </x:c>
      <x:c r="AI605" t="n">
        <x:f>IF(ISNUMBER(G605),1,0)</x:f>
        <x:v>1</x:v>
      </x:c>
      <x:c r="AJ605" t="n">
        <x:f>IF(ISNUMBER(AD605),1,0)</x:f>
        <x:v>0</x:v>
      </x:c>
    </x:row>
    <x:row r="606" ht="30" customHeight="1">
      <x:c r="A606" s="3" t="str">
        <x:v>B06-PK-38-N</x:v>
      </x:c>
      <x:c r="B606" s="3" t="str">
        <x:v>1店-MUSSHOE-US</x:v>
      </x:c>
      <x:c r="C606" s="3" t="str">
        <x:v>艾年</x:v>
      </x:c>
      <x:c r="D606" s="3" t="str">
        <x:v>B06</x:v>
      </x:c>
      <x:c r="E606" s="3" t="str">
        <x:f>IF(Z606="移出","已移出",IF(NOT(ISNUMBER(H606)),"数据待核",IF(H606=0,"断货",IF(NOT(ISNUMBER(G606)),"数据待核",IF(G606=0,"零日销待复核",IF(F606&lt;60,"补货提醒",IF(F606&lt;=90,"正常库存",IF(F606&lt;180,"促销",IF(F606&lt;=365,"红线促销","考虑清仓")))))))))</x:f>
        <x:v>断货</x:v>
      </x:c>
      <x:c r="F606" s="11" t="n">
        <x:f>IF(AND(ISNUMBER(H606),ISNUMBER(G606),G606&gt;0),H606/G606,"")</x:f>
        <x:v>0</x:v>
      </x:c>
      <x:c r="G606" s="12" t="n">
        <x:f>IF(AND(COUNT(P606:R606)=3,MIN(P606:R606)&gt;=0,P606&lt;=Q606,Q606&lt;=R606),P606/7*0.5+Q606/14*0.3+R606/30*0.2,"")</x:f>
        <x:v>0.006666666666666667</x:v>
      </x:c>
      <x:c r="H606" s="10" t="n">
        <x:f>IF(ISNUMBER(U606),U606,"")</x:f>
        <x:v>0</x:v>
      </x:c>
      <x:c r="I606" s="10" t="n">
        <x:v>0</x:v>
      </x:c>
      <x:c r="J606" s="11" t="n">
        <x:f>IF(AND(Z606="共同",ISNUMBER(F606),ISNUMBER(M606)),F606-M606,"")</x:f>
        <x:v>0</x:v>
      </x:c>
      <x:c r="K606" s="13" t="str">
        <x:f>IF(AND(ISNUMBER(J606),M606&lt;&gt;0),J606/M606,"")</x:f>
      </x:c>
      <x:c r="L606" s="10" t="str">
        <x:v>断货</x:v>
      </x:c>
      <x:c r="M606" s="11" t="n">
        <x:v>0</x:v>
      </x:c>
      <x:c r="N606" s="10" t="n">
        <x:f>IF(AND(Z606="共同",COUNT(H606:I606)=2),H606-I606,"")</x:f>
        <x:v>0</x:v>
      </x:c>
      <x:c r="O606" s="10" t="n">
        <x:v>0</x:v>
      </x:c>
      <x:c r="P606" s="10" t="n">
        <x:v>0</x:v>
      </x:c>
      <x:c r="Q606" s="10" t="n">
        <x:v>0</x:v>
      </x:c>
      <x:c r="R606" s="10" t="n">
        <x:v>1</x:v>
      </x:c>
      <x:c r="S606" s="10" t="n">
        <x:v>0</x:v>
      </x:c>
      <x:c r="T606" s="10" t="n">
        <x:v>0</x:v>
      </x:c>
      <x:c r="U606" s="10" t="n">
        <x:f>IF(AND(ISNUMBER(X606),X606&gt;=0,Y606&lt;&gt;1),X606,"")</x:f>
        <x:v>0</x:v>
      </x:c>
      <x:c r="V606" s="10" t="n">
        <x:v>0</x:v>
      </x:c>
      <x:c r="W606" s="10" t="n">
        <x:v>0</x:v>
      </x:c>
      <x:c r="X606" s="10" t="n">
        <x:v>0</x:v>
      </x:c>
      <x:c r="Y606" s="3" t="n">
        <x:v>0</x:v>
      </x:c>
      <x:c r="Z606" s="3" t="str">
        <x:v>共同</x:v>
      </x:c>
      <x:c r="AA606" s="3" t="str">
        <x:v>停售</x:v>
      </x:c>
      <x:c r="AB606" s="12" t="n">
        <x:f>IF(AND(Z606="共同",ISNUMBER(G606),ISNUMBER(AD606)),G606-AD606,"")</x:f>
        <x:v>-0.11285714285714285</x:v>
      </x:c>
      <x:c r="AC606" s="3" t="str"/>
      <x:c r="AD606" s="12" t="n">
        <x:v>0.11952380952380952</x:v>
      </x:c>
      <x:c r="AE606" s="3" t="str">
        <x:v>[13120,"B06-PK-38-N"]</x:v>
      </x:c>
      <x:c r="AF606" t="n">
        <x:f>IF(ISNUMBER(H606),1,0)</x:f>
        <x:v>1</x:v>
      </x:c>
      <x:c r="AG606" t="n">
        <x:f>IF(ISNUMBER(I606),1,0)</x:f>
        <x:v>1</x:v>
      </x:c>
      <x:c r="AH606" t="str">
        <x:v>["B06","B06-PK","PK","粉色羊京绒"]</x:v>
      </x:c>
      <x:c r="AI606" t="n">
        <x:f>IF(ISNUMBER(G606),1,0)</x:f>
        <x:v>1</x:v>
      </x:c>
      <x:c r="AJ606" t="n">
        <x:f>IF(ISNUMBER(AD606),1,0)</x:f>
        <x:v>1</x:v>
      </x:c>
    </x:row>
    <x:row r="607" ht="30" customHeight="1">
      <x:c r="A607" s="3" t="str">
        <x:v>B06-PK-38.5</x:v>
      </x:c>
      <x:c r="B607" s="3" t="str">
        <x:v>1店-MUSSHOE-US</x:v>
      </x:c>
      <x:c r="C607" s="3" t="str">
        <x:v>艾年</x:v>
      </x:c>
      <x:c r="D607" s="3" t="str">
        <x:v>B06</x:v>
      </x:c>
      <x:c r="E607" s="3" t="str">
        <x:f>IF(Z607="移出","已移出",IF(NOT(ISNUMBER(H607)),"数据待核",IF(H607=0,"断货",IF(NOT(ISNUMBER(G607)),"数据待核",IF(G607=0,"零日销待复核",IF(F607&lt;60,"补货提醒",IF(F607&lt;=90,"正常库存",IF(F607&lt;180,"促销",IF(F607&lt;=365,"红线促销","考虑清仓")))))))))</x:f>
        <x:v>断货</x:v>
      </x:c>
      <x:c r="F607" s="11" t="n">
        <x:f>IF(AND(ISNUMBER(H607),ISNUMBER(G607),G607&gt;0),H607/G607,"")</x:f>
        <x:v>0</x:v>
      </x:c>
      <x:c r="G607" s="12" t="n">
        <x:f>IF(AND(COUNT(P607:R607)=3,MIN(P607:R607)&gt;=0,P607&lt;=Q607,Q607&lt;=R607),P607/7*0.5+Q607/14*0.3+R607/30*0.2,"")</x:f>
        <x:v>0.006666666666666667</x:v>
      </x:c>
      <x:c r="H607" s="10" t="n">
        <x:f>IF(ISNUMBER(U607),U607,"")</x:f>
        <x:v>0</x:v>
      </x:c>
      <x:c r="I607" s="10" t="n">
        <x:v>0</x:v>
      </x:c>
      <x:c r="J607" s="11" t="n">
        <x:f>IF(AND(Z607="共同",ISNUMBER(F607),ISNUMBER(M607)),F607-M607,"")</x:f>
        <x:v>0</x:v>
      </x:c>
      <x:c r="K607" s="13" t="str">
        <x:f>IF(AND(ISNUMBER(J607),M607&lt;&gt;0),J607/M607,"")</x:f>
      </x:c>
      <x:c r="L607" s="10" t="str">
        <x:v>断货</x:v>
      </x:c>
      <x:c r="M607" s="11" t="n">
        <x:v>0</x:v>
      </x:c>
      <x:c r="N607" s="10" t="n">
        <x:f>IF(AND(Z607="共同",COUNT(H607:I607)=2),H607-I607,"")</x:f>
        <x:v>0</x:v>
      </x:c>
      <x:c r="O607" s="10" t="n">
        <x:v>0</x:v>
      </x:c>
      <x:c r="P607" s="10" t="n">
        <x:v>0</x:v>
      </x:c>
      <x:c r="Q607" s="10" t="n">
        <x:v>0</x:v>
      </x:c>
      <x:c r="R607" s="10" t="n">
        <x:v>1</x:v>
      </x:c>
      <x:c r="S607" s="10" t="n">
        <x:v>0</x:v>
      </x:c>
      <x:c r="T607" s="10" t="n">
        <x:v>0</x:v>
      </x:c>
      <x:c r="U607" s="10" t="n">
        <x:f>IF(AND(ISNUMBER(X607),X607&gt;=0,Y607&lt;&gt;1),X607,"")</x:f>
        <x:v>0</x:v>
      </x:c>
      <x:c r="V607" s="10" t="n">
        <x:v>0</x:v>
      </x:c>
      <x:c r="W607" s="10" t="n">
        <x:v>0</x:v>
      </x:c>
      <x:c r="X607" s="10" t="n">
        <x:v>0</x:v>
      </x:c>
      <x:c r="Y607" s="3" t="n">
        <x:v>0</x:v>
      </x:c>
      <x:c r="Z607" s="3" t="str">
        <x:v>共同</x:v>
      </x:c>
      <x:c r="AA607" s="3" t="str">
        <x:v>停售</x:v>
      </x:c>
      <x:c r="AB607" s="12" t="n">
        <x:f>IF(AND(Z607="共同",ISNUMBER(G607),ISNUMBER(AD607)),G607-AD607,"")</x:f>
        <x:v>-0.09285714285714285</x:v>
      </x:c>
      <x:c r="AC607" s="3" t="str"/>
      <x:c r="AD607" s="12" t="n">
        <x:v>0.09952380952380951</x:v>
      </x:c>
      <x:c r="AE607" s="3" t="str">
        <x:v>[13120,"B06-PK-38.5"]</x:v>
      </x:c>
      <x:c r="AF607" t="n">
        <x:f>IF(ISNUMBER(H607),1,0)</x:f>
        <x:v>1</x:v>
      </x:c>
      <x:c r="AG607" t="n">
        <x:f>IF(ISNUMBER(I607),1,0)</x:f>
        <x:v>1</x:v>
      </x:c>
      <x:c r="AH607" t="str">
        <x:v>["B06","B06-PK","PK","粉色羊京绒"]</x:v>
      </x:c>
      <x:c r="AI607" t="n">
        <x:f>IF(ISNUMBER(G607),1,0)</x:f>
        <x:v>1</x:v>
      </x:c>
      <x:c r="AJ607" t="n">
        <x:f>IF(ISNUMBER(AD607),1,0)</x:f>
        <x:v>1</x:v>
      </x:c>
    </x:row>
    <x:row r="608" ht="30" customHeight="1">
      <x:c r="A608" s="3" t="str">
        <x:v>B06-PK-39-N</x:v>
      </x:c>
      <x:c r="B608" s="3" t="str">
        <x:v>1店-MUSSHOE-US</x:v>
      </x:c>
      <x:c r="C608" s="3" t="str">
        <x:v>艾年</x:v>
      </x:c>
      <x:c r="D608" s="3" t="str">
        <x:v>B06</x:v>
      </x:c>
      <x:c r="E608" s="3" t="str">
        <x:f>IF(Z608="移出","已移出",IF(NOT(ISNUMBER(H608)),"数据待核",IF(H608=0,"断货",IF(NOT(ISNUMBER(G608)),"数据待核",IF(G608=0,"零日销待复核",IF(F608&lt;60,"补货提醒",IF(F608&lt;=90,"正常库存",IF(F608&lt;180,"促销",IF(F608&lt;=365,"红线促销","考虑清仓")))))))))</x:f>
        <x:v>断货</x:v>
      </x:c>
      <x:c r="F608" s="11" t="str">
        <x:f>IF(AND(ISNUMBER(H608),ISNUMBER(G608),G608&gt;0),H608/G608,"")</x:f>
      </x:c>
      <x:c r="G608" s="12" t="n">
        <x:f>IF(AND(COUNT(P608:R608)=3,MIN(P608:R608)&gt;=0,P608&lt;=Q608,Q608&lt;=R608),P608/7*0.5+Q608/14*0.3+R608/30*0.2,"")</x:f>
        <x:v>0</x:v>
      </x:c>
      <x:c r="H608" s="10" t="n">
        <x:f>IF(ISNUMBER(U608),U608,"")</x:f>
        <x:v>0</x:v>
      </x:c>
      <x:c r="I608" s="10" t="n">
        <x:v>0</x:v>
      </x:c>
      <x:c r="J608" s="11" t="str">
        <x:f>IF(AND(Z608="共同",ISNUMBER(F608),ISNUMBER(M608)),F608-M608,"")</x:f>
      </x:c>
      <x:c r="K608" s="13" t="str">
        <x:f>IF(AND(ISNUMBER(J608),M608&lt;&gt;0),J608/M608,"")</x:f>
      </x:c>
      <x:c r="L608" s="10" t="str">
        <x:v>断货</x:v>
      </x:c>
      <x:c r="M608" s="11"/>
      <x:c r="N608" s="10" t="n">
        <x:f>IF(AND(Z608="共同",COUNT(H608:I608)=2),H608-I608,"")</x:f>
        <x:v>0</x:v>
      </x:c>
      <x:c r="O608" s="10" t="n">
        <x:v>0</x:v>
      </x:c>
      <x:c r="P608" s="10" t="n">
        <x:v>0</x:v>
      </x:c>
      <x:c r="Q608" s="10" t="n">
        <x:v>0</x:v>
      </x:c>
      <x:c r="R608" s="10" t="n">
        <x:v>0</x:v>
      </x:c>
      <x:c r="S608" s="10" t="n">
        <x:v>0</x:v>
      </x:c>
      <x:c r="T608" s="10" t="n">
        <x:v>0</x:v>
      </x:c>
      <x:c r="U608" s="10" t="n">
        <x:f>IF(AND(ISNUMBER(X608),X608&gt;=0,Y608&lt;&gt;1),X608,"")</x:f>
        <x:v>0</x:v>
      </x:c>
      <x:c r="V608" s="10" t="n">
        <x:v>0</x:v>
      </x:c>
      <x:c r="W608" s="10" t="n">
        <x:v>0</x:v>
      </x:c>
      <x:c r="X608" s="10" t="n">
        <x:v>0</x:v>
      </x:c>
      <x:c r="Y608" s="3" t="n">
        <x:v>0</x:v>
      </x:c>
      <x:c r="Z608" s="3" t="str">
        <x:v>共同</x:v>
      </x:c>
      <x:c r="AA608" s="3" t="str">
        <x:v>停售</x:v>
      </x:c>
      <x:c r="AB608" s="12" t="str">
        <x:f>IF(AND(Z608="共同",ISNUMBER(G608),ISNUMBER(AD608)),G608-AD608,"")</x:f>
      </x:c>
      <x:c r="AC608" s="3" t="str">
        <x:v>近90天SKU销量未匹配，未按0处理</x:v>
      </x:c>
      <x:c r="AD608" s="12"/>
      <x:c r="AE608" s="3" t="str">
        <x:v>[13120,"B06-PK-39-N"]</x:v>
      </x:c>
      <x:c r="AF608" t="n">
        <x:f>IF(ISNUMBER(H608),1,0)</x:f>
        <x:v>1</x:v>
      </x:c>
      <x:c r="AG608" t="n">
        <x:f>IF(ISNUMBER(I608),1,0)</x:f>
        <x:v>1</x:v>
      </x:c>
      <x:c r="AH608" t="str">
        <x:v>["B06","B06-PK","PK","粉色羊京绒"]</x:v>
      </x:c>
      <x:c r="AI608" t="n">
        <x:f>IF(ISNUMBER(G608),1,0)</x:f>
        <x:v>1</x:v>
      </x:c>
      <x:c r="AJ608" t="n">
        <x:f>IF(ISNUMBER(AD608),1,0)</x:f>
        <x:v>0</x:v>
      </x:c>
    </x:row>
    <x:row r="609" ht="30" customHeight="1">
      <x:c r="A609" s="3" t="str">
        <x:v>B06-PK-39.5</x:v>
      </x:c>
      <x:c r="B609" s="3" t="str">
        <x:v>1店-MUSSHOE-US</x:v>
      </x:c>
      <x:c r="C609" s="3" t="str">
        <x:v>艾年</x:v>
      </x:c>
      <x:c r="D609" s="3" t="str">
        <x:v>B06</x:v>
      </x:c>
      <x:c r="E609" s="3" t="str">
        <x:f>IF(Z609="移出","已移出",IF(NOT(ISNUMBER(H609)),"数据待核",IF(H609=0,"断货",IF(NOT(ISNUMBER(G609)),"数据待核",IF(G609=0,"零日销待复核",IF(F609&lt;60,"补货提醒",IF(F609&lt;=90,"正常库存",IF(F609&lt;180,"促销",IF(F609&lt;=365,"红线促销","考虑清仓")))))))))</x:f>
        <x:v>断货</x:v>
      </x:c>
      <x:c r="F609" s="11" t="n">
        <x:f>IF(AND(ISNUMBER(H609),ISNUMBER(G609),G609&gt;0),H609/G609,"")</x:f>
        <x:v>0</x:v>
      </x:c>
      <x:c r="G609" s="12" t="n">
        <x:f>IF(AND(COUNT(P609:R609)=3,MIN(P609:R609)&gt;=0,P609&lt;=Q609,Q609&lt;=R609),P609/7*0.5+Q609/14*0.3+R609/30*0.2,"")</x:f>
        <x:v>0.013333333333333334</x:v>
      </x:c>
      <x:c r="H609" s="10" t="n">
        <x:f>IF(ISNUMBER(U609),U609,"")</x:f>
        <x:v>0</x:v>
      </x:c>
      <x:c r="I609" s="10" t="n">
        <x:v>0</x:v>
      </x:c>
      <x:c r="J609" s="11" t="n">
        <x:f>IF(AND(Z609="共同",ISNUMBER(F609),ISNUMBER(M609)),F609-M609,"")</x:f>
        <x:v>0</x:v>
      </x:c>
      <x:c r="K609" s="13" t="str">
        <x:f>IF(AND(ISNUMBER(J609),M609&lt;&gt;0),J609/M609,"")</x:f>
      </x:c>
      <x:c r="L609" s="10" t="str">
        <x:v>断货</x:v>
      </x:c>
      <x:c r="M609" s="11" t="n">
        <x:v>0</x:v>
      </x:c>
      <x:c r="N609" s="10" t="n">
        <x:f>IF(AND(Z609="共同",COUNT(H609:I609)=2),H609-I609,"")</x:f>
        <x:v>0</x:v>
      </x:c>
      <x:c r="O609" s="10" t="n">
        <x:v>0</x:v>
      </x:c>
      <x:c r="P609" s="10" t="n">
        <x:v>0</x:v>
      </x:c>
      <x:c r="Q609" s="10" t="n">
        <x:v>0</x:v>
      </x:c>
      <x:c r="R609" s="10" t="n">
        <x:v>2</x:v>
      </x:c>
      <x:c r="S609" s="10" t="n">
        <x:v>0</x:v>
      </x:c>
      <x:c r="T609" s="10" t="n">
        <x:v>0</x:v>
      </x:c>
      <x:c r="U609" s="10" t="n">
        <x:f>IF(AND(ISNUMBER(X609),X609&gt;=0,Y609&lt;&gt;1),X609,"")</x:f>
        <x:v>0</x:v>
      </x:c>
      <x:c r="V609" s="10" t="n">
        <x:v>0</x:v>
      </x:c>
      <x:c r="W609" s="10" t="n">
        <x:v>0</x:v>
      </x:c>
      <x:c r="X609" s="10" t="n">
        <x:v>0</x:v>
      </x:c>
      <x:c r="Y609" s="3" t="n">
        <x:v>0</x:v>
      </x:c>
      <x:c r="Z609" s="3" t="str">
        <x:v>共同</x:v>
      </x:c>
      <x:c r="AA609" s="3" t="str">
        <x:v>停售</x:v>
      </x:c>
      <x:c r="AB609" s="12" t="n">
        <x:f>IF(AND(Z609="共同",ISNUMBER(G609),ISNUMBER(AD609)),G609-AD609,"")</x:f>
        <x:v>-0.006666666666666666</x:v>
      </x:c>
      <x:c r="AC609" s="3" t="str"/>
      <x:c r="AD609" s="12" t="n">
        <x:v>0.02</x:v>
      </x:c>
      <x:c r="AE609" s="3" t="str">
        <x:v>[13120,"B06-PK-39.5"]</x:v>
      </x:c>
      <x:c r="AF609" t="n">
        <x:f>IF(ISNUMBER(H609),1,0)</x:f>
        <x:v>1</x:v>
      </x:c>
      <x:c r="AG609" t="n">
        <x:f>IF(ISNUMBER(I609),1,0)</x:f>
        <x:v>1</x:v>
      </x:c>
      <x:c r="AH609" t="str">
        <x:v>["B06","B06-PK","PK","粉色羊京绒"]</x:v>
      </x:c>
      <x:c r="AI609" t="n">
        <x:f>IF(ISNUMBER(G609),1,0)</x:f>
        <x:v>1</x:v>
      </x:c>
      <x:c r="AJ609" t="n">
        <x:f>IF(ISNUMBER(AD609),1,0)</x:f>
        <x:v>1</x:v>
      </x:c>
    </x:row>
    <x:row r="610" ht="30" customHeight="1">
      <x:c r="A610" s="3" t="str">
        <x:v>B06-PK-40-N</x:v>
      </x:c>
      <x:c r="B610" s="3" t="str">
        <x:v>1店-MUSSHOE-US</x:v>
      </x:c>
      <x:c r="C610" s="3" t="str">
        <x:v>艾年</x:v>
      </x:c>
      <x:c r="D610" s="3" t="str">
        <x:v>B06</x:v>
      </x:c>
      <x:c r="E610" s="3" t="str">
        <x:f>IF(Z610="移出","已移出",IF(NOT(ISNUMBER(H610)),"数据待核",IF(H610=0,"断货",IF(NOT(ISNUMBER(G610)),"数据待核",IF(G610=0,"零日销待复核",IF(F610&lt;60,"补货提醒",IF(F610&lt;=90,"正常库存",IF(F610&lt;180,"促销",IF(F610&lt;=365,"红线促销","考虑清仓")))))))))</x:f>
        <x:v>断货</x:v>
      </x:c>
      <x:c r="F610" s="11" t="str">
        <x:f>IF(AND(ISNUMBER(H610),ISNUMBER(G610),G610&gt;0),H610/G610,"")</x:f>
      </x:c>
      <x:c r="G610" s="12" t="n">
        <x:f>IF(AND(COUNT(P610:R610)=3,MIN(P610:R610)&gt;=0,P610&lt;=Q610,Q610&lt;=R610),P610/7*0.5+Q610/14*0.3+R610/30*0.2,"")</x:f>
        <x:v>0</x:v>
      </x:c>
      <x:c r="H610" s="10" t="n">
        <x:f>IF(ISNUMBER(U610),U610,"")</x:f>
        <x:v>0</x:v>
      </x:c>
      <x:c r="I610" s="10" t="n">
        <x:v>0</x:v>
      </x:c>
      <x:c r="J610" s="11" t="str">
        <x:f>IF(AND(Z610="共同",ISNUMBER(F610),ISNUMBER(M610)),F610-M610,"")</x:f>
      </x:c>
      <x:c r="K610" s="13" t="str">
        <x:f>IF(AND(ISNUMBER(J610),M610&lt;&gt;0),J610/M610,"")</x:f>
      </x:c>
      <x:c r="L610" s="10" t="str">
        <x:v>断货</x:v>
      </x:c>
      <x:c r="M610" s="11"/>
      <x:c r="N610" s="10" t="n">
        <x:f>IF(AND(Z610="共同",COUNT(H610:I610)=2),H610-I610,"")</x:f>
        <x:v>0</x:v>
      </x:c>
      <x:c r="O610" s="10" t="n">
        <x:v>0</x:v>
      </x:c>
      <x:c r="P610" s="10" t="n">
        <x:v>0</x:v>
      </x:c>
      <x:c r="Q610" s="10" t="n">
        <x:v>0</x:v>
      </x:c>
      <x:c r="R610" s="10" t="n">
        <x:v>0</x:v>
      </x:c>
      <x:c r="S610" s="10" t="n">
        <x:v>0</x:v>
      </x:c>
      <x:c r="T610" s="10" t="n">
        <x:v>0</x:v>
      </x:c>
      <x:c r="U610" s="10" t="n">
        <x:f>IF(AND(ISNUMBER(X610),X610&gt;=0,Y610&lt;&gt;1),X610,"")</x:f>
        <x:v>0</x:v>
      </x:c>
      <x:c r="V610" s="10" t="n">
        <x:v>0</x:v>
      </x:c>
      <x:c r="W610" s="10" t="n">
        <x:v>0</x:v>
      </x:c>
      <x:c r="X610" s="10" t="n">
        <x:v>0</x:v>
      </x:c>
      <x:c r="Y610" s="3" t="n">
        <x:v>0</x:v>
      </x:c>
      <x:c r="Z610" s="3" t="str">
        <x:v>共同</x:v>
      </x:c>
      <x:c r="AA610" s="3" t="str">
        <x:v>停售</x:v>
      </x:c>
      <x:c r="AB610" s="12" t="str">
        <x:f>IF(AND(Z610="共同",ISNUMBER(G610),ISNUMBER(AD610)),G610-AD610,"")</x:f>
      </x:c>
      <x:c r="AC610" s="3" t="str">
        <x:v>近90天SKU销量未匹配，未按0处理</x:v>
      </x:c>
      <x:c r="AD610" s="12"/>
      <x:c r="AE610" s="3" t="str">
        <x:v>[13120,"B06-PK-40-N"]</x:v>
      </x:c>
      <x:c r="AF610" t="n">
        <x:f>IF(ISNUMBER(H610),1,0)</x:f>
        <x:v>1</x:v>
      </x:c>
      <x:c r="AG610" t="n">
        <x:f>IF(ISNUMBER(I610),1,0)</x:f>
        <x:v>1</x:v>
      </x:c>
      <x:c r="AH610" t="str">
        <x:v>["B06","B06-PK","PK","粉色羊京绒"]</x:v>
      </x:c>
      <x:c r="AI610" t="n">
        <x:f>IF(ISNUMBER(G610),1,0)</x:f>
        <x:v>1</x:v>
      </x:c>
      <x:c r="AJ610" t="n">
        <x:f>IF(ISNUMBER(AD610),1,0)</x:f>
        <x:v>0</x:v>
      </x:c>
    </x:row>
    <x:row r="611" ht="30" customHeight="1">
      <x:c r="A611" s="3" t="str">
        <x:v>B06-PK-41-N</x:v>
      </x:c>
      <x:c r="B611" s="3" t="str">
        <x:v>1店-MUSSHOE-US</x:v>
      </x:c>
      <x:c r="C611" s="3" t="str">
        <x:v>艾年</x:v>
      </x:c>
      <x:c r="D611" s="3" t="str">
        <x:v>B06</x:v>
      </x:c>
      <x:c r="E611" s="3" t="str">
        <x:f>IF(Z611="移出","已移出",IF(NOT(ISNUMBER(H611)),"数据待核",IF(H611=0,"断货",IF(NOT(ISNUMBER(G611)),"数据待核",IF(G611=0,"零日销待复核",IF(F611&lt;60,"补货提醒",IF(F611&lt;=90,"正常库存",IF(F611&lt;180,"促销",IF(F611&lt;=365,"红线促销","考虑清仓")))))))))</x:f>
        <x:v>断货</x:v>
      </x:c>
      <x:c r="F611" s="11" t="str">
        <x:f>IF(AND(ISNUMBER(H611),ISNUMBER(G611),G611&gt;0),H611/G611,"")</x:f>
      </x:c>
      <x:c r="G611" s="12" t="n">
        <x:f>IF(AND(COUNT(P611:R611)=3,MIN(P611:R611)&gt;=0,P611&lt;=Q611,Q611&lt;=R611),P611/7*0.5+Q611/14*0.3+R611/30*0.2,"")</x:f>
        <x:v>0</x:v>
      </x:c>
      <x:c r="H611" s="10" t="n">
        <x:f>IF(ISNUMBER(U611),U611,"")</x:f>
        <x:v>0</x:v>
      </x:c>
      <x:c r="I611" s="10" t="n">
        <x:v>0</x:v>
      </x:c>
      <x:c r="J611" s="11" t="str">
        <x:f>IF(AND(Z611="共同",ISNUMBER(F611),ISNUMBER(M611)),F611-M611,"")</x:f>
      </x:c>
      <x:c r="K611" s="13" t="str">
        <x:f>IF(AND(ISNUMBER(J611),M611&lt;&gt;0),J611/M611,"")</x:f>
      </x:c>
      <x:c r="L611" s="10" t="str">
        <x:v>断货</x:v>
      </x:c>
      <x:c r="M611" s="11"/>
      <x:c r="N611" s="10" t="n">
        <x:f>IF(AND(Z611="共同",COUNT(H611:I611)=2),H611-I611,"")</x:f>
        <x:v>0</x:v>
      </x:c>
      <x:c r="O611" s="10"/>
      <x:c r="P611" s="10" t="n">
        <x:v>0</x:v>
      </x:c>
      <x:c r="Q611" s="10" t="n">
        <x:v>0</x:v>
      </x:c>
      <x:c r="R611" s="10" t="n">
        <x:v>0</x:v>
      </x:c>
      <x:c r="S611" s="10" t="n">
        <x:v>0</x:v>
      </x:c>
      <x:c r="T611" s="10" t="n">
        <x:v>0</x:v>
      </x:c>
      <x:c r="U611" s="10" t="n">
        <x:f>IF(AND(ISNUMBER(X611),X611&gt;=0,Y611&lt;&gt;1),X611,"")</x:f>
        <x:v>0</x:v>
      </x:c>
      <x:c r="V611" s="10" t="n">
        <x:v>0</x:v>
      </x:c>
      <x:c r="W611" s="10" t="n">
        <x:v>0</x:v>
      </x:c>
      <x:c r="X611" s="10" t="n">
        <x:v>0</x:v>
      </x:c>
      <x:c r="Y611" s="3" t="n">
        <x:v>0</x:v>
      </x:c>
      <x:c r="Z611" s="3" t="str">
        <x:v>共同</x:v>
      </x:c>
      <x:c r="AA611" s="3" t="str">
        <x:v>停售</x:v>
      </x:c>
      <x:c r="AB611" s="12" t="str">
        <x:f>IF(AND(Z611="共同",ISNUMBER(G611),ISNUMBER(AD611)),G611-AD611,"")</x:f>
      </x:c>
      <x:c r="AC611" s="3" t="str">
        <x:v>近90天SKU销量未匹配，未按0处理</x:v>
      </x:c>
      <x:c r="AD611" s="12"/>
      <x:c r="AE611" s="3" t="str">
        <x:v>[13120,"B06-PK-41-N"]</x:v>
      </x:c>
      <x:c r="AF611" t="n">
        <x:f>IF(ISNUMBER(H611),1,0)</x:f>
        <x:v>1</x:v>
      </x:c>
      <x:c r="AG611" t="n">
        <x:f>IF(ISNUMBER(I611),1,0)</x:f>
        <x:v>1</x:v>
      </x:c>
      <x:c r="AH611" t="str">
        <x:v>["B06","B06-PK","PK","粉色羊京绒"]</x:v>
      </x:c>
      <x:c r="AI611" t="n">
        <x:f>IF(ISNUMBER(G611),1,0)</x:f>
        <x:v>1</x:v>
      </x:c>
      <x:c r="AJ611" t="n">
        <x:f>IF(ISNUMBER(AD611),1,0)</x:f>
        <x:v>0</x:v>
      </x:c>
    </x:row>
    <x:row r="612" ht="30" customHeight="1">
      <x:c r="A612" s="3" t="str">
        <x:v>B06-PK-41.5</x:v>
      </x:c>
      <x:c r="B612" s="3" t="str">
        <x:v>1店-MUSSHOE-US</x:v>
      </x:c>
      <x:c r="C612" s="3" t="str">
        <x:v>艾年</x:v>
      </x:c>
      <x:c r="D612" s="3" t="str">
        <x:v>B06</x:v>
      </x:c>
      <x:c r="E612" s="3" t="str">
        <x:f>IF(Z612="移出","已移出",IF(NOT(ISNUMBER(H612)),"数据待核",IF(H612=0,"断货",IF(NOT(ISNUMBER(G612)),"数据待核",IF(G612=0,"零日销待复核",IF(F612&lt;60,"补货提醒",IF(F612&lt;=90,"正常库存",IF(F612&lt;180,"促销",IF(F612&lt;=365,"红线促销","考虑清仓")))))))))</x:f>
        <x:v>断货</x:v>
      </x:c>
      <x:c r="F612" s="11" t="str">
        <x:f>IF(AND(ISNUMBER(H612),ISNUMBER(G612),G612&gt;0),H612/G612,"")</x:f>
      </x:c>
      <x:c r="G612" s="12" t="n">
        <x:f>IF(AND(COUNT(P612:R612)=3,MIN(P612:R612)&gt;=0,P612&lt;=Q612,Q612&lt;=R612),P612/7*0.5+Q612/14*0.3+R612/30*0.2,"")</x:f>
        <x:v>0</x:v>
      </x:c>
      <x:c r="H612" s="10" t="n">
        <x:f>IF(ISNUMBER(U612),U612,"")</x:f>
        <x:v>0</x:v>
      </x:c>
      <x:c r="I612" s="10" t="n">
        <x:v>0</x:v>
      </x:c>
      <x:c r="J612" s="11" t="str">
        <x:f>IF(AND(Z612="共同",ISNUMBER(F612),ISNUMBER(M612)),F612-M612,"")</x:f>
      </x:c>
      <x:c r="K612" s="13" t="str">
        <x:f>IF(AND(ISNUMBER(J612),M612&lt;&gt;0),J612/M612,"")</x:f>
      </x:c>
      <x:c r="L612" s="10" t="str">
        <x:v>断货</x:v>
      </x:c>
      <x:c r="M612" s="11"/>
      <x:c r="N612" s="10" t="n">
        <x:f>IF(AND(Z612="共同",COUNT(H612:I612)=2),H612-I612,"")</x:f>
        <x:v>0</x:v>
      </x:c>
      <x:c r="O612" s="10"/>
      <x:c r="P612" s="10" t="n">
        <x:v>0</x:v>
      </x:c>
      <x:c r="Q612" s="10" t="n">
        <x:v>0</x:v>
      </x:c>
      <x:c r="R612" s="10" t="n">
        <x:v>0</x:v>
      </x:c>
      <x:c r="S612" s="10" t="n">
        <x:v>0</x:v>
      </x:c>
      <x:c r="T612" s="10" t="n">
        <x:v>0</x:v>
      </x:c>
      <x:c r="U612" s="10" t="n">
        <x:f>IF(AND(ISNUMBER(X612),X612&gt;=0,Y612&lt;&gt;1),X612,"")</x:f>
        <x:v>0</x:v>
      </x:c>
      <x:c r="V612" s="10" t="n">
        <x:v>0</x:v>
      </x:c>
      <x:c r="W612" s="10" t="n">
        <x:v>0</x:v>
      </x:c>
      <x:c r="X612" s="10" t="n">
        <x:v>0</x:v>
      </x:c>
      <x:c r="Y612" s="3" t="n">
        <x:v>0</x:v>
      </x:c>
      <x:c r="Z612" s="3" t="str">
        <x:v>共同</x:v>
      </x:c>
      <x:c r="AA612" s="3" t="str">
        <x:v>停售</x:v>
      </x:c>
      <x:c r="AB612" s="12" t="str">
        <x:f>IF(AND(Z612="共同",ISNUMBER(G612),ISNUMBER(AD612)),G612-AD612,"")</x:f>
      </x:c>
      <x:c r="AC612" s="3" t="str">
        <x:v>近90天SKU销量未匹配，未按0处理</x:v>
      </x:c>
      <x:c r="AD612" s="12"/>
      <x:c r="AE612" s="3" t="str">
        <x:v>[13120,"B06-PK-41.5"]</x:v>
      </x:c>
      <x:c r="AF612" t="n">
        <x:f>IF(ISNUMBER(H612),1,0)</x:f>
        <x:v>1</x:v>
      </x:c>
      <x:c r="AG612" t="n">
        <x:f>IF(ISNUMBER(I612),1,0)</x:f>
        <x:v>1</x:v>
      </x:c>
      <x:c r="AH612" t="str">
        <x:v>["B06","B06-PK","PK","粉色羊京绒"]</x:v>
      </x:c>
      <x:c r="AI612" t="n">
        <x:f>IF(ISNUMBER(G612),1,0)</x:f>
        <x:v>1</x:v>
      </x:c>
      <x:c r="AJ612" t="n">
        <x:f>IF(ISNUMBER(AD612),1,0)</x:f>
        <x:v>0</x:v>
      </x:c>
    </x:row>
    <x:row r="613" ht="30" customHeight="1">
      <x:c r="A613" s="3" t="str">
        <x:v>B06-PK-42</x:v>
      </x:c>
      <x:c r="B613" s="3" t="str">
        <x:v>1店-MUSSHOE-US</x:v>
      </x:c>
      <x:c r="C613" s="3" t="str">
        <x:v>艾年</x:v>
      </x:c>
      <x:c r="D613" s="3" t="str">
        <x:v>B06</x:v>
      </x:c>
      <x:c r="E613" s="3" t="str">
        <x:f>IF(Z613="移出","已移出",IF(NOT(ISNUMBER(H613)),"数据待核",IF(H613=0,"断货",IF(NOT(ISNUMBER(G613)),"数据待核",IF(G613=0,"零日销待复核",IF(F613&lt;60,"补货提醒",IF(F613&lt;=90,"正常库存",IF(F613&lt;180,"促销",IF(F613&lt;=365,"红线促销","考虑清仓")))))))))</x:f>
        <x:v>断货</x:v>
      </x:c>
      <x:c r="F613" s="11" t="str">
        <x:f>IF(AND(ISNUMBER(H613),ISNUMBER(G613),G613&gt;0),H613/G613,"")</x:f>
      </x:c>
      <x:c r="G613" s="12" t="n">
        <x:f>IF(AND(COUNT(P613:R613)=3,MIN(P613:R613)&gt;=0,P613&lt;=Q613,Q613&lt;=R613),P613/7*0.5+Q613/14*0.3+R613/30*0.2,"")</x:f>
        <x:v>0</x:v>
      </x:c>
      <x:c r="H613" s="10" t="n">
        <x:f>IF(ISNUMBER(U613),U613,"")</x:f>
        <x:v>0</x:v>
      </x:c>
      <x:c r="I613" s="10" t="n">
        <x:v>0</x:v>
      </x:c>
      <x:c r="J613" s="11" t="str">
        <x:f>IF(AND(Z613="共同",ISNUMBER(F613),ISNUMBER(M613)),F613-M613,"")</x:f>
      </x:c>
      <x:c r="K613" s="13" t="str">
        <x:f>IF(AND(ISNUMBER(J613),M613&lt;&gt;0),J613/M613,"")</x:f>
      </x:c>
      <x:c r="L613" s="10" t="str">
        <x:v>断货</x:v>
      </x:c>
      <x:c r="M613" s="11"/>
      <x:c r="N613" s="10" t="n">
        <x:f>IF(AND(Z613="共同",COUNT(H613:I613)=2),H613-I613,"")</x:f>
        <x:v>0</x:v>
      </x:c>
      <x:c r="O613" s="10" t="n">
        <x:v>0</x:v>
      </x:c>
      <x:c r="P613" s="10" t="n">
        <x:v>0</x:v>
      </x:c>
      <x:c r="Q613" s="10" t="n">
        <x:v>0</x:v>
      </x:c>
      <x:c r="R613" s="10" t="n">
        <x:v>0</x:v>
      </x:c>
      <x:c r="S613" s="10" t="n">
        <x:v>0</x:v>
      </x:c>
      <x:c r="T613" s="10" t="n">
        <x:v>0</x:v>
      </x:c>
      <x:c r="U613" s="10" t="n">
        <x:f>IF(AND(ISNUMBER(X613),X613&gt;=0,Y613&lt;&gt;1),X613,"")</x:f>
        <x:v>0</x:v>
      </x:c>
      <x:c r="V613" s="10" t="n">
        <x:v>0</x:v>
      </x:c>
      <x:c r="W613" s="10" t="n">
        <x:v>0</x:v>
      </x:c>
      <x:c r="X613" s="10" t="n">
        <x:v>0</x:v>
      </x:c>
      <x:c r="Y613" s="3" t="n">
        <x:v>0</x:v>
      </x:c>
      <x:c r="Z613" s="3" t="str">
        <x:v>共同</x:v>
      </x:c>
      <x:c r="AA613" s="3" t="str">
        <x:v>停售</x:v>
      </x:c>
      <x:c r="AB613" s="12" t="str">
        <x:f>IF(AND(Z613="共同",ISNUMBER(G613),ISNUMBER(AD613)),G613-AD613,"")</x:f>
      </x:c>
      <x:c r="AC613" s="3" t="str">
        <x:v>近90天SKU销量未匹配，未按0处理</x:v>
      </x:c>
      <x:c r="AD613" s="12"/>
      <x:c r="AE613" s="3" t="str">
        <x:v>[13120,"B06-PK-42"]</x:v>
      </x:c>
      <x:c r="AF613" t="n">
        <x:f>IF(ISNUMBER(H613),1,0)</x:f>
        <x:v>1</x:v>
      </x:c>
      <x:c r="AG613" t="n">
        <x:f>IF(ISNUMBER(I613),1,0)</x:f>
        <x:v>1</x:v>
      </x:c>
      <x:c r="AH613" t="str">
        <x:v>["B06","B06-PK","PK","粉色羊京绒"]</x:v>
      </x:c>
      <x:c r="AI613" t="n">
        <x:f>IF(ISNUMBER(G613),1,0)</x:f>
        <x:v>1</x:v>
      </x:c>
      <x:c r="AJ613" t="n">
        <x:f>IF(ISNUMBER(AD613),1,0)</x:f>
        <x:v>0</x:v>
      </x:c>
    </x:row>
    <x:row r="614" ht="30" customHeight="1">
      <x:c r="A614" s="3" t="str">
        <x:v>B06-RD-39</x:v>
      </x:c>
      <x:c r="B614" s="3" t="str">
        <x:v>1店-MUSSHOE-US</x:v>
      </x:c>
      <x:c r="C614" s="3" t="str">
        <x:v>艾年</x:v>
      </x:c>
      <x:c r="D614" s="3" t="str">
        <x:v>B06</x:v>
      </x:c>
      <x:c r="E614" s="3" t="str">
        <x:f>IF(Z614="移出","已移出",IF(NOT(ISNUMBER(H614)),"数据待核",IF(H614=0,"断货",IF(NOT(ISNUMBER(G614)),"数据待核",IF(G614=0,"零日销待复核",IF(F614&lt;60,"补货提醒",IF(F614&lt;=90,"正常库存",IF(F614&lt;180,"促销",IF(F614&lt;=365,"红线促销","考虑清仓")))))))))</x:f>
        <x:v>断货</x:v>
      </x:c>
      <x:c r="F614" s="11" t="n">
        <x:f>IF(AND(ISNUMBER(H614),ISNUMBER(G614),G614&gt;0),H614/G614,"")</x:f>
        <x:v>0</x:v>
      </x:c>
      <x:c r="G614" s="12" t="n">
        <x:f>IF(AND(COUNT(P614:R614)=3,MIN(P614:R614)&gt;=0,P614&lt;=Q614,Q614&lt;=R614),P614/7*0.5+Q614/14*0.3+R614/30*0.2,"")</x:f>
        <x:v>0.14095238095238094</x:v>
      </x:c>
      <x:c r="H614" s="10" t="n">
        <x:f>IF(ISNUMBER(U614),U614,"")</x:f>
        <x:v>0</x:v>
      </x:c>
      <x:c r="I614" s="10" t="n">
        <x:v>0</x:v>
      </x:c>
      <x:c r="J614" s="11" t="n">
        <x:f>IF(AND(Z614="共同",ISNUMBER(F614),ISNUMBER(M614)),F614-M614,"")</x:f>
        <x:v>0</x:v>
      </x:c>
      <x:c r="K614" s="13" t="str">
        <x:f>IF(AND(ISNUMBER(J614),M614&lt;&gt;0),J614/M614,"")</x:f>
      </x:c>
      <x:c r="L614" s="10" t="str">
        <x:v>断货</x:v>
      </x:c>
      <x:c r="M614" s="11" t="n">
        <x:v>0</x:v>
      </x:c>
      <x:c r="N614" s="10" t="n">
        <x:f>IF(AND(Z614="共同",COUNT(H614:I614)=2),H614-I614,"")</x:f>
        <x:v>0</x:v>
      </x:c>
      <x:c r="O614" s="10" t="n">
        <x:v>23</x:v>
      </x:c>
      <x:c r="P614" s="10" t="n">
        <x:v>1</x:v>
      </x:c>
      <x:c r="Q614" s="10" t="n">
        <x:v>2</x:v>
      </x:c>
      <x:c r="R614" s="10" t="n">
        <x:v>4</x:v>
      </x:c>
      <x:c r="S614" s="10" t="n">
        <x:v>1</x:v>
      </x:c>
      <x:c r="T614" s="10" t="n">
        <x:v>0</x:v>
      </x:c>
      <x:c r="U614" s="10" t="n">
        <x:f>IF(AND(ISNUMBER(X614),X614&gt;=0,Y614&lt;&gt;1),X614,"")</x:f>
        <x:v>0</x:v>
      </x:c>
      <x:c r="V614" s="10" t="n">
        <x:v>0</x:v>
      </x:c>
      <x:c r="W614" s="10" t="n">
        <x:v>13</x:v>
      </x:c>
      <x:c r="X614" s="10" t="n">
        <x:v>0</x:v>
      </x:c>
      <x:c r="Y614" s="3" t="n">
        <x:v>0</x:v>
      </x:c>
      <x:c r="Z614" s="3" t="str">
        <x:v>共同</x:v>
      </x:c>
      <x:c r="AA614" s="3" t="str">
        <x:v>在售</x:v>
      </x:c>
      <x:c r="AB614" s="12" t="n">
        <x:f>IF(AND(Z614="共同",ISNUMBER(G614),ISNUMBER(AD614)),G614-AD614,"")</x:f>
        <x:v>0.07809523809523808</x:v>
      </x:c>
      <x:c r="AC614" s="3" t="str"/>
      <x:c r="AD614" s="12" t="n">
        <x:v>0.06285714285714286</x:v>
      </x:c>
      <x:c r="AE614" s="3" t="str">
        <x:v>[13120,"B06-RD-39"]</x:v>
      </x:c>
      <x:c r="AF614" t="n">
        <x:f>IF(ISNUMBER(H614),1,0)</x:f>
        <x:v>1</x:v>
      </x:c>
      <x:c r="AG614" t="n">
        <x:f>IF(ISNUMBER(I614),1,0)</x:f>
        <x:v>1</x:v>
      </x:c>
      <x:c r="AH614" t="str">
        <x:v>["B06","B06-RD","RD","红色羊京绒"]</x:v>
      </x:c>
      <x:c r="AI614" t="n">
        <x:f>IF(ISNUMBER(G614),1,0)</x:f>
        <x:v>1</x:v>
      </x:c>
      <x:c r="AJ614" t="n">
        <x:f>IF(ISNUMBER(AD614),1,0)</x:f>
        <x:v>1</x:v>
      </x:c>
    </x:row>
    <x:row r="615" ht="30" customHeight="1">
      <x:c r="A615" s="3" t="str">
        <x:v>B06-RD-39.5</x:v>
      </x:c>
      <x:c r="B615" s="3" t="str">
        <x:v>1店-MUSSHOE-US</x:v>
      </x:c>
      <x:c r="C615" s="3" t="str">
        <x:v>艾年</x:v>
      </x:c>
      <x:c r="D615" s="3" t="str">
        <x:v>B06</x:v>
      </x:c>
      <x:c r="E615" s="3" t="str">
        <x:f>IF(Z615="移出","已移出",IF(NOT(ISNUMBER(H615)),"数据待核",IF(H615=0,"断货",IF(NOT(ISNUMBER(G615)),"数据待核",IF(G615=0,"零日销待复核",IF(F615&lt;60,"补货提醒",IF(F615&lt;=90,"正常库存",IF(F615&lt;180,"促销",IF(F615&lt;=365,"红线促销","考虑清仓")))))))))</x:f>
        <x:v>断货</x:v>
      </x:c>
      <x:c r="F615" s="11" t="n">
        <x:f>IF(AND(ISNUMBER(H615),ISNUMBER(G615),G615&gt;0),H615/G615,"")</x:f>
        <x:v>0</x:v>
      </x:c>
      <x:c r="G615" s="12" t="n">
        <x:f>IF(AND(COUNT(P615:R615)=3,MIN(P615:R615)&gt;=0,P615&lt;=Q615,Q615&lt;=R615),P615/7*0.5+Q615/14*0.3+R615/30*0.2,"")</x:f>
        <x:v>0.006666666666666667</x:v>
      </x:c>
      <x:c r="H615" s="10" t="n">
        <x:f>IF(ISNUMBER(U615),U615,"")</x:f>
        <x:v>0</x:v>
      </x:c>
      <x:c r="I615" s="10" t="n">
        <x:v>0</x:v>
      </x:c>
      <x:c r="J615" s="11" t="n">
        <x:f>IF(AND(Z615="共同",ISNUMBER(F615),ISNUMBER(M615)),F615-M615,"")</x:f>
        <x:v>0</x:v>
      </x:c>
      <x:c r="K615" s="13" t="str">
        <x:f>IF(AND(ISNUMBER(J615),M615&lt;&gt;0),J615/M615,"")</x:f>
      </x:c>
      <x:c r="L615" s="10" t="str">
        <x:v>断货</x:v>
      </x:c>
      <x:c r="M615" s="11" t="n">
        <x:v>0</x:v>
      </x:c>
      <x:c r="N615" s="10" t="n">
        <x:f>IF(AND(Z615="共同",COUNT(H615:I615)=2),H615-I615,"")</x:f>
        <x:v>0</x:v>
      </x:c>
      <x:c r="O615" s="10" t="n">
        <x:v>25</x:v>
      </x:c>
      <x:c r="P615" s="10" t="n">
        <x:v>0</x:v>
      </x:c>
      <x:c r="Q615" s="10" t="n">
        <x:v>0</x:v>
      </x:c>
      <x:c r="R615" s="10" t="n">
        <x:v>1</x:v>
      </x:c>
      <x:c r="S615" s="10" t="n">
        <x:v>0</x:v>
      </x:c>
      <x:c r="T615" s="10" t="n">
        <x:v>0</x:v>
      </x:c>
      <x:c r="U615" s="10" t="n">
        <x:f>IF(AND(ISNUMBER(X615),X615&gt;=0,Y615&lt;&gt;1),X615,"")</x:f>
        <x:v>0</x:v>
      </x:c>
      <x:c r="V615" s="10" t="n">
        <x:v>0</x:v>
      </x:c>
      <x:c r="W615" s="10" t="n">
        <x:v>18</x:v>
      </x:c>
      <x:c r="X615" s="10" t="n">
        <x:v>0</x:v>
      </x:c>
      <x:c r="Y615" s="3" t="n">
        <x:v>0</x:v>
      </x:c>
      <x:c r="Z615" s="3" t="str">
        <x:v>共同</x:v>
      </x:c>
      <x:c r="AA615" s="3" t="str">
        <x:v>停售</x:v>
      </x:c>
      <x:c r="AB615" s="12" t="n">
        <x:f>IF(AND(Z615="共同",ISNUMBER(G615),ISNUMBER(AD615)),G615-AD615,"")</x:f>
        <x:v>-0.013333333333333332</x:v>
      </x:c>
      <x:c r="AC615" s="3" t="str"/>
      <x:c r="AD615" s="12" t="n">
        <x:v>0.02</x:v>
      </x:c>
      <x:c r="AE615" s="3" t="str">
        <x:v>[13120,"B06-RD-39.5"]</x:v>
      </x:c>
      <x:c r="AF615" t="n">
        <x:f>IF(ISNUMBER(H615),1,0)</x:f>
        <x:v>1</x:v>
      </x:c>
      <x:c r="AG615" t="n">
        <x:f>IF(ISNUMBER(I615),1,0)</x:f>
        <x:v>1</x:v>
      </x:c>
      <x:c r="AH615" t="str">
        <x:v>["B06","B06-RD","RD","红色羊京绒"]</x:v>
      </x:c>
      <x:c r="AI615" t="n">
        <x:f>IF(ISNUMBER(G615),1,0)</x:f>
        <x:v>1</x:v>
      </x:c>
      <x:c r="AJ615" t="n">
        <x:f>IF(ISNUMBER(AD615),1,0)</x:f>
        <x:v>1</x:v>
      </x:c>
    </x:row>
    <x:row r="616" ht="30" customHeight="1">
      <x:c r="A616" s="3" t="str">
        <x:v>B06-RD-40</x:v>
      </x:c>
      <x:c r="B616" s="3" t="str">
        <x:v>1店-MUSSHOE-US</x:v>
      </x:c>
      <x:c r="C616" s="3" t="str">
        <x:v>艾年</x:v>
      </x:c>
      <x:c r="D616" s="3" t="str">
        <x:v>B06</x:v>
      </x:c>
      <x:c r="E616" s="3" t="str">
        <x:f>IF(Z616="移出","已移出",IF(NOT(ISNUMBER(H616)),"数据待核",IF(H616=0,"断货",IF(NOT(ISNUMBER(G616)),"数据待核",IF(G616=0,"零日销待复核",IF(F616&lt;60,"补货提醒",IF(F616&lt;=90,"正常库存",IF(F616&lt;180,"促销",IF(F616&lt;=365,"红线促销","考虑清仓")))))))))</x:f>
        <x:v>断货</x:v>
      </x:c>
      <x:c r="F616" s="11" t="n">
        <x:f>IF(AND(ISNUMBER(H616),ISNUMBER(G616),G616&gt;0),H616/G616,"")</x:f>
        <x:v>0</x:v>
      </x:c>
      <x:c r="G616" s="12" t="n">
        <x:f>IF(AND(COUNT(P616:R616)=3,MIN(P616:R616)&gt;=0,P616&lt;=Q616,Q616&lt;=R616),P616/7*0.5+Q616/14*0.3+R616/30*0.2,"")</x:f>
        <x:v>0.006666666666666667</x:v>
      </x:c>
      <x:c r="H616" s="10" t="n">
        <x:f>IF(ISNUMBER(U616),U616,"")</x:f>
        <x:v>0</x:v>
      </x:c>
      <x:c r="I616" s="10" t="n">
        <x:v>0</x:v>
      </x:c>
      <x:c r="J616" s="11" t="n">
        <x:f>IF(AND(Z616="共同",ISNUMBER(F616),ISNUMBER(M616)),F616-M616,"")</x:f>
        <x:v>0</x:v>
      </x:c>
      <x:c r="K616" s="13" t="str">
        <x:f>IF(AND(ISNUMBER(J616),M616&lt;&gt;0),J616/M616,"")</x:f>
      </x:c>
      <x:c r="L616" s="10" t="str">
        <x:v>断货</x:v>
      </x:c>
      <x:c r="M616" s="11" t="n">
        <x:v>0</x:v>
      </x:c>
      <x:c r="N616" s="10" t="n">
        <x:f>IF(AND(Z616="共同",COUNT(H616:I616)=2),H616-I616,"")</x:f>
        <x:v>0</x:v>
      </x:c>
      <x:c r="O616" s="10" t="n">
        <x:v>18</x:v>
      </x:c>
      <x:c r="P616" s="10" t="n">
        <x:v>0</x:v>
      </x:c>
      <x:c r="Q616" s="10" t="n">
        <x:v>0</x:v>
      </x:c>
      <x:c r="R616" s="10" t="n">
        <x:v>1</x:v>
      </x:c>
      <x:c r="S616" s="10" t="n">
        <x:v>1</x:v>
      </x:c>
      <x:c r="T616" s="10" t="n">
        <x:v>0</x:v>
      </x:c>
      <x:c r="U616" s="10" t="n">
        <x:f>IF(AND(ISNUMBER(X616),X616&gt;=0,Y616&lt;&gt;1),X616,"")</x:f>
        <x:v>0</x:v>
      </x:c>
      <x:c r="V616" s="10" t="n">
        <x:v>0</x:v>
      </x:c>
      <x:c r="W616" s="10" t="n">
        <x:v>0</x:v>
      </x:c>
      <x:c r="X616" s="10" t="n">
        <x:v>0</x:v>
      </x:c>
      <x:c r="Y616" s="3" t="n">
        <x:v>0</x:v>
      </x:c>
      <x:c r="Z616" s="3" t="str">
        <x:v>共同</x:v>
      </x:c>
      <x:c r="AA616" s="3" t="str">
        <x:v>在售</x:v>
      </x:c>
      <x:c r="AB616" s="12" t="n">
        <x:f>IF(AND(Z616="共同",ISNUMBER(G616),ISNUMBER(AD616)),G616-AD616,"")</x:f>
        <x:v>-0.041428571428571426</x:v>
      </x:c>
      <x:c r="AC616" s="3" t="str"/>
      <x:c r="AD616" s="12" t="n">
        <x:v>0.048095238095238094</x:v>
      </x:c>
      <x:c r="AE616" s="3" t="str">
        <x:v>[13120,"B06-RD-40"]</x:v>
      </x:c>
      <x:c r="AF616" t="n">
        <x:f>IF(ISNUMBER(H616),1,0)</x:f>
        <x:v>1</x:v>
      </x:c>
      <x:c r="AG616" t="n">
        <x:f>IF(ISNUMBER(I616),1,0)</x:f>
        <x:v>1</x:v>
      </x:c>
      <x:c r="AH616" t="str">
        <x:v>["B06","B06-RD","RD","红色羊京绒"]</x:v>
      </x:c>
      <x:c r="AI616" t="n">
        <x:f>IF(ISNUMBER(G616),1,0)</x:f>
        <x:v>1</x:v>
      </x:c>
      <x:c r="AJ616" t="n">
        <x:f>IF(ISNUMBER(AD616),1,0)</x:f>
        <x:v>1</x:v>
      </x:c>
    </x:row>
    <x:row r="617" ht="30" customHeight="1">
      <x:c r="A617" s="3" t="str">
        <x:v>B06-RD-I-0-38</x:v>
      </x:c>
      <x:c r="B617" s="3" t="str">
        <x:v>1店-MUSSHOE-US</x:v>
      </x:c>
      <x:c r="C617" s="3" t="str">
        <x:v>艾年</x:v>
      </x:c>
      <x:c r="D617" s="3" t="str">
        <x:v>B06</x:v>
      </x:c>
      <x:c r="E617" s="3" t="str">
        <x:f>IF(Z617="移出","已移出",IF(NOT(ISNUMBER(H617)),"数据待核",IF(H617=0,"断货",IF(NOT(ISNUMBER(G617)),"数据待核",IF(G617=0,"零日销待复核",IF(F617&lt;60,"补货提醒",IF(F617&lt;=90,"正常库存",IF(F617&lt;180,"促销",IF(F617&lt;=365,"红线促销","考虑清仓")))))))))</x:f>
        <x:v>断货</x:v>
      </x:c>
      <x:c r="F617" s="11" t="str">
        <x:f>IF(AND(ISNUMBER(H617),ISNUMBER(G617),G617&gt;0),H617/G617,"")</x:f>
      </x:c>
      <x:c r="G617" s="12" t="n">
        <x:f>IF(AND(COUNT(P617:R617)=3,MIN(P617:R617)&gt;=0,P617&lt;=Q617,Q617&lt;=R617),P617/7*0.5+Q617/14*0.3+R617/30*0.2,"")</x:f>
        <x:v>0</x:v>
      </x:c>
      <x:c r="H617" s="10" t="n">
        <x:f>IF(ISNUMBER(U617),U617,"")</x:f>
        <x:v>0</x:v>
      </x:c>
      <x:c r="I617" s="10" t="n">
        <x:v>0</x:v>
      </x:c>
      <x:c r="J617" s="11" t="str">
        <x:f>IF(AND(Z617="共同",ISNUMBER(F617),ISNUMBER(M617)),F617-M617,"")</x:f>
      </x:c>
      <x:c r="K617" s="13" t="str">
        <x:f>IF(AND(ISNUMBER(J617),M617&lt;&gt;0),J617/M617,"")</x:f>
      </x:c>
      <x:c r="L617" s="10" t="str">
        <x:v>断货</x:v>
      </x:c>
      <x:c r="M617" s="11"/>
      <x:c r="N617" s="10" t="n">
        <x:f>IF(AND(Z617="共同",COUNT(H617:I617)=2),H617-I617,"")</x:f>
        <x:v>0</x:v>
      </x:c>
      <x:c r="O617" s="10"/>
      <x:c r="P617" s="10" t="n">
        <x:v>0</x:v>
      </x:c>
      <x:c r="Q617" s="10" t="n">
        <x:v>0</x:v>
      </x:c>
      <x:c r="R617" s="10" t="n">
        <x:v>0</x:v>
      </x:c>
      <x:c r="S617" s="10" t="n">
        <x:v>0</x:v>
      </x:c>
      <x:c r="T617" s="10" t="n">
        <x:v>0</x:v>
      </x:c>
      <x:c r="U617" s="10" t="n">
        <x:f>IF(AND(ISNUMBER(X617),X617&gt;=0,Y617&lt;&gt;1),X617,"")</x:f>
        <x:v>0</x:v>
      </x:c>
      <x:c r="V617" s="10" t="n">
        <x:v>0</x:v>
      </x:c>
      <x:c r="W617" s="10" t="n">
        <x:v>0</x:v>
      </x:c>
      <x:c r="X617" s="10" t="n">
        <x:v>0</x:v>
      </x:c>
      <x:c r="Y617" s="3" t="n">
        <x:v>0</x:v>
      </x:c>
      <x:c r="Z617" s="3" t="str">
        <x:v>共同</x:v>
      </x:c>
      <x:c r="AA617" s="3" t="str">
        <x:v>停售</x:v>
      </x:c>
      <x:c r="AB617" s="12" t="str">
        <x:f>IF(AND(Z617="共同",ISNUMBER(G617),ISNUMBER(AD617)),G617-AD617,"")</x:f>
      </x:c>
      <x:c r="AC617" s="3" t="str">
        <x:v>近90天SKU销量未匹配，未按0处理</x:v>
      </x:c>
      <x:c r="AD617" s="12"/>
      <x:c r="AE617" s="3" t="str">
        <x:v>[13120,"B06-RD-I-0-38"]</x:v>
      </x:c>
      <x:c r="AF617" t="n">
        <x:f>IF(ISNUMBER(H617),1,0)</x:f>
        <x:v>1</x:v>
      </x:c>
      <x:c r="AG617" t="n">
        <x:f>IF(ISNUMBER(I617),1,0)</x:f>
        <x:v>1</x:v>
      </x:c>
      <x:c r="AH617" t="str">
        <x:v>["B06","B06-RD-I-0","RD-I","红色色织提花"]</x:v>
      </x:c>
      <x:c r="AI617" t="n">
        <x:f>IF(ISNUMBER(G617),1,0)</x:f>
        <x:v>1</x:v>
      </x:c>
      <x:c r="AJ617" t="n">
        <x:f>IF(ISNUMBER(AD617),1,0)</x:f>
        <x:v>0</x:v>
      </x:c>
    </x:row>
    <x:row r="618" ht="30" customHeight="1">
      <x:c r="A618" s="3" t="str">
        <x:v>B06-RD-I-0-41</x:v>
      </x:c>
      <x:c r="B618" s="3" t="str">
        <x:v>1店-MUSSHOE-US</x:v>
      </x:c>
      <x:c r="C618" s="3" t="str">
        <x:v>艾年</x:v>
      </x:c>
      <x:c r="D618" s="3" t="str">
        <x:v>B06</x:v>
      </x:c>
      <x:c r="E618" s="3" t="str">
        <x:f>IF(Z618="移出","已移出",IF(NOT(ISNUMBER(H618)),"数据待核",IF(H618=0,"断货",IF(NOT(ISNUMBER(G618)),"数据待核",IF(G618=0,"零日销待复核",IF(F618&lt;60,"补货提醒",IF(F618&lt;=90,"正常库存",IF(F618&lt;180,"促销",IF(F618&lt;=365,"红线促销","考虑清仓")))))))))</x:f>
        <x:v>断货</x:v>
      </x:c>
      <x:c r="F618" s="11" t="str">
        <x:f>IF(AND(ISNUMBER(H618),ISNUMBER(G618),G618&gt;0),H618/G618,"")</x:f>
      </x:c>
      <x:c r="G618" s="12" t="n">
        <x:f>IF(AND(COUNT(P618:R618)=3,MIN(P618:R618)&gt;=0,P618&lt;=Q618,Q618&lt;=R618),P618/7*0.5+Q618/14*0.3+R618/30*0.2,"")</x:f>
        <x:v>0</x:v>
      </x:c>
      <x:c r="H618" s="10" t="n">
        <x:f>IF(ISNUMBER(U618),U618,"")</x:f>
        <x:v>0</x:v>
      </x:c>
      <x:c r="I618" s="10" t="n">
        <x:v>0</x:v>
      </x:c>
      <x:c r="J618" s="11" t="str">
        <x:f>IF(AND(Z618="共同",ISNUMBER(F618),ISNUMBER(M618)),F618-M618,"")</x:f>
      </x:c>
      <x:c r="K618" s="13" t="str">
        <x:f>IF(AND(ISNUMBER(J618),M618&lt;&gt;0),J618/M618,"")</x:f>
      </x:c>
      <x:c r="L618" s="10" t="str">
        <x:v>断货</x:v>
      </x:c>
      <x:c r="M618" s="11"/>
      <x:c r="N618" s="10" t="n">
        <x:f>IF(AND(Z618="共同",COUNT(H618:I618)=2),H618-I618,"")</x:f>
        <x:v>0</x:v>
      </x:c>
      <x:c r="O618" s="10"/>
      <x:c r="P618" s="10" t="n">
        <x:v>0</x:v>
      </x:c>
      <x:c r="Q618" s="10" t="n">
        <x:v>0</x:v>
      </x:c>
      <x:c r="R618" s="10" t="n">
        <x:v>0</x:v>
      </x:c>
      <x:c r="S618" s="10" t="n">
        <x:v>0</x:v>
      </x:c>
      <x:c r="T618" s="10" t="n">
        <x:v>0</x:v>
      </x:c>
      <x:c r="U618" s="10" t="n">
        <x:f>IF(AND(ISNUMBER(X618),X618&gt;=0,Y618&lt;&gt;1),X618,"")</x:f>
        <x:v>0</x:v>
      </x:c>
      <x:c r="V618" s="10" t="n">
        <x:v>0</x:v>
      </x:c>
      <x:c r="W618" s="10" t="n">
        <x:v>0</x:v>
      </x:c>
      <x:c r="X618" s="10" t="n">
        <x:v>0</x:v>
      </x:c>
      <x:c r="Y618" s="3" t="n">
        <x:v>0</x:v>
      </x:c>
      <x:c r="Z618" s="3" t="str">
        <x:v>共同</x:v>
      </x:c>
      <x:c r="AA618" s="3" t="str">
        <x:v>停售</x:v>
      </x:c>
      <x:c r="AB618" s="12" t="n">
        <x:f>IF(AND(Z618="共同",ISNUMBER(G618),ISNUMBER(AD618)),G618-AD618,"")</x:f>
        <x:v>0</x:v>
      </x:c>
      <x:c r="AC618" s="3" t="str"/>
      <x:c r="AD618" s="12" t="n">
        <x:v>0</x:v>
      </x:c>
      <x:c r="AE618" s="3" t="str">
        <x:v>[13120,"B06-RD-I-0-41"]</x:v>
      </x:c>
      <x:c r="AF618" t="n">
        <x:f>IF(ISNUMBER(H618),1,0)</x:f>
        <x:v>1</x:v>
      </x:c>
      <x:c r="AG618" t="n">
        <x:f>IF(ISNUMBER(I618),1,0)</x:f>
        <x:v>1</x:v>
      </x:c>
      <x:c r="AH618" t="str">
        <x:v>["B06","B06-RD-I-0","RD-I","红色色织提花"]</x:v>
      </x:c>
      <x:c r="AI618" t="n">
        <x:f>IF(ISNUMBER(G618),1,0)</x:f>
        <x:v>1</x:v>
      </x:c>
      <x:c r="AJ618" t="n">
        <x:f>IF(ISNUMBER(AD618),1,0)</x:f>
        <x:v>1</x:v>
      </x:c>
    </x:row>
    <x:row r="619" ht="30" customHeight="1">
      <x:c r="A619" s="3" t="str">
        <x:v>B06-RG-37</x:v>
      </x:c>
      <x:c r="B619" s="3" t="str">
        <x:v>1店-MUSSHOE-US</x:v>
      </x:c>
      <x:c r="C619" s="3" t="str">
        <x:v>艾年</x:v>
      </x:c>
      <x:c r="D619" s="3" t="str">
        <x:v>B06</x:v>
      </x:c>
      <x:c r="E619" s="3" t="str">
        <x:f>IF(Z619="移出","已移出",IF(NOT(ISNUMBER(H619)),"数据待核",IF(H619=0,"断货",IF(NOT(ISNUMBER(G619)),"数据待核",IF(G619=0,"零日销待复核",IF(F619&lt;60,"补货提醒",IF(F619&lt;=90,"正常库存",IF(F619&lt;180,"促销",IF(F619&lt;=365,"红线促销","考虑清仓")))))))))</x:f>
        <x:v>断货</x:v>
      </x:c>
      <x:c r="F619" s="11" t="str">
        <x:f>IF(AND(ISNUMBER(H619),ISNUMBER(G619),G619&gt;0),H619/G619,"")</x:f>
      </x:c>
      <x:c r="G619" s="12" t="n">
        <x:f>IF(AND(COUNT(P619:R619)=3,MIN(P619:R619)&gt;=0,P619&lt;=Q619,Q619&lt;=R619),P619/7*0.5+Q619/14*0.3+R619/30*0.2,"")</x:f>
        <x:v>0</x:v>
      </x:c>
      <x:c r="H619" s="10" t="n">
        <x:f>IF(ISNUMBER(U619),U619,"")</x:f>
        <x:v>0</x:v>
      </x:c>
      <x:c r="I619" s="10" t="n">
        <x:v>0</x:v>
      </x:c>
      <x:c r="J619" s="11" t="str">
        <x:f>IF(AND(Z619="共同",ISNUMBER(F619),ISNUMBER(M619)),F619-M619,"")</x:f>
      </x:c>
      <x:c r="K619" s="13" t="str">
        <x:f>IF(AND(ISNUMBER(J619),M619&lt;&gt;0),J619/M619,"")</x:f>
      </x:c>
      <x:c r="L619" s="10" t="str">
        <x:v>断货</x:v>
      </x:c>
      <x:c r="M619" s="11"/>
      <x:c r="N619" s="10" t="n">
        <x:f>IF(AND(Z619="共同",COUNT(H619:I619)=2),H619-I619,"")</x:f>
        <x:v>0</x:v>
      </x:c>
      <x:c r="O619" s="10" t="n">
        <x:v>0</x:v>
      </x:c>
      <x:c r="P619" s="10" t="n">
        <x:v>0</x:v>
      </x:c>
      <x:c r="Q619" s="10" t="n">
        <x:v>0</x:v>
      </x:c>
      <x:c r="R619" s="10" t="n">
        <x:v>0</x:v>
      </x:c>
      <x:c r="S619" s="10" t="n">
        <x:v>0</x:v>
      </x:c>
      <x:c r="T619" s="10" t="n">
        <x:v>0</x:v>
      </x:c>
      <x:c r="U619" s="10" t="n">
        <x:f>IF(AND(ISNUMBER(X619),X619&gt;=0,Y619&lt;&gt;1),X619,"")</x:f>
        <x:v>0</x:v>
      </x:c>
      <x:c r="V619" s="10" t="n">
        <x:v>0</x:v>
      </x:c>
      <x:c r="W619" s="10" t="n">
        <x:v>0</x:v>
      </x:c>
      <x:c r="X619" s="10" t="n">
        <x:v>0</x:v>
      </x:c>
      <x:c r="Y619" s="3" t="n">
        <x:v>0</x:v>
      </x:c>
      <x:c r="Z619" s="3" t="str">
        <x:v>共同</x:v>
      </x:c>
      <x:c r="AA619" s="3" t="str">
        <x:v>停售</x:v>
      </x:c>
      <x:c r="AB619" s="12" t="str">
        <x:f>IF(AND(Z619="共同",ISNUMBER(G619),ISNUMBER(AD619)),G619-AD619,"")</x:f>
      </x:c>
      <x:c r="AC619" s="3" t="str">
        <x:v>近90天SKU销量未匹配，未按0处理</x:v>
      </x:c>
      <x:c r="AD619" s="12"/>
      <x:c r="AE619" s="3" t="str">
        <x:v>[13120,"B06-RG-37"]</x:v>
      </x:c>
      <x:c r="AF619" t="n">
        <x:f>IF(ISNUMBER(H619),1,0)</x:f>
        <x:v>1</x:v>
      </x:c>
      <x:c r="AG619" t="n">
        <x:f>IF(ISNUMBER(I619),1,0)</x:f>
        <x:v>1</x:v>
      </x:c>
      <x:c r="AH619" t="str">
        <x:v>["B06","B06-RG","RG","玫瑰金PU"]</x:v>
      </x:c>
      <x:c r="AI619" t="n">
        <x:f>IF(ISNUMBER(G619),1,0)</x:f>
        <x:v>1</x:v>
      </x:c>
      <x:c r="AJ619" t="n">
        <x:f>IF(ISNUMBER(AD619),1,0)</x:f>
        <x:v>0</x:v>
      </x:c>
    </x:row>
    <x:row r="620" ht="30" customHeight="1">
      <x:c r="A620" s="3" t="str">
        <x:v>B06-RG-37.5</x:v>
      </x:c>
      <x:c r="B620" s="3" t="str">
        <x:v>1店-MUSSHOE-US</x:v>
      </x:c>
      <x:c r="C620" s="3" t="str">
        <x:v>艾年</x:v>
      </x:c>
      <x:c r="D620" s="3" t="str">
        <x:v>B06</x:v>
      </x:c>
      <x:c r="E620" s="3" t="str">
        <x:f>IF(Z620="移出","已移出",IF(NOT(ISNUMBER(H620)),"数据待核",IF(H620=0,"断货",IF(NOT(ISNUMBER(G620)),"数据待核",IF(G620=0,"零日销待复核",IF(F620&lt;60,"补货提醒",IF(F620&lt;=90,"正常库存",IF(F620&lt;180,"促销",IF(F620&lt;=365,"红线促销","考虑清仓")))))))))</x:f>
        <x:v>断货</x:v>
      </x:c>
      <x:c r="F620" s="11" t="str">
        <x:f>IF(AND(ISNUMBER(H620),ISNUMBER(G620),G620&gt;0),H620/G620,"")</x:f>
      </x:c>
      <x:c r="G620" s="12" t="n">
        <x:f>IF(AND(COUNT(P620:R620)=3,MIN(P620:R620)&gt;=0,P620&lt;=Q620,Q620&lt;=R620),P620/7*0.5+Q620/14*0.3+R620/30*0.2,"")</x:f>
        <x:v>0</x:v>
      </x:c>
      <x:c r="H620" s="10" t="n">
        <x:f>IF(ISNUMBER(U620),U620,"")</x:f>
        <x:v>0</x:v>
      </x:c>
      <x:c r="I620" s="10" t="n">
        <x:v>0</x:v>
      </x:c>
      <x:c r="J620" s="11" t="str">
        <x:f>IF(AND(Z620="共同",ISNUMBER(F620),ISNUMBER(M620)),F620-M620,"")</x:f>
      </x:c>
      <x:c r="K620" s="13" t="str">
        <x:f>IF(AND(ISNUMBER(J620),M620&lt;&gt;0),J620/M620,"")</x:f>
      </x:c>
      <x:c r="L620" s="10" t="str">
        <x:v>断货</x:v>
      </x:c>
      <x:c r="M620" s="11"/>
      <x:c r="N620" s="10" t="n">
        <x:f>IF(AND(Z620="共同",COUNT(H620:I620)=2),H620-I620,"")</x:f>
        <x:v>0</x:v>
      </x:c>
      <x:c r="O620" s="10"/>
      <x:c r="P620" s="10" t="n">
        <x:v>0</x:v>
      </x:c>
      <x:c r="Q620" s="10" t="n">
        <x:v>0</x:v>
      </x:c>
      <x:c r="R620" s="10" t="n">
        <x:v>0</x:v>
      </x:c>
      <x:c r="S620" s="10" t="n">
        <x:v>0</x:v>
      </x:c>
      <x:c r="T620" s="10" t="n">
        <x:v>0</x:v>
      </x:c>
      <x:c r="U620" s="10" t="n">
        <x:f>IF(AND(ISNUMBER(X620),X620&gt;=0,Y620&lt;&gt;1),X620,"")</x:f>
        <x:v>0</x:v>
      </x:c>
      <x:c r="V620" s="10" t="n">
        <x:v>0</x:v>
      </x:c>
      <x:c r="W620" s="10" t="n">
        <x:v>0</x:v>
      </x:c>
      <x:c r="X620" s="10" t="n">
        <x:v>0</x:v>
      </x:c>
      <x:c r="Y620" s="3" t="n">
        <x:v>0</x:v>
      </x:c>
      <x:c r="Z620" s="3" t="str">
        <x:v>共同</x:v>
      </x:c>
      <x:c r="AA620" s="3" t="str">
        <x:v>停售</x:v>
      </x:c>
      <x:c r="AB620" s="12" t="str">
        <x:f>IF(AND(Z620="共同",ISNUMBER(G620),ISNUMBER(AD620)),G620-AD620,"")</x:f>
      </x:c>
      <x:c r="AC620" s="3" t="str">
        <x:v>近90天SKU销量未匹配，未按0处理</x:v>
      </x:c>
      <x:c r="AD620" s="12"/>
      <x:c r="AE620" s="3" t="str">
        <x:v>[13120,"B06-RG-37.5"]</x:v>
      </x:c>
      <x:c r="AF620" t="n">
        <x:f>IF(ISNUMBER(H620),1,0)</x:f>
        <x:v>1</x:v>
      </x:c>
      <x:c r="AG620" t="n">
        <x:f>IF(ISNUMBER(I620),1,0)</x:f>
        <x:v>1</x:v>
      </x:c>
      <x:c r="AH620" t="str">
        <x:v>["B06","B06-RG","RG","玫瑰金PU"]</x:v>
      </x:c>
      <x:c r="AI620" t="n">
        <x:f>IF(ISNUMBER(G620),1,0)</x:f>
        <x:v>1</x:v>
      </x:c>
      <x:c r="AJ620" t="n">
        <x:f>IF(ISNUMBER(AD620),1,0)</x:f>
        <x:v>0</x:v>
      </x:c>
    </x:row>
    <x:row r="621" ht="30" customHeight="1">
      <x:c r="A621" s="3" t="str">
        <x:v>B06-RG-38</x:v>
      </x:c>
      <x:c r="B621" s="3" t="str">
        <x:v>1店-MUSSHOE-US</x:v>
      </x:c>
      <x:c r="C621" s="3" t="str">
        <x:v>艾年</x:v>
      </x:c>
      <x:c r="D621" s="3" t="str">
        <x:v>B06</x:v>
      </x:c>
      <x:c r="E621" s="3" t="str">
        <x:f>IF(Z621="移出","已移出",IF(NOT(ISNUMBER(H621)),"数据待核",IF(H621=0,"断货",IF(NOT(ISNUMBER(G621)),"数据待核",IF(G621=0,"零日销待复核",IF(F621&lt;60,"补货提醒",IF(F621&lt;=90,"正常库存",IF(F621&lt;180,"促销",IF(F621&lt;=365,"红线促销","考虑清仓")))))))))</x:f>
        <x:v>断货</x:v>
      </x:c>
      <x:c r="F621" s="11" t="str">
        <x:f>IF(AND(ISNUMBER(H621),ISNUMBER(G621),G621&gt;0),H621/G621,"")</x:f>
      </x:c>
      <x:c r="G621" s="12" t="n">
        <x:f>IF(AND(COUNT(P621:R621)=3,MIN(P621:R621)&gt;=0,P621&lt;=Q621,Q621&lt;=R621),P621/7*0.5+Q621/14*0.3+R621/30*0.2,"")</x:f>
        <x:v>0</x:v>
      </x:c>
      <x:c r="H621" s="10" t="n">
        <x:f>IF(ISNUMBER(U621),U621,"")</x:f>
        <x:v>0</x:v>
      </x:c>
      <x:c r="I621" s="10" t="n">
        <x:v>0</x:v>
      </x:c>
      <x:c r="J621" s="11" t="str">
        <x:f>IF(AND(Z621="共同",ISNUMBER(F621),ISNUMBER(M621)),F621-M621,"")</x:f>
      </x:c>
      <x:c r="K621" s="13" t="str">
        <x:f>IF(AND(ISNUMBER(J621),M621&lt;&gt;0),J621/M621,"")</x:f>
      </x:c>
      <x:c r="L621" s="10" t="str">
        <x:v>断货</x:v>
      </x:c>
      <x:c r="M621" s="11"/>
      <x:c r="N621" s="10" t="n">
        <x:f>IF(AND(Z621="共同",COUNT(H621:I621)=2),H621-I621,"")</x:f>
        <x:v>0</x:v>
      </x:c>
      <x:c r="O621" s="10" t="n">
        <x:v>0</x:v>
      </x:c>
      <x:c r="P621" s="10" t="n">
        <x:v>0</x:v>
      </x:c>
      <x:c r="Q621" s="10" t="n">
        <x:v>0</x:v>
      </x:c>
      <x:c r="R621" s="10" t="n">
        <x:v>0</x:v>
      </x:c>
      <x:c r="S621" s="10" t="n">
        <x:v>0</x:v>
      </x:c>
      <x:c r="T621" s="10" t="n">
        <x:v>0</x:v>
      </x:c>
      <x:c r="U621" s="10" t="n">
        <x:f>IF(AND(ISNUMBER(X621),X621&gt;=0,Y621&lt;&gt;1),X621,"")</x:f>
        <x:v>0</x:v>
      </x:c>
      <x:c r="V621" s="10" t="n">
        <x:v>0</x:v>
      </x:c>
      <x:c r="W621" s="10" t="n">
        <x:v>0</x:v>
      </x:c>
      <x:c r="X621" s="10" t="n">
        <x:v>0</x:v>
      </x:c>
      <x:c r="Y621" s="3" t="n">
        <x:v>0</x:v>
      </x:c>
      <x:c r="Z621" s="3" t="str">
        <x:v>共同</x:v>
      </x:c>
      <x:c r="AA621" s="3" t="str">
        <x:v>停售</x:v>
      </x:c>
      <x:c r="AB621" s="12" t="str">
        <x:f>IF(AND(Z621="共同",ISNUMBER(G621),ISNUMBER(AD621)),G621-AD621,"")</x:f>
      </x:c>
      <x:c r="AC621" s="3" t="str">
        <x:v>近90天SKU销量未匹配，未按0处理</x:v>
      </x:c>
      <x:c r="AD621" s="12"/>
      <x:c r="AE621" s="3" t="str">
        <x:v>[13120,"B06-RG-38"]</x:v>
      </x:c>
      <x:c r="AF621" t="n">
        <x:f>IF(ISNUMBER(H621),1,0)</x:f>
        <x:v>1</x:v>
      </x:c>
      <x:c r="AG621" t="n">
        <x:f>IF(ISNUMBER(I621),1,0)</x:f>
        <x:v>1</x:v>
      </x:c>
      <x:c r="AH621" t="str">
        <x:v>["B06","B06-RG","RG","玫瑰金PU"]</x:v>
      </x:c>
      <x:c r="AI621" t="n">
        <x:f>IF(ISNUMBER(G621),1,0)</x:f>
        <x:v>1</x:v>
      </x:c>
      <x:c r="AJ621" t="n">
        <x:f>IF(ISNUMBER(AD621),1,0)</x:f>
        <x:v>0</x:v>
      </x:c>
    </x:row>
    <x:row r="622" ht="30" customHeight="1">
      <x:c r="A622" s="3" t="str">
        <x:v>B06-RG-39-N</x:v>
      </x:c>
      <x:c r="B622" s="3" t="str">
        <x:v>1店-MUSSHOE-US</x:v>
      </x:c>
      <x:c r="C622" s="3" t="str">
        <x:v>艾年</x:v>
      </x:c>
      <x:c r="D622" s="3" t="str">
        <x:v>B06</x:v>
      </x:c>
      <x:c r="E622" s="3" t="str">
        <x:f>IF(Z622="移出","已移出",IF(NOT(ISNUMBER(H622)),"数据待核",IF(H622=0,"断货",IF(NOT(ISNUMBER(G622)),"数据待核",IF(G622=0,"零日销待复核",IF(F622&lt;60,"补货提醒",IF(F622&lt;=90,"正常库存",IF(F622&lt;180,"促销",IF(F622&lt;=365,"红线促销","考虑清仓")))))))))</x:f>
        <x:v>断货</x:v>
      </x:c>
      <x:c r="F622" s="11" t="n">
        <x:f>IF(AND(ISNUMBER(H622),ISNUMBER(G622),G622&gt;0),H622/G622,"")</x:f>
        <x:v>0</x:v>
      </x:c>
      <x:c r="G622" s="12" t="n">
        <x:f>IF(AND(COUNT(P622:R622)=3,MIN(P622:R622)&gt;=0,P622&lt;=Q622,Q622&lt;=R622),P622/7*0.5+Q622/14*0.3+R622/30*0.2,"")</x:f>
        <x:v>0.03476190476190476</x:v>
      </x:c>
      <x:c r="H622" s="10" t="n">
        <x:f>IF(ISNUMBER(U622),U622,"")</x:f>
        <x:v>0</x:v>
      </x:c>
      <x:c r="I622" s="10" t="n">
        <x:v>1</x:v>
      </x:c>
      <x:c r="J622" s="11" t="n">
        <x:f>IF(AND(Z622="共同",ISNUMBER(F622),ISNUMBER(M622)),F622-M622,"")</x:f>
        <x:v>-150</x:v>
      </x:c>
      <x:c r="K622" s="13" t="n">
        <x:f>IF(AND(ISNUMBER(J622),M622&lt;&gt;0),J622/M622,"")</x:f>
        <x:v>-1</x:v>
      </x:c>
      <x:c r="L622" s="10" t="str">
        <x:v>促销</x:v>
      </x:c>
      <x:c r="M622" s="11" t="n">
        <x:v>150</x:v>
      </x:c>
      <x:c r="N622" s="10" t="n">
        <x:f>IF(AND(Z622="共同",COUNT(H622:I622)=2),H622-I622,"")</x:f>
        <x:v>-1</x:v>
      </x:c>
      <x:c r="O622" s="10" t="n">
        <x:v>0</x:v>
      </x:c>
      <x:c r="P622" s="10" t="n">
        <x:v>0</x:v>
      </x:c>
      <x:c r="Q622" s="10" t="n">
        <x:v>1</x:v>
      </x:c>
      <x:c r="R622" s="10" t="n">
        <x:v>2</x:v>
      </x:c>
      <x:c r="S622" s="10" t="n">
        <x:v>0</x:v>
      </x:c>
      <x:c r="T622" s="10" t="n">
        <x:v>0</x:v>
      </x:c>
      <x:c r="U622" s="10" t="n">
        <x:f>IF(AND(ISNUMBER(X622),X622&gt;=0,Y622&lt;&gt;1),X622,"")</x:f>
        <x:v>0</x:v>
      </x:c>
      <x:c r="V622" s="10" t="n">
        <x:v>0</x:v>
      </x:c>
      <x:c r="W622" s="10" t="n">
        <x:v>0</x:v>
      </x:c>
      <x:c r="X622" s="10" t="n">
        <x:v>0</x:v>
      </x:c>
      <x:c r="Y622" s="3" t="n">
        <x:v>0</x:v>
      </x:c>
      <x:c r="Z622" s="3" t="str">
        <x:v>共同</x:v>
      </x:c>
      <x:c r="AA622" s="3" t="str">
        <x:v>停售</x:v>
      </x:c>
      <x:c r="AB622" s="12" t="n">
        <x:f>IF(AND(Z622="共同",ISNUMBER(G622),ISNUMBER(AD622)),G622-AD622,"")</x:f>
        <x:v>0.02809523809523809</x:v>
      </x:c>
      <x:c r="AC622" s="3" t="str"/>
      <x:c r="AD622" s="12" t="n">
        <x:v>0.006666666666666666</x:v>
      </x:c>
      <x:c r="AE622" s="3" t="str">
        <x:v>[13120,"B06-RG-39-N"]</x:v>
      </x:c>
      <x:c r="AF622" t="n">
        <x:f>IF(ISNUMBER(H622),1,0)</x:f>
        <x:v>1</x:v>
      </x:c>
      <x:c r="AG622" t="n">
        <x:f>IF(ISNUMBER(I622),1,0)</x:f>
        <x:v>1</x:v>
      </x:c>
      <x:c r="AH622" t="str">
        <x:v>["B06","B06-RG","RG","玫瑰金PU"]</x:v>
      </x:c>
      <x:c r="AI622" t="n">
        <x:f>IF(ISNUMBER(G622),1,0)</x:f>
        <x:v>1</x:v>
      </x:c>
      <x:c r="AJ622" t="n">
        <x:f>IF(ISNUMBER(AD622),1,0)</x:f>
        <x:v>1</x:v>
      </x:c>
    </x:row>
    <x:row r="623" ht="30" customHeight="1">
      <x:c r="A623" s="3" t="str">
        <x:v>B06-RG-41</x:v>
      </x:c>
      <x:c r="B623" s="3" t="str">
        <x:v>1店-MUSSHOE-US</x:v>
      </x:c>
      <x:c r="C623" s="3" t="str">
        <x:v>艾年</x:v>
      </x:c>
      <x:c r="D623" s="3" t="str">
        <x:v>B06</x:v>
      </x:c>
      <x:c r="E623" s="3" t="str">
        <x:f>IF(Z623="移出","已移出",IF(NOT(ISNUMBER(H623)),"数据待核",IF(H623=0,"断货",IF(NOT(ISNUMBER(G623)),"数据待核",IF(G623=0,"零日销待复核",IF(F623&lt;60,"补货提醒",IF(F623&lt;=90,"正常库存",IF(F623&lt;180,"促销",IF(F623&lt;=365,"红线促销","考虑清仓")))))))))</x:f>
        <x:v>断货</x:v>
      </x:c>
      <x:c r="F623" s="11" t="str">
        <x:f>IF(AND(ISNUMBER(H623),ISNUMBER(G623),G623&gt;0),H623/G623,"")</x:f>
      </x:c>
      <x:c r="G623" s="12" t="n">
        <x:f>IF(AND(COUNT(P623:R623)=3,MIN(P623:R623)&gt;=0,P623&lt;=Q623,Q623&lt;=R623),P623/7*0.5+Q623/14*0.3+R623/30*0.2,"")</x:f>
        <x:v>0</x:v>
      </x:c>
      <x:c r="H623" s="10" t="n">
        <x:f>IF(ISNUMBER(U623),U623,"")</x:f>
        <x:v>0</x:v>
      </x:c>
      <x:c r="I623" s="10" t="n">
        <x:v>0</x:v>
      </x:c>
      <x:c r="J623" s="11" t="str">
        <x:f>IF(AND(Z623="共同",ISNUMBER(F623),ISNUMBER(M623)),F623-M623,"")</x:f>
      </x:c>
      <x:c r="K623" s="13" t="str">
        <x:f>IF(AND(ISNUMBER(J623),M623&lt;&gt;0),J623/M623,"")</x:f>
      </x:c>
      <x:c r="L623" s="10" t="str">
        <x:v>断货</x:v>
      </x:c>
      <x:c r="M623" s="11"/>
      <x:c r="N623" s="10" t="n">
        <x:f>IF(AND(Z623="共同",COUNT(H623:I623)=2),H623-I623,"")</x:f>
        <x:v>0</x:v>
      </x:c>
      <x:c r="O623" s="10" t="n">
        <x:v>0</x:v>
      </x:c>
      <x:c r="P623" s="10" t="n">
        <x:v>0</x:v>
      </x:c>
      <x:c r="Q623" s="10" t="n">
        <x:v>0</x:v>
      </x:c>
      <x:c r="R623" s="10" t="n">
        <x:v>0</x:v>
      </x:c>
      <x:c r="S623" s="10" t="n">
        <x:v>0</x:v>
      </x:c>
      <x:c r="T623" s="10" t="n">
        <x:v>0</x:v>
      </x:c>
      <x:c r="U623" s="10" t="n">
        <x:f>IF(AND(ISNUMBER(X623),X623&gt;=0,Y623&lt;&gt;1),X623,"")</x:f>
        <x:v>0</x:v>
      </x:c>
      <x:c r="V623" s="10" t="n">
        <x:v>0</x:v>
      </x:c>
      <x:c r="W623" s="10" t="n">
        <x:v>0</x:v>
      </x:c>
      <x:c r="X623" s="10" t="n">
        <x:v>0</x:v>
      </x:c>
      <x:c r="Y623" s="3" t="n">
        <x:v>0</x:v>
      </x:c>
      <x:c r="Z623" s="3" t="str">
        <x:v>共同</x:v>
      </x:c>
      <x:c r="AA623" s="3" t="str">
        <x:v>停售</x:v>
      </x:c>
      <x:c r="AB623" s="12" t="str">
        <x:f>IF(AND(Z623="共同",ISNUMBER(G623),ISNUMBER(AD623)),G623-AD623,"")</x:f>
      </x:c>
      <x:c r="AC623" s="3" t="str">
        <x:v>近90天SKU销量未匹配，未按0处理</x:v>
      </x:c>
      <x:c r="AD623" s="12"/>
      <x:c r="AE623" s="3" t="str">
        <x:v>[13120,"B06-RG-41"]</x:v>
      </x:c>
      <x:c r="AF623" t="n">
        <x:f>IF(ISNUMBER(H623),1,0)</x:f>
        <x:v>1</x:v>
      </x:c>
      <x:c r="AG623" t="n">
        <x:f>IF(ISNUMBER(I623),1,0)</x:f>
        <x:v>1</x:v>
      </x:c>
      <x:c r="AH623" t="str">
        <x:v>["B06","B06-RG","RG","玫瑰金PU"]</x:v>
      </x:c>
      <x:c r="AI623" t="n">
        <x:f>IF(ISNUMBER(G623),1,0)</x:f>
        <x:v>1</x:v>
      </x:c>
      <x:c r="AJ623" t="n">
        <x:f>IF(ISNUMBER(AD623),1,0)</x:f>
        <x:v>0</x:v>
      </x:c>
    </x:row>
    <x:row r="624" ht="30" customHeight="1">
      <x:c r="A624" s="3" t="str">
        <x:v>B06-RG-42</x:v>
      </x:c>
      <x:c r="B624" s="3" t="str">
        <x:v>1店-MUSSHOE-US</x:v>
      </x:c>
      <x:c r="C624" s="3" t="str">
        <x:v>艾年</x:v>
      </x:c>
      <x:c r="D624" s="3" t="str">
        <x:v>B06</x:v>
      </x:c>
      <x:c r="E624" s="3" t="str">
        <x:f>IF(Z624="移出","已移出",IF(NOT(ISNUMBER(H624)),"数据待核",IF(H624=0,"断货",IF(NOT(ISNUMBER(G624)),"数据待核",IF(G624=0,"零日销待复核",IF(F624&lt;60,"补货提醒",IF(F624&lt;=90,"正常库存",IF(F624&lt;180,"促销",IF(F624&lt;=365,"红线促销","考虑清仓")))))))))</x:f>
        <x:v>断货</x:v>
      </x:c>
      <x:c r="F624" s="11" t="str">
        <x:f>IF(AND(ISNUMBER(H624),ISNUMBER(G624),G624&gt;0),H624/G624,"")</x:f>
      </x:c>
      <x:c r="G624" s="12" t="n">
        <x:f>IF(AND(COUNT(P624:R624)=3,MIN(P624:R624)&gt;=0,P624&lt;=Q624,Q624&lt;=R624),P624/7*0.5+Q624/14*0.3+R624/30*0.2,"")</x:f>
        <x:v>0</x:v>
      </x:c>
      <x:c r="H624" s="10" t="n">
        <x:f>IF(ISNUMBER(U624),U624,"")</x:f>
        <x:v>0</x:v>
      </x:c>
      <x:c r="I624" s="10" t="n">
        <x:v>0</x:v>
      </x:c>
      <x:c r="J624" s="11" t="str">
        <x:f>IF(AND(Z624="共同",ISNUMBER(F624),ISNUMBER(M624)),F624-M624,"")</x:f>
      </x:c>
      <x:c r="K624" s="13" t="str">
        <x:f>IF(AND(ISNUMBER(J624),M624&lt;&gt;0),J624/M624,"")</x:f>
      </x:c>
      <x:c r="L624" s="10" t="str">
        <x:v>断货</x:v>
      </x:c>
      <x:c r="M624" s="11"/>
      <x:c r="N624" s="10" t="n">
        <x:f>IF(AND(Z624="共同",COUNT(H624:I624)=2),H624-I624,"")</x:f>
        <x:v>0</x:v>
      </x:c>
      <x:c r="O624" s="10" t="n">
        <x:v>0</x:v>
      </x:c>
      <x:c r="P624" s="10" t="n">
        <x:v>0</x:v>
      </x:c>
      <x:c r="Q624" s="10" t="n">
        <x:v>0</x:v>
      </x:c>
      <x:c r="R624" s="10" t="n">
        <x:v>0</x:v>
      </x:c>
      <x:c r="S624" s="10" t="n">
        <x:v>0</x:v>
      </x:c>
      <x:c r="T624" s="10" t="n">
        <x:v>0</x:v>
      </x:c>
      <x:c r="U624" s="10" t="n">
        <x:f>IF(AND(ISNUMBER(X624),X624&gt;=0,Y624&lt;&gt;1),X624,"")</x:f>
        <x:v>0</x:v>
      </x:c>
      <x:c r="V624" s="10" t="n">
        <x:v>0</x:v>
      </x:c>
      <x:c r="W624" s="10" t="n">
        <x:v>0</x:v>
      </x:c>
      <x:c r="X624" s="10" t="n">
        <x:v>0</x:v>
      </x:c>
      <x:c r="Y624" s="3" t="n">
        <x:v>0</x:v>
      </x:c>
      <x:c r="Z624" s="3" t="str">
        <x:v>共同</x:v>
      </x:c>
      <x:c r="AA624" s="3" t="str">
        <x:v>停售</x:v>
      </x:c>
      <x:c r="AB624" s="12" t="str">
        <x:f>IF(AND(Z624="共同",ISNUMBER(G624),ISNUMBER(AD624)),G624-AD624,"")</x:f>
      </x:c>
      <x:c r="AC624" s="3" t="str">
        <x:v>近90天SKU销量未匹配，未按0处理</x:v>
      </x:c>
      <x:c r="AD624" s="12"/>
      <x:c r="AE624" s="3" t="str">
        <x:v>[13120,"B06-RG-42"]</x:v>
      </x:c>
      <x:c r="AF624" t="n">
        <x:f>IF(ISNUMBER(H624),1,0)</x:f>
        <x:v>1</x:v>
      </x:c>
      <x:c r="AG624" t="n">
        <x:f>IF(ISNUMBER(I624),1,0)</x:f>
        <x:v>1</x:v>
      </x:c>
      <x:c r="AH624" t="str">
        <x:v>["B06","B06-RG","RG","玫瑰金PU"]</x:v>
      </x:c>
      <x:c r="AI624" t="n">
        <x:f>IF(ISNUMBER(G624),1,0)</x:f>
        <x:v>1</x:v>
      </x:c>
      <x:c r="AJ624" t="n">
        <x:f>IF(ISNUMBER(AD624),1,0)</x:f>
        <x:v>0</x:v>
      </x:c>
    </x:row>
    <x:row r="625" ht="30" customHeight="1">
      <x:c r="A625" s="3" t="str">
        <x:v>B06-SLG-38</x:v>
      </x:c>
      <x:c r="B625" s="3" t="str">
        <x:v>1店-MUSSHOE-US</x:v>
      </x:c>
      <x:c r="C625" s="3" t="str">
        <x:v>艾年</x:v>
      </x:c>
      <x:c r="D625" s="3" t="str">
        <x:v>B06</x:v>
      </x:c>
      <x:c r="E625" s="3" t="str">
        <x:f>IF(Z625="移出","已移出",IF(NOT(ISNUMBER(H625)),"数据待核",IF(H625=0,"断货",IF(NOT(ISNUMBER(G625)),"数据待核",IF(G625=0,"零日销待复核",IF(F625&lt;60,"补货提醒",IF(F625&lt;=90,"正常库存",IF(F625&lt;180,"促销",IF(F625&lt;=365,"红线促销","考虑清仓")))))))))</x:f>
        <x:v>断货</x:v>
      </x:c>
      <x:c r="F625" s="11" t="str">
        <x:f>IF(AND(ISNUMBER(H625),ISNUMBER(G625),G625&gt;0),H625/G625,"")</x:f>
      </x:c>
      <x:c r="G625" s="12" t="n">
        <x:f>IF(AND(COUNT(P625:R625)=3,MIN(P625:R625)&gt;=0,P625&lt;=Q625,Q625&lt;=R625),P625/7*0.5+Q625/14*0.3+R625/30*0.2,"")</x:f>
        <x:v>0</x:v>
      </x:c>
      <x:c r="H625" s="10" t="n">
        <x:f>IF(ISNUMBER(U625),U625,"")</x:f>
        <x:v>0</x:v>
      </x:c>
      <x:c r="I625" s="10"/>
      <x:c r="J625" s="11" t="str">
        <x:f>IF(AND(Z625="共同",ISNUMBER(F625),ISNUMBER(M625)),F625-M625,"")</x:f>
      </x:c>
      <x:c r="K625" s="13" t="str">
        <x:f>IF(AND(ISNUMBER(J625),M625&lt;&gt;0),J625/M625,"")</x:f>
      </x:c>
      <x:c r="L625" s="10"/>
      <x:c r="M625" s="11"/>
      <x:c r="N625" s="10" t="str">
        <x:f>IF(AND(Z625="共同",COUNT(H625:I625)=2),H625-I625,"")</x:f>
      </x:c>
      <x:c r="O625" s="10"/>
      <x:c r="P625" s="10" t="n">
        <x:v>0</x:v>
      </x:c>
      <x:c r="Q625" s="10" t="n">
        <x:v>0</x:v>
      </x:c>
      <x:c r="R625" s="10" t="n">
        <x:v>0</x:v>
      </x:c>
      <x:c r="S625" s="10" t="n">
        <x:v>0</x:v>
      </x:c>
      <x:c r="T625" s="10" t="n">
        <x:v>0</x:v>
      </x:c>
      <x:c r="U625" s="10" t="n">
        <x:f>IF(AND(ISNUMBER(X625),X625&gt;=0,Y625&lt;&gt;1),X625,"")</x:f>
        <x:v>0</x:v>
      </x:c>
      <x:c r="V625" s="10" t="n">
        <x:v>0</x:v>
      </x:c>
      <x:c r="W625" s="10" t="n">
        <x:v>0</x:v>
      </x:c>
      <x:c r="X625" s="10" t="n">
        <x:v>0</x:v>
      </x:c>
      <x:c r="Y625" s="3" t="n">
        <x:v>0</x:v>
      </x:c>
      <x:c r="Z625" s="3" t="str">
        <x:v>新增</x:v>
      </x:c>
      <x:c r="AA625" s="3" t="str">
        <x:v>停售</x:v>
      </x:c>
      <x:c r="AB625" s="12" t="str">
        <x:f>IF(AND(Z625="共同",ISNUMBER(G625),ISNUMBER(AD625)),G625-AD625,"")</x:f>
      </x:c>
      <x:c r="AC625" s="3" t="str">
        <x:v>近90天SKU销量未匹配，未按0处理</x:v>
      </x:c>
      <x:c r="AD625" s="12"/>
      <x:c r="AE625" s="3" t="str">
        <x:v>[13120,"B06-SLG-38"]</x:v>
      </x:c>
      <x:c r="AF625" t="n">
        <x:f>IF(ISNUMBER(H625),1,0)</x:f>
        <x:v>1</x:v>
      </x:c>
      <x:c r="AG625" t="n">
        <x:f>IF(ISNUMBER(I625),1,0)</x:f>
        <x:v>0</x:v>
      </x:c>
      <x:c r="AH625" t="str">
        <x:v>["B06","B06-SLG","SLG","银色格利特"]</x:v>
      </x:c>
      <x:c r="AI625" t="n">
        <x:f>IF(ISNUMBER(G625),1,0)</x:f>
        <x:v>1</x:v>
      </x:c>
      <x:c r="AJ625" t="n">
        <x:f>IF(ISNUMBER(AD625),1,0)</x:f>
        <x:v>0</x:v>
      </x:c>
    </x:row>
    <x:row r="626" ht="30" customHeight="1">
      <x:c r="A626" s="3" t="str">
        <x:v>B06-SLG-38.5</x:v>
      </x:c>
      <x:c r="B626" s="3" t="str">
        <x:v>1店-MUSSHOE-US</x:v>
      </x:c>
      <x:c r="C626" s="3" t="str">
        <x:v>艾年</x:v>
      </x:c>
      <x:c r="D626" s="3" t="str">
        <x:v>B06</x:v>
      </x:c>
      <x:c r="E626" s="3" t="str">
        <x:f>IF(Z626="移出","已移出",IF(NOT(ISNUMBER(H626)),"数据待核",IF(H626=0,"断货",IF(NOT(ISNUMBER(G626)),"数据待核",IF(G626=0,"零日销待复核",IF(F626&lt;60,"补货提醒",IF(F626&lt;=90,"正常库存",IF(F626&lt;180,"促销",IF(F626&lt;=365,"红线促销","考虑清仓")))))))))</x:f>
        <x:v>断货</x:v>
      </x:c>
      <x:c r="F626" s="11" t="str">
        <x:f>IF(AND(ISNUMBER(H626),ISNUMBER(G626),G626&gt;0),H626/G626,"")</x:f>
      </x:c>
      <x:c r="G626" s="12" t="n">
        <x:f>IF(AND(COUNT(P626:R626)=3,MIN(P626:R626)&gt;=0,P626&lt;=Q626,Q626&lt;=R626),P626/7*0.5+Q626/14*0.3+R626/30*0.2,"")</x:f>
        <x:v>0</x:v>
      </x:c>
      <x:c r="H626" s="10" t="n">
        <x:f>IF(ISNUMBER(U626),U626,"")</x:f>
        <x:v>0</x:v>
      </x:c>
      <x:c r="I626" s="10"/>
      <x:c r="J626" s="11" t="str">
        <x:f>IF(AND(Z626="共同",ISNUMBER(F626),ISNUMBER(M626)),F626-M626,"")</x:f>
      </x:c>
      <x:c r="K626" s="13" t="str">
        <x:f>IF(AND(ISNUMBER(J626),M626&lt;&gt;0),J626/M626,"")</x:f>
      </x:c>
      <x:c r="L626" s="10"/>
      <x:c r="M626" s="11"/>
      <x:c r="N626" s="10" t="str">
        <x:f>IF(AND(Z626="共同",COUNT(H626:I626)=2),H626-I626,"")</x:f>
      </x:c>
      <x:c r="O626" s="10"/>
      <x:c r="P626" s="10" t="n">
        <x:v>0</x:v>
      </x:c>
      <x:c r="Q626" s="10" t="n">
        <x:v>0</x:v>
      </x:c>
      <x:c r="R626" s="10" t="n">
        <x:v>0</x:v>
      </x:c>
      <x:c r="S626" s="10" t="n">
        <x:v>0</x:v>
      </x:c>
      <x:c r="T626" s="10" t="n">
        <x:v>0</x:v>
      </x:c>
      <x:c r="U626" s="10" t="n">
        <x:f>IF(AND(ISNUMBER(X626),X626&gt;=0,Y626&lt;&gt;1),X626,"")</x:f>
        <x:v>0</x:v>
      </x:c>
      <x:c r="V626" s="10" t="n">
        <x:v>0</x:v>
      </x:c>
      <x:c r="W626" s="10" t="n">
        <x:v>0</x:v>
      </x:c>
      <x:c r="X626" s="10" t="n">
        <x:v>0</x:v>
      </x:c>
      <x:c r="Y626" s="3" t="n">
        <x:v>0</x:v>
      </x:c>
      <x:c r="Z626" s="3" t="str">
        <x:v>新增</x:v>
      </x:c>
      <x:c r="AA626" s="3" t="str">
        <x:v>停售</x:v>
      </x:c>
      <x:c r="AB626" s="12" t="str">
        <x:f>IF(AND(Z626="共同",ISNUMBER(G626),ISNUMBER(AD626)),G626-AD626,"")</x:f>
      </x:c>
      <x:c r="AC626" s="3" t="str">
        <x:v>近90天SKU销量未匹配，未按0处理</x:v>
      </x:c>
      <x:c r="AD626" s="12"/>
      <x:c r="AE626" s="3" t="str">
        <x:v>[13120,"B06-SLG-38.5"]</x:v>
      </x:c>
      <x:c r="AF626" t="n">
        <x:f>IF(ISNUMBER(H626),1,0)</x:f>
        <x:v>1</x:v>
      </x:c>
      <x:c r="AG626" t="n">
        <x:f>IF(ISNUMBER(I626),1,0)</x:f>
        <x:v>0</x:v>
      </x:c>
      <x:c r="AH626" t="str">
        <x:v>["B06","B06-SLG","SLG","银色格利特"]</x:v>
      </x:c>
      <x:c r="AI626" t="n">
        <x:f>IF(ISNUMBER(G626),1,0)</x:f>
        <x:v>1</x:v>
      </x:c>
      <x:c r="AJ626" t="n">
        <x:f>IF(ISNUMBER(AD626),1,0)</x:f>
        <x:v>0</x:v>
      </x:c>
    </x:row>
    <x:row r="627" ht="30" customHeight="1">
      <x:c r="A627" s="3" t="str">
        <x:v>B06-SLG-41</x:v>
      </x:c>
      <x:c r="B627" s="3" t="str">
        <x:v>1店-MUSSHOE-US</x:v>
      </x:c>
      <x:c r="C627" s="3" t="str">
        <x:v>艾年</x:v>
      </x:c>
      <x:c r="D627" s="3" t="str">
        <x:v>B06</x:v>
      </x:c>
      <x:c r="E627" s="3" t="str">
        <x:f>IF(Z627="移出","已移出",IF(NOT(ISNUMBER(H627)),"数据待核",IF(H627=0,"断货",IF(NOT(ISNUMBER(G627)),"数据待核",IF(G627=0,"零日销待复核",IF(F627&lt;60,"补货提醒",IF(F627&lt;=90,"正常库存",IF(F627&lt;180,"促销",IF(F627&lt;=365,"红线促销","考虑清仓")))))))))</x:f>
        <x:v>断货</x:v>
      </x:c>
      <x:c r="F627" s="11" t="str">
        <x:f>IF(AND(ISNUMBER(H627),ISNUMBER(G627),G627&gt;0),H627/G627,"")</x:f>
      </x:c>
      <x:c r="G627" s="12" t="n">
        <x:f>IF(AND(COUNT(P627:R627)=3,MIN(P627:R627)&gt;=0,P627&lt;=Q627,Q627&lt;=R627),P627/7*0.5+Q627/14*0.3+R627/30*0.2,"")</x:f>
        <x:v>0</x:v>
      </x:c>
      <x:c r="H627" s="10" t="n">
        <x:f>IF(ISNUMBER(U627),U627,"")</x:f>
        <x:v>0</x:v>
      </x:c>
      <x:c r="I627" s="10"/>
      <x:c r="J627" s="11" t="str">
        <x:f>IF(AND(Z627="共同",ISNUMBER(F627),ISNUMBER(M627)),F627-M627,"")</x:f>
      </x:c>
      <x:c r="K627" s="13" t="str">
        <x:f>IF(AND(ISNUMBER(J627),M627&lt;&gt;0),J627/M627,"")</x:f>
      </x:c>
      <x:c r="L627" s="10"/>
      <x:c r="M627" s="11"/>
      <x:c r="N627" s="10" t="str">
        <x:f>IF(AND(Z627="共同",COUNT(H627:I627)=2),H627-I627,"")</x:f>
      </x:c>
      <x:c r="O627" s="10"/>
      <x:c r="P627" s="10" t="n">
        <x:v>0</x:v>
      </x:c>
      <x:c r="Q627" s="10" t="n">
        <x:v>0</x:v>
      </x:c>
      <x:c r="R627" s="10" t="n">
        <x:v>0</x:v>
      </x:c>
      <x:c r="S627" s="10" t="n">
        <x:v>0</x:v>
      </x:c>
      <x:c r="T627" s="10" t="n">
        <x:v>0</x:v>
      </x:c>
      <x:c r="U627" s="10" t="n">
        <x:f>IF(AND(ISNUMBER(X627),X627&gt;=0,Y627&lt;&gt;1),X627,"")</x:f>
        <x:v>0</x:v>
      </x:c>
      <x:c r="V627" s="10" t="n">
        <x:v>0</x:v>
      </x:c>
      <x:c r="W627" s="10" t="n">
        <x:v>0</x:v>
      </x:c>
      <x:c r="X627" s="10" t="n">
        <x:v>0</x:v>
      </x:c>
      <x:c r="Y627" s="3" t="n">
        <x:v>0</x:v>
      </x:c>
      <x:c r="Z627" s="3" t="str">
        <x:v>新增</x:v>
      </x:c>
      <x:c r="AA627" s="3" t="str">
        <x:v>停售</x:v>
      </x:c>
      <x:c r="AB627" s="12" t="str">
        <x:f>IF(AND(Z627="共同",ISNUMBER(G627),ISNUMBER(AD627)),G627-AD627,"")</x:f>
      </x:c>
      <x:c r="AC627" s="3" t="str">
        <x:v>近90天SKU销量未匹配，未按0处理</x:v>
      </x:c>
      <x:c r="AD627" s="12"/>
      <x:c r="AE627" s="3" t="str">
        <x:v>[13120,"B06-SLG-41"]</x:v>
      </x:c>
      <x:c r="AF627" t="n">
        <x:f>IF(ISNUMBER(H627),1,0)</x:f>
        <x:v>1</x:v>
      </x:c>
      <x:c r="AG627" t="n">
        <x:f>IF(ISNUMBER(I627),1,0)</x:f>
        <x:v>0</x:v>
      </x:c>
      <x:c r="AH627" t="str">
        <x:v>["B06","B06-SLG","SLG","银色格利特"]</x:v>
      </x:c>
      <x:c r="AI627" t="n">
        <x:f>IF(ISNUMBER(G627),1,0)</x:f>
        <x:v>1</x:v>
      </x:c>
      <x:c r="AJ627" t="n">
        <x:f>IF(ISNUMBER(AD627),1,0)</x:f>
        <x:v>0</x:v>
      </x:c>
    </x:row>
    <x:row r="628" ht="30" customHeight="1">
      <x:c r="A628" s="3" t="str">
        <x:v>B06-SP-38</x:v>
      </x:c>
      <x:c r="B628" s="3" t="str">
        <x:v>1店-MUSSHOE-US</x:v>
      </x:c>
      <x:c r="C628" s="3" t="str">
        <x:v>艾年</x:v>
      </x:c>
      <x:c r="D628" s="3" t="str">
        <x:v>B06</x:v>
      </x:c>
      <x:c r="E628" s="3" t="str">
        <x:f>IF(Z628="移出","已移出",IF(NOT(ISNUMBER(H628)),"数据待核",IF(H628=0,"断货",IF(NOT(ISNUMBER(G628)),"数据待核",IF(G628=0,"零日销待复核",IF(F628&lt;60,"补货提醒",IF(F628&lt;=90,"正常库存",IF(F628&lt;180,"促销",IF(F628&lt;=365,"红线促销","考虑清仓")))))))))</x:f>
        <x:v>断货</x:v>
      </x:c>
      <x:c r="F628" s="11" t="n">
        <x:f>IF(AND(ISNUMBER(H628),ISNUMBER(G628),G628&gt;0),H628/G628,"")</x:f>
        <x:v>0</x:v>
      </x:c>
      <x:c r="G628" s="12" t="n">
        <x:f>IF(AND(COUNT(P628:R628)=3,MIN(P628:R628)&gt;=0,P628&lt;=Q628,Q628&lt;=R628),P628/7*0.5+Q628/14*0.3+R628/30*0.2,"")</x:f>
        <x:v>0.4261904761904762</x:v>
      </x:c>
      <x:c r="H628" s="10" t="n">
        <x:f>IF(ISNUMBER(U628),U628,"")</x:f>
        <x:v>0</x:v>
      </x:c>
      <x:c r="I628" s="10" t="n">
        <x:v>0</x:v>
      </x:c>
      <x:c r="J628" s="11" t="str">
        <x:f>IF(AND(Z628="共同",ISNUMBER(F628),ISNUMBER(M628)),F628-M628,"")</x:f>
      </x:c>
      <x:c r="K628" s="13" t="str">
        <x:f>IF(AND(ISNUMBER(J628),M628&lt;&gt;0),J628/M628,"")</x:f>
      </x:c>
      <x:c r="L628" s="10" t="str">
        <x:v>断货</x:v>
      </x:c>
      <x:c r="M628" s="11"/>
      <x:c r="N628" s="10" t="n">
        <x:f>IF(AND(Z628="共同",COUNT(H628:I628)=2),H628-I628,"")</x:f>
        <x:v>0</x:v>
      </x:c>
      <x:c r="O628" s="10" t="n">
        <x:v>0</x:v>
      </x:c>
      <x:c r="P628" s="10" t="n">
        <x:v>4</x:v>
      </x:c>
      <x:c r="Q628" s="10" t="n">
        <x:v>5</x:v>
      </x:c>
      <x:c r="R628" s="10" t="n">
        <x:v>5</x:v>
      </x:c>
      <x:c r="S628" s="10" t="n">
        <x:v>2</x:v>
      </x:c>
      <x:c r="T628" s="10" t="n">
        <x:v>2</x:v>
      </x:c>
      <x:c r="U628" s="10" t="n">
        <x:f>IF(AND(ISNUMBER(X628),X628&gt;=0,Y628&lt;&gt;1),X628,"")</x:f>
        <x:v>0</x:v>
      </x:c>
      <x:c r="V628" s="10" t="n">
        <x:v>0</x:v>
      </x:c>
      <x:c r="W628" s="10" t="n">
        <x:v>7</x:v>
      </x:c>
      <x:c r="X628" s="10" t="n">
        <x:v>0</x:v>
      </x:c>
      <x:c r="Y628" s="3" t="n">
        <x:v>0</x:v>
      </x:c>
      <x:c r="Z628" s="3" t="str">
        <x:v>共同</x:v>
      </x:c>
      <x:c r="AA628" s="3" t="str">
        <x:v>在售</x:v>
      </x:c>
      <x:c r="AB628" s="12" t="n">
        <x:f>IF(AND(Z628="共同",ISNUMBER(G628),ISNUMBER(AD628)),G628-AD628,"")</x:f>
        <x:v>0.4261904761904762</x:v>
      </x:c>
      <x:c r="AC628" s="3" t="str"/>
      <x:c r="AD628" s="12" t="n">
        <x:v>0</x:v>
      </x:c>
      <x:c r="AE628" s="3" t="str">
        <x:v>[13120,"B06-SP-38"]</x:v>
      </x:c>
      <x:c r="AF628" t="n">
        <x:f>IF(ISNUMBER(H628),1,0)</x:f>
        <x:v>1</x:v>
      </x:c>
      <x:c r="AG628" t="n">
        <x:f>IF(ISNUMBER(I628),1,0)</x:f>
        <x:v>1</x:v>
      </x:c>
      <x:c r="AH628" t="str">
        <x:v>["B06","B06-SP","SP","蛇纹PU"]</x:v>
      </x:c>
      <x:c r="AI628" t="n">
        <x:f>IF(ISNUMBER(G628),1,0)</x:f>
        <x:v>1</x:v>
      </x:c>
      <x:c r="AJ628" t="n">
        <x:f>IF(ISNUMBER(AD628),1,0)</x:f>
        <x:v>1</x:v>
      </x:c>
    </x:row>
    <x:row r="629" ht="30" customHeight="1">
      <x:c r="A629" s="3" t="str">
        <x:v>B06-SP-39</x:v>
      </x:c>
      <x:c r="B629" s="3" t="str">
        <x:v>1店-MUSSHOE-US</x:v>
      </x:c>
      <x:c r="C629" s="3" t="str">
        <x:v>艾年</x:v>
      </x:c>
      <x:c r="D629" s="3" t="str">
        <x:v>B06</x:v>
      </x:c>
      <x:c r="E629" s="3" t="str">
        <x:f>IF(Z629="移出","已移出",IF(NOT(ISNUMBER(H629)),"数据待核",IF(H629=0,"断货",IF(NOT(ISNUMBER(G629)),"数据待核",IF(G629=0,"零日销待复核",IF(F629&lt;60,"补货提醒",IF(F629&lt;=90,"正常库存",IF(F629&lt;180,"促销",IF(F629&lt;=365,"红线促销","考虑清仓")))))))))</x:f>
        <x:v>断货</x:v>
      </x:c>
      <x:c r="F629" s="11" t="n">
        <x:f>IF(AND(ISNUMBER(H629),ISNUMBER(G629),G629&gt;0),H629/G629,"")</x:f>
        <x:v>0</x:v>
      </x:c>
      <x:c r="G629" s="12" t="n">
        <x:f>IF(AND(COUNT(P629:R629)=3,MIN(P629:R629)&gt;=0,P629&lt;=Q629,Q629&lt;=R629),P629/7*0.5+Q629/14*0.3+R629/30*0.2,"")</x:f>
        <x:v>0.1557142857142857</x:v>
      </x:c>
      <x:c r="H629" s="10" t="n">
        <x:f>IF(ISNUMBER(U629),U629,"")</x:f>
        <x:v>0</x:v>
      </x:c>
      <x:c r="I629" s="10" t="n">
        <x:v>0</x:v>
      </x:c>
      <x:c r="J629" s="11" t="str">
        <x:f>IF(AND(Z629="共同",ISNUMBER(F629),ISNUMBER(M629)),F629-M629,"")</x:f>
      </x:c>
      <x:c r="K629" s="13" t="str">
        <x:f>IF(AND(ISNUMBER(J629),M629&lt;&gt;0),J629/M629,"")</x:f>
      </x:c>
      <x:c r="L629" s="10" t="str">
        <x:v>断货</x:v>
      </x:c>
      <x:c r="M629" s="11"/>
      <x:c r="N629" s="10" t="n">
        <x:f>IF(AND(Z629="共同",COUNT(H629:I629)=2),H629-I629,"")</x:f>
        <x:v>0</x:v>
      </x:c>
      <x:c r="O629" s="10" t="n">
        <x:v>0</x:v>
      </x:c>
      <x:c r="P629" s="10" t="n">
        <x:v>1</x:v>
      </x:c>
      <x:c r="Q629" s="10" t="n">
        <x:v>3</x:v>
      </x:c>
      <x:c r="R629" s="10" t="n">
        <x:v>3</x:v>
      </x:c>
      <x:c r="S629" s="10" t="n">
        <x:v>1</x:v>
      </x:c>
      <x:c r="T629" s="10" t="n">
        <x:v>0</x:v>
      </x:c>
      <x:c r="U629" s="10" t="n">
        <x:f>IF(AND(ISNUMBER(X629),X629&gt;=0,Y629&lt;&gt;1),X629,"")</x:f>
        <x:v>0</x:v>
      </x:c>
      <x:c r="V629" s="10" t="n">
        <x:v>0</x:v>
      </x:c>
      <x:c r="W629" s="10" t="n">
        <x:v>5</x:v>
      </x:c>
      <x:c r="X629" s="10" t="n">
        <x:v>0</x:v>
      </x:c>
      <x:c r="Y629" s="3" t="n">
        <x:v>0</x:v>
      </x:c>
      <x:c r="Z629" s="3" t="str">
        <x:v>共同</x:v>
      </x:c>
      <x:c r="AA629" s="3" t="str">
        <x:v>在售</x:v>
      </x:c>
      <x:c r="AB629" s="12" t="n">
        <x:f>IF(AND(Z629="共同",ISNUMBER(G629),ISNUMBER(AD629)),G629-AD629,"")</x:f>
        <x:v>0.1557142857142857</x:v>
      </x:c>
      <x:c r="AC629" s="3" t="str"/>
      <x:c r="AD629" s="12" t="n">
        <x:v>0</x:v>
      </x:c>
      <x:c r="AE629" s="3" t="str">
        <x:v>[13120,"B06-SP-39"]</x:v>
      </x:c>
      <x:c r="AF629" t="n">
        <x:f>IF(ISNUMBER(H629),1,0)</x:f>
        <x:v>1</x:v>
      </x:c>
      <x:c r="AG629" t="n">
        <x:f>IF(ISNUMBER(I629),1,0)</x:f>
        <x:v>1</x:v>
      </x:c>
      <x:c r="AH629" t="str">
        <x:v>["B06","B06-SP","SP","蛇纹PU"]</x:v>
      </x:c>
      <x:c r="AI629" t="n">
        <x:f>IF(ISNUMBER(G629),1,0)</x:f>
        <x:v>1</x:v>
      </x:c>
      <x:c r="AJ629" t="n">
        <x:f>IF(ISNUMBER(AD629),1,0)</x:f>
        <x:v>1</x:v>
      </x:c>
    </x:row>
    <x:row r="630" ht="30" customHeight="1">
      <x:c r="A630" s="3" t="str">
        <x:v>B06-SP-39.5</x:v>
      </x:c>
      <x:c r="B630" s="3" t="str">
        <x:v>1店-MUSSHOE-US</x:v>
      </x:c>
      <x:c r="C630" s="3" t="str">
        <x:v>艾年</x:v>
      </x:c>
      <x:c r="D630" s="3" t="str">
        <x:v>B06</x:v>
      </x:c>
      <x:c r="E630" s="3" t="str">
        <x:f>IF(Z630="移出","已移出",IF(NOT(ISNUMBER(H630)),"数据待核",IF(H630=0,"断货",IF(NOT(ISNUMBER(G630)),"数据待核",IF(G630=0,"零日销待复核",IF(F630&lt;60,"补货提醒",IF(F630&lt;=90,"正常库存",IF(F630&lt;180,"促销",IF(F630&lt;=365,"红线促销","考虑清仓")))))))))</x:f>
        <x:v>断货</x:v>
      </x:c>
      <x:c r="F630" s="11" t="n">
        <x:f>IF(AND(ISNUMBER(H630),ISNUMBER(G630),G630&gt;0),H630/G630,"")</x:f>
        <x:v>0</x:v>
      </x:c>
      <x:c r="G630" s="12" t="n">
        <x:f>IF(AND(COUNT(P630:R630)=3,MIN(P630:R630)&gt;=0,P630&lt;=Q630,Q630&lt;=R630),P630/7*0.5+Q630/14*0.3+R630/30*0.2,"")</x:f>
        <x:v>0.006666666666666667</x:v>
      </x:c>
      <x:c r="H630" s="10" t="n">
        <x:f>IF(ISNUMBER(U630),U630,"")</x:f>
        <x:v>0</x:v>
      </x:c>
      <x:c r="I630" s="10" t="n">
        <x:v>0</x:v>
      </x:c>
      <x:c r="J630" s="11" t="n">
        <x:f>IF(AND(Z630="共同",ISNUMBER(F630),ISNUMBER(M630)),F630-M630,"")</x:f>
        <x:v>0</x:v>
      </x:c>
      <x:c r="K630" s="13" t="str">
        <x:f>IF(AND(ISNUMBER(J630),M630&lt;&gt;0),J630/M630,"")</x:f>
      </x:c>
      <x:c r="L630" s="10" t="str">
        <x:v>断货</x:v>
      </x:c>
      <x:c r="M630" s="11" t="n">
        <x:v>0</x:v>
      </x:c>
      <x:c r="N630" s="10" t="n">
        <x:f>IF(AND(Z630="共同",COUNT(H630:I630)=2),H630-I630,"")</x:f>
        <x:v>0</x:v>
      </x:c>
      <x:c r="O630" s="10" t="n">
        <x:v>52</x:v>
      </x:c>
      <x:c r="P630" s="10" t="n">
        <x:v>0</x:v>
      </x:c>
      <x:c r="Q630" s="10" t="n">
        <x:v>0</x:v>
      </x:c>
      <x:c r="R630" s="10" t="n">
        <x:v>1</x:v>
      </x:c>
      <x:c r="S630" s="10" t="n">
        <x:v>1</x:v>
      </x:c>
      <x:c r="T630" s="10" t="n">
        <x:v>1</x:v>
      </x:c>
      <x:c r="U630" s="10" t="n">
        <x:f>IF(AND(ISNUMBER(X630),X630&gt;=0,Y630&lt;&gt;1),X630,"")</x:f>
        <x:v>0</x:v>
      </x:c>
      <x:c r="V630" s="10" t="n">
        <x:v>0</x:v>
      </x:c>
      <x:c r="W630" s="10" t="n">
        <x:v>0</x:v>
      </x:c>
      <x:c r="X630" s="10" t="n">
        <x:v>0</x:v>
      </x:c>
      <x:c r="Y630" s="3" t="n">
        <x:v>0</x:v>
      </x:c>
      <x:c r="Z630" s="3" t="str">
        <x:v>共同</x:v>
      </x:c>
      <x:c r="AA630" s="3" t="str">
        <x:v>停售</x:v>
      </x:c>
      <x:c r="AB630" s="12" t="n">
        <x:f>IF(AND(Z630="共同",ISNUMBER(G630),ISNUMBER(AD630)),G630-AD630,"")</x:f>
        <x:v>-0.006666666666666665</x:v>
      </x:c>
      <x:c r="AC630" s="3" t="str"/>
      <x:c r="AD630" s="12" t="n">
        <x:v>0.013333333333333332</x:v>
      </x:c>
      <x:c r="AE630" s="3" t="str">
        <x:v>[13120,"B06-SP-39.5"]</x:v>
      </x:c>
      <x:c r="AF630" t="n">
        <x:f>IF(ISNUMBER(H630),1,0)</x:f>
        <x:v>1</x:v>
      </x:c>
      <x:c r="AG630" t="n">
        <x:f>IF(ISNUMBER(I630),1,0)</x:f>
        <x:v>1</x:v>
      </x:c>
      <x:c r="AH630" t="str">
        <x:v>["B06","B06-SP","SP","蛇纹PU"]</x:v>
      </x:c>
      <x:c r="AI630" t="n">
        <x:f>IF(ISNUMBER(G630),1,0)</x:f>
        <x:v>1</x:v>
      </x:c>
      <x:c r="AJ630" t="n">
        <x:f>IF(ISNUMBER(AD630),1,0)</x:f>
        <x:v>1</x:v>
      </x:c>
    </x:row>
    <x:row r="631" ht="30" customHeight="1">
      <x:c r="A631" s="3" t="str">
        <x:v>B06-SP-40</x:v>
      </x:c>
      <x:c r="B631" s="3" t="str">
        <x:v>1店-MUSSHOE-US</x:v>
      </x:c>
      <x:c r="C631" s="3" t="str">
        <x:v>艾年</x:v>
      </x:c>
      <x:c r="D631" s="3" t="str">
        <x:v>B06</x:v>
      </x:c>
      <x:c r="E631" s="3" t="str">
        <x:f>IF(Z631="移出","已移出",IF(NOT(ISNUMBER(H631)),"数据待核",IF(H631=0,"断货",IF(NOT(ISNUMBER(G631)),"数据待核",IF(G631=0,"零日销待复核",IF(F631&lt;60,"补货提醒",IF(F631&lt;=90,"正常库存",IF(F631&lt;180,"促销",IF(F631&lt;=365,"红线促销","考虑清仓")))))))))</x:f>
        <x:v>断货</x:v>
      </x:c>
      <x:c r="F631" s="11" t="str">
        <x:f>IF(AND(ISNUMBER(H631),ISNUMBER(G631),G631&gt;0),H631/G631,"")</x:f>
      </x:c>
      <x:c r="G631" s="12" t="n">
        <x:f>IF(AND(COUNT(P631:R631)=3,MIN(P631:R631)&gt;=0,P631&lt;=Q631,Q631&lt;=R631),P631/7*0.5+Q631/14*0.3+R631/30*0.2,"")</x:f>
        <x:v>0</x:v>
      </x:c>
      <x:c r="H631" s="10" t="n">
        <x:f>IF(ISNUMBER(U631),U631,"")</x:f>
        <x:v>0</x:v>
      </x:c>
      <x:c r="I631" s="10" t="n">
        <x:v>0</x:v>
      </x:c>
      <x:c r="J631" s="11" t="str">
        <x:f>IF(AND(Z631="共同",ISNUMBER(F631),ISNUMBER(M631)),F631-M631,"")</x:f>
      </x:c>
      <x:c r="K631" s="13" t="str">
        <x:f>IF(AND(ISNUMBER(J631),M631&lt;&gt;0),J631/M631,"")</x:f>
      </x:c>
      <x:c r="L631" s="10" t="str">
        <x:v>断货</x:v>
      </x:c>
      <x:c r="M631" s="11"/>
      <x:c r="N631" s="10" t="n">
        <x:f>IF(AND(Z631="共同",COUNT(H631:I631)=2),H631-I631,"")</x:f>
        <x:v>0</x:v>
      </x:c>
      <x:c r="O631" s="10" t="n">
        <x:v>39</x:v>
      </x:c>
      <x:c r="P631" s="10" t="n">
        <x:v>0</x:v>
      </x:c>
      <x:c r="Q631" s="10" t="n">
        <x:v>0</x:v>
      </x:c>
      <x:c r="R631" s="10" t="n">
        <x:v>0</x:v>
      </x:c>
      <x:c r="S631" s="10" t="n">
        <x:v>0</x:v>
      </x:c>
      <x:c r="T631" s="10" t="n">
        <x:v>0</x:v>
      </x:c>
      <x:c r="U631" s="10" t="n">
        <x:f>IF(AND(ISNUMBER(X631),X631&gt;=0,Y631&lt;&gt;1),X631,"")</x:f>
        <x:v>0</x:v>
      </x:c>
      <x:c r="V631" s="10" t="n">
        <x:v>0</x:v>
      </x:c>
      <x:c r="W631" s="10" t="n">
        <x:v>30</x:v>
      </x:c>
      <x:c r="X631" s="10" t="n">
        <x:v>0</x:v>
      </x:c>
      <x:c r="Y631" s="3" t="n">
        <x:v>0</x:v>
      </x:c>
      <x:c r="Z631" s="3" t="str">
        <x:v>共同</x:v>
      </x:c>
      <x:c r="AA631" s="3" t="str">
        <x:v>停售</x:v>
      </x:c>
      <x:c r="AB631" s="12" t="n">
        <x:f>IF(AND(Z631="共同",ISNUMBER(G631),ISNUMBER(AD631)),G631-AD631,"")</x:f>
        <x:v>0</x:v>
      </x:c>
      <x:c r="AC631" s="3" t="str"/>
      <x:c r="AD631" s="12" t="n">
        <x:v>0</x:v>
      </x:c>
      <x:c r="AE631" s="3" t="str">
        <x:v>[13120,"B06-SP-40"]</x:v>
      </x:c>
      <x:c r="AF631" t="n">
        <x:f>IF(ISNUMBER(H631),1,0)</x:f>
        <x:v>1</x:v>
      </x:c>
      <x:c r="AG631" t="n">
        <x:f>IF(ISNUMBER(I631),1,0)</x:f>
        <x:v>1</x:v>
      </x:c>
      <x:c r="AH631" t="str">
        <x:v>["B06","B06-SP","SP","蛇纹PU"]</x:v>
      </x:c>
      <x:c r="AI631" t="n">
        <x:f>IF(ISNUMBER(G631),1,0)</x:f>
        <x:v>1</x:v>
      </x:c>
      <x:c r="AJ631" t="n">
        <x:f>IF(ISNUMBER(AD631),1,0)</x:f>
        <x:v>1</x:v>
      </x:c>
    </x:row>
    <x:row r="632" ht="30" customHeight="1">
      <x:c r="A632" s="3" t="str">
        <x:v>B06-SP-40.5</x:v>
      </x:c>
      <x:c r="B632" s="3" t="str">
        <x:v>1店-MUSSHOE-US</x:v>
      </x:c>
      <x:c r="C632" s="3" t="str">
        <x:v>艾年</x:v>
      </x:c>
      <x:c r="D632" s="3" t="str">
        <x:v>B06</x:v>
      </x:c>
      <x:c r="E632" s="3" t="str">
        <x:f>IF(Z632="移出","已移出",IF(NOT(ISNUMBER(H632)),"数据待核",IF(H632=0,"断货",IF(NOT(ISNUMBER(G632)),"数据待核",IF(G632=0,"零日销待复核",IF(F632&lt;60,"补货提醒",IF(F632&lt;=90,"正常库存",IF(F632&lt;180,"促销",IF(F632&lt;=365,"红线促销","考虑清仓")))))))))</x:f>
        <x:v>断货</x:v>
      </x:c>
      <x:c r="F632" s="11" t="n">
        <x:f>IF(AND(ISNUMBER(H632),ISNUMBER(G632),G632&gt;0),H632/G632,"")</x:f>
        <x:v>0</x:v>
      </x:c>
      <x:c r="G632" s="12" t="n">
        <x:f>IF(AND(COUNT(P632:R632)=3,MIN(P632:R632)&gt;=0,P632&lt;=Q632,Q632&lt;=R632),P632/7*0.5+Q632/14*0.3+R632/30*0.2,"")</x:f>
        <x:v>0.028095238095238093</x:v>
      </x:c>
      <x:c r="H632" s="10" t="n">
        <x:f>IF(ISNUMBER(U632),U632,"")</x:f>
        <x:v>0</x:v>
      </x:c>
      <x:c r="I632" s="10" t="n">
        <x:v>0</x:v>
      </x:c>
      <x:c r="J632" s="11" t="str">
        <x:f>IF(AND(Z632="共同",ISNUMBER(F632),ISNUMBER(M632)),F632-M632,"")</x:f>
      </x:c>
      <x:c r="K632" s="13" t="str">
        <x:f>IF(AND(ISNUMBER(J632),M632&lt;&gt;0),J632/M632,"")</x:f>
      </x:c>
      <x:c r="L632" s="10" t="str">
        <x:v>断货</x:v>
      </x:c>
      <x:c r="M632" s="11"/>
      <x:c r="N632" s="10" t="n">
        <x:f>IF(AND(Z632="共同",COUNT(H632:I632)=2),H632-I632,"")</x:f>
        <x:v>0</x:v>
      </x:c>
      <x:c r="O632" s="10" t="n">
        <x:v>40</x:v>
      </x:c>
      <x:c r="P632" s="10" t="n">
        <x:v>0</x:v>
      </x:c>
      <x:c r="Q632" s="10" t="n">
        <x:v>1</x:v>
      </x:c>
      <x:c r="R632" s="10" t="n">
        <x:v>1</x:v>
      </x:c>
      <x:c r="S632" s="10" t="n">
        <x:v>0</x:v>
      </x:c>
      <x:c r="T632" s="10" t="n">
        <x:v>0</x:v>
      </x:c>
      <x:c r="U632" s="10" t="n">
        <x:f>IF(AND(ISNUMBER(X632),X632&gt;=0,Y632&lt;&gt;1),X632,"")</x:f>
        <x:v>0</x:v>
      </x:c>
      <x:c r="V632" s="10" t="n">
        <x:v>0</x:v>
      </x:c>
      <x:c r="W632" s="10" t="n">
        <x:v>0</x:v>
      </x:c>
      <x:c r="X632" s="10" t="n">
        <x:v>0</x:v>
      </x:c>
      <x:c r="Y632" s="3" t="n">
        <x:v>0</x:v>
      </x:c>
      <x:c r="Z632" s="3" t="str">
        <x:v>共同</x:v>
      </x:c>
      <x:c r="AA632" s="3" t="str">
        <x:v>停售</x:v>
      </x:c>
      <x:c r="AB632" s="12" t="n">
        <x:f>IF(AND(Z632="共同",ISNUMBER(G632),ISNUMBER(AD632)),G632-AD632,"")</x:f>
        <x:v>0.028095238095238093</x:v>
      </x:c>
      <x:c r="AC632" s="3" t="str"/>
      <x:c r="AD632" s="12" t="n">
        <x:v>0</x:v>
      </x:c>
      <x:c r="AE632" s="3" t="str">
        <x:v>[13120,"B06-SP-40.5"]</x:v>
      </x:c>
      <x:c r="AF632" t="n">
        <x:f>IF(ISNUMBER(H632),1,0)</x:f>
        <x:v>1</x:v>
      </x:c>
      <x:c r="AG632" t="n">
        <x:f>IF(ISNUMBER(I632),1,0)</x:f>
        <x:v>1</x:v>
      </x:c>
      <x:c r="AH632" t="str">
        <x:v>["B06","B06-SP","SP","蛇纹PU"]</x:v>
      </x:c>
      <x:c r="AI632" t="n">
        <x:f>IF(ISNUMBER(G632),1,0)</x:f>
        <x:v>1</x:v>
      </x:c>
      <x:c r="AJ632" t="n">
        <x:f>IF(ISNUMBER(AD632),1,0)</x:f>
        <x:v>1</x:v>
      </x:c>
    </x:row>
    <x:row r="633" ht="30" customHeight="1">
      <x:c r="A633" s="3" t="str">
        <x:v>B06-SP-41</x:v>
      </x:c>
      <x:c r="B633" s="3" t="str">
        <x:v>1店-MUSSHOE-US</x:v>
      </x:c>
      <x:c r="C633" s="3" t="str">
        <x:v>艾年</x:v>
      </x:c>
      <x:c r="D633" s="3" t="str">
        <x:v>B06</x:v>
      </x:c>
      <x:c r="E633" s="3" t="str">
        <x:f>IF(Z633="移出","已移出",IF(NOT(ISNUMBER(H633)),"数据待核",IF(H633=0,"断货",IF(NOT(ISNUMBER(G633)),"数据待核",IF(G633=0,"零日销待复核",IF(F633&lt;60,"补货提醒",IF(F633&lt;=90,"正常库存",IF(F633&lt;180,"促销",IF(F633&lt;=365,"红线促销","考虑清仓")))))))))</x:f>
        <x:v>断货</x:v>
      </x:c>
      <x:c r="F633" s="11" t="str">
        <x:f>IF(AND(ISNUMBER(H633),ISNUMBER(G633),G633&gt;0),H633/G633,"")</x:f>
      </x:c>
      <x:c r="G633" s="12" t="n">
        <x:f>IF(AND(COUNT(P633:R633)=3,MIN(P633:R633)&gt;=0,P633&lt;=Q633,Q633&lt;=R633),P633/7*0.5+Q633/14*0.3+R633/30*0.2,"")</x:f>
        <x:v>0</x:v>
      </x:c>
      <x:c r="H633" s="10" t="n">
        <x:f>IF(ISNUMBER(U633),U633,"")</x:f>
        <x:v>0</x:v>
      </x:c>
      <x:c r="I633" s="10" t="n">
        <x:v>0</x:v>
      </x:c>
      <x:c r="J633" s="11" t="str">
        <x:f>IF(AND(Z633="共同",ISNUMBER(F633),ISNUMBER(M633)),F633-M633,"")</x:f>
      </x:c>
      <x:c r="K633" s="13" t="str">
        <x:f>IF(AND(ISNUMBER(J633),M633&lt;&gt;0),J633/M633,"")</x:f>
      </x:c>
      <x:c r="L633" s="10" t="str">
        <x:v>断货</x:v>
      </x:c>
      <x:c r="M633" s="11"/>
      <x:c r="N633" s="10" t="n">
        <x:f>IF(AND(Z633="共同",COUNT(H633:I633)=2),H633-I633,"")</x:f>
        <x:v>0</x:v>
      </x:c>
      <x:c r="O633" s="10" t="n">
        <x:v>0</x:v>
      </x:c>
      <x:c r="P633" s="10" t="n">
        <x:v>0</x:v>
      </x:c>
      <x:c r="Q633" s="10" t="n">
        <x:v>0</x:v>
      </x:c>
      <x:c r="R633" s="10" t="n">
        <x:v>0</x:v>
      </x:c>
      <x:c r="S633" s="10" t="n">
        <x:v>0</x:v>
      </x:c>
      <x:c r="T633" s="10" t="n">
        <x:v>0</x:v>
      </x:c>
      <x:c r="U633" s="10" t="n">
        <x:f>IF(AND(ISNUMBER(X633),X633&gt;=0,Y633&lt;&gt;1),X633,"")</x:f>
        <x:v>0</x:v>
      </x:c>
      <x:c r="V633" s="10" t="n">
        <x:v>0</x:v>
      </x:c>
      <x:c r="W633" s="10" t="n">
        <x:v>39</x:v>
      </x:c>
      <x:c r="X633" s="10" t="n">
        <x:v>0</x:v>
      </x:c>
      <x:c r="Y633" s="3" t="n">
        <x:v>0</x:v>
      </x:c>
      <x:c r="Z633" s="3" t="str">
        <x:v>共同</x:v>
      </x:c>
      <x:c r="AA633" s="3" t="str">
        <x:v>停售</x:v>
      </x:c>
      <x:c r="AB633" s="12" t="str">
        <x:f>IF(AND(Z633="共同",ISNUMBER(G633),ISNUMBER(AD633)),G633-AD633,"")</x:f>
      </x:c>
      <x:c r="AC633" s="3" t="str">
        <x:v>近90天SKU销量未匹配，未按0处理</x:v>
      </x:c>
      <x:c r="AD633" s="12"/>
      <x:c r="AE633" s="3" t="str">
        <x:v>[13120,"B06-SP-41"]</x:v>
      </x:c>
      <x:c r="AF633" t="n">
        <x:f>IF(ISNUMBER(H633),1,0)</x:f>
        <x:v>1</x:v>
      </x:c>
      <x:c r="AG633" t="n">
        <x:f>IF(ISNUMBER(I633),1,0)</x:f>
        <x:v>1</x:v>
      </x:c>
      <x:c r="AH633" t="str">
        <x:v>["B06","B06-SP","SP","蛇纹PU"]</x:v>
      </x:c>
      <x:c r="AI633" t="n">
        <x:f>IF(ISNUMBER(G633),1,0)</x:f>
        <x:v>1</x:v>
      </x:c>
      <x:c r="AJ633" t="n">
        <x:f>IF(ISNUMBER(AD633),1,0)</x:f>
        <x:v>0</x:v>
      </x:c>
    </x:row>
    <x:row r="634" ht="30" customHeight="1">
      <x:c r="A634" s="3" t="str">
        <x:v>B06-SP-42</x:v>
      </x:c>
      <x:c r="B634" s="3" t="str">
        <x:v>1店-MUSSHOE-US</x:v>
      </x:c>
      <x:c r="C634" s="3" t="str">
        <x:v>艾年</x:v>
      </x:c>
      <x:c r="D634" s="3" t="str">
        <x:v>B06</x:v>
      </x:c>
      <x:c r="E634" s="3" t="str">
        <x:f>IF(Z634="移出","已移出",IF(NOT(ISNUMBER(H634)),"数据待核",IF(H634=0,"断货",IF(NOT(ISNUMBER(G634)),"数据待核",IF(G634=0,"零日销待复核",IF(F634&lt;60,"补货提醒",IF(F634&lt;=90,"正常库存",IF(F634&lt;180,"促销",IF(F634&lt;=365,"红线促销","考虑清仓")))))))))</x:f>
        <x:v>断货</x:v>
      </x:c>
      <x:c r="F634" s="11" t="str">
        <x:f>IF(AND(ISNUMBER(H634),ISNUMBER(G634),G634&gt;0),H634/G634,"")</x:f>
      </x:c>
      <x:c r="G634" s="12" t="n">
        <x:f>IF(AND(COUNT(P634:R634)=3,MIN(P634:R634)&gt;=0,P634&lt;=Q634,Q634&lt;=R634),P634/7*0.5+Q634/14*0.3+R634/30*0.2,"")</x:f>
        <x:v>0</x:v>
      </x:c>
      <x:c r="H634" s="10" t="n">
        <x:f>IF(ISNUMBER(U634),U634,"")</x:f>
        <x:v>0</x:v>
      </x:c>
      <x:c r="I634" s="10" t="n">
        <x:v>0</x:v>
      </x:c>
      <x:c r="J634" s="11" t="str">
        <x:f>IF(AND(Z634="共同",ISNUMBER(F634),ISNUMBER(M634)),F634-M634,"")</x:f>
      </x:c>
      <x:c r="K634" s="13" t="str">
        <x:f>IF(AND(ISNUMBER(J634),M634&lt;&gt;0),J634/M634,"")</x:f>
      </x:c>
      <x:c r="L634" s="10" t="str">
        <x:v>断货</x:v>
      </x:c>
      <x:c r="M634" s="11"/>
      <x:c r="N634" s="10" t="n">
        <x:f>IF(AND(Z634="共同",COUNT(H634:I634)=2),H634-I634,"")</x:f>
        <x:v>0</x:v>
      </x:c>
      <x:c r="O634" s="10" t="n">
        <x:v>1</x:v>
      </x:c>
      <x:c r="P634" s="10" t="n">
        <x:v>0</x:v>
      </x:c>
      <x:c r="Q634" s="10" t="n">
        <x:v>0</x:v>
      </x:c>
      <x:c r="R634" s="10" t="n">
        <x:v>0</x:v>
      </x:c>
      <x:c r="S634" s="10" t="n">
        <x:v>0</x:v>
      </x:c>
      <x:c r="T634" s="10" t="n">
        <x:v>0</x:v>
      </x:c>
      <x:c r="U634" s="10" t="n">
        <x:f>IF(AND(ISNUMBER(X634),X634&gt;=0,Y634&lt;&gt;1),X634,"")</x:f>
        <x:v>0</x:v>
      </x:c>
      <x:c r="V634" s="10" t="n">
        <x:v>0</x:v>
      </x:c>
      <x:c r="W634" s="10" t="n">
        <x:v>0</x:v>
      </x:c>
      <x:c r="X634" s="10" t="n">
        <x:v>0</x:v>
      </x:c>
      <x:c r="Y634" s="3" t="n">
        <x:v>0</x:v>
      </x:c>
      <x:c r="Z634" s="3" t="str">
        <x:v>共同</x:v>
      </x:c>
      <x:c r="AA634" s="3" t="str">
        <x:v>停售</x:v>
      </x:c>
      <x:c r="AB634" s="12" t="str">
        <x:f>IF(AND(Z634="共同",ISNUMBER(G634),ISNUMBER(AD634)),G634-AD634,"")</x:f>
      </x:c>
      <x:c r="AC634" s="3" t="str">
        <x:v>近90天SKU销量未匹配，未按0处理</x:v>
      </x:c>
      <x:c r="AD634" s="12"/>
      <x:c r="AE634" s="3" t="str">
        <x:v>[13120,"B06-SP-42"]</x:v>
      </x:c>
      <x:c r="AF634" t="n">
        <x:f>IF(ISNUMBER(H634),1,0)</x:f>
        <x:v>1</x:v>
      </x:c>
      <x:c r="AG634" t="n">
        <x:f>IF(ISNUMBER(I634),1,0)</x:f>
        <x:v>1</x:v>
      </x:c>
      <x:c r="AH634" t="str">
        <x:v>["B06","B06-SP","SP","蛇纹PU"]</x:v>
      </x:c>
      <x:c r="AI634" t="n">
        <x:f>IF(ISNUMBER(G634),1,0)</x:f>
        <x:v>1</x:v>
      </x:c>
      <x:c r="AJ634" t="n">
        <x:f>IF(ISNUMBER(AD634),1,0)</x:f>
        <x:v>0</x:v>
      </x:c>
    </x:row>
    <x:row r="635" ht="30" customHeight="1">
      <x:c r="A635" s="3" t="str">
        <x:v>B06-TN-38.5</x:v>
      </x:c>
      <x:c r="B635" s="3" t="str">
        <x:v>1店-MUSSHOE-US</x:v>
      </x:c>
      <x:c r="C635" s="3" t="str">
        <x:v>艾年</x:v>
      </x:c>
      <x:c r="D635" s="3" t="str">
        <x:v>B06</x:v>
      </x:c>
      <x:c r="E635" s="3" t="str">
        <x:f>IF(Z635="移出","已移出",IF(NOT(ISNUMBER(H635)),"数据待核",IF(H635=0,"断货",IF(NOT(ISNUMBER(G635)),"数据待核",IF(G635=0,"零日销待复核",IF(F635&lt;60,"补货提醒",IF(F635&lt;=90,"正常库存",IF(F635&lt;180,"促销",IF(F635&lt;=365,"红线促销","考虑清仓")))))))))</x:f>
        <x:v>断货</x:v>
      </x:c>
      <x:c r="F635" s="11" t="n">
        <x:f>IF(AND(ISNUMBER(H635),ISNUMBER(G635),G635&gt;0),H635/G635,"")</x:f>
        <x:v>0</x:v>
      </x:c>
      <x:c r="G635" s="12" t="n">
        <x:f>IF(AND(COUNT(P635:R635)=3,MIN(P635:R635)&gt;=0,P635&lt;=Q635,Q635&lt;=R635),P635/7*0.5+Q635/14*0.3+R635/30*0.2,"")</x:f>
        <x:v>0.048095238095238094</x:v>
      </x:c>
      <x:c r="H635" s="10" t="n">
        <x:f>IF(ISNUMBER(U635),U635,"")</x:f>
        <x:v>0</x:v>
      </x:c>
      <x:c r="I635" s="10" t="n">
        <x:v>1</x:v>
      </x:c>
      <x:c r="J635" s="11" t="n">
        <x:f>IF(AND(Z635="共同",ISNUMBER(F635),ISNUMBER(M635)),F635-M635,"")</x:f>
        <x:v>-20.792079207920793</x:v>
      </x:c>
      <x:c r="K635" s="13" t="n">
        <x:f>IF(AND(ISNUMBER(J635),M635&lt;&gt;0),J635/M635,"")</x:f>
        <x:v>-1</x:v>
      </x:c>
      <x:c r="L635" s="10" t="str">
        <x:v>补货提醒</x:v>
      </x:c>
      <x:c r="M635" s="11" t="n">
        <x:v>20.792079207920793</x:v>
      </x:c>
      <x:c r="N635" s="10" t="n">
        <x:f>IF(AND(Z635="共同",COUNT(H635:I635)=2),H635-I635,"")</x:f>
        <x:v>-1</x:v>
      </x:c>
      <x:c r="O635" s="10" t="n">
        <x:v>0</x:v>
      </x:c>
      <x:c r="P635" s="10" t="n">
        <x:v>0</x:v>
      </x:c>
      <x:c r="Q635" s="10" t="n">
        <x:v>1</x:v>
      </x:c>
      <x:c r="R635" s="10" t="n">
        <x:v>4</x:v>
      </x:c>
      <x:c r="S635" s="10" t="n">
        <x:v>2</x:v>
      </x:c>
      <x:c r="T635" s="10" t="n">
        <x:v>0</x:v>
      </x:c>
      <x:c r="U635" s="10" t="n">
        <x:f>IF(AND(ISNUMBER(X635),X635&gt;=0,Y635&lt;&gt;1),X635,"")</x:f>
        <x:v>0</x:v>
      </x:c>
      <x:c r="V635" s="10" t="n">
        <x:v>0</x:v>
      </x:c>
      <x:c r="W635" s="10" t="n">
        <x:v>0</x:v>
      </x:c>
      <x:c r="X635" s="10" t="n">
        <x:v>0</x:v>
      </x:c>
      <x:c r="Y635" s="3" t="n">
        <x:v>0</x:v>
      </x:c>
      <x:c r="Z635" s="3" t="str">
        <x:v>共同</x:v>
      </x:c>
      <x:c r="AA635" s="3" t="str">
        <x:v>在售</x:v>
      </x:c>
      <x:c r="AB635" s="12" t="n">
        <x:f>IF(AND(Z635="共同",ISNUMBER(G635),ISNUMBER(AD635)),G635-AD635,"")</x:f>
        <x:v>0</x:v>
      </x:c>
      <x:c r="AC635" s="3" t="str"/>
      <x:c r="AD635" s="12" t="n">
        <x:v>0.048095238095238094</x:v>
      </x:c>
      <x:c r="AE635" s="3" t="str">
        <x:v>[13120,"B06-TN-38.5"]</x:v>
      </x:c>
      <x:c r="AF635" t="n">
        <x:f>IF(ISNUMBER(H635),1,0)</x:f>
        <x:v>1</x:v>
      </x:c>
      <x:c r="AG635" t="n">
        <x:f>IF(ISNUMBER(I635),1,0)</x:f>
        <x:v>1</x:v>
      </x:c>
      <x:c r="AH635" t="str">
        <x:v>["B06","B06-TN","TN","驼色羊京绒"]</x:v>
      </x:c>
      <x:c r="AI635" t="n">
        <x:f>IF(ISNUMBER(G635),1,0)</x:f>
        <x:v>1</x:v>
      </x:c>
      <x:c r="AJ635" t="n">
        <x:f>IF(ISNUMBER(AD635),1,0)</x:f>
        <x:v>1</x:v>
      </x:c>
    </x:row>
    <x:row r="636" ht="30" customHeight="1">
      <x:c r="A636" s="3" t="str">
        <x:v>B06-WT-40.5</x:v>
      </x:c>
      <x:c r="B636" s="3" t="str">
        <x:v>1店-MUSSHOE-US</x:v>
      </x:c>
      <x:c r="C636" s="3" t="str">
        <x:v>艾年</x:v>
      </x:c>
      <x:c r="D636" s="3" t="str">
        <x:v>B06</x:v>
      </x:c>
      <x:c r="E636" s="3" t="str">
        <x:f>IF(Z636="移出","已移出",IF(NOT(ISNUMBER(H636)),"数据待核",IF(H636=0,"断货",IF(NOT(ISNUMBER(G636)),"数据待核",IF(G636=0,"零日销待复核",IF(F636&lt;60,"补货提醒",IF(F636&lt;=90,"正常库存",IF(F636&lt;180,"促销",IF(F636&lt;=365,"红线促销","考虑清仓")))))))))</x:f>
        <x:v>断货</x:v>
      </x:c>
      <x:c r="F636" s="11" t="str">
        <x:f>IF(AND(ISNUMBER(H636),ISNUMBER(G636),G636&gt;0),H636/G636,"")</x:f>
      </x:c>
      <x:c r="G636" s="12" t="n">
        <x:f>IF(AND(COUNT(P636:R636)=3,MIN(P636:R636)&gt;=0,P636&lt;=Q636,Q636&lt;=R636),P636/7*0.5+Q636/14*0.3+R636/30*0.2,"")</x:f>
        <x:v>0</x:v>
      </x:c>
      <x:c r="H636" s="10" t="n">
        <x:f>IF(ISNUMBER(U636),U636,"")</x:f>
        <x:v>0</x:v>
      </x:c>
      <x:c r="I636" s="10" t="n">
        <x:v>0</x:v>
      </x:c>
      <x:c r="J636" s="11" t="str">
        <x:f>IF(AND(Z636="共同",ISNUMBER(F636),ISNUMBER(M636)),F636-M636,"")</x:f>
      </x:c>
      <x:c r="K636" s="13" t="str">
        <x:f>IF(AND(ISNUMBER(J636),M636&lt;&gt;0),J636/M636,"")</x:f>
      </x:c>
      <x:c r="L636" s="10" t="str">
        <x:v>断货</x:v>
      </x:c>
      <x:c r="M636" s="11"/>
      <x:c r="N636" s="10" t="n">
        <x:f>IF(AND(Z636="共同",COUNT(H636:I636)=2),H636-I636,"")</x:f>
        <x:v>0</x:v>
      </x:c>
      <x:c r="O636" s="10" t="n">
        <x:v>44</x:v>
      </x:c>
      <x:c r="P636" s="10" t="n">
        <x:v>0</x:v>
      </x:c>
      <x:c r="Q636" s="10" t="n">
        <x:v>0</x:v>
      </x:c>
      <x:c r="R636" s="10" t="n">
        <x:v>0</x:v>
      </x:c>
      <x:c r="S636" s="10" t="n">
        <x:v>0</x:v>
      </x:c>
      <x:c r="T636" s="10" t="n">
        <x:v>0</x:v>
      </x:c>
      <x:c r="U636" s="10" t="n">
        <x:f>IF(AND(ISNUMBER(X636),X636&gt;=0,Y636&lt;&gt;1),X636,"")</x:f>
        <x:v>0</x:v>
      </x:c>
      <x:c r="V636" s="10" t="n">
        <x:v>0</x:v>
      </x:c>
      <x:c r="W636" s="10" t="n">
        <x:v>0</x:v>
      </x:c>
      <x:c r="X636" s="10" t="n">
        <x:v>0</x:v>
      </x:c>
      <x:c r="Y636" s="3" t="n">
        <x:v>0</x:v>
      </x:c>
      <x:c r="Z636" s="3" t="str">
        <x:v>共同</x:v>
      </x:c>
      <x:c r="AA636" s="3" t="str">
        <x:v>停售</x:v>
      </x:c>
      <x:c r="AB636" s="12" t="n">
        <x:f>IF(AND(Z636="共同",ISNUMBER(G636),ISNUMBER(AD636)),G636-AD636,"")</x:f>
        <x:v>0</x:v>
      </x:c>
      <x:c r="AC636" s="3" t="str"/>
      <x:c r="AD636" s="12" t="n">
        <x:v>0</x:v>
      </x:c>
      <x:c r="AE636" s="3" t="str">
        <x:v>[13120,"B06-WT-40.5"]</x:v>
      </x:c>
      <x:c r="AF636" t="n">
        <x:f>IF(ISNUMBER(H636),1,0)</x:f>
        <x:v>1</x:v>
      </x:c>
      <x:c r="AG636" t="n">
        <x:f>IF(ISNUMBER(I636),1,0)</x:f>
        <x:v>1</x:v>
      </x:c>
      <x:c r="AH636" t="str">
        <x:v>["B06","B06-WT","WT","白色PU"]</x:v>
      </x:c>
      <x:c r="AI636" t="n">
        <x:f>IF(ISNUMBER(G636),1,0)</x:f>
        <x:v>1</x:v>
      </x:c>
      <x:c r="AJ636" t="n">
        <x:f>IF(ISNUMBER(AD636),1,0)</x:f>
        <x:v>1</x:v>
      </x:c>
    </x:row>
    <x:row r="637" ht="30" customHeight="1">
      <x:c r="A637" s="3" t="str">
        <x:v>B06-WT-41-N</x:v>
      </x:c>
      <x:c r="B637" s="3" t="str">
        <x:v>1店-MUSSHOE-US</x:v>
      </x:c>
      <x:c r="C637" s="3" t="str">
        <x:v>艾年</x:v>
      </x:c>
      <x:c r="D637" s="3" t="str">
        <x:v>B06</x:v>
      </x:c>
      <x:c r="E637" s="3" t="str">
        <x:f>IF(Z637="移出","已移出",IF(NOT(ISNUMBER(H637)),"数据待核",IF(H637=0,"断货",IF(NOT(ISNUMBER(G637)),"数据待核",IF(G637=0,"零日销待复核",IF(F637&lt;60,"补货提醒",IF(F637&lt;=90,"正常库存",IF(F637&lt;180,"促销",IF(F637&lt;=365,"红线促销","考虑清仓")))))))))</x:f>
        <x:v>断货</x:v>
      </x:c>
      <x:c r="F637" s="11" t="str">
        <x:f>IF(AND(ISNUMBER(H637),ISNUMBER(G637),G637&gt;0),H637/G637,"")</x:f>
      </x:c>
      <x:c r="G637" s="12" t="n">
        <x:f>IF(AND(COUNT(P637:R637)=3,MIN(P637:R637)&gt;=0,P637&lt;=Q637,Q637&lt;=R637),P637/7*0.5+Q637/14*0.3+R637/30*0.2,"")</x:f>
        <x:v>0</x:v>
      </x:c>
      <x:c r="H637" s="10" t="n">
        <x:f>IF(ISNUMBER(U637),U637,"")</x:f>
        <x:v>0</x:v>
      </x:c>
      <x:c r="I637" s="10" t="n">
        <x:v>0</x:v>
      </x:c>
      <x:c r="J637" s="11" t="str">
        <x:f>IF(AND(Z637="共同",ISNUMBER(F637),ISNUMBER(M637)),F637-M637,"")</x:f>
      </x:c>
      <x:c r="K637" s="13" t="str">
        <x:f>IF(AND(ISNUMBER(J637),M637&lt;&gt;0),J637/M637,"")</x:f>
      </x:c>
      <x:c r="L637" s="10" t="str">
        <x:v>断货</x:v>
      </x:c>
      <x:c r="M637" s="11"/>
      <x:c r="N637" s="10" t="n">
        <x:f>IF(AND(Z637="共同",COUNT(H637:I637)=2),H637-I637,"")</x:f>
        <x:v>0</x:v>
      </x:c>
      <x:c r="O637" s="10" t="n">
        <x:v>22</x:v>
      </x:c>
      <x:c r="P637" s="10" t="n">
        <x:v>0</x:v>
      </x:c>
      <x:c r="Q637" s="10" t="n">
        <x:v>0</x:v>
      </x:c>
      <x:c r="R637" s="10" t="n">
        <x:v>0</x:v>
      </x:c>
      <x:c r="S637" s="10" t="n">
        <x:v>0</x:v>
      </x:c>
      <x:c r="T637" s="10" t="n">
        <x:v>0</x:v>
      </x:c>
      <x:c r="U637" s="10" t="n">
        <x:f>IF(AND(ISNUMBER(X637),X637&gt;=0,Y637&lt;&gt;1),X637,"")</x:f>
        <x:v>0</x:v>
      </x:c>
      <x:c r="V637" s="10" t="n">
        <x:v>0</x:v>
      </x:c>
      <x:c r="W637" s="10" t="n">
        <x:v>0</x:v>
      </x:c>
      <x:c r="X637" s="10" t="n">
        <x:v>0</x:v>
      </x:c>
      <x:c r="Y637" s="3" t="n">
        <x:v>0</x:v>
      </x:c>
      <x:c r="Z637" s="3" t="str">
        <x:v>共同</x:v>
      </x:c>
      <x:c r="AA637" s="3" t="str">
        <x:v>停售</x:v>
      </x:c>
      <x:c r="AB637" s="12" t="str">
        <x:f>IF(AND(Z637="共同",ISNUMBER(G637),ISNUMBER(AD637)),G637-AD637,"")</x:f>
      </x:c>
      <x:c r="AC637" s="3" t="str">
        <x:v>近90天SKU销量未匹配，未按0处理</x:v>
      </x:c>
      <x:c r="AD637" s="12"/>
      <x:c r="AE637" s="3" t="str">
        <x:v>[13120,"B06-WT-41-N"]</x:v>
      </x:c>
      <x:c r="AF637" t="n">
        <x:f>IF(ISNUMBER(H637),1,0)</x:f>
        <x:v>1</x:v>
      </x:c>
      <x:c r="AG637" t="n">
        <x:f>IF(ISNUMBER(I637),1,0)</x:f>
        <x:v>1</x:v>
      </x:c>
      <x:c r="AH637" t="str">
        <x:v>["B06","B06-WT","WT","白色PU"]</x:v>
      </x:c>
      <x:c r="AI637" t="n">
        <x:f>IF(ISNUMBER(G637),1,0)</x:f>
        <x:v>1</x:v>
      </x:c>
      <x:c r="AJ637" t="n">
        <x:f>IF(ISNUMBER(AD637),1,0)</x:f>
        <x:v>0</x:v>
      </x:c>
    </x:row>
    <x:row r="638" ht="30" customHeight="1">
      <x:c r="A638" s="3" t="str">
        <x:v>B06-WT-41.5</x:v>
      </x:c>
      <x:c r="B638" s="3" t="str">
        <x:v>1店-MUSSHOE-US</x:v>
      </x:c>
      <x:c r="C638" s="3" t="str">
        <x:v>艾年</x:v>
      </x:c>
      <x:c r="D638" s="3" t="str">
        <x:v>B06</x:v>
      </x:c>
      <x:c r="E638" s="3" t="str">
        <x:f>IF(Z638="移出","已移出",IF(NOT(ISNUMBER(H638)),"数据待核",IF(H638=0,"断货",IF(NOT(ISNUMBER(G638)),"数据待核",IF(G638=0,"零日销待复核",IF(F638&lt;60,"补货提醒",IF(F638&lt;=90,"正常库存",IF(F638&lt;180,"促销",IF(F638&lt;=365,"红线促销","考虑清仓")))))))))</x:f>
        <x:v>断货</x:v>
      </x:c>
      <x:c r="F638" s="11" t="n">
        <x:f>IF(AND(ISNUMBER(H638),ISNUMBER(G638),G638&gt;0),H638/G638,"")</x:f>
        <x:v>0</x:v>
      </x:c>
      <x:c r="G638" s="12" t="n">
        <x:f>IF(AND(COUNT(P638:R638)=3,MIN(P638:R638)&gt;=0,P638&lt;=Q638,Q638&lt;=R638),P638/7*0.5+Q638/14*0.3+R638/30*0.2,"")</x:f>
        <x:v>0.028095238095238093</x:v>
      </x:c>
      <x:c r="H638" s="10" t="n">
        <x:f>IF(ISNUMBER(U638),U638,"")</x:f>
        <x:v>0</x:v>
      </x:c>
      <x:c r="I638" s="10" t="n">
        <x:v>1</x:v>
      </x:c>
      <x:c r="J638" s="11" t="n">
        <x:f>IF(AND(Z638="共同",ISNUMBER(F638),ISNUMBER(M638)),F638-M638,"")</x:f>
        <x:v>-150</x:v>
      </x:c>
      <x:c r="K638" s="13" t="n">
        <x:f>IF(AND(ISNUMBER(J638),M638&lt;&gt;0),J638/M638,"")</x:f>
        <x:v>-1</x:v>
      </x:c>
      <x:c r="L638" s="10" t="str">
        <x:v>促销</x:v>
      </x:c>
      <x:c r="M638" s="11" t="n">
        <x:v>150</x:v>
      </x:c>
      <x:c r="N638" s="10" t="n">
        <x:f>IF(AND(Z638="共同",COUNT(H638:I638)=2),H638-I638,"")</x:f>
        <x:v>-1</x:v>
      </x:c>
      <x:c r="O638" s="10" t="n">
        <x:v>0</x:v>
      </x:c>
      <x:c r="P638" s="10" t="n">
        <x:v>0</x:v>
      </x:c>
      <x:c r="Q638" s="10" t="n">
        <x:v>1</x:v>
      </x:c>
      <x:c r="R638" s="10" t="n">
        <x:v>1</x:v>
      </x:c>
      <x:c r="S638" s="10" t="n">
        <x:v>0</x:v>
      </x:c>
      <x:c r="T638" s="10" t="n">
        <x:v>0</x:v>
      </x:c>
      <x:c r="U638" s="10" t="n">
        <x:f>IF(AND(ISNUMBER(X638),X638&gt;=0,Y638&lt;&gt;1),X638,"")</x:f>
        <x:v>0</x:v>
      </x:c>
      <x:c r="V638" s="10" t="n">
        <x:v>0</x:v>
      </x:c>
      <x:c r="W638" s="10" t="n">
        <x:v>0</x:v>
      </x:c>
      <x:c r="X638" s="10" t="n">
        <x:v>0</x:v>
      </x:c>
      <x:c r="Y638" s="3" t="n">
        <x:v>0</x:v>
      </x:c>
      <x:c r="Z638" s="3" t="str">
        <x:v>共同</x:v>
      </x:c>
      <x:c r="AA638" s="3" t="str">
        <x:v>停售</x:v>
      </x:c>
      <x:c r="AB638" s="12" t="n">
        <x:f>IF(AND(Z638="共同",ISNUMBER(G638),ISNUMBER(AD638)),G638-AD638,"")</x:f>
        <x:v>0.02142857142857143</x:v>
      </x:c>
      <x:c r="AC638" s="3" t="str"/>
      <x:c r="AD638" s="12" t="n">
        <x:v>0.006666666666666666</x:v>
      </x:c>
      <x:c r="AE638" s="3" t="str">
        <x:v>[13120,"B06-WT-41.5"]</x:v>
      </x:c>
      <x:c r="AF638" t="n">
        <x:f>IF(ISNUMBER(H638),1,0)</x:f>
        <x:v>1</x:v>
      </x:c>
      <x:c r="AG638" t="n">
        <x:f>IF(ISNUMBER(I638),1,0)</x:f>
        <x:v>1</x:v>
      </x:c>
      <x:c r="AH638" t="str">
        <x:v>["B06","B06-WT","WT","白色PU"]</x:v>
      </x:c>
      <x:c r="AI638" t="n">
        <x:f>IF(ISNUMBER(G638),1,0)</x:f>
        <x:v>1</x:v>
      </x:c>
      <x:c r="AJ638" t="n">
        <x:f>IF(ISNUMBER(AD638),1,0)</x:f>
        <x:v>1</x:v>
      </x:c>
    </x:row>
    <x:row r="639" ht="30" customHeight="1">
      <x:c r="A639" s="3" t="str">
        <x:v>B06-WT-42-N</x:v>
      </x:c>
      <x:c r="B639" s="3" t="str">
        <x:v>1店-MUSSHOE-US</x:v>
      </x:c>
      <x:c r="C639" s="3" t="str">
        <x:v>艾年</x:v>
      </x:c>
      <x:c r="D639" s="3" t="str">
        <x:v>B06</x:v>
      </x:c>
      <x:c r="E639" s="3" t="str">
        <x:f>IF(Z639="移出","已移出",IF(NOT(ISNUMBER(H639)),"数据待核",IF(H639=0,"断货",IF(NOT(ISNUMBER(G639)),"数据待核",IF(G639=0,"零日销待复核",IF(F639&lt;60,"补货提醒",IF(F639&lt;=90,"正常库存",IF(F639&lt;180,"促销",IF(F639&lt;=365,"红线促销","考虑清仓")))))))))</x:f>
        <x:v>断货</x:v>
      </x:c>
      <x:c r="F639" s="11" t="str">
        <x:f>IF(AND(ISNUMBER(H639),ISNUMBER(G639),G639&gt;0),H639/G639,"")</x:f>
      </x:c>
      <x:c r="G639" s="12" t="n">
        <x:f>IF(AND(COUNT(P639:R639)=3,MIN(P639:R639)&gt;=0,P639&lt;=Q639,Q639&lt;=R639),P639/7*0.5+Q639/14*0.3+R639/30*0.2,"")</x:f>
        <x:v>0</x:v>
      </x:c>
      <x:c r="H639" s="10" t="n">
        <x:f>IF(ISNUMBER(U639),U639,"")</x:f>
        <x:v>0</x:v>
      </x:c>
      <x:c r="I639" s="10" t="n">
        <x:v>0</x:v>
      </x:c>
      <x:c r="J639" s="11" t="str">
        <x:f>IF(AND(Z639="共同",ISNUMBER(F639),ISNUMBER(M639)),F639-M639,"")</x:f>
      </x:c>
      <x:c r="K639" s="13" t="str">
        <x:f>IF(AND(ISNUMBER(J639),M639&lt;&gt;0),J639/M639,"")</x:f>
      </x:c>
      <x:c r="L639" s="10" t="str">
        <x:v>断货</x:v>
      </x:c>
      <x:c r="M639" s="11"/>
      <x:c r="N639" s="10" t="n">
        <x:f>IF(AND(Z639="共同",COUNT(H639:I639)=2),H639-I639,"")</x:f>
        <x:v>0</x:v>
      </x:c>
      <x:c r="O639" s="10" t="n">
        <x:v>0</x:v>
      </x:c>
      <x:c r="P639" s="10" t="n">
        <x:v>0</x:v>
      </x:c>
      <x:c r="Q639" s="10" t="n">
        <x:v>0</x:v>
      </x:c>
      <x:c r="R639" s="10" t="n">
        <x:v>0</x:v>
      </x:c>
      <x:c r="S639" s="10" t="n">
        <x:v>0</x:v>
      </x:c>
      <x:c r="T639" s="10" t="n">
        <x:v>0</x:v>
      </x:c>
      <x:c r="U639" s="10" t="n">
        <x:f>IF(AND(ISNUMBER(X639),X639&gt;=0,Y639&lt;&gt;1),X639,"")</x:f>
        <x:v>0</x:v>
      </x:c>
      <x:c r="V639" s="10" t="n">
        <x:v>0</x:v>
      </x:c>
      <x:c r="W639" s="10" t="n">
        <x:v>0</x:v>
      </x:c>
      <x:c r="X639" s="10" t="n">
        <x:v>0</x:v>
      </x:c>
      <x:c r="Y639" s="3" t="n">
        <x:v>0</x:v>
      </x:c>
      <x:c r="Z639" s="3" t="str">
        <x:v>共同</x:v>
      </x:c>
      <x:c r="AA639" s="3" t="str">
        <x:v>停售</x:v>
      </x:c>
      <x:c r="AB639" s="12" t="str">
        <x:f>IF(AND(Z639="共同",ISNUMBER(G639),ISNUMBER(AD639)),G639-AD639,"")</x:f>
      </x:c>
      <x:c r="AC639" s="3" t="str">
        <x:v>近90天SKU销量未匹配，未按0处理</x:v>
      </x:c>
      <x:c r="AD639" s="12"/>
      <x:c r="AE639" s="3" t="str">
        <x:v>[13120,"B06-WT-42-N"]</x:v>
      </x:c>
      <x:c r="AF639" t="n">
        <x:f>IF(ISNUMBER(H639),1,0)</x:f>
        <x:v>1</x:v>
      </x:c>
      <x:c r="AG639" t="n">
        <x:f>IF(ISNUMBER(I639),1,0)</x:f>
        <x:v>1</x:v>
      </x:c>
      <x:c r="AH639" t="str">
        <x:v>["B06","B06-WT","WT","白色PU"]</x:v>
      </x:c>
      <x:c r="AI639" t="n">
        <x:f>IF(ISNUMBER(G639),1,0)</x:f>
        <x:v>1</x:v>
      </x:c>
      <x:c r="AJ639" t="n">
        <x:f>IF(ISNUMBER(AD639),1,0)</x:f>
        <x:v>0</x:v>
      </x:c>
    </x:row>
    <x:row r="640" ht="30" customHeight="1">
      <x:c r="A640" s="3" t="str">
        <x:v>B06b-BK-37.5</x:v>
      </x:c>
      <x:c r="B640" s="3" t="str">
        <x:v>1店-MUSSHOE-US</x:v>
      </x:c>
      <x:c r="C640" s="3" t="str">
        <x:v>艾年</x:v>
      </x:c>
      <x:c r="D640" s="3" t="str">
        <x:v>B06b</x:v>
      </x:c>
      <x:c r="E640" s="3" t="str">
        <x:f>IF(Z640="移出","已移出",IF(NOT(ISNUMBER(H640)),"数据待核",IF(H640=0,"断货",IF(NOT(ISNUMBER(G640)),"数据待核",IF(G640=0,"零日销待复核",IF(F640&lt;60,"补货提醒",IF(F640&lt;=90,"正常库存",IF(F640&lt;180,"促销",IF(F640&lt;=365,"红线促销","考虑清仓")))))))))</x:f>
        <x:v>断货</x:v>
      </x:c>
      <x:c r="F640" s="11" t="n">
        <x:f>IF(AND(ISNUMBER(H640),ISNUMBER(G640),G640&gt;0),H640/G640,"")</x:f>
        <x:v>0</x:v>
      </x:c>
      <x:c r="G640" s="12" t="n">
        <x:f>IF(AND(COUNT(P640:R640)=3,MIN(P640:R640)&gt;=0,P640&lt;=Q640,Q640&lt;=R640),P640/7*0.5+Q640/14*0.3+R640/30*0.2,"")</x:f>
        <x:v>0.006666666666666667</x:v>
      </x:c>
      <x:c r="H640" s="10" t="n">
        <x:f>IF(ISNUMBER(U640),U640,"")</x:f>
        <x:v>0</x:v>
      </x:c>
      <x:c r="I640" s="10" t="n">
        <x:v>0</x:v>
      </x:c>
      <x:c r="J640" s="11" t="n">
        <x:f>IF(AND(Z640="共同",ISNUMBER(F640),ISNUMBER(M640)),F640-M640,"")</x:f>
        <x:v>0</x:v>
      </x:c>
      <x:c r="K640" s="13" t="str">
        <x:f>IF(AND(ISNUMBER(J640),M640&lt;&gt;0),J640/M640,"")</x:f>
      </x:c>
      <x:c r="L640" s="10" t="str">
        <x:v>断货</x:v>
      </x:c>
      <x:c r="M640" s="11" t="n">
        <x:v>0</x:v>
      </x:c>
      <x:c r="N640" s="10" t="n">
        <x:f>IF(AND(Z640="共同",COUNT(H640:I640)=2),H640-I640,"")</x:f>
        <x:v>0</x:v>
      </x:c>
      <x:c r="O640" s="10" t="n">
        <x:v>62</x:v>
      </x:c>
      <x:c r="P640" s="10" t="n">
        <x:v>0</x:v>
      </x:c>
      <x:c r="Q640" s="10" t="n">
        <x:v>0</x:v>
      </x:c>
      <x:c r="R640" s="10" t="n">
        <x:v>1</x:v>
      </x:c>
      <x:c r="S640" s="10" t="n">
        <x:v>0</x:v>
      </x:c>
      <x:c r="T640" s="10" t="n">
        <x:v>0</x:v>
      </x:c>
      <x:c r="U640" s="10" t="n">
        <x:f>IF(AND(ISNUMBER(X640),X640&gt;=0,Y640&lt;&gt;1),X640,"")</x:f>
        <x:v>0</x:v>
      </x:c>
      <x:c r="V640" s="10" t="n">
        <x:v>0</x:v>
      </x:c>
      <x:c r="W640" s="10" t="n">
        <x:v>60</x:v>
      </x:c>
      <x:c r="X640" s="10" t="n">
        <x:v>0</x:v>
      </x:c>
      <x:c r="Y640" s="3" t="n">
        <x:v>0</x:v>
      </x:c>
      <x:c r="Z640" s="3" t="str">
        <x:v>共同</x:v>
      </x:c>
      <x:c r="AA640" s="3" t="str">
        <x:v>停售</x:v>
      </x:c>
      <x:c r="AB640" s="12" t="n">
        <x:f>IF(AND(Z640="共同",ISNUMBER(G640),ISNUMBER(AD640)),G640-AD640,"")</x:f>
        <x:v>-0.02809523809523809</x:v>
      </x:c>
      <x:c r="AC640" s="3" t="str"/>
      <x:c r="AD640" s="12" t="n">
        <x:v>0.03476190476190476</x:v>
      </x:c>
      <x:c r="AE640" s="3" t="str">
        <x:v>[13120,"B06b-BK-37.5"]</x:v>
      </x:c>
      <x:c r="AF640" t="n">
        <x:f>IF(ISNUMBER(H640),1,0)</x:f>
        <x:v>1</x:v>
      </x:c>
      <x:c r="AG640" t="n">
        <x:f>IF(ISNUMBER(I640),1,0)</x:f>
        <x:v>1</x:v>
      </x:c>
      <x:c r="AH640" t="str">
        <x:v>["B06b","B06b-BK","BK","黑色羊京绒"]</x:v>
      </x:c>
      <x:c r="AI640" t="n">
        <x:f>IF(ISNUMBER(G640),1,0)</x:f>
        <x:v>1</x:v>
      </x:c>
      <x:c r="AJ640" t="n">
        <x:f>IF(ISNUMBER(AD640),1,0)</x:f>
        <x:v>1</x:v>
      </x:c>
    </x:row>
    <x:row r="641" ht="30" customHeight="1">
      <x:c r="A641" s="3" t="str">
        <x:v>B06b-BK-42</x:v>
      </x:c>
      <x:c r="B641" s="3" t="str">
        <x:v>1店-MUSSHOE-US</x:v>
      </x:c>
      <x:c r="C641" s="3" t="str">
        <x:v>艾年</x:v>
      </x:c>
      <x:c r="D641" s="3" t="str">
        <x:v>B06b</x:v>
      </x:c>
      <x:c r="E641" s="3" t="str">
        <x:f>IF(Z641="移出","已移出",IF(NOT(ISNUMBER(H641)),"数据待核",IF(H641=0,"断货",IF(NOT(ISNUMBER(G641)),"数据待核",IF(G641=0,"零日销待复核",IF(F641&lt;60,"补货提醒",IF(F641&lt;=90,"正常库存",IF(F641&lt;180,"促销",IF(F641&lt;=365,"红线促销","考虑清仓")))))))))</x:f>
        <x:v>断货</x:v>
      </x:c>
      <x:c r="F641" s="11" t="str">
        <x:f>IF(AND(ISNUMBER(H641),ISNUMBER(G641),G641&gt;0),H641/G641,"")</x:f>
      </x:c>
      <x:c r="G641" s="12" t="n">
        <x:f>IF(AND(COUNT(P641:R641)=3,MIN(P641:R641)&gt;=0,P641&lt;=Q641,Q641&lt;=R641),P641/7*0.5+Q641/14*0.3+R641/30*0.2,"")</x:f>
        <x:v>0</x:v>
      </x:c>
      <x:c r="H641" s="10" t="n">
        <x:f>IF(ISNUMBER(U641),U641,"")</x:f>
        <x:v>0</x:v>
      </x:c>
      <x:c r="I641" s="10" t="n">
        <x:v>0</x:v>
      </x:c>
      <x:c r="J641" s="11" t="str">
        <x:f>IF(AND(Z641="共同",ISNUMBER(F641),ISNUMBER(M641)),F641-M641,"")</x:f>
      </x:c>
      <x:c r="K641" s="13" t="str">
        <x:f>IF(AND(ISNUMBER(J641),M641&lt;&gt;0),J641/M641,"")</x:f>
      </x:c>
      <x:c r="L641" s="10" t="str">
        <x:v>断货</x:v>
      </x:c>
      <x:c r="M641" s="11"/>
      <x:c r="N641" s="10" t="n">
        <x:f>IF(AND(Z641="共同",COUNT(H641:I641)=2),H641-I641,"")</x:f>
        <x:v>0</x:v>
      </x:c>
      <x:c r="O641" s="10" t="n">
        <x:v>136</x:v>
      </x:c>
      <x:c r="P641" s="10" t="n">
        <x:v>0</x:v>
      </x:c>
      <x:c r="Q641" s="10" t="n">
        <x:v>0</x:v>
      </x:c>
      <x:c r="R641" s="10" t="n">
        <x:v>0</x:v>
      </x:c>
      <x:c r="S641" s="10" t="n">
        <x:v>0</x:v>
      </x:c>
      <x:c r="T641" s="10" t="n">
        <x:v>0</x:v>
      </x:c>
      <x:c r="U641" s="10" t="n">
        <x:f>IF(AND(ISNUMBER(X641),X641&gt;=0,Y641&lt;&gt;1),X641,"")</x:f>
        <x:v>0</x:v>
      </x:c>
      <x:c r="V641" s="10" t="n">
        <x:v>0</x:v>
      </x:c>
      <x:c r="W641" s="10" t="n">
        <x:v>19</x:v>
      </x:c>
      <x:c r="X641" s="10" t="n">
        <x:v>0</x:v>
      </x:c>
      <x:c r="Y641" s="3" t="n">
        <x:v>0</x:v>
      </x:c>
      <x:c r="Z641" s="3" t="str">
        <x:v>共同</x:v>
      </x:c>
      <x:c r="AA641" s="3" t="str">
        <x:v>停售</x:v>
      </x:c>
      <x:c r="AB641" s="12" t="n">
        <x:f>IF(AND(Z641="共同",ISNUMBER(G641),ISNUMBER(AD641)),G641-AD641,"")</x:f>
        <x:v>0</x:v>
      </x:c>
      <x:c r="AC641" s="3" t="str"/>
      <x:c r="AD641" s="12" t="n">
        <x:v>0</x:v>
      </x:c>
      <x:c r="AE641" s="3" t="str">
        <x:v>[13120,"B06b-BK-42"]</x:v>
      </x:c>
      <x:c r="AF641" t="n">
        <x:f>IF(ISNUMBER(H641),1,0)</x:f>
        <x:v>1</x:v>
      </x:c>
      <x:c r="AG641" t="n">
        <x:f>IF(ISNUMBER(I641),1,0)</x:f>
        <x:v>1</x:v>
      </x:c>
      <x:c r="AH641" t="str">
        <x:v>["B06b","B06b-BK","BK","黑色羊京绒"]</x:v>
      </x:c>
      <x:c r="AI641" t="n">
        <x:f>IF(ISNUMBER(G641),1,0)</x:f>
        <x:v>1</x:v>
      </x:c>
      <x:c r="AJ641" t="n">
        <x:f>IF(ISNUMBER(AD641),1,0)</x:f>
        <x:v>1</x:v>
      </x:c>
    </x:row>
    <x:row r="642" ht="30" customHeight="1">
      <x:c r="A642" s="3" t="str">
        <x:v>B06b-BKP-37</x:v>
      </x:c>
      <x:c r="B642" s="3" t="str">
        <x:v>1店-MUSSHOE-US</x:v>
      </x:c>
      <x:c r="C642" s="3" t="str">
        <x:v>艾年</x:v>
      </x:c>
      <x:c r="D642" s="3" t="str">
        <x:v>B06b</x:v>
      </x:c>
      <x:c r="E642" s="3" t="str">
        <x:f>IF(Z642="移出","已移出",IF(NOT(ISNUMBER(H642)),"数据待核",IF(H642=0,"断货",IF(NOT(ISNUMBER(G642)),"数据待核",IF(G642=0,"零日销待复核",IF(F642&lt;60,"补货提醒",IF(F642&lt;=90,"正常库存",IF(F642&lt;180,"促销",IF(F642&lt;=365,"红线促销","考虑清仓")))))))))</x:f>
        <x:v>断货</x:v>
      </x:c>
      <x:c r="F642" s="11" t="n">
        <x:f>IF(AND(ISNUMBER(H642),ISNUMBER(G642),G642&gt;0),H642/G642,"")</x:f>
        <x:v>0</x:v>
      </x:c>
      <x:c r="G642" s="12" t="n">
        <x:f>IF(AND(COUNT(P642:R642)=3,MIN(P642:R642)&gt;=0,P642&lt;=Q642,Q642&lt;=R642),P642/7*0.5+Q642/14*0.3+R642/30*0.2,"")</x:f>
        <x:v>0.13952380952380952</x:v>
      </x:c>
      <x:c r="H642" s="10" t="n">
        <x:f>IF(ISNUMBER(U642),U642,"")</x:f>
        <x:v>0</x:v>
      </x:c>
      <x:c r="I642" s="10" t="n">
        <x:v>0</x:v>
      </x:c>
      <x:c r="J642" s="11" t="n">
        <x:f>IF(AND(Z642="共同",ISNUMBER(F642),ISNUMBER(M642)),F642-M642,"")</x:f>
        <x:v>0</x:v>
      </x:c>
      <x:c r="K642" s="13" t="str">
        <x:f>IF(AND(ISNUMBER(J642),M642&lt;&gt;0),J642/M642,"")</x:f>
      </x:c>
      <x:c r="L642" s="10" t="str">
        <x:v>断货</x:v>
      </x:c>
      <x:c r="M642" s="11" t="n">
        <x:v>0</x:v>
      </x:c>
      <x:c r="N642" s="10" t="n">
        <x:f>IF(AND(Z642="共同",COUNT(H642:I642)=2),H642-I642,"")</x:f>
        <x:v>0</x:v>
      </x:c>
      <x:c r="O642" s="10" t="n">
        <x:v>0</x:v>
      </x:c>
      <x:c r="P642" s="10" t="n">
        <x:v>1</x:v>
      </x:c>
      <x:c r="Q642" s="10" t="n">
        <x:v>1</x:v>
      </x:c>
      <x:c r="R642" s="10" t="n">
        <x:v>7</x:v>
      </x:c>
      <x:c r="S642" s="10" t="n">
        <x:v>0</x:v>
      </x:c>
      <x:c r="T642" s="10" t="n">
        <x:v>0</x:v>
      </x:c>
      <x:c r="U642" s="10" t="n">
        <x:f>IF(AND(ISNUMBER(X642),X642&gt;=0,Y642&lt;&gt;1),X642,"")</x:f>
        <x:v>0</x:v>
      </x:c>
      <x:c r="V642" s="10" t="n">
        <x:v>0</x:v>
      </x:c>
      <x:c r="W642" s="10" t="n">
        <x:v>0</x:v>
      </x:c>
      <x:c r="X642" s="10" t="n">
        <x:v>0</x:v>
      </x:c>
      <x:c r="Y642" s="3" t="n">
        <x:v>0</x:v>
      </x:c>
      <x:c r="Z642" s="3" t="str">
        <x:v>共同</x:v>
      </x:c>
      <x:c r="AA642" s="3" t="str">
        <x:v>停售</x:v>
      </x:c>
      <x:c r="AB642" s="12" t="n">
        <x:f>IF(AND(Z642="共同",ISNUMBER(G642),ISNUMBER(AD642)),G642-AD642,"")</x:f>
        <x:v>-0.05619047619047615</x:v>
      </x:c>
      <x:c r="AC642" s="3" t="str"/>
      <x:c r="AD642" s="12" t="n">
        <x:v>0.19571428571428567</x:v>
      </x:c>
      <x:c r="AE642" s="3" t="str">
        <x:v>[13120,"B06b-BKP-37"]</x:v>
      </x:c>
      <x:c r="AF642" t="n">
        <x:f>IF(ISNUMBER(H642),1,0)</x:f>
        <x:v>1</x:v>
      </x:c>
      <x:c r="AG642" t="n">
        <x:f>IF(ISNUMBER(I642),1,0)</x:f>
        <x:v>1</x:v>
      </x:c>
      <x:c r="AH642" t="str">
        <x:v>["B06b","B06b-BKP","BKP","黑色PU"]</x:v>
      </x:c>
      <x:c r="AI642" t="n">
        <x:f>IF(ISNUMBER(G642),1,0)</x:f>
        <x:v>1</x:v>
      </x:c>
      <x:c r="AJ642" t="n">
        <x:f>IF(ISNUMBER(AD642),1,0)</x:f>
        <x:v>1</x:v>
      </x:c>
    </x:row>
    <x:row r="643" ht="30" customHeight="1">
      <x:c r="A643" s="3" t="str">
        <x:v>B06b-BKP-37.5</x:v>
      </x:c>
      <x:c r="B643" s="3" t="str">
        <x:v>1店-MUSSHOE-US</x:v>
      </x:c>
      <x:c r="C643" s="3" t="str">
        <x:v>艾年</x:v>
      </x:c>
      <x:c r="D643" s="3" t="str">
        <x:v>B06b</x:v>
      </x:c>
      <x:c r="E643" s="3" t="str">
        <x:f>IF(Z643="移出","已移出",IF(NOT(ISNUMBER(H643)),"数据待核",IF(H643=0,"断货",IF(NOT(ISNUMBER(G643)),"数据待核",IF(G643=0,"零日销待复核",IF(F643&lt;60,"补货提醒",IF(F643&lt;=90,"正常库存",IF(F643&lt;180,"促销",IF(F643&lt;=365,"红线促销","考虑清仓")))))))))</x:f>
        <x:v>断货</x:v>
      </x:c>
      <x:c r="F643" s="11" t="n">
        <x:f>IF(AND(ISNUMBER(H643),ISNUMBER(G643),G643&gt;0),H643/G643,"")</x:f>
        <x:v>0</x:v>
      </x:c>
      <x:c r="G643" s="12" t="n">
        <x:f>IF(AND(COUNT(P643:R643)=3,MIN(P643:R643)&gt;=0,P643&lt;=Q643,Q643&lt;=R643),P643/7*0.5+Q643/14*0.3+R643/30*0.2,"")</x:f>
        <x:v>0.006666666666666667</x:v>
      </x:c>
      <x:c r="H643" s="10" t="n">
        <x:f>IF(ISNUMBER(U643),U643,"")</x:f>
        <x:v>0</x:v>
      </x:c>
      <x:c r="I643" s="10" t="n">
        <x:v>0</x:v>
      </x:c>
      <x:c r="J643" s="11" t="n">
        <x:f>IF(AND(Z643="共同",ISNUMBER(F643),ISNUMBER(M643)),F643-M643,"")</x:f>
        <x:v>0</x:v>
      </x:c>
      <x:c r="K643" s="13" t="str">
        <x:f>IF(AND(ISNUMBER(J643),M643&lt;&gt;0),J643/M643,"")</x:f>
      </x:c>
      <x:c r="L643" s="10" t="str">
        <x:v>断货</x:v>
      </x:c>
      <x:c r="M643" s="11" t="n">
        <x:v>0</x:v>
      </x:c>
      <x:c r="N643" s="10" t="n">
        <x:f>IF(AND(Z643="共同",COUNT(H643:I643)=2),H643-I643,"")</x:f>
        <x:v>0</x:v>
      </x:c>
      <x:c r="O643" s="10" t="n">
        <x:v>24</x:v>
      </x:c>
      <x:c r="P643" s="10" t="n">
        <x:v>0</x:v>
      </x:c>
      <x:c r="Q643" s="10" t="n">
        <x:v>0</x:v>
      </x:c>
      <x:c r="R643" s="10" t="n">
        <x:v>1</x:v>
      </x:c>
      <x:c r="S643" s="10" t="n">
        <x:v>0</x:v>
      </x:c>
      <x:c r="T643" s="10" t="n">
        <x:v>0</x:v>
      </x:c>
      <x:c r="U643" s="10" t="n">
        <x:f>IF(AND(ISNUMBER(X643),X643&gt;=0,Y643&lt;&gt;1),X643,"")</x:f>
        <x:v>0</x:v>
      </x:c>
      <x:c r="V643" s="10" t="n">
        <x:v>0</x:v>
      </x:c>
      <x:c r="W643" s="10" t="n">
        <x:v>36</x:v>
      </x:c>
      <x:c r="X643" s="10" t="n">
        <x:v>0</x:v>
      </x:c>
      <x:c r="Y643" s="3" t="n">
        <x:v>0</x:v>
      </x:c>
      <x:c r="Z643" s="3" t="str">
        <x:v>共同</x:v>
      </x:c>
      <x:c r="AA643" s="3" t="str">
        <x:v>停售</x:v>
      </x:c>
      <x:c r="AB643" s="12" t="n">
        <x:f>IF(AND(Z643="共同",ISNUMBER(G643),ISNUMBER(AD643)),G643-AD643,"")</x:f>
        <x:v>-0.02142857142857143</x:v>
      </x:c>
      <x:c r="AC643" s="3" t="str"/>
      <x:c r="AD643" s="12" t="n">
        <x:v>0.028095238095238097</x:v>
      </x:c>
      <x:c r="AE643" s="3" t="str">
        <x:v>[13120,"B06b-BKP-37.5"]</x:v>
      </x:c>
      <x:c r="AF643" t="n">
        <x:f>IF(ISNUMBER(H643),1,0)</x:f>
        <x:v>1</x:v>
      </x:c>
      <x:c r="AG643" t="n">
        <x:f>IF(ISNUMBER(I643),1,0)</x:f>
        <x:v>1</x:v>
      </x:c>
      <x:c r="AH643" t="str">
        <x:v>["B06b","B06b-BKP","BKP","黑色PU"]</x:v>
      </x:c>
      <x:c r="AI643" t="n">
        <x:f>IF(ISNUMBER(G643),1,0)</x:f>
        <x:v>1</x:v>
      </x:c>
      <x:c r="AJ643" t="n">
        <x:f>IF(ISNUMBER(AD643),1,0)</x:f>
        <x:v>1</x:v>
      </x:c>
    </x:row>
    <x:row r="644" ht="30" customHeight="1">
      <x:c r="A644" s="3" t="str">
        <x:v>B06b-BKP-40</x:v>
      </x:c>
      <x:c r="B644" s="3" t="str">
        <x:v>1店-MUSSHOE-US</x:v>
      </x:c>
      <x:c r="C644" s="3" t="str">
        <x:v>艾年</x:v>
      </x:c>
      <x:c r="D644" s="3" t="str">
        <x:v>B06b</x:v>
      </x:c>
      <x:c r="E644" s="3" t="str">
        <x:f>IF(Z644="移出","已移出",IF(NOT(ISNUMBER(H644)),"数据待核",IF(H644=0,"断货",IF(NOT(ISNUMBER(G644)),"数据待核",IF(G644=0,"零日销待复核",IF(F644&lt;60,"补货提醒",IF(F644&lt;=90,"正常库存",IF(F644&lt;180,"促销",IF(F644&lt;=365,"红线促销","考虑清仓")))))))))</x:f>
        <x:v>断货</x:v>
      </x:c>
      <x:c r="F644" s="11" t="n">
        <x:f>IF(AND(ISNUMBER(H644),ISNUMBER(G644),G644&gt;0),H644/G644,"")</x:f>
        <x:v>0</x:v>
      </x:c>
      <x:c r="G644" s="12" t="n">
        <x:f>IF(AND(COUNT(P644:R644)=3,MIN(P644:R644)&gt;=0,P644&lt;=Q644,Q644&lt;=R644),P644/7*0.5+Q644/14*0.3+R644/30*0.2,"")</x:f>
        <x:v>0.3119047619047619</x:v>
      </x:c>
      <x:c r="H644" s="10" t="n">
        <x:f>IF(ISNUMBER(U644),U644,"")</x:f>
        <x:v>0</x:v>
      </x:c>
      <x:c r="I644" s="10" t="n">
        <x:v>0</x:v>
      </x:c>
      <x:c r="J644" s="11" t="n">
        <x:f>IF(AND(Z644="共同",ISNUMBER(F644),ISNUMBER(M644)),F644-M644,"")</x:f>
        <x:v>0</x:v>
      </x:c>
      <x:c r="K644" s="13" t="str">
        <x:f>IF(AND(ISNUMBER(J644),M644&lt;&gt;0),J644/M644,"")</x:f>
      </x:c>
      <x:c r="L644" s="10" t="str">
        <x:v>断货</x:v>
      </x:c>
      <x:c r="M644" s="11" t="n">
        <x:v>0</x:v>
      </x:c>
      <x:c r="N644" s="10" t="n">
        <x:f>IF(AND(Z644="共同",COUNT(H644:I644)=2),H644-I644,"")</x:f>
        <x:v>0</x:v>
      </x:c>
      <x:c r="O644" s="10" t="n">
        <x:v>70</x:v>
      </x:c>
      <x:c r="P644" s="10" t="n">
        <x:v>3</x:v>
      </x:c>
      <x:c r="Q644" s="10" t="n">
        <x:v>3</x:v>
      </x:c>
      <x:c r="R644" s="10" t="n">
        <x:v>5</x:v>
      </x:c>
      <x:c r="S644" s="10" t="n">
        <x:v>0</x:v>
      </x:c>
      <x:c r="T644" s="10" t="n">
        <x:v>0</x:v>
      </x:c>
      <x:c r="U644" s="10" t="n">
        <x:f>IF(AND(ISNUMBER(X644),X644&gt;=0,Y644&lt;&gt;1),X644,"")</x:f>
        <x:v>0</x:v>
      </x:c>
      <x:c r="V644" s="10" t="n">
        <x:v>0</x:v>
      </x:c>
      <x:c r="W644" s="10" t="n">
        <x:v>17</x:v>
      </x:c>
      <x:c r="X644" s="10" t="n">
        <x:v>0</x:v>
      </x:c>
      <x:c r="Y644" s="3" t="n">
        <x:v>0</x:v>
      </x:c>
      <x:c r="Z644" s="3" t="str">
        <x:v>共同</x:v>
      </x:c>
      <x:c r="AA644" s="3" t="str">
        <x:v>在售</x:v>
      </x:c>
      <x:c r="AB644" s="12" t="n">
        <x:f>IF(AND(Z644="共同",ISNUMBER(G644),ISNUMBER(AD644)),G644-AD644,"")</x:f>
        <x:v>0.16571428571428573</x:v>
      </x:c>
      <x:c r="AC644" s="3" t="str"/>
      <x:c r="AD644" s="12" t="n">
        <x:v>0.14619047619047618</x:v>
      </x:c>
      <x:c r="AE644" s="3" t="str">
        <x:v>[13120,"B06b-BKP-40"]</x:v>
      </x:c>
      <x:c r="AF644" t="n">
        <x:f>IF(ISNUMBER(H644),1,0)</x:f>
        <x:v>1</x:v>
      </x:c>
      <x:c r="AG644" t="n">
        <x:f>IF(ISNUMBER(I644),1,0)</x:f>
        <x:v>1</x:v>
      </x:c>
      <x:c r="AH644" t="str">
        <x:v>["B06b","B06b-BKP","BKP","黑色PU"]</x:v>
      </x:c>
      <x:c r="AI644" t="n">
        <x:f>IF(ISNUMBER(G644),1,0)</x:f>
        <x:v>1</x:v>
      </x:c>
      <x:c r="AJ644" t="n">
        <x:f>IF(ISNUMBER(AD644),1,0)</x:f>
        <x:v>1</x:v>
      </x:c>
    </x:row>
    <x:row r="645" ht="30" customHeight="1">
      <x:c r="A645" s="3" t="str">
        <x:v>B06b-BKP-40.5</x:v>
      </x:c>
      <x:c r="B645" s="3" t="str">
        <x:v>1店-MUSSHOE-US</x:v>
      </x:c>
      <x:c r="C645" s="3" t="str">
        <x:v>艾年</x:v>
      </x:c>
      <x:c r="D645" s="3" t="str">
        <x:v>B06b</x:v>
      </x:c>
      <x:c r="E645" s="3" t="str">
        <x:f>IF(Z645="移出","已移出",IF(NOT(ISNUMBER(H645)),"数据待核",IF(H645=0,"断货",IF(NOT(ISNUMBER(G645)),"数据待核",IF(G645=0,"零日销待复核",IF(F645&lt;60,"补货提醒",IF(F645&lt;=90,"正常库存",IF(F645&lt;180,"促销",IF(F645&lt;=365,"红线促销","考虑清仓")))))))))</x:f>
        <x:v>断货</x:v>
      </x:c>
      <x:c r="F645" s="11" t="n">
        <x:f>IF(AND(ISNUMBER(H645),ISNUMBER(G645),G645&gt;0),H645/G645,"")</x:f>
        <x:v>0</x:v>
      </x:c>
      <x:c r="G645" s="12" t="n">
        <x:f>IF(AND(COUNT(P645:R645)=3,MIN(P645:R645)&gt;=0,P645&lt;=Q645,Q645&lt;=R645),P645/7*0.5+Q645/14*0.3+R645/30*0.2,"")</x:f>
        <x:v>0.048095238095238094</x:v>
      </x:c>
      <x:c r="H645" s="10" t="n">
        <x:f>IF(ISNUMBER(U645),U645,"")</x:f>
        <x:v>0</x:v>
      </x:c>
      <x:c r="I645" s="10" t="n">
        <x:v>0</x:v>
      </x:c>
      <x:c r="J645" s="11" t="n">
        <x:f>IF(AND(Z645="共同",ISNUMBER(F645),ISNUMBER(M645)),F645-M645,"")</x:f>
        <x:v>0</x:v>
      </x:c>
      <x:c r="K645" s="13" t="str">
        <x:f>IF(AND(ISNUMBER(J645),M645&lt;&gt;0),J645/M645,"")</x:f>
      </x:c>
      <x:c r="L645" s="10" t="str">
        <x:v>断货</x:v>
      </x:c>
      <x:c r="M645" s="11" t="n">
        <x:v>0</x:v>
      </x:c>
      <x:c r="N645" s="10" t="n">
        <x:f>IF(AND(Z645="共同",COUNT(H645:I645)=2),H645-I645,"")</x:f>
        <x:v>0</x:v>
      </x:c>
      <x:c r="O645" s="10" t="n">
        <x:v>29</x:v>
      </x:c>
      <x:c r="P645" s="10" t="n">
        <x:v>0</x:v>
      </x:c>
      <x:c r="Q645" s="10" t="n">
        <x:v>1</x:v>
      </x:c>
      <x:c r="R645" s="10" t="n">
        <x:v>4</x:v>
      </x:c>
      <x:c r="S645" s="10" t="n">
        <x:v>0</x:v>
      </x:c>
      <x:c r="T645" s="10" t="n">
        <x:v>0</x:v>
      </x:c>
      <x:c r="U645" s="10" t="n">
        <x:f>IF(AND(ISNUMBER(X645),X645&gt;=0,Y645&lt;&gt;1),X645,"")</x:f>
        <x:v>0</x:v>
      </x:c>
      <x:c r="V645" s="10" t="n">
        <x:v>0</x:v>
      </x:c>
      <x:c r="W645" s="10" t="n">
        <x:v>20</x:v>
      </x:c>
      <x:c r="X645" s="10" t="n">
        <x:v>0</x:v>
      </x:c>
      <x:c r="Y645" s="3" t="n">
        <x:v>0</x:v>
      </x:c>
      <x:c r="Z645" s="3" t="str">
        <x:v>共同</x:v>
      </x:c>
      <x:c r="AA645" s="3" t="str">
        <x:v>停售</x:v>
      </x:c>
      <x:c r="AB645" s="12" t="n">
        <x:f>IF(AND(Z645="共同",ISNUMBER(G645),ISNUMBER(AD645)),G645-AD645,"")</x:f>
        <x:v>-0.07809523809523809</x:v>
      </x:c>
      <x:c r="AC645" s="3" t="str"/>
      <x:c r="AD645" s="12" t="n">
        <x:v>0.1261904761904762</x:v>
      </x:c>
      <x:c r="AE645" s="3" t="str">
        <x:v>[13120,"B06b-BKP-40.5"]</x:v>
      </x:c>
      <x:c r="AF645" t="n">
        <x:f>IF(ISNUMBER(H645),1,0)</x:f>
        <x:v>1</x:v>
      </x:c>
      <x:c r="AG645" t="n">
        <x:f>IF(ISNUMBER(I645),1,0)</x:f>
        <x:v>1</x:v>
      </x:c>
      <x:c r="AH645" t="str">
        <x:v>["B06b","B06b-BKP","BKP","黑色PU"]</x:v>
      </x:c>
      <x:c r="AI645" t="n">
        <x:f>IF(ISNUMBER(G645),1,0)</x:f>
        <x:v>1</x:v>
      </x:c>
      <x:c r="AJ645" t="n">
        <x:f>IF(ISNUMBER(AD645),1,0)</x:f>
        <x:v>1</x:v>
      </x:c>
    </x:row>
    <x:row r="646" ht="30" customHeight="1">
      <x:c r="A646" s="3" t="str">
        <x:v>B06b-BKP-41</x:v>
      </x:c>
      <x:c r="B646" s="3" t="str">
        <x:v>1店-MUSSHOE-US</x:v>
      </x:c>
      <x:c r="C646" s="3" t="str">
        <x:v>艾年</x:v>
      </x:c>
      <x:c r="D646" s="3" t="str">
        <x:v>B06b</x:v>
      </x:c>
      <x:c r="E646" s="3" t="str">
        <x:f>IF(Z646="移出","已移出",IF(NOT(ISNUMBER(H646)),"数据待核",IF(H646=0,"断货",IF(NOT(ISNUMBER(G646)),"数据待核",IF(G646=0,"零日销待复核",IF(F646&lt;60,"补货提醒",IF(F646&lt;=90,"正常库存",IF(F646&lt;180,"促销",IF(F646&lt;=365,"红线促销","考虑清仓")))))))))</x:f>
        <x:v>断货</x:v>
      </x:c>
      <x:c r="F646" s="11" t="n">
        <x:f>IF(AND(ISNUMBER(H646),ISNUMBER(G646),G646&gt;0),H646/G646,"")</x:f>
        <x:v>0</x:v>
      </x:c>
      <x:c r="G646" s="12" t="n">
        <x:f>IF(AND(COUNT(P646:R646)=3,MIN(P646:R646)&gt;=0,P646&lt;=Q646,Q646&lt;=R646),P646/7*0.5+Q646/14*0.3+R646/30*0.2,"")</x:f>
        <x:v>0.1757142857142857</x:v>
      </x:c>
      <x:c r="H646" s="10" t="n">
        <x:f>IF(ISNUMBER(U646),U646,"")</x:f>
        <x:v>0</x:v>
      </x:c>
      <x:c r="I646" s="10" t="n">
        <x:v>2</x:v>
      </x:c>
      <x:c r="J646" s="11" t="n">
        <x:f>IF(AND(Z646="共同",ISNUMBER(F646),ISNUMBER(M646)),F646-M646,"")</x:f>
        <x:v>-8.092485549132949</x:v>
      </x:c>
      <x:c r="K646" s="13" t="n">
        <x:f>IF(AND(ISNUMBER(J646),M646&lt;&gt;0),J646/M646,"")</x:f>
        <x:v>-1</x:v>
      </x:c>
      <x:c r="L646" s="10" t="str">
        <x:v>补货提醒</x:v>
      </x:c>
      <x:c r="M646" s="11" t="n">
        <x:v>8.092485549132949</x:v>
      </x:c>
      <x:c r="N646" s="10" t="n">
        <x:f>IF(AND(Z646="共同",COUNT(H646:I646)=2),H646-I646,"")</x:f>
        <x:v>-2</x:v>
      </x:c>
      <x:c r="O646" s="10" t="n">
        <x:v>30</x:v>
      </x:c>
      <x:c r="P646" s="10" t="n">
        <x:v>1</x:v>
      </x:c>
      <x:c r="Q646" s="10" t="n">
        <x:v>3</x:v>
      </x:c>
      <x:c r="R646" s="10" t="n">
        <x:v>6</x:v>
      </x:c>
      <x:c r="S646" s="10" t="n">
        <x:v>0</x:v>
      </x:c>
      <x:c r="T646" s="10" t="n">
        <x:v>0</x:v>
      </x:c>
      <x:c r="U646" s="10" t="n">
        <x:f>IF(AND(ISNUMBER(X646),X646&gt;=0,Y646&lt;&gt;1),X646,"")</x:f>
        <x:v>0</x:v>
      </x:c>
      <x:c r="V646" s="10" t="n">
        <x:v>0</x:v>
      </x:c>
      <x:c r="W646" s="10" t="n">
        <x:v>20</x:v>
      </x:c>
      <x:c r="X646" s="10" t="n">
        <x:v>0</x:v>
      </x:c>
      <x:c r="Y646" s="3" t="n">
        <x:v>0</x:v>
      </x:c>
      <x:c r="Z646" s="3" t="str">
        <x:v>共同</x:v>
      </x:c>
      <x:c r="AA646" s="3" t="str">
        <x:v>在售</x:v>
      </x:c>
      <x:c r="AB646" s="12" t="n">
        <x:f>IF(AND(Z646="共同",ISNUMBER(G646),ISNUMBER(AD646)),G646-AD646,"")</x:f>
        <x:v>-0.0714285714285714</x:v>
      </x:c>
      <x:c r="AC646" s="3" t="str"/>
      <x:c r="AD646" s="12" t="n">
        <x:v>0.2471428571428571</x:v>
      </x:c>
      <x:c r="AE646" s="3" t="str">
        <x:v>[13120,"B06b-BKP-41"]</x:v>
      </x:c>
      <x:c r="AF646" t="n">
        <x:f>IF(ISNUMBER(H646),1,0)</x:f>
        <x:v>1</x:v>
      </x:c>
      <x:c r="AG646" t="n">
        <x:f>IF(ISNUMBER(I646),1,0)</x:f>
        <x:v>1</x:v>
      </x:c>
      <x:c r="AH646" t="str">
        <x:v>["B06b","B06b-BKP","BKP","黑色PU"]</x:v>
      </x:c>
      <x:c r="AI646" t="n">
        <x:f>IF(ISNUMBER(G646),1,0)</x:f>
        <x:v>1</x:v>
      </x:c>
      <x:c r="AJ646" t="n">
        <x:f>IF(ISNUMBER(AD646),1,0)</x:f>
        <x:v>1</x:v>
      </x:c>
    </x:row>
    <x:row r="647" ht="30" customHeight="1">
      <x:c r="A647" s="3" t="str">
        <x:v>B06b-BKP-41.5</x:v>
      </x:c>
      <x:c r="B647" s="3" t="str">
        <x:v>1店-MUSSHOE-US</x:v>
      </x:c>
      <x:c r="C647" s="3" t="str">
        <x:v>艾年</x:v>
      </x:c>
      <x:c r="D647" s="3" t="str">
        <x:v>B06b</x:v>
      </x:c>
      <x:c r="E647" s="3" t="str">
        <x:f>IF(Z647="移出","已移出",IF(NOT(ISNUMBER(H647)),"数据待核",IF(H647=0,"断货",IF(NOT(ISNUMBER(G647)),"数据待核",IF(G647=0,"零日销待复核",IF(F647&lt;60,"补货提醒",IF(F647&lt;=90,"正常库存",IF(F647&lt;180,"促销",IF(F647&lt;=365,"红线促销","考虑清仓")))))))))</x:f>
        <x:v>断货</x:v>
      </x:c>
      <x:c r="F647" s="11" t="str">
        <x:f>IF(AND(ISNUMBER(H647),ISNUMBER(G647),G647&gt;0),H647/G647,"")</x:f>
      </x:c>
      <x:c r="G647" s="12" t="n">
        <x:f>IF(AND(COUNT(P647:R647)=3,MIN(P647:R647)&gt;=0,P647&lt;=Q647,Q647&lt;=R647),P647/7*0.5+Q647/14*0.3+R647/30*0.2,"")</x:f>
        <x:v>0</x:v>
      </x:c>
      <x:c r="H647" s="10" t="n">
        <x:f>IF(ISNUMBER(U647),U647,"")</x:f>
        <x:v>0</x:v>
      </x:c>
      <x:c r="I647" s="10" t="n">
        <x:v>0</x:v>
      </x:c>
      <x:c r="J647" s="11" t="str">
        <x:f>IF(AND(Z647="共同",ISNUMBER(F647),ISNUMBER(M647)),F647-M647,"")</x:f>
      </x:c>
      <x:c r="K647" s="13" t="str">
        <x:f>IF(AND(ISNUMBER(J647),M647&lt;&gt;0),J647/M647,"")</x:f>
      </x:c>
      <x:c r="L647" s="10" t="str">
        <x:v>断货</x:v>
      </x:c>
      <x:c r="M647" s="11"/>
      <x:c r="N647" s="10" t="n">
        <x:f>IF(AND(Z647="共同",COUNT(H647:I647)=2),H647-I647,"")</x:f>
        <x:v>0</x:v>
      </x:c>
      <x:c r="O647" s="10"/>
      <x:c r="P647" s="10" t="n">
        <x:v>0</x:v>
      </x:c>
      <x:c r="Q647" s="10" t="n">
        <x:v>0</x:v>
      </x:c>
      <x:c r="R647" s="10" t="n">
        <x:v>0</x:v>
      </x:c>
      <x:c r="S647" s="10" t="n">
        <x:v>0</x:v>
      </x:c>
      <x:c r="T647" s="10" t="n">
        <x:v>0</x:v>
      </x:c>
      <x:c r="U647" s="10" t="n">
        <x:f>IF(AND(ISNUMBER(X647),X647&gt;=0,Y647&lt;&gt;1),X647,"")</x:f>
        <x:v>0</x:v>
      </x:c>
      <x:c r="V647" s="10" t="n">
        <x:v>0</x:v>
      </x:c>
      <x:c r="W647" s="10" t="n">
        <x:v>0</x:v>
      </x:c>
      <x:c r="X647" s="10" t="n">
        <x:v>0</x:v>
      </x:c>
      <x:c r="Y647" s="3" t="n">
        <x:v>0</x:v>
      </x:c>
      <x:c r="Z647" s="3" t="str">
        <x:v>共同</x:v>
      </x:c>
      <x:c r="AA647" s="3" t="str">
        <x:v>停售</x:v>
      </x:c>
      <x:c r="AB647" s="12" t="str">
        <x:f>IF(AND(Z647="共同",ISNUMBER(G647),ISNUMBER(AD647)),G647-AD647,"")</x:f>
      </x:c>
      <x:c r="AC647" s="3" t="str">
        <x:v>近90天SKU销量未匹配，未按0处理</x:v>
      </x:c>
      <x:c r="AD647" s="12"/>
      <x:c r="AE647" s="3" t="str">
        <x:v>[13120,"B06b-BKP-41.5"]</x:v>
      </x:c>
      <x:c r="AF647" t="n">
        <x:f>IF(ISNUMBER(H647),1,0)</x:f>
        <x:v>1</x:v>
      </x:c>
      <x:c r="AG647" t="n">
        <x:f>IF(ISNUMBER(I647),1,0)</x:f>
        <x:v>1</x:v>
      </x:c>
      <x:c r="AH647" t="str">
        <x:v>["B06b","B06b-BKP","BKP","黑色PU"]</x:v>
      </x:c>
      <x:c r="AI647" t="n">
        <x:f>IF(ISNUMBER(G647),1,0)</x:f>
        <x:v>1</x:v>
      </x:c>
      <x:c r="AJ647" t="n">
        <x:f>IF(ISNUMBER(AD647),1,0)</x:f>
        <x:v>0</x:v>
      </x:c>
    </x:row>
    <x:row r="648" ht="30" customHeight="1">
      <x:c r="A648" s="3" t="str">
        <x:v>B06b-BKP-42</x:v>
      </x:c>
      <x:c r="B648" s="3" t="str">
        <x:v>1店-MUSSHOE-US</x:v>
      </x:c>
      <x:c r="C648" s="3" t="str">
        <x:v>艾年</x:v>
      </x:c>
      <x:c r="D648" s="3" t="str">
        <x:v>B06b</x:v>
      </x:c>
      <x:c r="E648" s="3" t="str">
        <x:f>IF(Z648="移出","已移出",IF(NOT(ISNUMBER(H648)),"数据待核",IF(H648=0,"断货",IF(NOT(ISNUMBER(G648)),"数据待核",IF(G648=0,"零日销待复核",IF(F648&lt;60,"补货提醒",IF(F648&lt;=90,"正常库存",IF(F648&lt;180,"促销",IF(F648&lt;=365,"红线促销","考虑清仓")))))))))</x:f>
        <x:v>断货</x:v>
      </x:c>
      <x:c r="F648" s="11" t="str">
        <x:f>IF(AND(ISNUMBER(H648),ISNUMBER(G648),G648&gt;0),H648/G648,"")</x:f>
      </x:c>
      <x:c r="G648" s="12" t="n">
        <x:f>IF(AND(COUNT(P648:R648)=3,MIN(P648:R648)&gt;=0,P648&lt;=Q648,Q648&lt;=R648),P648/7*0.5+Q648/14*0.3+R648/30*0.2,"")</x:f>
        <x:v>0</x:v>
      </x:c>
      <x:c r="H648" s="10" t="n">
        <x:f>IF(ISNUMBER(U648),U648,"")</x:f>
        <x:v>0</x:v>
      </x:c>
      <x:c r="I648" s="10" t="n">
        <x:v>0</x:v>
      </x:c>
      <x:c r="J648" s="11" t="str">
        <x:f>IF(AND(Z648="共同",ISNUMBER(F648),ISNUMBER(M648)),F648-M648,"")</x:f>
      </x:c>
      <x:c r="K648" s="13" t="str">
        <x:f>IF(AND(ISNUMBER(J648),M648&lt;&gt;0),J648/M648,"")</x:f>
      </x:c>
      <x:c r="L648" s="10" t="str">
        <x:v>断货</x:v>
      </x:c>
      <x:c r="M648" s="11"/>
      <x:c r="N648" s="10" t="n">
        <x:f>IF(AND(Z648="共同",COUNT(H648:I648)=2),H648-I648,"")</x:f>
        <x:v>0</x:v>
      </x:c>
      <x:c r="O648" s="10" t="n">
        <x:v>0</x:v>
      </x:c>
      <x:c r="P648" s="10" t="n">
        <x:v>0</x:v>
      </x:c>
      <x:c r="Q648" s="10" t="n">
        <x:v>0</x:v>
      </x:c>
      <x:c r="R648" s="10" t="n">
        <x:v>0</x:v>
      </x:c>
      <x:c r="S648" s="10" t="n">
        <x:v>0</x:v>
      </x:c>
      <x:c r="T648" s="10" t="n">
        <x:v>0</x:v>
      </x:c>
      <x:c r="U648" s="10" t="n">
        <x:f>IF(AND(ISNUMBER(X648),X648&gt;=0,Y648&lt;&gt;1),X648,"")</x:f>
        <x:v>0</x:v>
      </x:c>
      <x:c r="V648" s="10" t="n">
        <x:v>0</x:v>
      </x:c>
      <x:c r="W648" s="10" t="n">
        <x:v>0</x:v>
      </x:c>
      <x:c r="X648" s="10" t="n">
        <x:v>0</x:v>
      </x:c>
      <x:c r="Y648" s="3" t="n">
        <x:v>0</x:v>
      </x:c>
      <x:c r="Z648" s="3" t="str">
        <x:v>共同</x:v>
      </x:c>
      <x:c r="AA648" s="3" t="str">
        <x:v>停售</x:v>
      </x:c>
      <x:c r="AB648" s="12" t="str">
        <x:f>IF(AND(Z648="共同",ISNUMBER(G648),ISNUMBER(AD648)),G648-AD648,"")</x:f>
      </x:c>
      <x:c r="AC648" s="3" t="str">
        <x:v>近90天SKU销量未匹配，未按0处理</x:v>
      </x:c>
      <x:c r="AD648" s="12"/>
      <x:c r="AE648" s="3" t="str">
        <x:v>[13120,"B06b-BKP-42"]</x:v>
      </x:c>
      <x:c r="AF648" t="n">
        <x:f>IF(ISNUMBER(H648),1,0)</x:f>
        <x:v>1</x:v>
      </x:c>
      <x:c r="AG648" t="n">
        <x:f>IF(ISNUMBER(I648),1,0)</x:f>
        <x:v>1</x:v>
      </x:c>
      <x:c r="AH648" t="str">
        <x:v>["B06b","B06b-BKP","BKP","黑色PU"]</x:v>
      </x:c>
      <x:c r="AI648" t="n">
        <x:f>IF(ISNUMBER(G648),1,0)</x:f>
        <x:v>1</x:v>
      </x:c>
      <x:c r="AJ648" t="n">
        <x:f>IF(ISNUMBER(AD648),1,0)</x:f>
        <x:v>0</x:v>
      </x:c>
    </x:row>
    <x:row r="649" ht="30" customHeight="1">
      <x:c r="A649" s="3" t="str">
        <x:v>B06b-CCP0-10</x:v>
      </x:c>
      <x:c r="B649" s="3" t="str">
        <x:v>1店-MUSSHOE-US</x:v>
      </x:c>
      <x:c r="C649" s="3" t="str">
        <x:v>艾年</x:v>
      </x:c>
      <x:c r="D649" s="3" t="str">
        <x:v>B06b</x:v>
      </x:c>
      <x:c r="E649" s="3" t="str">
        <x:f>IF(Z649="移出","已移出",IF(NOT(ISNUMBER(H649)),"数据待核",IF(H649=0,"断货",IF(NOT(ISNUMBER(G649)),"数据待核",IF(G649=0,"零日销待复核",IF(F649&lt;60,"补货提醒",IF(F649&lt;=90,"正常库存",IF(F649&lt;180,"促销",IF(F649&lt;=365,"红线促销","考虑清仓")))))))))</x:f>
        <x:v>断货</x:v>
      </x:c>
      <x:c r="F649" s="11" t="n">
        <x:f>IF(AND(ISNUMBER(H649),ISNUMBER(G649),G649&gt;0),H649/G649,"")</x:f>
        <x:v>0</x:v>
      </x:c>
      <x:c r="G649" s="12" t="n">
        <x:f>IF(AND(COUNT(P649:R649)=3,MIN(P649:R649)&gt;=0,P649&lt;=Q649,Q649&lt;=R649),P649/7*0.5+Q649/14*0.3+R649/30*0.2,"")</x:f>
        <x:v>0.18238095238095237</x:v>
      </x:c>
      <x:c r="H649" s="10" t="n">
        <x:f>IF(ISNUMBER(U649),U649,"")</x:f>
        <x:v>0</x:v>
      </x:c>
      <x:c r="I649" s="10" t="n">
        <x:v>0</x:v>
      </x:c>
      <x:c r="J649" s="11" t="n">
        <x:f>IF(AND(Z649="共同",ISNUMBER(F649),ISNUMBER(M649)),F649-M649,"")</x:f>
        <x:v>0</x:v>
      </x:c>
      <x:c r="K649" s="13" t="str">
        <x:f>IF(AND(ISNUMBER(J649),M649&lt;&gt;0),J649/M649,"")</x:f>
      </x:c>
      <x:c r="L649" s="10" t="str">
        <x:v>断货</x:v>
      </x:c>
      <x:c r="M649" s="11" t="n">
        <x:v>0</x:v>
      </x:c>
      <x:c r="N649" s="10" t="n">
        <x:f>IF(AND(Z649="共同",COUNT(H649:I649)=2),H649-I649,"")</x:f>
        <x:v>0</x:v>
      </x:c>
      <x:c r="O649" s="10" t="n">
        <x:v>0</x:v>
      </x:c>
      <x:c r="P649" s="10" t="n">
        <x:v>1</x:v>
      </x:c>
      <x:c r="Q649" s="10" t="n">
        <x:v>3</x:v>
      </x:c>
      <x:c r="R649" s="10" t="n">
        <x:v>7</x:v>
      </x:c>
      <x:c r="S649" s="10" t="n">
        <x:v>2</x:v>
      </x:c>
      <x:c r="T649" s="10" t="n">
        <x:v>1</x:v>
      </x:c>
      <x:c r="U649" s="10" t="n">
        <x:f>IF(AND(ISNUMBER(X649),X649&gt;=0,Y649&lt;&gt;1),X649,"")</x:f>
        <x:v>0</x:v>
      </x:c>
      <x:c r="V649" s="10" t="n">
        <x:v>0</x:v>
      </x:c>
      <x:c r="W649" s="10" t="n">
        <x:v>0</x:v>
      </x:c>
      <x:c r="X649" s="10" t="n">
        <x:v>0</x:v>
      </x:c>
      <x:c r="Y649" s="3" t="n">
        <x:v>0</x:v>
      </x:c>
      <x:c r="Z649" s="3" t="str">
        <x:v>共同</x:v>
      </x:c>
      <x:c r="AA649" s="3" t="str">
        <x:v>在售</x:v>
      </x:c>
      <x:c r="AB649" s="12" t="n">
        <x:f>IF(AND(Z649="共同",ISNUMBER(G649),ISNUMBER(AD649)),G649-AD649,"")</x:f>
        <x:v>-0.020000000000000018</x:v>
      </x:c>
      <x:c r="AC649" s="3" t="str"/>
      <x:c r="AD649" s="12" t="n">
        <x:v>0.20238095238095238</x:v>
      </x:c>
      <x:c r="AE649" s="3" t="str">
        <x:v>[13120,"B06b-CCP0-10"]</x:v>
      </x:c>
      <x:c r="AF649" t="n">
        <x:f>IF(ISNUMBER(H649),1,0)</x:f>
        <x:v>1</x:v>
      </x:c>
      <x:c r="AG649" t="n">
        <x:f>IF(ISNUMBER(I649),1,0)</x:f>
        <x:v>1</x:v>
      </x:c>
      <x:c r="AH649" t="str">
        <x:v>["B06b","B06b-CCP0","CCP0","咖色PU"]</x:v>
      </x:c>
      <x:c r="AI649" t="n">
        <x:f>IF(ISNUMBER(G649),1,0)</x:f>
        <x:v>1</x:v>
      </x:c>
      <x:c r="AJ649" t="n">
        <x:f>IF(ISNUMBER(AD649),1,0)</x:f>
        <x:v>1</x:v>
      </x:c>
    </x:row>
    <x:row r="650" ht="30" customHeight="1">
      <x:c r="A650" s="3" t="str">
        <x:v>B06b-CCP0-10.5</x:v>
      </x:c>
      <x:c r="B650" s="3" t="str">
        <x:v>1店-MUSSHOE-US</x:v>
      </x:c>
      <x:c r="C650" s="3" t="str">
        <x:v>艾年</x:v>
      </x:c>
      <x:c r="D650" s="3" t="str">
        <x:v>B06b</x:v>
      </x:c>
      <x:c r="E650" s="3" t="str">
        <x:f>IF(Z650="移出","已移出",IF(NOT(ISNUMBER(H650)),"数据待核",IF(H650=0,"断货",IF(NOT(ISNUMBER(G650)),"数据待核",IF(G650=0,"零日销待复核",IF(F650&lt;60,"补货提醒",IF(F650&lt;=90,"正常库存",IF(F650&lt;180,"促销",IF(F650&lt;=365,"红线促销","考虑清仓")))))))))</x:f>
        <x:v>断货</x:v>
      </x:c>
      <x:c r="F650" s="11" t="str">
        <x:f>IF(AND(ISNUMBER(H650),ISNUMBER(G650),G650&gt;0),H650/G650,"")</x:f>
      </x:c>
      <x:c r="G650" s="12" t="n">
        <x:f>IF(AND(COUNT(P650:R650)=3,MIN(P650:R650)&gt;=0,P650&lt;=Q650,Q650&lt;=R650),P650/7*0.5+Q650/14*0.3+R650/30*0.2,"")</x:f>
        <x:v>0</x:v>
      </x:c>
      <x:c r="H650" s="10" t="n">
        <x:f>IF(ISNUMBER(U650),U650,"")</x:f>
        <x:v>0</x:v>
      </x:c>
      <x:c r="I650" s="10" t="n">
        <x:v>0</x:v>
      </x:c>
      <x:c r="J650" s="11" t="str">
        <x:f>IF(AND(Z650="共同",ISNUMBER(F650),ISNUMBER(M650)),F650-M650,"")</x:f>
      </x:c>
      <x:c r="K650" s="13" t="str">
        <x:f>IF(AND(ISNUMBER(J650),M650&lt;&gt;0),J650/M650,"")</x:f>
      </x:c>
      <x:c r="L650" s="10" t="str">
        <x:v>断货</x:v>
      </x:c>
      <x:c r="M650" s="11"/>
      <x:c r="N650" s="10" t="n">
        <x:f>IF(AND(Z650="共同",COUNT(H650:I650)=2),H650-I650,"")</x:f>
        <x:v>0</x:v>
      </x:c>
      <x:c r="O650" s="10"/>
      <x:c r="P650" s="10" t="n">
        <x:v>0</x:v>
      </x:c>
      <x:c r="Q650" s="10" t="n">
        <x:v>0</x:v>
      </x:c>
      <x:c r="R650" s="10" t="n">
        <x:v>0</x:v>
      </x:c>
      <x:c r="S650" s="10" t="n">
        <x:v>0</x:v>
      </x:c>
      <x:c r="T650" s="10" t="n">
        <x:v>0</x:v>
      </x:c>
      <x:c r="U650" s="10" t="n">
        <x:f>IF(AND(ISNUMBER(X650),X650&gt;=0,Y650&lt;&gt;1),X650,"")</x:f>
        <x:v>0</x:v>
      </x:c>
      <x:c r="V650" s="10" t="n">
        <x:v>0</x:v>
      </x:c>
      <x:c r="W650" s="10" t="n">
        <x:v>0</x:v>
      </x:c>
      <x:c r="X650" s="10" t="n">
        <x:v>0</x:v>
      </x:c>
      <x:c r="Y650" s="3" t="n">
        <x:v>0</x:v>
      </x:c>
      <x:c r="Z650" s="3" t="str">
        <x:v>共同</x:v>
      </x:c>
      <x:c r="AA650" s="3" t="str">
        <x:v>停售</x:v>
      </x:c>
      <x:c r="AB650" s="12" t="str">
        <x:f>IF(AND(Z650="共同",ISNUMBER(G650),ISNUMBER(AD650)),G650-AD650,"")</x:f>
      </x:c>
      <x:c r="AC650" s="3" t="str">
        <x:v>近90天SKU销量未匹配，未按0处理</x:v>
      </x:c>
      <x:c r="AD650" s="12"/>
      <x:c r="AE650" s="3" t="str">
        <x:v>[13120,"B06b-CCP0-10.5"]</x:v>
      </x:c>
      <x:c r="AF650" t="n">
        <x:f>IF(ISNUMBER(H650),1,0)</x:f>
        <x:v>1</x:v>
      </x:c>
      <x:c r="AG650" t="n">
        <x:f>IF(ISNUMBER(I650),1,0)</x:f>
        <x:v>1</x:v>
      </x:c>
      <x:c r="AH650" t="str">
        <x:v>["B06b","B06b-CCP0","CCP0","咖色PU"]</x:v>
      </x:c>
      <x:c r="AI650" t="n">
        <x:f>IF(ISNUMBER(G650),1,0)</x:f>
        <x:v>1</x:v>
      </x:c>
      <x:c r="AJ650" t="n">
        <x:f>IF(ISNUMBER(AD650),1,0)</x:f>
        <x:v>0</x:v>
      </x:c>
    </x:row>
    <x:row r="651" ht="30" customHeight="1">
      <x:c r="A651" s="3" t="str">
        <x:v>B06b-CCP0-11</x:v>
      </x:c>
      <x:c r="B651" s="3" t="str">
        <x:v>1店-MUSSHOE-US</x:v>
      </x:c>
      <x:c r="C651" s="3" t="str">
        <x:v>艾年</x:v>
      </x:c>
      <x:c r="D651" s="3" t="str">
        <x:v>B06b</x:v>
      </x:c>
      <x:c r="E651" s="3" t="str">
        <x:f>IF(Z651="移出","已移出",IF(NOT(ISNUMBER(H651)),"数据待核",IF(H651=0,"断货",IF(NOT(ISNUMBER(G651)),"数据待核",IF(G651=0,"零日销待复核",IF(F651&lt;60,"补货提醒",IF(F651&lt;=90,"正常库存",IF(F651&lt;180,"促销",IF(F651&lt;=365,"红线促销","考虑清仓")))))))))</x:f>
        <x:v>断货</x:v>
      </x:c>
      <x:c r="F651" s="11" t="n">
        <x:f>IF(AND(ISNUMBER(H651),ISNUMBER(G651),G651&gt;0),H651/G651,"")</x:f>
        <x:v>0</x:v>
      </x:c>
      <x:c r="G651" s="12" t="n">
        <x:f>IF(AND(COUNT(P651:R651)=3,MIN(P651:R651)&gt;=0,P651&lt;=Q651,Q651&lt;=R651),P651/7*0.5+Q651/14*0.3+R651/30*0.2,"")</x:f>
        <x:v>0.11952380952380952</x:v>
      </x:c>
      <x:c r="H651" s="10" t="n">
        <x:f>IF(ISNUMBER(U651),U651,"")</x:f>
        <x:v>0</x:v>
      </x:c>
      <x:c r="I651" s="10" t="n">
        <x:v>0</x:v>
      </x:c>
      <x:c r="J651" s="11" t="n">
        <x:f>IF(AND(Z651="共同",ISNUMBER(F651),ISNUMBER(M651)),F651-M651,"")</x:f>
        <x:v>0</x:v>
      </x:c>
      <x:c r="K651" s="13" t="str">
        <x:f>IF(AND(ISNUMBER(J651),M651&lt;&gt;0),J651/M651,"")</x:f>
      </x:c>
      <x:c r="L651" s="10" t="str">
        <x:v>断货</x:v>
      </x:c>
      <x:c r="M651" s="11" t="n">
        <x:v>0</x:v>
      </x:c>
      <x:c r="N651" s="10" t="n">
        <x:f>IF(AND(Z651="共同",COUNT(H651:I651)=2),H651-I651,"")</x:f>
        <x:v>0</x:v>
      </x:c>
      <x:c r="O651" s="10" t="n">
        <x:v>0</x:v>
      </x:c>
      <x:c r="P651" s="10" t="n">
        <x:v>1</x:v>
      </x:c>
      <x:c r="Q651" s="10" t="n">
        <x:v>1</x:v>
      </x:c>
      <x:c r="R651" s="10" t="n">
        <x:v>4</x:v>
      </x:c>
      <x:c r="S651" s="10" t="n">
        <x:v>0</x:v>
      </x:c>
      <x:c r="T651" s="10" t="n">
        <x:v>0</x:v>
      </x:c>
      <x:c r="U651" s="10" t="n">
        <x:f>IF(AND(ISNUMBER(X651),X651&gt;=0,Y651&lt;&gt;1),X651,"")</x:f>
        <x:v>0</x:v>
      </x:c>
      <x:c r="V651" s="10" t="n">
        <x:v>0</x:v>
      </x:c>
      <x:c r="W651" s="10" t="n">
        <x:v>0</x:v>
      </x:c>
      <x:c r="X651" s="10" t="n">
        <x:v>0</x:v>
      </x:c>
      <x:c r="Y651" s="3" t="n">
        <x:v>0</x:v>
      </x:c>
      <x:c r="Z651" s="3" t="str">
        <x:v>共同</x:v>
      </x:c>
      <x:c r="AA651" s="3" t="str">
        <x:v>在售</x:v>
      </x:c>
      <x:c r="AB651" s="12" t="n">
        <x:f>IF(AND(Z651="共同",ISNUMBER(G651),ISNUMBER(AD651)),G651-AD651,"")</x:f>
        <x:v>-0.028095238095238076</x:v>
      </x:c>
      <x:c r="AC651" s="3" t="str"/>
      <x:c r="AD651" s="12" t="n">
        <x:v>0.1476190476190476</x:v>
      </x:c>
      <x:c r="AE651" s="3" t="str">
        <x:v>[13120,"B06b-CCP0-11"]</x:v>
      </x:c>
      <x:c r="AF651" t="n">
        <x:f>IF(ISNUMBER(H651),1,0)</x:f>
        <x:v>1</x:v>
      </x:c>
      <x:c r="AG651" t="n">
        <x:f>IF(ISNUMBER(I651),1,0)</x:f>
        <x:v>1</x:v>
      </x:c>
      <x:c r="AH651" t="str">
        <x:v>["B06b","B06b-CCP0","CCP0","咖色PU"]</x:v>
      </x:c>
      <x:c r="AI651" t="n">
        <x:f>IF(ISNUMBER(G651),1,0)</x:f>
        <x:v>1</x:v>
      </x:c>
      <x:c r="AJ651" t="n">
        <x:f>IF(ISNUMBER(AD651),1,0)</x:f>
        <x:v>1</x:v>
      </x:c>
    </x:row>
    <x:row r="652" ht="30" customHeight="1">
      <x:c r="A652" s="3" t="str">
        <x:v>B06b-CCP0-7</x:v>
      </x:c>
      <x:c r="B652" s="3" t="str">
        <x:v>1店-MUSSHOE-US</x:v>
      </x:c>
      <x:c r="C652" s="3" t="str">
        <x:v>艾年</x:v>
      </x:c>
      <x:c r="D652" s="3" t="str">
        <x:v>B06b</x:v>
      </x:c>
      <x:c r="E652" s="3" t="str">
        <x:f>IF(Z652="移出","已移出",IF(NOT(ISNUMBER(H652)),"数据待核",IF(H652=0,"断货",IF(NOT(ISNUMBER(G652)),"数据待核",IF(G652=0,"零日销待复核",IF(F652&lt;60,"补货提醒",IF(F652&lt;=90,"正常库存",IF(F652&lt;180,"促销",IF(F652&lt;=365,"红线促销","考虑清仓")))))))))</x:f>
        <x:v>断货</x:v>
      </x:c>
      <x:c r="F652" s="11" t="n">
        <x:f>IF(AND(ISNUMBER(H652),ISNUMBER(G652),G652&gt;0),H652/G652,"")</x:f>
        <x:v>0</x:v>
      </x:c>
      <x:c r="G652" s="12" t="n">
        <x:f>IF(AND(COUNT(P652:R652)=3,MIN(P652:R652)&gt;=0,P652&lt;=Q652,Q652&lt;=R652),P652/7*0.5+Q652/14*0.3+R652/30*0.2,"")</x:f>
        <x:v>0.08952380952380952</x:v>
      </x:c>
      <x:c r="H652" s="10" t="n">
        <x:f>IF(ISNUMBER(U652),U652,"")</x:f>
        <x:v>0</x:v>
      </x:c>
      <x:c r="I652" s="10" t="n">
        <x:v>2</x:v>
      </x:c>
      <x:c r="J652" s="11" t="n">
        <x:f>IF(AND(Z652="共同",ISNUMBER(F652),ISNUMBER(M652)),F652-M652,"")</x:f>
        <x:v>-8.203125000000002</x:v>
      </x:c>
      <x:c r="K652" s="13" t="n">
        <x:f>IF(AND(ISNUMBER(J652),M652&lt;&gt;0),J652/M652,"")</x:f>
        <x:v>-1</x:v>
      </x:c>
      <x:c r="L652" s="10" t="str">
        <x:v>补货提醒</x:v>
      </x:c>
      <x:c r="M652" s="11" t="n">
        <x:v>8.203125000000002</x:v>
      </x:c>
      <x:c r="N652" s="10" t="n">
        <x:f>IF(AND(Z652="共同",COUNT(H652:I652)=2),H652-I652,"")</x:f>
        <x:v>-2</x:v>
      </x:c>
      <x:c r="O652" s="10" t="n">
        <x:v>0</x:v>
      </x:c>
      <x:c r="P652" s="10" t="n">
        <x:v>0</x:v>
      </x:c>
      <x:c r="Q652" s="10" t="n">
        <x:v>2</x:v>
      </x:c>
      <x:c r="R652" s="10" t="n">
        <x:v>7</x:v>
      </x:c>
      <x:c r="S652" s="10" t="n">
        <x:v>1</x:v>
      </x:c>
      <x:c r="T652" s="10" t="n">
        <x:v>0</x:v>
      </x:c>
      <x:c r="U652" s="10" t="n">
        <x:f>IF(AND(ISNUMBER(X652),X652&gt;=0,Y652&lt;&gt;1),X652,"")</x:f>
        <x:v>0</x:v>
      </x:c>
      <x:c r="V652" s="10" t="n">
        <x:v>0</x:v>
      </x:c>
      <x:c r="W652" s="10" t="n">
        <x:v>0</x:v>
      </x:c>
      <x:c r="X652" s="10" t="n">
        <x:v>0</x:v>
      </x:c>
      <x:c r="Y652" s="3" t="n">
        <x:v>0</x:v>
      </x:c>
      <x:c r="Z652" s="3" t="str">
        <x:v>共同</x:v>
      </x:c>
      <x:c r="AA652" s="3" t="str">
        <x:v>在售</x:v>
      </x:c>
      <x:c r="AB652" s="12" t="n">
        <x:f>IF(AND(Z652="共同",ISNUMBER(G652),ISNUMBER(AD652)),G652-AD652,"")</x:f>
        <x:v>-0.15428571428571425</x:v>
      </x:c>
      <x:c r="AC652" s="3" t="str"/>
      <x:c r="AD652" s="12" t="n">
        <x:v>0.24380952380952378</x:v>
      </x:c>
      <x:c r="AE652" s="3" t="str">
        <x:v>[13120,"B06b-CCP0-7"]</x:v>
      </x:c>
      <x:c r="AF652" t="n">
        <x:f>IF(ISNUMBER(H652),1,0)</x:f>
        <x:v>1</x:v>
      </x:c>
      <x:c r="AG652" t="n">
        <x:f>IF(ISNUMBER(I652),1,0)</x:f>
        <x:v>1</x:v>
      </x:c>
      <x:c r="AH652" t="str">
        <x:v>["B06b","B06b-CCP0","CCP0","咖色PU"]</x:v>
      </x:c>
      <x:c r="AI652" t="n">
        <x:f>IF(ISNUMBER(G652),1,0)</x:f>
        <x:v>1</x:v>
      </x:c>
      <x:c r="AJ652" t="n">
        <x:f>IF(ISNUMBER(AD652),1,0)</x:f>
        <x:v>1</x:v>
      </x:c>
    </x:row>
    <x:row r="653" ht="30" customHeight="1">
      <x:c r="A653" s="3" t="str">
        <x:v>B06b-GY-37</x:v>
      </x:c>
      <x:c r="B653" s="3" t="str">
        <x:v>1店-MUSSHOE-US</x:v>
      </x:c>
      <x:c r="C653" s="3" t="str">
        <x:v>艾年</x:v>
      </x:c>
      <x:c r="D653" s="3" t="str">
        <x:v>B06b</x:v>
      </x:c>
      <x:c r="E653" s="3" t="str">
        <x:f>IF(Z653="移出","已移出",IF(NOT(ISNUMBER(H653)),"数据待核",IF(H653=0,"断货",IF(NOT(ISNUMBER(G653)),"数据待核",IF(G653=0,"零日销待复核",IF(F653&lt;60,"补货提醒",IF(F653&lt;=90,"正常库存",IF(F653&lt;180,"促销",IF(F653&lt;=365,"红线促销","考虑清仓")))))))))</x:f>
        <x:v>断货</x:v>
      </x:c>
      <x:c r="F653" s="11" t="str">
        <x:f>IF(AND(ISNUMBER(H653),ISNUMBER(G653),G653&gt;0),H653/G653,"")</x:f>
      </x:c>
      <x:c r="G653" s="12" t="n">
        <x:f>IF(AND(COUNT(P653:R653)=3,MIN(P653:R653)&gt;=0,P653&lt;=Q653,Q653&lt;=R653),P653/7*0.5+Q653/14*0.3+R653/30*0.2,"")</x:f>
        <x:v>0</x:v>
      </x:c>
      <x:c r="H653" s="10" t="n">
        <x:f>IF(ISNUMBER(U653),U653,"")</x:f>
        <x:v>0</x:v>
      </x:c>
      <x:c r="I653" s="10"/>
      <x:c r="J653" s="11" t="str">
        <x:f>IF(AND(Z653="共同",ISNUMBER(F653),ISNUMBER(M653)),F653-M653,"")</x:f>
      </x:c>
      <x:c r="K653" s="13" t="str">
        <x:f>IF(AND(ISNUMBER(J653),M653&lt;&gt;0),J653/M653,"")</x:f>
      </x:c>
      <x:c r="L653" s="10"/>
      <x:c r="M653" s="11"/>
      <x:c r="N653" s="10" t="str">
        <x:f>IF(AND(Z653="共同",COUNT(H653:I653)=2),H653-I653,"")</x:f>
      </x:c>
      <x:c r="O653" s="10"/>
      <x:c r="P653" s="10" t="n">
        <x:v>0</x:v>
      </x:c>
      <x:c r="Q653" s="10" t="n">
        <x:v>0</x:v>
      </x:c>
      <x:c r="R653" s="10" t="n">
        <x:v>0</x:v>
      </x:c>
      <x:c r="S653" s="10" t="n">
        <x:v>0</x:v>
      </x:c>
      <x:c r="T653" s="10" t="n">
        <x:v>0</x:v>
      </x:c>
      <x:c r="U653" s="10" t="n">
        <x:f>IF(AND(ISNUMBER(X653),X653&gt;=0,Y653&lt;&gt;1),X653,"")</x:f>
        <x:v>0</x:v>
      </x:c>
      <x:c r="V653" s="10" t="n">
        <x:v>0</x:v>
      </x:c>
      <x:c r="W653" s="10" t="n">
        <x:v>0</x:v>
      </x:c>
      <x:c r="X653" s="10" t="n">
        <x:v>0</x:v>
      </x:c>
      <x:c r="Y653" s="3" t="n">
        <x:v>0</x:v>
      </x:c>
      <x:c r="Z653" s="3" t="str">
        <x:v>新增</x:v>
      </x:c>
      <x:c r="AA653" s="3" t="str">
        <x:v>停售</x:v>
      </x:c>
      <x:c r="AB653" s="12" t="str">
        <x:f>IF(AND(Z653="共同",ISNUMBER(G653),ISNUMBER(AD653)),G653-AD653,"")</x:f>
      </x:c>
      <x:c r="AC653" s="3" t="str">
        <x:v>近90天SKU销量未匹配，未按0处理</x:v>
      </x:c>
      <x:c r="AD653" s="12"/>
      <x:c r="AE653" s="3" t="str">
        <x:v>[13120,"B06b-GY-37"]</x:v>
      </x:c>
      <x:c r="AF653" t="n">
        <x:f>IF(ISNUMBER(H653),1,0)</x:f>
        <x:v>1</x:v>
      </x:c>
      <x:c r="AG653" t="n">
        <x:f>IF(ISNUMBER(I653),1,0)</x:f>
        <x:v>0</x:v>
      </x:c>
      <x:c r="AH653" t="str">
        <x:v>["B06b","B06b-GY","GY","灰色羊京绒"]</x:v>
      </x:c>
      <x:c r="AI653" t="n">
        <x:f>IF(ISNUMBER(G653),1,0)</x:f>
        <x:v>1</x:v>
      </x:c>
      <x:c r="AJ653" t="n">
        <x:f>IF(ISNUMBER(AD653),1,0)</x:f>
        <x:v>0</x:v>
      </x:c>
    </x:row>
    <x:row r="654" ht="30" customHeight="1">
      <x:c r="A654" s="3" t="str">
        <x:v>B06b-GY-37.5</x:v>
      </x:c>
      <x:c r="B654" s="3" t="str">
        <x:v>1店-MUSSHOE-US</x:v>
      </x:c>
      <x:c r="C654" s="3" t="str">
        <x:v>艾年</x:v>
      </x:c>
      <x:c r="D654" s="3" t="str">
        <x:v>B06b</x:v>
      </x:c>
      <x:c r="E654" s="3" t="str">
        <x:f>IF(Z654="移出","已移出",IF(NOT(ISNUMBER(H654)),"数据待核",IF(H654=0,"断货",IF(NOT(ISNUMBER(G654)),"数据待核",IF(G654=0,"零日销待复核",IF(F654&lt;60,"补货提醒",IF(F654&lt;=90,"正常库存",IF(F654&lt;180,"促销",IF(F654&lt;=365,"红线促销","考虑清仓")))))))))</x:f>
        <x:v>断货</x:v>
      </x:c>
      <x:c r="F654" s="11" t="str">
        <x:f>IF(AND(ISNUMBER(H654),ISNUMBER(G654),G654&gt;0),H654/G654,"")</x:f>
      </x:c>
      <x:c r="G654" s="12" t="n">
        <x:f>IF(AND(COUNT(P654:R654)=3,MIN(P654:R654)&gt;=0,P654&lt;=Q654,Q654&lt;=R654),P654/7*0.5+Q654/14*0.3+R654/30*0.2,"")</x:f>
        <x:v>0</x:v>
      </x:c>
      <x:c r="H654" s="10" t="n">
        <x:f>IF(ISNUMBER(U654),U654,"")</x:f>
        <x:v>0</x:v>
      </x:c>
      <x:c r="I654" s="10"/>
      <x:c r="J654" s="11" t="str">
        <x:f>IF(AND(Z654="共同",ISNUMBER(F654),ISNUMBER(M654)),F654-M654,"")</x:f>
      </x:c>
      <x:c r="K654" s="13" t="str">
        <x:f>IF(AND(ISNUMBER(J654),M654&lt;&gt;0),J654/M654,"")</x:f>
      </x:c>
      <x:c r="L654" s="10"/>
      <x:c r="M654" s="11"/>
      <x:c r="N654" s="10" t="str">
        <x:f>IF(AND(Z654="共同",COUNT(H654:I654)=2),H654-I654,"")</x:f>
      </x:c>
      <x:c r="O654" s="10"/>
      <x:c r="P654" s="10" t="n">
        <x:v>0</x:v>
      </x:c>
      <x:c r="Q654" s="10" t="n">
        <x:v>0</x:v>
      </x:c>
      <x:c r="R654" s="10" t="n">
        <x:v>0</x:v>
      </x:c>
      <x:c r="S654" s="10" t="n">
        <x:v>0</x:v>
      </x:c>
      <x:c r="T654" s="10" t="n">
        <x:v>0</x:v>
      </x:c>
      <x:c r="U654" s="10" t="n">
        <x:f>IF(AND(ISNUMBER(X654),X654&gt;=0,Y654&lt;&gt;1),X654,"")</x:f>
        <x:v>0</x:v>
      </x:c>
      <x:c r="V654" s="10" t="n">
        <x:v>0</x:v>
      </x:c>
      <x:c r="W654" s="10" t="n">
        <x:v>0</x:v>
      </x:c>
      <x:c r="X654" s="10" t="n">
        <x:v>0</x:v>
      </x:c>
      <x:c r="Y654" s="3" t="n">
        <x:v>0</x:v>
      </x:c>
      <x:c r="Z654" s="3" t="str">
        <x:v>新增</x:v>
      </x:c>
      <x:c r="AA654" s="3" t="str">
        <x:v>停售</x:v>
      </x:c>
      <x:c r="AB654" s="12" t="str">
        <x:f>IF(AND(Z654="共同",ISNUMBER(G654),ISNUMBER(AD654)),G654-AD654,"")</x:f>
      </x:c>
      <x:c r="AC654" s="3" t="str">
        <x:v>近90天SKU销量未匹配，未按0处理</x:v>
      </x:c>
      <x:c r="AD654" s="12"/>
      <x:c r="AE654" s="3" t="str">
        <x:v>[13120,"B06b-GY-37.5"]</x:v>
      </x:c>
      <x:c r="AF654" t="n">
        <x:f>IF(ISNUMBER(H654),1,0)</x:f>
        <x:v>1</x:v>
      </x:c>
      <x:c r="AG654" t="n">
        <x:f>IF(ISNUMBER(I654),1,0)</x:f>
        <x:v>0</x:v>
      </x:c>
      <x:c r="AH654" t="str">
        <x:v>["B06b","B06b-GY","GY","灰色羊京绒"]</x:v>
      </x:c>
      <x:c r="AI654" t="n">
        <x:f>IF(ISNUMBER(G654),1,0)</x:f>
        <x:v>1</x:v>
      </x:c>
      <x:c r="AJ654" t="n">
        <x:f>IF(ISNUMBER(AD654),1,0)</x:f>
        <x:v>0</x:v>
      </x:c>
    </x:row>
    <x:row r="655" ht="30" customHeight="1">
      <x:c r="A655" s="3" t="str">
        <x:v>B06b-GY-38</x:v>
      </x:c>
      <x:c r="B655" s="3" t="str">
        <x:v>1店-MUSSHOE-US</x:v>
      </x:c>
      <x:c r="C655" s="3" t="str">
        <x:v>艾年</x:v>
      </x:c>
      <x:c r="D655" s="3" t="str">
        <x:v>B06b</x:v>
      </x:c>
      <x:c r="E655" s="3" t="str">
        <x:f>IF(Z655="移出","已移出",IF(NOT(ISNUMBER(H655)),"数据待核",IF(H655=0,"断货",IF(NOT(ISNUMBER(G655)),"数据待核",IF(G655=0,"零日销待复核",IF(F655&lt;60,"补货提醒",IF(F655&lt;=90,"正常库存",IF(F655&lt;180,"促销",IF(F655&lt;=365,"红线促销","考虑清仓")))))))))</x:f>
        <x:v>断货</x:v>
      </x:c>
      <x:c r="F655" s="11" t="str">
        <x:f>IF(AND(ISNUMBER(H655),ISNUMBER(G655),G655&gt;0),H655/G655,"")</x:f>
      </x:c>
      <x:c r="G655" s="12" t="n">
        <x:f>IF(AND(COUNT(P655:R655)=3,MIN(P655:R655)&gt;=0,P655&lt;=Q655,Q655&lt;=R655),P655/7*0.5+Q655/14*0.3+R655/30*0.2,"")</x:f>
        <x:v>0</x:v>
      </x:c>
      <x:c r="H655" s="10" t="n">
        <x:f>IF(ISNUMBER(U655),U655,"")</x:f>
        <x:v>0</x:v>
      </x:c>
      <x:c r="I655" s="10"/>
      <x:c r="J655" s="11" t="str">
        <x:f>IF(AND(Z655="共同",ISNUMBER(F655),ISNUMBER(M655)),F655-M655,"")</x:f>
      </x:c>
      <x:c r="K655" s="13" t="str">
        <x:f>IF(AND(ISNUMBER(J655),M655&lt;&gt;0),J655/M655,"")</x:f>
      </x:c>
      <x:c r="L655" s="10"/>
      <x:c r="M655" s="11"/>
      <x:c r="N655" s="10" t="str">
        <x:f>IF(AND(Z655="共同",COUNT(H655:I655)=2),H655-I655,"")</x:f>
      </x:c>
      <x:c r="O655" s="10"/>
      <x:c r="P655" s="10" t="n">
        <x:v>0</x:v>
      </x:c>
      <x:c r="Q655" s="10" t="n">
        <x:v>0</x:v>
      </x:c>
      <x:c r="R655" s="10" t="n">
        <x:v>0</x:v>
      </x:c>
      <x:c r="S655" s="10" t="n">
        <x:v>0</x:v>
      </x:c>
      <x:c r="T655" s="10" t="n">
        <x:v>0</x:v>
      </x:c>
      <x:c r="U655" s="10" t="n">
        <x:f>IF(AND(ISNUMBER(X655),X655&gt;=0,Y655&lt;&gt;1),X655,"")</x:f>
        <x:v>0</x:v>
      </x:c>
      <x:c r="V655" s="10" t="n">
        <x:v>0</x:v>
      </x:c>
      <x:c r="W655" s="10" t="n">
        <x:v>0</x:v>
      </x:c>
      <x:c r="X655" s="10" t="n">
        <x:v>0</x:v>
      </x:c>
      <x:c r="Y655" s="3" t="n">
        <x:v>0</x:v>
      </x:c>
      <x:c r="Z655" s="3" t="str">
        <x:v>新增</x:v>
      </x:c>
      <x:c r="AA655" s="3" t="str">
        <x:v>停售</x:v>
      </x:c>
      <x:c r="AB655" s="12" t="str">
        <x:f>IF(AND(Z655="共同",ISNUMBER(G655),ISNUMBER(AD655)),G655-AD655,"")</x:f>
      </x:c>
      <x:c r="AC655" s="3" t="str">
        <x:v>近90天SKU销量未匹配，未按0处理</x:v>
      </x:c>
      <x:c r="AD655" s="12"/>
      <x:c r="AE655" s="3" t="str">
        <x:v>[13120,"B06b-GY-38"]</x:v>
      </x:c>
      <x:c r="AF655" t="n">
        <x:f>IF(ISNUMBER(H655),1,0)</x:f>
        <x:v>1</x:v>
      </x:c>
      <x:c r="AG655" t="n">
        <x:f>IF(ISNUMBER(I655),1,0)</x:f>
        <x:v>0</x:v>
      </x:c>
      <x:c r="AH655" t="str">
        <x:v>["B06b","B06b-GY","GY","灰色羊京绒"]</x:v>
      </x:c>
      <x:c r="AI655" t="n">
        <x:f>IF(ISNUMBER(G655),1,0)</x:f>
        <x:v>1</x:v>
      </x:c>
      <x:c r="AJ655" t="n">
        <x:f>IF(ISNUMBER(AD655),1,0)</x:f>
        <x:v>0</x:v>
      </x:c>
    </x:row>
    <x:row r="656" ht="30" customHeight="1">
      <x:c r="A656" s="3" t="str">
        <x:v>B06b-GY-39</x:v>
      </x:c>
      <x:c r="B656" s="3" t="str">
        <x:v>1店-MUSSHOE-US</x:v>
      </x:c>
      <x:c r="C656" s="3" t="str">
        <x:v>艾年</x:v>
      </x:c>
      <x:c r="D656" s="3" t="str">
        <x:v>B06b</x:v>
      </x:c>
      <x:c r="E656" s="3" t="str">
        <x:f>IF(Z656="移出","已移出",IF(NOT(ISNUMBER(H656)),"数据待核",IF(H656=0,"断货",IF(NOT(ISNUMBER(G656)),"数据待核",IF(G656=0,"零日销待复核",IF(F656&lt;60,"补货提醒",IF(F656&lt;=90,"正常库存",IF(F656&lt;180,"促销",IF(F656&lt;=365,"红线促销","考虑清仓")))))))))</x:f>
        <x:v>断货</x:v>
      </x:c>
      <x:c r="F656" s="11" t="str">
        <x:f>IF(AND(ISNUMBER(H656),ISNUMBER(G656),G656&gt;0),H656/G656,"")</x:f>
      </x:c>
      <x:c r="G656" s="12" t="n">
        <x:f>IF(AND(COUNT(P656:R656)=3,MIN(P656:R656)&gt;=0,P656&lt;=Q656,Q656&lt;=R656),P656/7*0.5+Q656/14*0.3+R656/30*0.2,"")</x:f>
        <x:v>0</x:v>
      </x:c>
      <x:c r="H656" s="10" t="n">
        <x:f>IF(ISNUMBER(U656),U656,"")</x:f>
        <x:v>0</x:v>
      </x:c>
      <x:c r="I656" s="10"/>
      <x:c r="J656" s="11" t="str">
        <x:f>IF(AND(Z656="共同",ISNUMBER(F656),ISNUMBER(M656)),F656-M656,"")</x:f>
      </x:c>
      <x:c r="K656" s="13" t="str">
        <x:f>IF(AND(ISNUMBER(J656),M656&lt;&gt;0),J656/M656,"")</x:f>
      </x:c>
      <x:c r="L656" s="10"/>
      <x:c r="M656" s="11"/>
      <x:c r="N656" s="10" t="str">
        <x:f>IF(AND(Z656="共同",COUNT(H656:I656)=2),H656-I656,"")</x:f>
      </x:c>
      <x:c r="O656" s="10"/>
      <x:c r="P656" s="10" t="n">
        <x:v>0</x:v>
      </x:c>
      <x:c r="Q656" s="10" t="n">
        <x:v>0</x:v>
      </x:c>
      <x:c r="R656" s="10" t="n">
        <x:v>0</x:v>
      </x:c>
      <x:c r="S656" s="10" t="n">
        <x:v>0</x:v>
      </x:c>
      <x:c r="T656" s="10" t="n">
        <x:v>0</x:v>
      </x:c>
      <x:c r="U656" s="10" t="n">
        <x:f>IF(AND(ISNUMBER(X656),X656&gt;=0,Y656&lt;&gt;1),X656,"")</x:f>
        <x:v>0</x:v>
      </x:c>
      <x:c r="V656" s="10" t="n">
        <x:v>0</x:v>
      </x:c>
      <x:c r="W656" s="10" t="n">
        <x:v>0</x:v>
      </x:c>
      <x:c r="X656" s="10" t="n">
        <x:v>0</x:v>
      </x:c>
      <x:c r="Y656" s="3" t="n">
        <x:v>0</x:v>
      </x:c>
      <x:c r="Z656" s="3" t="str">
        <x:v>新增</x:v>
      </x:c>
      <x:c r="AA656" s="3" t="str">
        <x:v>停售</x:v>
      </x:c>
      <x:c r="AB656" s="12" t="str">
        <x:f>IF(AND(Z656="共同",ISNUMBER(G656),ISNUMBER(AD656)),G656-AD656,"")</x:f>
      </x:c>
      <x:c r="AC656" s="3" t="str">
        <x:v>近90天SKU销量未匹配，未按0处理</x:v>
      </x:c>
      <x:c r="AD656" s="12"/>
      <x:c r="AE656" s="3" t="str">
        <x:v>[13120,"B06b-GY-39"]</x:v>
      </x:c>
      <x:c r="AF656" t="n">
        <x:f>IF(ISNUMBER(H656),1,0)</x:f>
        <x:v>1</x:v>
      </x:c>
      <x:c r="AG656" t="n">
        <x:f>IF(ISNUMBER(I656),1,0)</x:f>
        <x:v>0</x:v>
      </x:c>
      <x:c r="AH656" t="str">
        <x:v>["B06b","B06b-GY","GY","灰色羊京绒"]</x:v>
      </x:c>
      <x:c r="AI656" t="n">
        <x:f>IF(ISNUMBER(G656),1,0)</x:f>
        <x:v>1</x:v>
      </x:c>
      <x:c r="AJ656" t="n">
        <x:f>IF(ISNUMBER(AD656),1,0)</x:f>
        <x:v>0</x:v>
      </x:c>
    </x:row>
    <x:row r="657" ht="30" customHeight="1">
      <x:c r="A657" s="3" t="str">
        <x:v>B06b-GY-40</x:v>
      </x:c>
      <x:c r="B657" s="3" t="str">
        <x:v>1店-MUSSHOE-US</x:v>
      </x:c>
      <x:c r="C657" s="3" t="str">
        <x:v>艾年</x:v>
      </x:c>
      <x:c r="D657" s="3" t="str">
        <x:v>B06b</x:v>
      </x:c>
      <x:c r="E657" s="3" t="str">
        <x:f>IF(Z657="移出","已移出",IF(NOT(ISNUMBER(H657)),"数据待核",IF(H657=0,"断货",IF(NOT(ISNUMBER(G657)),"数据待核",IF(G657=0,"零日销待复核",IF(F657&lt;60,"补货提醒",IF(F657&lt;=90,"正常库存",IF(F657&lt;180,"促销",IF(F657&lt;=365,"红线促销","考虑清仓")))))))))</x:f>
        <x:v>断货</x:v>
      </x:c>
      <x:c r="F657" s="11" t="str">
        <x:f>IF(AND(ISNUMBER(H657),ISNUMBER(G657),G657&gt;0),H657/G657,"")</x:f>
      </x:c>
      <x:c r="G657" s="12" t="n">
        <x:f>IF(AND(COUNT(P657:R657)=3,MIN(P657:R657)&gt;=0,P657&lt;=Q657,Q657&lt;=R657),P657/7*0.5+Q657/14*0.3+R657/30*0.2,"")</x:f>
        <x:v>0</x:v>
      </x:c>
      <x:c r="H657" s="10" t="n">
        <x:f>IF(ISNUMBER(U657),U657,"")</x:f>
        <x:v>0</x:v>
      </x:c>
      <x:c r="I657" s="10"/>
      <x:c r="J657" s="11" t="str">
        <x:f>IF(AND(Z657="共同",ISNUMBER(F657),ISNUMBER(M657)),F657-M657,"")</x:f>
      </x:c>
      <x:c r="K657" s="13" t="str">
        <x:f>IF(AND(ISNUMBER(J657),M657&lt;&gt;0),J657/M657,"")</x:f>
      </x:c>
      <x:c r="L657" s="10"/>
      <x:c r="M657" s="11"/>
      <x:c r="N657" s="10" t="str">
        <x:f>IF(AND(Z657="共同",COUNT(H657:I657)=2),H657-I657,"")</x:f>
      </x:c>
      <x:c r="O657" s="10"/>
      <x:c r="P657" s="10" t="n">
        <x:v>0</x:v>
      </x:c>
      <x:c r="Q657" s="10" t="n">
        <x:v>0</x:v>
      </x:c>
      <x:c r="R657" s="10" t="n">
        <x:v>0</x:v>
      </x:c>
      <x:c r="S657" s="10" t="n">
        <x:v>0</x:v>
      </x:c>
      <x:c r="T657" s="10" t="n">
        <x:v>0</x:v>
      </x:c>
      <x:c r="U657" s="10" t="n">
        <x:f>IF(AND(ISNUMBER(X657),X657&gt;=0,Y657&lt;&gt;1),X657,"")</x:f>
        <x:v>0</x:v>
      </x:c>
      <x:c r="V657" s="10" t="n">
        <x:v>0</x:v>
      </x:c>
      <x:c r="W657" s="10" t="n">
        <x:v>0</x:v>
      </x:c>
      <x:c r="X657" s="10" t="n">
        <x:v>0</x:v>
      </x:c>
      <x:c r="Y657" s="3" t="n">
        <x:v>0</x:v>
      </x:c>
      <x:c r="Z657" s="3" t="str">
        <x:v>新增</x:v>
      </x:c>
      <x:c r="AA657" s="3" t="str">
        <x:v>停售</x:v>
      </x:c>
      <x:c r="AB657" s="12" t="str">
        <x:f>IF(AND(Z657="共同",ISNUMBER(G657),ISNUMBER(AD657)),G657-AD657,"")</x:f>
      </x:c>
      <x:c r="AC657" s="3" t="str">
        <x:v>近90天SKU销量未匹配，未按0处理</x:v>
      </x:c>
      <x:c r="AD657" s="12"/>
      <x:c r="AE657" s="3" t="str">
        <x:v>[13120,"B06b-GY-40"]</x:v>
      </x:c>
      <x:c r="AF657" t="n">
        <x:f>IF(ISNUMBER(H657),1,0)</x:f>
        <x:v>1</x:v>
      </x:c>
      <x:c r="AG657" t="n">
        <x:f>IF(ISNUMBER(I657),1,0)</x:f>
        <x:v>0</x:v>
      </x:c>
      <x:c r="AH657" t="str">
        <x:v>["B06b","B06b-GY","GY","灰色羊京绒"]</x:v>
      </x:c>
      <x:c r="AI657" t="n">
        <x:f>IF(ISNUMBER(G657),1,0)</x:f>
        <x:v>1</x:v>
      </x:c>
      <x:c r="AJ657" t="n">
        <x:f>IF(ISNUMBER(AD657),1,0)</x:f>
        <x:v>0</x:v>
      </x:c>
    </x:row>
    <x:row r="658" ht="30" customHeight="1">
      <x:c r="A658" s="3" t="str">
        <x:v>B06b-GY-42</x:v>
      </x:c>
      <x:c r="B658" s="3" t="str">
        <x:v>1店-MUSSHOE-US</x:v>
      </x:c>
      <x:c r="C658" s="3" t="str">
        <x:v>艾年</x:v>
      </x:c>
      <x:c r="D658" s="3" t="str">
        <x:v>B06b</x:v>
      </x:c>
      <x:c r="E658" s="3" t="str">
        <x:f>IF(Z658="移出","已移出",IF(NOT(ISNUMBER(H658)),"数据待核",IF(H658=0,"断货",IF(NOT(ISNUMBER(G658)),"数据待核",IF(G658=0,"零日销待复核",IF(F658&lt;60,"补货提醒",IF(F658&lt;=90,"正常库存",IF(F658&lt;180,"促销",IF(F658&lt;=365,"红线促销","考虑清仓")))))))))</x:f>
        <x:v>断货</x:v>
      </x:c>
      <x:c r="F658" s="11" t="str">
        <x:f>IF(AND(ISNUMBER(H658),ISNUMBER(G658),G658&gt;0),H658/G658,"")</x:f>
      </x:c>
      <x:c r="G658" s="12" t="n">
        <x:f>IF(AND(COUNT(P658:R658)=3,MIN(P658:R658)&gt;=0,P658&lt;=Q658,Q658&lt;=R658),P658/7*0.5+Q658/14*0.3+R658/30*0.2,"")</x:f>
        <x:v>0</x:v>
      </x:c>
      <x:c r="H658" s="10" t="n">
        <x:f>IF(ISNUMBER(U658),U658,"")</x:f>
        <x:v>0</x:v>
      </x:c>
      <x:c r="I658" s="10"/>
      <x:c r="J658" s="11" t="str">
        <x:f>IF(AND(Z658="共同",ISNUMBER(F658),ISNUMBER(M658)),F658-M658,"")</x:f>
      </x:c>
      <x:c r="K658" s="13" t="str">
        <x:f>IF(AND(ISNUMBER(J658),M658&lt;&gt;0),J658/M658,"")</x:f>
      </x:c>
      <x:c r="L658" s="10"/>
      <x:c r="M658" s="11"/>
      <x:c r="N658" s="10" t="str">
        <x:f>IF(AND(Z658="共同",COUNT(H658:I658)=2),H658-I658,"")</x:f>
      </x:c>
      <x:c r="O658" s="10"/>
      <x:c r="P658" s="10" t="n">
        <x:v>0</x:v>
      </x:c>
      <x:c r="Q658" s="10" t="n">
        <x:v>0</x:v>
      </x:c>
      <x:c r="R658" s="10" t="n">
        <x:v>0</x:v>
      </x:c>
      <x:c r="S658" s="10" t="n">
        <x:v>0</x:v>
      </x:c>
      <x:c r="T658" s="10" t="n">
        <x:v>0</x:v>
      </x:c>
      <x:c r="U658" s="10" t="n">
        <x:f>IF(AND(ISNUMBER(X658),X658&gt;=0,Y658&lt;&gt;1),X658,"")</x:f>
        <x:v>0</x:v>
      </x:c>
      <x:c r="V658" s="10" t="n">
        <x:v>0</x:v>
      </x:c>
      <x:c r="W658" s="10" t="n">
        <x:v>0</x:v>
      </x:c>
      <x:c r="X658" s="10" t="n">
        <x:v>0</x:v>
      </x:c>
      <x:c r="Y658" s="3" t="n">
        <x:v>0</x:v>
      </x:c>
      <x:c r="Z658" s="3" t="str">
        <x:v>新增</x:v>
      </x:c>
      <x:c r="AA658" s="3" t="str">
        <x:v>停售</x:v>
      </x:c>
      <x:c r="AB658" s="12" t="str">
        <x:f>IF(AND(Z658="共同",ISNUMBER(G658),ISNUMBER(AD658)),G658-AD658,"")</x:f>
      </x:c>
      <x:c r="AC658" s="3" t="str">
        <x:v>近90天SKU销量未匹配，未按0处理</x:v>
      </x:c>
      <x:c r="AD658" s="12"/>
      <x:c r="AE658" s="3" t="str">
        <x:v>[13120,"B06b-GY-42"]</x:v>
      </x:c>
      <x:c r="AF658" t="n">
        <x:f>IF(ISNUMBER(H658),1,0)</x:f>
        <x:v>1</x:v>
      </x:c>
      <x:c r="AG658" t="n">
        <x:f>IF(ISNUMBER(I658),1,0)</x:f>
        <x:v>0</x:v>
      </x:c>
      <x:c r="AH658" t="str">
        <x:v>["B06b","B06b-GY","GY","灰色羊京绒"]</x:v>
      </x:c>
      <x:c r="AI658" t="n">
        <x:f>IF(ISNUMBER(G658),1,0)</x:f>
        <x:v>1</x:v>
      </x:c>
      <x:c r="AJ658" t="n">
        <x:f>IF(ISNUMBER(AD658),1,0)</x:f>
        <x:v>0</x:v>
      </x:c>
    </x:row>
    <x:row r="659" ht="30" customHeight="1">
      <x:c r="A659" s="3" t="str">
        <x:v>B06b-LP-37.5</x:v>
      </x:c>
      <x:c r="B659" s="3" t="str">
        <x:v>1店-MUSSHOE-US</x:v>
      </x:c>
      <x:c r="C659" s="3" t="str">
        <x:v>艾年</x:v>
      </x:c>
      <x:c r="D659" s="3" t="str">
        <x:v>B06b</x:v>
      </x:c>
      <x:c r="E659" s="3" t="str">
        <x:f>IF(Z659="移出","已移出",IF(NOT(ISNUMBER(H659)),"数据待核",IF(H659=0,"断货",IF(NOT(ISNUMBER(G659)),"数据待核",IF(G659=0,"零日销待复核",IF(F659&lt;60,"补货提醒",IF(F659&lt;=90,"正常库存",IF(F659&lt;180,"促销",IF(F659&lt;=365,"红线促销","考虑清仓")))))))))</x:f>
        <x:v>断货</x:v>
      </x:c>
      <x:c r="F659" s="11" t="str">
        <x:f>IF(AND(ISNUMBER(H659),ISNUMBER(G659),G659&gt;0),H659/G659,"")</x:f>
      </x:c>
      <x:c r="G659" s="12" t="n">
        <x:f>IF(AND(COUNT(P659:R659)=3,MIN(P659:R659)&gt;=0,P659&lt;=Q659,Q659&lt;=R659),P659/7*0.5+Q659/14*0.3+R659/30*0.2,"")</x:f>
        <x:v>0</x:v>
      </x:c>
      <x:c r="H659" s="10" t="n">
        <x:f>IF(ISNUMBER(U659),U659,"")</x:f>
        <x:v>0</x:v>
      </x:c>
      <x:c r="I659" s="10" t="n">
        <x:v>0</x:v>
      </x:c>
      <x:c r="J659" s="11" t="str">
        <x:f>IF(AND(Z659="共同",ISNUMBER(F659),ISNUMBER(M659)),F659-M659,"")</x:f>
      </x:c>
      <x:c r="K659" s="13" t="str">
        <x:f>IF(AND(ISNUMBER(J659),M659&lt;&gt;0),J659/M659,"")</x:f>
      </x:c>
      <x:c r="L659" s="10" t="str">
        <x:v>断货</x:v>
      </x:c>
      <x:c r="M659" s="11" t="n">
        <x:v>0</x:v>
      </x:c>
      <x:c r="N659" s="10" t="n">
        <x:f>IF(AND(Z659="共同",COUNT(H659:I659)=2),H659-I659,"")</x:f>
        <x:v>0</x:v>
      </x:c>
      <x:c r="O659" s="10" t="n">
        <x:v>0</x:v>
      </x:c>
      <x:c r="P659" s="10" t="n">
        <x:v>0</x:v>
      </x:c>
      <x:c r="Q659" s="10" t="n">
        <x:v>0</x:v>
      </x:c>
      <x:c r="R659" s="10" t="n">
        <x:v>0</x:v>
      </x:c>
      <x:c r="S659" s="10" t="n">
        <x:v>0</x:v>
      </x:c>
      <x:c r="T659" s="10" t="n">
        <x:v>0</x:v>
      </x:c>
      <x:c r="U659" s="10" t="n">
        <x:f>IF(AND(ISNUMBER(X659),X659&gt;=0,Y659&lt;&gt;1),X659,"")</x:f>
        <x:v>0</x:v>
      </x:c>
      <x:c r="V659" s="10" t="n">
        <x:v>0</x:v>
      </x:c>
      <x:c r="W659" s="10" t="n">
        <x:v>0</x:v>
      </x:c>
      <x:c r="X659" s="10" t="n">
        <x:v>0</x:v>
      </x:c>
      <x:c r="Y659" s="3" t="n">
        <x:v>0</x:v>
      </x:c>
      <x:c r="Z659" s="3" t="str">
        <x:v>共同</x:v>
      </x:c>
      <x:c r="AA659" s="3" t="str">
        <x:v>停售</x:v>
      </x:c>
      <x:c r="AB659" s="12" t="n">
        <x:f>IF(AND(Z659="共同",ISNUMBER(G659),ISNUMBER(AD659)),G659-AD659,"")</x:f>
        <x:v>-0.006666666666666666</x:v>
      </x:c>
      <x:c r="AC659" s="3" t="str"/>
      <x:c r="AD659" s="12" t="n">
        <x:v>0.006666666666666666</x:v>
      </x:c>
      <x:c r="AE659" s="3" t="str">
        <x:v>[13120,"B06b-LP-37.5"]</x:v>
      </x:c>
      <x:c r="AF659" t="n">
        <x:f>IF(ISNUMBER(H659),1,0)</x:f>
        <x:v>1</x:v>
      </x:c>
      <x:c r="AG659" t="n">
        <x:f>IF(ISNUMBER(I659),1,0)</x:f>
        <x:v>1</x:v>
      </x:c>
      <x:c r="AH659" t="str">
        <x:v>["B06b","B06b-LP","LP","豹纹羊京绒"]</x:v>
      </x:c>
      <x:c r="AI659" t="n">
        <x:f>IF(ISNUMBER(G659),1,0)</x:f>
        <x:v>1</x:v>
      </x:c>
      <x:c r="AJ659" t="n">
        <x:f>IF(ISNUMBER(AD659),1,0)</x:f>
        <x:v>1</x:v>
      </x:c>
    </x:row>
    <x:row r="660" ht="30" customHeight="1">
      <x:c r="A660" s="3" t="str">
        <x:v>B06b-LP-38.5</x:v>
      </x:c>
      <x:c r="B660" s="3" t="str">
        <x:v>1店-MUSSHOE-US</x:v>
      </x:c>
      <x:c r="C660" s="3" t="str">
        <x:v>艾年</x:v>
      </x:c>
      <x:c r="D660" s="3" t="str">
        <x:v>B06b</x:v>
      </x:c>
      <x:c r="E660" s="3" t="str">
        <x:f>IF(Z660="移出","已移出",IF(NOT(ISNUMBER(H660)),"数据待核",IF(H660=0,"断货",IF(NOT(ISNUMBER(G660)),"数据待核",IF(G660=0,"零日销待复核",IF(F660&lt;60,"补货提醒",IF(F660&lt;=90,"正常库存",IF(F660&lt;180,"促销",IF(F660&lt;=365,"红线促销","考虑清仓")))))))))</x:f>
        <x:v>断货</x:v>
      </x:c>
      <x:c r="F660" s="11" t="n">
        <x:f>IF(AND(ISNUMBER(H660),ISNUMBER(G660),G660&gt;0),H660/G660,"")</x:f>
        <x:v>0</x:v>
      </x:c>
      <x:c r="G660" s="12" t="n">
        <x:f>IF(AND(COUNT(P660:R660)=3,MIN(P660:R660)&gt;=0,P660&lt;=Q660,Q660&lt;=R660),P660/7*0.5+Q660/14*0.3+R660/30*0.2,"")</x:f>
        <x:v>0.006666666666666667</x:v>
      </x:c>
      <x:c r="H660" s="10" t="n">
        <x:f>IF(ISNUMBER(U660),U660,"")</x:f>
        <x:v>0</x:v>
      </x:c>
      <x:c r="I660" s="10" t="n">
        <x:v>0</x:v>
      </x:c>
      <x:c r="J660" s="11" t="n">
        <x:f>IF(AND(Z660="共同",ISNUMBER(F660),ISNUMBER(M660)),F660-M660,"")</x:f>
        <x:v>0</x:v>
      </x:c>
      <x:c r="K660" s="13" t="str">
        <x:f>IF(AND(ISNUMBER(J660),M660&lt;&gt;0),J660/M660,"")</x:f>
      </x:c>
      <x:c r="L660" s="10" t="str">
        <x:v>断货</x:v>
      </x:c>
      <x:c r="M660" s="11" t="n">
        <x:v>0</x:v>
      </x:c>
      <x:c r="N660" s="10" t="n">
        <x:f>IF(AND(Z660="共同",COUNT(H660:I660)=2),H660-I660,"")</x:f>
        <x:v>0</x:v>
      </x:c>
      <x:c r="O660" s="10" t="n">
        <x:v>0</x:v>
      </x:c>
      <x:c r="P660" s="10" t="n">
        <x:v>0</x:v>
      </x:c>
      <x:c r="Q660" s="10" t="n">
        <x:v>0</x:v>
      </x:c>
      <x:c r="R660" s="10" t="n">
        <x:v>1</x:v>
      </x:c>
      <x:c r="S660" s="10" t="n">
        <x:v>1</x:v>
      </x:c>
      <x:c r="T660" s="10" t="n">
        <x:v>0</x:v>
      </x:c>
      <x:c r="U660" s="10" t="n">
        <x:f>IF(AND(ISNUMBER(X660),X660&gt;=0,Y660&lt;&gt;1),X660,"")</x:f>
        <x:v>0</x:v>
      </x:c>
      <x:c r="V660" s="10" t="n">
        <x:v>0</x:v>
      </x:c>
      <x:c r="W660" s="10" t="n">
        <x:v>0</x:v>
      </x:c>
      <x:c r="X660" s="10" t="n">
        <x:v>0</x:v>
      </x:c>
      <x:c r="Y660" s="3" t="n">
        <x:v>0</x:v>
      </x:c>
      <x:c r="Z660" s="3" t="str">
        <x:v>共同</x:v>
      </x:c>
      <x:c r="AA660" s="3" t="str">
        <x:v>停售</x:v>
      </x:c>
      <x:c r="AB660" s="12" t="n">
        <x:f>IF(AND(Z660="共同",ISNUMBER(G660),ISNUMBER(AD660)),G660-AD660,"")</x:f>
        <x:v>-0.09285714285714285</x:v>
      </x:c>
      <x:c r="AC660" s="3" t="str"/>
      <x:c r="AD660" s="12" t="n">
        <x:v>0.09952380952380951</x:v>
      </x:c>
      <x:c r="AE660" s="3" t="str">
        <x:v>[13120,"B06b-LP-38.5"]</x:v>
      </x:c>
      <x:c r="AF660" t="n">
        <x:f>IF(ISNUMBER(H660),1,0)</x:f>
        <x:v>1</x:v>
      </x:c>
      <x:c r="AG660" t="n">
        <x:f>IF(ISNUMBER(I660),1,0)</x:f>
        <x:v>1</x:v>
      </x:c>
      <x:c r="AH660" t="str">
        <x:v>["B06b","B06b-LP","LP","豹纹羊京绒"]</x:v>
      </x:c>
      <x:c r="AI660" t="n">
        <x:f>IF(ISNUMBER(G660),1,0)</x:f>
        <x:v>1</x:v>
      </x:c>
      <x:c r="AJ660" t="n">
        <x:f>IF(ISNUMBER(AD660),1,0)</x:f>
        <x:v>1</x:v>
      </x:c>
    </x:row>
    <x:row r="661" ht="30" customHeight="1">
      <x:c r="A661" s="3" t="str">
        <x:v>B06b-LP-40.5</x:v>
      </x:c>
      <x:c r="B661" s="3" t="str">
        <x:v>1店-MUSSHOE-US</x:v>
      </x:c>
      <x:c r="C661" s="3" t="str">
        <x:v>艾年</x:v>
      </x:c>
      <x:c r="D661" s="3" t="str">
        <x:v>B06b</x:v>
      </x:c>
      <x:c r="E661" s="3" t="str">
        <x:f>IF(Z661="移出","已移出",IF(NOT(ISNUMBER(H661)),"数据待核",IF(H661=0,"断货",IF(NOT(ISNUMBER(G661)),"数据待核",IF(G661=0,"零日销待复核",IF(F661&lt;60,"补货提醒",IF(F661&lt;=90,"正常库存",IF(F661&lt;180,"促销",IF(F661&lt;=365,"红线促销","考虑清仓")))))))))</x:f>
        <x:v>断货</x:v>
      </x:c>
      <x:c r="F661" s="11" t="n">
        <x:f>IF(AND(ISNUMBER(H661),ISNUMBER(G661),G661&gt;0),H661/G661,"")</x:f>
        <x:v>0</x:v>
      </x:c>
      <x:c r="G661" s="12" t="n">
        <x:f>IF(AND(COUNT(P661:R661)=3,MIN(P661:R661)&gt;=0,P661&lt;=Q661,Q661&lt;=R661),P661/7*0.5+Q661/14*0.3+R661/30*0.2,"")</x:f>
        <x:v>0.09952380952380951</x:v>
      </x:c>
      <x:c r="H661" s="10" t="n">
        <x:f>IF(ISNUMBER(U661),U661,"")</x:f>
        <x:v>0</x:v>
      </x:c>
      <x:c r="I661" s="10" t="n">
        <x:v>0</x:v>
      </x:c>
      <x:c r="J661" s="11" t="str">
        <x:f>IF(AND(Z661="共同",ISNUMBER(F661),ISNUMBER(M661)),F661-M661,"")</x:f>
      </x:c>
      <x:c r="K661" s="13" t="str">
        <x:f>IF(AND(ISNUMBER(J661),M661&lt;&gt;0),J661/M661,"")</x:f>
      </x:c>
      <x:c r="L661" s="10" t="str">
        <x:v>断货</x:v>
      </x:c>
      <x:c r="M661" s="11"/>
      <x:c r="N661" s="10" t="n">
        <x:f>IF(AND(Z661="共同",COUNT(H661:I661)=2),H661-I661,"")</x:f>
        <x:v>0</x:v>
      </x:c>
      <x:c r="O661" s="10" t="n">
        <x:v>0</x:v>
      </x:c>
      <x:c r="P661" s="10" t="n">
        <x:v>1</x:v>
      </x:c>
      <x:c r="Q661" s="10" t="n">
        <x:v>1</x:v>
      </x:c>
      <x:c r="R661" s="10" t="n">
        <x:v>1</x:v>
      </x:c>
      <x:c r="S661" s="10" t="n">
        <x:v>0</x:v>
      </x:c>
      <x:c r="T661" s="10" t="n">
        <x:v>0</x:v>
      </x:c>
      <x:c r="U661" s="10" t="n">
        <x:f>IF(AND(ISNUMBER(X661),X661&gt;=0,Y661&lt;&gt;1),X661,"")</x:f>
        <x:v>0</x:v>
      </x:c>
      <x:c r="V661" s="10" t="n">
        <x:v>0</x:v>
      </x:c>
      <x:c r="W661" s="10" t="n">
        <x:v>0</x:v>
      </x:c>
      <x:c r="X661" s="10" t="n">
        <x:v>0</x:v>
      </x:c>
      <x:c r="Y661" s="3" t="n">
        <x:v>0</x:v>
      </x:c>
      <x:c r="Z661" s="3" t="str">
        <x:v>共同</x:v>
      </x:c>
      <x:c r="AA661" s="3" t="str">
        <x:v>停售</x:v>
      </x:c>
      <x:c r="AB661" s="12" t="n">
        <x:f>IF(AND(Z661="共同",ISNUMBER(G661),ISNUMBER(AD661)),G661-AD661,"")</x:f>
        <x:v>0.09952380952380951</x:v>
      </x:c>
      <x:c r="AC661" s="3" t="str"/>
      <x:c r="AD661" s="12" t="n">
        <x:v>0</x:v>
      </x:c>
      <x:c r="AE661" s="3" t="str">
        <x:v>[13120,"B06b-LP-40.5"]</x:v>
      </x:c>
      <x:c r="AF661" t="n">
        <x:f>IF(ISNUMBER(H661),1,0)</x:f>
        <x:v>1</x:v>
      </x:c>
      <x:c r="AG661" t="n">
        <x:f>IF(ISNUMBER(I661),1,0)</x:f>
        <x:v>1</x:v>
      </x:c>
      <x:c r="AH661" t="str">
        <x:v>["B06b","B06b-LP","LP","豹纹羊京绒"]</x:v>
      </x:c>
      <x:c r="AI661" t="n">
        <x:f>IF(ISNUMBER(G661),1,0)</x:f>
        <x:v>1</x:v>
      </x:c>
      <x:c r="AJ661" t="n">
        <x:f>IF(ISNUMBER(AD661),1,0)</x:f>
        <x:v>1</x:v>
      </x:c>
    </x:row>
    <x:row r="662" ht="30" customHeight="1">
      <x:c r="A662" s="3" t="str">
        <x:v>B06b-LP-41</x:v>
      </x:c>
      <x:c r="B662" s="3" t="str">
        <x:v>1店-MUSSHOE-US</x:v>
      </x:c>
      <x:c r="C662" s="3" t="str">
        <x:v>艾年</x:v>
      </x:c>
      <x:c r="D662" s="3" t="str">
        <x:v>B06b</x:v>
      </x:c>
      <x:c r="E662" s="3" t="str">
        <x:f>IF(Z662="移出","已移出",IF(NOT(ISNUMBER(H662)),"数据待核",IF(H662=0,"断货",IF(NOT(ISNUMBER(G662)),"数据待核",IF(G662=0,"零日销待复核",IF(F662&lt;60,"补货提醒",IF(F662&lt;=90,"正常库存",IF(F662&lt;180,"促销",IF(F662&lt;=365,"红线促销","考虑清仓")))))))))</x:f>
        <x:v>断货</x:v>
      </x:c>
      <x:c r="F662" s="11" t="n">
        <x:f>IF(AND(ISNUMBER(H662),ISNUMBER(G662),G662&gt;0),H662/G662,"")</x:f>
        <x:v>0</x:v>
      </x:c>
      <x:c r="G662" s="12" t="n">
        <x:f>IF(AND(COUNT(P662:R662)=3,MIN(P662:R662)&gt;=0,P662&lt;=Q662,Q662&lt;=R662),P662/7*0.5+Q662/14*0.3+R662/30*0.2,"")</x:f>
        <x:v>0.43809523809523804</x:v>
      </x:c>
      <x:c r="H662" s="10" t="n">
        <x:f>IF(ISNUMBER(U662),U662,"")</x:f>
        <x:v>0</x:v>
      </x:c>
      <x:c r="I662" s="10" t="n">
        <x:v>1</x:v>
      </x:c>
      <x:c r="J662" s="11" t="n">
        <x:f>IF(AND(Z662="共同",ISNUMBER(F662),ISNUMBER(M662)),F662-M662,"")</x:f>
        <x:v>-2.792553191489362</x:v>
      </x:c>
      <x:c r="K662" s="13" t="n">
        <x:f>IF(AND(ISNUMBER(J662),M662&lt;&gt;0),J662/M662,"")</x:f>
        <x:v>-1</x:v>
      </x:c>
      <x:c r="L662" s="10" t="str">
        <x:v>补货提醒</x:v>
      </x:c>
      <x:c r="M662" s="11" t="n">
        <x:v>2.792553191489362</x:v>
      </x:c>
      <x:c r="N662" s="10" t="n">
        <x:f>IF(AND(Z662="共同",COUNT(H662:I662)=2),H662-I662,"")</x:f>
        <x:v>-1</x:v>
      </x:c>
      <x:c r="O662" s="10" t="n">
        <x:v>0</x:v>
      </x:c>
      <x:c r="P662" s="10" t="n">
        <x:v>4</x:v>
      </x:c>
      <x:c r="Q662" s="10" t="n">
        <x:v>4</x:v>
      </x:c>
      <x:c r="R662" s="10" t="n">
        <x:v>10</x:v>
      </x:c>
      <x:c r="S662" s="10" t="n">
        <x:v>0</x:v>
      </x:c>
      <x:c r="T662" s="10" t="n">
        <x:v>0</x:v>
      </x:c>
      <x:c r="U662" s="10" t="n">
        <x:f>IF(AND(ISNUMBER(X662),X662&gt;=0,Y662&lt;&gt;1),X662,"")</x:f>
        <x:v>0</x:v>
      </x:c>
      <x:c r="V662" s="10" t="n">
        <x:v>0</x:v>
      </x:c>
      <x:c r="W662" s="10" t="n">
        <x:v>0</x:v>
      </x:c>
      <x:c r="X662" s="10" t="n">
        <x:v>0</x:v>
      </x:c>
      <x:c r="Y662" s="3" t="n">
        <x:v>0</x:v>
      </x:c>
      <x:c r="Z662" s="3" t="str">
        <x:v>共同</x:v>
      </x:c>
      <x:c r="AA662" s="3" t="str">
        <x:v>在售</x:v>
      </x:c>
      <x:c r="AB662" s="12" t="n">
        <x:f>IF(AND(Z662="共同",ISNUMBER(G662),ISNUMBER(AD662)),G662-AD662,"")</x:f>
        <x:v>0.07999999999999996</x:v>
      </x:c>
      <x:c r="AC662" s="3" t="str"/>
      <x:c r="AD662" s="12" t="n">
        <x:v>0.3580952380952381</x:v>
      </x:c>
      <x:c r="AE662" s="3" t="str">
        <x:v>[13120,"B06b-LP-41"]</x:v>
      </x:c>
      <x:c r="AF662" t="n">
        <x:f>IF(ISNUMBER(H662),1,0)</x:f>
        <x:v>1</x:v>
      </x:c>
      <x:c r="AG662" t="n">
        <x:f>IF(ISNUMBER(I662),1,0)</x:f>
        <x:v>1</x:v>
      </x:c>
      <x:c r="AH662" t="str">
        <x:v>["B06b","B06b-LP","LP","豹纹羊京绒"]</x:v>
      </x:c>
      <x:c r="AI662" t="n">
        <x:f>IF(ISNUMBER(G662),1,0)</x:f>
        <x:v>1</x:v>
      </x:c>
      <x:c r="AJ662" t="n">
        <x:f>IF(ISNUMBER(AD662),1,0)</x:f>
        <x:v>1</x:v>
      </x:c>
    </x:row>
    <x:row r="663" ht="30" customHeight="1">
      <x:c r="A663" s="3" t="str">
        <x:v>B06b-LP-42</x:v>
      </x:c>
      <x:c r="B663" s="3" t="str">
        <x:v>1店-MUSSHOE-US</x:v>
      </x:c>
      <x:c r="C663" s="3" t="str">
        <x:v>艾年</x:v>
      </x:c>
      <x:c r="D663" s="3" t="str">
        <x:v>B06b</x:v>
      </x:c>
      <x:c r="E663" s="3" t="str">
        <x:f>IF(Z663="移出","已移出",IF(NOT(ISNUMBER(H663)),"数据待核",IF(H663=0,"断货",IF(NOT(ISNUMBER(G663)),"数据待核",IF(G663=0,"零日销待复核",IF(F663&lt;60,"补货提醒",IF(F663&lt;=90,"正常库存",IF(F663&lt;180,"促销",IF(F663&lt;=365,"红线促销","考虑清仓")))))))))</x:f>
        <x:v>断货</x:v>
      </x:c>
      <x:c r="F663" s="11" t="n">
        <x:f>IF(AND(ISNUMBER(H663),ISNUMBER(G663),G663&gt;0),H663/G663,"")</x:f>
        <x:v>0</x:v>
      </x:c>
      <x:c r="G663" s="12" t="n">
        <x:f>IF(AND(COUNT(P663:R663)=3,MIN(P663:R663)&gt;=0,P663&lt;=Q663,Q663&lt;=R663),P663/7*0.5+Q663/14*0.3+R663/30*0.2,"")</x:f>
        <x:v>0.13428571428571429</x:v>
      </x:c>
      <x:c r="H663" s="10" t="n">
        <x:f>IF(ISNUMBER(U663),U663,"")</x:f>
        <x:v>0</x:v>
      </x:c>
      <x:c r="I663" s="10" t="n">
        <x:v>0</x:v>
      </x:c>
      <x:c r="J663" s="11" t="n">
        <x:f>IF(AND(Z663="共同",ISNUMBER(F663),ISNUMBER(M663)),F663-M663,"")</x:f>
        <x:v>0</x:v>
      </x:c>
      <x:c r="K663" s="13" t="str">
        <x:f>IF(AND(ISNUMBER(J663),M663&lt;&gt;0),J663/M663,"")</x:f>
      </x:c>
      <x:c r="L663" s="10" t="str">
        <x:v>断货</x:v>
      </x:c>
      <x:c r="M663" s="11" t="n">
        <x:v>0</x:v>
      </x:c>
      <x:c r="N663" s="10" t="n">
        <x:f>IF(AND(Z663="共同",COUNT(H663:I663)=2),H663-I663,"")</x:f>
        <x:v>0</x:v>
      </x:c>
      <x:c r="O663" s="10" t="n">
        <x:v>0</x:v>
      </x:c>
      <x:c r="P663" s="10" t="n">
        <x:v>1</x:v>
      </x:c>
      <x:c r="Q663" s="10" t="n">
        <x:v>2</x:v>
      </x:c>
      <x:c r="R663" s="10" t="n">
        <x:v>3</x:v>
      </x:c>
      <x:c r="S663" s="10" t="n">
        <x:v>1</x:v>
      </x:c>
      <x:c r="T663" s="10" t="n">
        <x:v>1</x:v>
      </x:c>
      <x:c r="U663" s="10" t="n">
        <x:f>IF(AND(ISNUMBER(X663),X663&gt;=0,Y663&lt;&gt;1),X663,"")</x:f>
        <x:v>0</x:v>
      </x:c>
      <x:c r="V663" s="10" t="n">
        <x:v>0</x:v>
      </x:c>
      <x:c r="W663" s="10" t="n">
        <x:v>0</x:v>
      </x:c>
      <x:c r="X663" s="10" t="n">
        <x:v>0</x:v>
      </x:c>
      <x:c r="Y663" s="3" t="n">
        <x:v>0</x:v>
      </x:c>
      <x:c r="Z663" s="3" t="str">
        <x:v>共同</x:v>
      </x:c>
      <x:c r="AA663" s="3" t="str">
        <x:v>在售</x:v>
      </x:c>
      <x:c r="AB663" s="12" t="n">
        <x:f>IF(AND(Z663="共同",ISNUMBER(G663),ISNUMBER(AD663)),G663-AD663,"")</x:f>
        <x:v>0.07952380952380952</x:v>
      </x:c>
      <x:c r="AC663" s="3" t="str"/>
      <x:c r="AD663" s="12" t="n">
        <x:v>0.054761904761904755</x:v>
      </x:c>
      <x:c r="AE663" s="3" t="str">
        <x:v>[13120,"B06b-LP-42"]</x:v>
      </x:c>
      <x:c r="AF663" t="n">
        <x:f>IF(ISNUMBER(H663),1,0)</x:f>
        <x:v>1</x:v>
      </x:c>
      <x:c r="AG663" t="n">
        <x:f>IF(ISNUMBER(I663),1,0)</x:f>
        <x:v>1</x:v>
      </x:c>
      <x:c r="AH663" t="str">
        <x:v>["B06b","B06b-LP","LP","豹纹羊京绒"]</x:v>
      </x:c>
      <x:c r="AI663" t="n">
        <x:f>IF(ISNUMBER(G663),1,0)</x:f>
        <x:v>1</x:v>
      </x:c>
      <x:c r="AJ663" t="n">
        <x:f>IF(ISNUMBER(AD663),1,0)</x:f>
        <x:v>1</x:v>
      </x:c>
    </x:row>
    <x:row r="664" ht="30" customHeight="1">
      <x:c r="A664" s="3" t="str">
        <x:v>B06b-NDP0-11</x:v>
      </x:c>
      <x:c r="B664" s="3" t="str">
        <x:v>1店-MUSSHOE-US</x:v>
      </x:c>
      <x:c r="C664" s="3" t="str">
        <x:v>艾年</x:v>
      </x:c>
      <x:c r="D664" s="3" t="str">
        <x:v>B06b</x:v>
      </x:c>
      <x:c r="E664" s="3" t="str">
        <x:f>IF(Z664="移出","已移出",IF(NOT(ISNUMBER(H664)),"数据待核",IF(H664=0,"断货",IF(NOT(ISNUMBER(G664)),"数据待核",IF(G664=0,"零日销待复核",IF(F664&lt;60,"补货提醒",IF(F664&lt;=90,"正常库存",IF(F664&lt;180,"促销",IF(F664&lt;=365,"红线促销","考虑清仓")))))))))</x:f>
        <x:v>断货</x:v>
      </x:c>
      <x:c r="F664" s="11" t="str">
        <x:f>IF(AND(ISNUMBER(H664),ISNUMBER(G664),G664&gt;0),H664/G664,"")</x:f>
      </x:c>
      <x:c r="G664" s="12" t="n">
        <x:f>IF(AND(COUNT(P664:R664)=3,MIN(P664:R664)&gt;=0,P664&lt;=Q664,Q664&lt;=R664),P664/7*0.5+Q664/14*0.3+R664/30*0.2,"")</x:f>
        <x:v>0</x:v>
      </x:c>
      <x:c r="H664" s="10" t="n">
        <x:f>IF(ISNUMBER(U664),U664,"")</x:f>
        <x:v>0</x:v>
      </x:c>
      <x:c r="I664" s="10" t="n">
        <x:v>0</x:v>
      </x:c>
      <x:c r="J664" s="11" t="str">
        <x:f>IF(AND(Z664="共同",ISNUMBER(F664),ISNUMBER(M664)),F664-M664,"")</x:f>
      </x:c>
      <x:c r="K664" s="13" t="str">
        <x:f>IF(AND(ISNUMBER(J664),M664&lt;&gt;0),J664/M664,"")</x:f>
      </x:c>
      <x:c r="L664" s="10" t="str">
        <x:v>断货</x:v>
      </x:c>
      <x:c r="M664" s="11"/>
      <x:c r="N664" s="10" t="n">
        <x:f>IF(AND(Z664="共同",COUNT(H664:I664)=2),H664-I664,"")</x:f>
        <x:v>0</x:v>
      </x:c>
      <x:c r="O664" s="10" t="n">
        <x:v>0</x:v>
      </x:c>
      <x:c r="P664" s="10" t="n">
        <x:v>0</x:v>
      </x:c>
      <x:c r="Q664" s="10" t="n">
        <x:v>0</x:v>
      </x:c>
      <x:c r="R664" s="10" t="n">
        <x:v>0</x:v>
      </x:c>
      <x:c r="S664" s="10" t="n">
        <x:v>0</x:v>
      </x:c>
      <x:c r="T664" s="10" t="n">
        <x:v>0</x:v>
      </x:c>
      <x:c r="U664" s="10" t="n">
        <x:f>IF(AND(ISNUMBER(X664),X664&gt;=0,Y664&lt;&gt;1),X664,"")</x:f>
        <x:v>0</x:v>
      </x:c>
      <x:c r="V664" s="10" t="n">
        <x:v>0</x:v>
      </x:c>
      <x:c r="W664" s="10" t="n">
        <x:v>0</x:v>
      </x:c>
      <x:c r="X664" s="10" t="n">
        <x:v>0</x:v>
      </x:c>
      <x:c r="Y664" s="3" t="n">
        <x:v>0</x:v>
      </x:c>
      <x:c r="Z664" s="3" t="str">
        <x:v>共同</x:v>
      </x:c>
      <x:c r="AA664" s="3" t="str">
        <x:v>停售</x:v>
      </x:c>
      <x:c r="AB664" s="12" t="str">
        <x:f>IF(AND(Z664="共同",ISNUMBER(G664),ISNUMBER(AD664)),G664-AD664,"")</x:f>
      </x:c>
      <x:c r="AC664" s="3" t="str">
        <x:v>近90天SKU销量未匹配，未按0处理</x:v>
      </x:c>
      <x:c r="AD664" s="12"/>
      <x:c r="AE664" s="3" t="str">
        <x:v>[13120,"B06b-NDP0-11"]</x:v>
      </x:c>
      <x:c r="AF664" t="n">
        <x:f>IF(ISNUMBER(H664),1,0)</x:f>
        <x:v>1</x:v>
      </x:c>
      <x:c r="AG664" t="n">
        <x:f>IF(ISNUMBER(I664),1,0)</x:f>
        <x:v>1</x:v>
      </x:c>
      <x:c r="AH664" t="str">
        <x:v>["B06b","B06b-NDP0","NDP0","裸色PU"]</x:v>
      </x:c>
      <x:c r="AI664" t="n">
        <x:f>IF(ISNUMBER(G664),1,0)</x:f>
        <x:v>1</x:v>
      </x:c>
      <x:c r="AJ664" t="n">
        <x:f>IF(ISNUMBER(AD664),1,0)</x:f>
        <x:v>0</x:v>
      </x:c>
    </x:row>
    <x:row r="665" ht="30" customHeight="1">
      <x:c r="A665" s="3" t="str">
        <x:v>B06b-NDP0-7</x:v>
      </x:c>
      <x:c r="B665" s="3" t="str">
        <x:v>1店-MUSSHOE-US</x:v>
      </x:c>
      <x:c r="C665" s="3" t="str">
        <x:v>艾年</x:v>
      </x:c>
      <x:c r="D665" s="3" t="str">
        <x:v>B06b</x:v>
      </x:c>
      <x:c r="E665" s="3" t="str">
        <x:f>IF(Z665="移出","已移出",IF(NOT(ISNUMBER(H665)),"数据待核",IF(H665=0,"断货",IF(NOT(ISNUMBER(G665)),"数据待核",IF(G665=0,"零日销待复核",IF(F665&lt;60,"补货提醒",IF(F665&lt;=90,"正常库存",IF(F665&lt;180,"促销",IF(F665&lt;=365,"红线促销","考虑清仓")))))))))</x:f>
        <x:v>断货</x:v>
      </x:c>
      <x:c r="F665" s="11" t="str">
        <x:f>IF(AND(ISNUMBER(H665),ISNUMBER(G665),G665&gt;0),H665/G665,"")</x:f>
      </x:c>
      <x:c r="G665" s="12" t="n">
        <x:f>IF(AND(COUNT(P665:R665)=3,MIN(P665:R665)&gt;=0,P665&lt;=Q665,Q665&lt;=R665),P665/7*0.5+Q665/14*0.3+R665/30*0.2,"")</x:f>
        <x:v>0</x:v>
      </x:c>
      <x:c r="H665" s="10" t="n">
        <x:f>IF(ISNUMBER(U665),U665,"")</x:f>
        <x:v>0</x:v>
      </x:c>
      <x:c r="I665" s="10" t="n">
        <x:v>0</x:v>
      </x:c>
      <x:c r="J665" s="11" t="str">
        <x:f>IF(AND(Z665="共同",ISNUMBER(F665),ISNUMBER(M665)),F665-M665,"")</x:f>
      </x:c>
      <x:c r="K665" s="13" t="str">
        <x:f>IF(AND(ISNUMBER(J665),M665&lt;&gt;0),J665/M665,"")</x:f>
      </x:c>
      <x:c r="L665" s="10" t="str">
        <x:v>断货</x:v>
      </x:c>
      <x:c r="M665" s="11"/>
      <x:c r="N665" s="10" t="n">
        <x:f>IF(AND(Z665="共同",COUNT(H665:I665)=2),H665-I665,"")</x:f>
        <x:v>0</x:v>
      </x:c>
      <x:c r="O665" s="10" t="n">
        <x:v>0</x:v>
      </x:c>
      <x:c r="P665" s="10" t="n">
        <x:v>0</x:v>
      </x:c>
      <x:c r="Q665" s="10" t="n">
        <x:v>0</x:v>
      </x:c>
      <x:c r="R665" s="10" t="n">
        <x:v>0</x:v>
      </x:c>
      <x:c r="S665" s="10" t="n">
        <x:v>0</x:v>
      </x:c>
      <x:c r="T665" s="10" t="n">
        <x:v>0</x:v>
      </x:c>
      <x:c r="U665" s="10" t="n">
        <x:f>IF(AND(ISNUMBER(X665),X665&gt;=0,Y665&lt;&gt;1),X665,"")</x:f>
        <x:v>0</x:v>
      </x:c>
      <x:c r="V665" s="10" t="n">
        <x:v>0</x:v>
      </x:c>
      <x:c r="W665" s="10" t="n">
        <x:v>0</x:v>
      </x:c>
      <x:c r="X665" s="10" t="n">
        <x:v>0</x:v>
      </x:c>
      <x:c r="Y665" s="3" t="n">
        <x:v>0</x:v>
      </x:c>
      <x:c r="Z665" s="3" t="str">
        <x:v>共同</x:v>
      </x:c>
      <x:c r="AA665" s="3" t="str">
        <x:v>停售</x:v>
      </x:c>
      <x:c r="AB665" s="12" t="n">
        <x:f>IF(AND(Z665="共同",ISNUMBER(G665),ISNUMBER(AD665)),G665-AD665,"")</x:f>
        <x:v>0</x:v>
      </x:c>
      <x:c r="AC665" s="3" t="str"/>
      <x:c r="AD665" s="12" t="n">
        <x:v>0</x:v>
      </x:c>
      <x:c r="AE665" s="3" t="str">
        <x:v>[13120,"B06b-NDP0-7"]</x:v>
      </x:c>
      <x:c r="AF665" t="n">
        <x:f>IF(ISNUMBER(H665),1,0)</x:f>
        <x:v>1</x:v>
      </x:c>
      <x:c r="AG665" t="n">
        <x:f>IF(ISNUMBER(I665),1,0)</x:f>
        <x:v>1</x:v>
      </x:c>
      <x:c r="AH665" t="str">
        <x:v>["B06b","B06b-NDP0","NDP0","裸色PU"]</x:v>
      </x:c>
      <x:c r="AI665" t="n">
        <x:f>IF(ISNUMBER(G665),1,0)</x:f>
        <x:v>1</x:v>
      </x:c>
      <x:c r="AJ665" t="n">
        <x:f>IF(ISNUMBER(AD665),1,0)</x:f>
        <x:v>1</x:v>
      </x:c>
    </x:row>
    <x:row r="666" ht="30" customHeight="1">
      <x:c r="A666" s="3" t="str">
        <x:v>B06b-NDP0-8.5</x:v>
      </x:c>
      <x:c r="B666" s="3" t="str">
        <x:v>1店-MUSSHOE-US</x:v>
      </x:c>
      <x:c r="C666" s="3" t="str">
        <x:v>艾年</x:v>
      </x:c>
      <x:c r="D666" s="3" t="str">
        <x:v>B06b</x:v>
      </x:c>
      <x:c r="E666" s="3" t="str">
        <x:f>IF(Z666="移出","已移出",IF(NOT(ISNUMBER(H666)),"数据待核",IF(H666=0,"断货",IF(NOT(ISNUMBER(G666)),"数据待核",IF(G666=0,"零日销待复核",IF(F666&lt;60,"补货提醒",IF(F666&lt;=90,"正常库存",IF(F666&lt;180,"促销",IF(F666&lt;=365,"红线促销","考虑清仓")))))))))</x:f>
        <x:v>断货</x:v>
      </x:c>
      <x:c r="F666" s="11" t="str">
        <x:f>IF(AND(ISNUMBER(H666),ISNUMBER(G666),G666&gt;0),H666/G666,"")</x:f>
      </x:c>
      <x:c r="G666" s="12" t="n">
        <x:f>IF(AND(COUNT(P666:R666)=3,MIN(P666:R666)&gt;=0,P666&lt;=Q666,Q666&lt;=R666),P666/7*0.5+Q666/14*0.3+R666/30*0.2,"")</x:f>
        <x:v>0</x:v>
      </x:c>
      <x:c r="H666" s="10" t="n">
        <x:f>IF(ISNUMBER(U666),U666,"")</x:f>
        <x:v>0</x:v>
      </x:c>
      <x:c r="I666" s="10" t="n">
        <x:v>0</x:v>
      </x:c>
      <x:c r="J666" s="11" t="str">
        <x:f>IF(AND(Z666="共同",ISNUMBER(F666),ISNUMBER(M666)),F666-M666,"")</x:f>
      </x:c>
      <x:c r="K666" s="13" t="str">
        <x:f>IF(AND(ISNUMBER(J666),M666&lt;&gt;0),J666/M666,"")</x:f>
      </x:c>
      <x:c r="L666" s="10" t="str">
        <x:v>断货</x:v>
      </x:c>
      <x:c r="M666" s="11"/>
      <x:c r="N666" s="10" t="n">
        <x:f>IF(AND(Z666="共同",COUNT(H666:I666)=2),H666-I666,"")</x:f>
        <x:v>0</x:v>
      </x:c>
      <x:c r="O666" s="10" t="n">
        <x:v>0</x:v>
      </x:c>
      <x:c r="P666" s="10" t="n">
        <x:v>0</x:v>
      </x:c>
      <x:c r="Q666" s="10" t="n">
        <x:v>0</x:v>
      </x:c>
      <x:c r="R666" s="10" t="n">
        <x:v>0</x:v>
      </x:c>
      <x:c r="S666" s="10" t="n">
        <x:v>0</x:v>
      </x:c>
      <x:c r="T666" s="10" t="n">
        <x:v>0</x:v>
      </x:c>
      <x:c r="U666" s="10" t="n">
        <x:f>IF(AND(ISNUMBER(X666),X666&gt;=0,Y666&lt;&gt;1),X666,"")</x:f>
        <x:v>0</x:v>
      </x:c>
      <x:c r="V666" s="10" t="n">
        <x:v>0</x:v>
      </x:c>
      <x:c r="W666" s="10" t="n">
        <x:v>0</x:v>
      </x:c>
      <x:c r="X666" s="10" t="n">
        <x:v>0</x:v>
      </x:c>
      <x:c r="Y666" s="3" t="n">
        <x:v>0</x:v>
      </x:c>
      <x:c r="Z666" s="3" t="str">
        <x:v>共同</x:v>
      </x:c>
      <x:c r="AA666" s="3" t="str">
        <x:v>停售</x:v>
      </x:c>
      <x:c r="AB666" s="12" t="str">
        <x:f>IF(AND(Z666="共同",ISNUMBER(G666),ISNUMBER(AD666)),G666-AD666,"")</x:f>
      </x:c>
      <x:c r="AC666" s="3" t="str">
        <x:v>近90天SKU销量未匹配，未按0处理</x:v>
      </x:c>
      <x:c r="AD666" s="12"/>
      <x:c r="AE666" s="3" t="str">
        <x:v>[13120,"B06b-NDP0-8.5"]</x:v>
      </x:c>
      <x:c r="AF666" t="n">
        <x:f>IF(ISNUMBER(H666),1,0)</x:f>
        <x:v>1</x:v>
      </x:c>
      <x:c r="AG666" t="n">
        <x:f>IF(ISNUMBER(I666),1,0)</x:f>
        <x:v>1</x:v>
      </x:c>
      <x:c r="AH666" t="str">
        <x:v>["B06b","B06b-NDP0","NDP0","裸色PU"]</x:v>
      </x:c>
      <x:c r="AI666" t="n">
        <x:f>IF(ISNUMBER(G666),1,0)</x:f>
        <x:v>1</x:v>
      </x:c>
      <x:c r="AJ666" t="n">
        <x:f>IF(ISNUMBER(AD666),1,0)</x:f>
        <x:v>0</x:v>
      </x:c>
    </x:row>
    <x:row r="667" ht="30" customHeight="1">
      <x:c r="A667" s="3" t="str">
        <x:v>B06b-NU-37.5</x:v>
      </x:c>
      <x:c r="B667" s="3" t="str">
        <x:v>1店-MUSSHOE-US</x:v>
      </x:c>
      <x:c r="C667" s="3" t="str">
        <x:v>艾年</x:v>
      </x:c>
      <x:c r="D667" s="3" t="str">
        <x:v>B06b</x:v>
      </x:c>
      <x:c r="E667" s="3" t="str">
        <x:f>IF(Z667="移出","已移出",IF(NOT(ISNUMBER(H667)),"数据待核",IF(H667=0,"断货",IF(NOT(ISNUMBER(G667)),"数据待核",IF(G667=0,"零日销待复核",IF(F667&lt;60,"补货提醒",IF(F667&lt;=90,"正常库存",IF(F667&lt;180,"促销",IF(F667&lt;=365,"红线促销","考虑清仓")))))))))</x:f>
        <x:v>断货</x:v>
      </x:c>
      <x:c r="F667" s="11" t="str">
        <x:f>IF(AND(ISNUMBER(H667),ISNUMBER(G667),G667&gt;0),H667/G667,"")</x:f>
      </x:c>
      <x:c r="G667" s="12" t="n">
        <x:f>IF(AND(COUNT(P667:R667)=3,MIN(P667:R667)&gt;=0,P667&lt;=Q667,Q667&lt;=R667),P667/7*0.5+Q667/14*0.3+R667/30*0.2,"")</x:f>
        <x:v>0</x:v>
      </x:c>
      <x:c r="H667" s="10" t="n">
        <x:f>IF(ISNUMBER(U667),U667,"")</x:f>
        <x:v>0</x:v>
      </x:c>
      <x:c r="I667" s="10" t="n">
        <x:v>0</x:v>
      </x:c>
      <x:c r="J667" s="11" t="str">
        <x:f>IF(AND(Z667="共同",ISNUMBER(F667),ISNUMBER(M667)),F667-M667,"")</x:f>
      </x:c>
      <x:c r="K667" s="13" t="str">
        <x:f>IF(AND(ISNUMBER(J667),M667&lt;&gt;0),J667/M667,"")</x:f>
      </x:c>
      <x:c r="L667" s="10" t="str">
        <x:v>断货</x:v>
      </x:c>
      <x:c r="M667" s="11"/>
      <x:c r="N667" s="10" t="n">
        <x:f>IF(AND(Z667="共同",COUNT(H667:I667)=2),H667-I667,"")</x:f>
        <x:v>0</x:v>
      </x:c>
      <x:c r="O667" s="10" t="n">
        <x:v>12</x:v>
      </x:c>
      <x:c r="P667" s="10" t="n">
        <x:v>0</x:v>
      </x:c>
      <x:c r="Q667" s="10" t="n">
        <x:v>0</x:v>
      </x:c>
      <x:c r="R667" s="10" t="n">
        <x:v>0</x:v>
      </x:c>
      <x:c r="S667" s="10" t="n">
        <x:v>0</x:v>
      </x:c>
      <x:c r="T667" s="10" t="n">
        <x:v>0</x:v>
      </x:c>
      <x:c r="U667" s="10" t="n">
        <x:f>IF(AND(ISNUMBER(X667),X667&gt;=0,Y667&lt;&gt;1),X667,"")</x:f>
        <x:v>0</x:v>
      </x:c>
      <x:c r="V667" s="10" t="n">
        <x:v>0</x:v>
      </x:c>
      <x:c r="W667" s="10" t="n">
        <x:v>19</x:v>
      </x:c>
      <x:c r="X667" s="10" t="n">
        <x:v>0</x:v>
      </x:c>
      <x:c r="Y667" s="3" t="n">
        <x:v>0</x:v>
      </x:c>
      <x:c r="Z667" s="3" t="str">
        <x:v>共同</x:v>
      </x:c>
      <x:c r="AA667" s="3" t="str">
        <x:v>停售</x:v>
      </x:c>
      <x:c r="AB667" s="12" t="n">
        <x:f>IF(AND(Z667="共同",ISNUMBER(G667),ISNUMBER(AD667)),G667-AD667,"")</x:f>
        <x:v>0</x:v>
      </x:c>
      <x:c r="AC667" s="3" t="str"/>
      <x:c r="AD667" s="12" t="n">
        <x:v>0</x:v>
      </x:c>
      <x:c r="AE667" s="3" t="str">
        <x:v>[13120,"B06b-NU-37.5"]</x:v>
      </x:c>
      <x:c r="AF667" t="n">
        <x:f>IF(ISNUMBER(H667),1,0)</x:f>
        <x:v>1</x:v>
      </x:c>
      <x:c r="AG667" t="n">
        <x:f>IF(ISNUMBER(I667),1,0)</x:f>
        <x:v>1</x:v>
      </x:c>
      <x:c r="AH667" t="str">
        <x:v>["B06b","B06b-NU","NU","裸色羊京绒"]</x:v>
      </x:c>
      <x:c r="AI667" t="n">
        <x:f>IF(ISNUMBER(G667),1,0)</x:f>
        <x:v>1</x:v>
      </x:c>
      <x:c r="AJ667" t="n">
        <x:f>IF(ISNUMBER(AD667),1,0)</x:f>
        <x:v>1</x:v>
      </x:c>
    </x:row>
    <x:row r="668" ht="30" customHeight="1">
      <x:c r="A668" s="3" t="str">
        <x:v>B06b-NU-39.5</x:v>
      </x:c>
      <x:c r="B668" s="3" t="str">
        <x:v>1店-MUSSHOE-US</x:v>
      </x:c>
      <x:c r="C668" s="3" t="str">
        <x:v>艾年</x:v>
      </x:c>
      <x:c r="D668" s="3" t="str">
        <x:v>B06b</x:v>
      </x:c>
      <x:c r="E668" s="3" t="str">
        <x:f>IF(Z668="移出","已移出",IF(NOT(ISNUMBER(H668)),"数据待核",IF(H668=0,"断货",IF(NOT(ISNUMBER(G668)),"数据待核",IF(G668=0,"零日销待复核",IF(F668&lt;60,"补货提醒",IF(F668&lt;=90,"正常库存",IF(F668&lt;180,"促销",IF(F668&lt;=365,"红线促销","考虑清仓")))))))))</x:f>
        <x:v>断货</x:v>
      </x:c>
      <x:c r="F668" s="11" t="n">
        <x:f>IF(AND(ISNUMBER(H668),ISNUMBER(G668),G668&gt;0),H668/G668,"")</x:f>
        <x:v>0</x:v>
      </x:c>
      <x:c r="G668" s="12" t="n">
        <x:f>IF(AND(COUNT(P668:R668)=3,MIN(P668:R668)&gt;=0,P668&lt;=Q668,Q668&lt;=R668),P668/7*0.5+Q668/14*0.3+R668/30*0.2,"")</x:f>
        <x:v>0.028095238095238093</x:v>
      </x:c>
      <x:c r="H668" s="10" t="n">
        <x:f>IF(ISNUMBER(U668),U668,"")</x:f>
        <x:v>0</x:v>
      </x:c>
      <x:c r="I668" s="10" t="n">
        <x:v>0</x:v>
      </x:c>
      <x:c r="J668" s="11" t="n">
        <x:f>IF(AND(Z668="共同",ISNUMBER(F668),ISNUMBER(M668)),F668-M668,"")</x:f>
        <x:v>0</x:v>
      </x:c>
      <x:c r="K668" s="13" t="str">
        <x:f>IF(AND(ISNUMBER(J668),M668&lt;&gt;0),J668/M668,"")</x:f>
      </x:c>
      <x:c r="L668" s="10" t="str">
        <x:v>断货</x:v>
      </x:c>
      <x:c r="M668" s="11" t="n">
        <x:v>0</x:v>
      </x:c>
      <x:c r="N668" s="10" t="n">
        <x:f>IF(AND(Z668="共同",COUNT(H668:I668)=2),H668-I668,"")</x:f>
        <x:v>0</x:v>
      </x:c>
      <x:c r="O668" s="10" t="n">
        <x:v>37</x:v>
      </x:c>
      <x:c r="P668" s="10" t="n">
        <x:v>0</x:v>
      </x:c>
      <x:c r="Q668" s="10" t="n">
        <x:v>1</x:v>
      </x:c>
      <x:c r="R668" s="10" t="n">
        <x:v>1</x:v>
      </x:c>
      <x:c r="S668" s="10" t="n">
        <x:v>0</x:v>
      </x:c>
      <x:c r="T668" s="10" t="n">
        <x:v>0</x:v>
      </x:c>
      <x:c r="U668" s="10" t="n">
        <x:f>IF(AND(ISNUMBER(X668),X668&gt;=0,Y668&lt;&gt;1),X668,"")</x:f>
        <x:v>0</x:v>
      </x:c>
      <x:c r="V668" s="10" t="n">
        <x:v>0</x:v>
      </x:c>
      <x:c r="W668" s="10" t="n">
        <x:v>20</x:v>
      </x:c>
      <x:c r="X668" s="10" t="n">
        <x:v>0</x:v>
      </x:c>
      <x:c r="Y668" s="3" t="n">
        <x:v>0</x:v>
      </x:c>
      <x:c r="Z668" s="3" t="str">
        <x:v>共同</x:v>
      </x:c>
      <x:c r="AA668" s="3" t="str">
        <x:v>停售</x:v>
      </x:c>
      <x:c r="AB668" s="12" t="n">
        <x:f>IF(AND(Z668="共同",ISNUMBER(G668),ISNUMBER(AD668)),G668-AD668,"")</x:f>
        <x:v>-0.07142857142857142</x:v>
      </x:c>
      <x:c r="AC668" s="3" t="str"/>
      <x:c r="AD668" s="12" t="n">
        <x:v>0.09952380952380951</x:v>
      </x:c>
      <x:c r="AE668" s="3" t="str">
        <x:v>[13120,"B06b-NU-39.5"]</x:v>
      </x:c>
      <x:c r="AF668" t="n">
        <x:f>IF(ISNUMBER(H668),1,0)</x:f>
        <x:v>1</x:v>
      </x:c>
      <x:c r="AG668" t="n">
        <x:f>IF(ISNUMBER(I668),1,0)</x:f>
        <x:v>1</x:v>
      </x:c>
      <x:c r="AH668" t="str">
        <x:v>["B06b","B06b-NU","NU","裸色羊京绒"]</x:v>
      </x:c>
      <x:c r="AI668" t="n">
        <x:f>IF(ISNUMBER(G668),1,0)</x:f>
        <x:v>1</x:v>
      </x:c>
      <x:c r="AJ668" t="n">
        <x:f>IF(ISNUMBER(AD668),1,0)</x:f>
        <x:v>1</x:v>
      </x:c>
    </x:row>
    <x:row r="669" ht="30" customHeight="1">
      <x:c r="A669" s="3" t="str">
        <x:v>B06b-NU-41</x:v>
      </x:c>
      <x:c r="B669" s="3" t="str">
        <x:v>1店-MUSSHOE-US</x:v>
      </x:c>
      <x:c r="C669" s="3" t="str">
        <x:v>艾年</x:v>
      </x:c>
      <x:c r="D669" s="3" t="str">
        <x:v>B06b</x:v>
      </x:c>
      <x:c r="E669" s="3" t="str">
        <x:f>IF(Z669="移出","已移出",IF(NOT(ISNUMBER(H669)),"数据待核",IF(H669=0,"断货",IF(NOT(ISNUMBER(G669)),"数据待核",IF(G669=0,"零日销待复核",IF(F669&lt;60,"补货提醒",IF(F669&lt;=90,"正常库存",IF(F669&lt;180,"促销",IF(F669&lt;=365,"红线促销","考虑清仓")))))))))</x:f>
        <x:v>断货</x:v>
      </x:c>
      <x:c r="F669" s="11" t="n">
        <x:f>IF(AND(ISNUMBER(H669),ISNUMBER(G669),G669&gt;0),H669/G669,"")</x:f>
        <x:v>0</x:v>
      </x:c>
      <x:c r="G669" s="12" t="n">
        <x:f>IF(AND(COUNT(P669:R669)=3,MIN(P669:R669)&gt;=0,P669&lt;=Q669,Q669&lt;=R669),P669/7*0.5+Q669/14*0.3+R669/30*0.2,"")</x:f>
        <x:v>0.1676190476190476</x:v>
      </x:c>
      <x:c r="H669" s="10" t="n">
        <x:f>IF(ISNUMBER(U669),U669,"")</x:f>
        <x:v>0</x:v>
      </x:c>
      <x:c r="I669" s="10" t="n">
        <x:v>0</x:v>
      </x:c>
      <x:c r="J669" s="11" t="n">
        <x:f>IF(AND(Z669="共同",ISNUMBER(F669),ISNUMBER(M669)),F669-M669,"")</x:f>
        <x:v>0</x:v>
      </x:c>
      <x:c r="K669" s="13" t="str">
        <x:f>IF(AND(ISNUMBER(J669),M669&lt;&gt;0),J669/M669,"")</x:f>
      </x:c>
      <x:c r="L669" s="10" t="str">
        <x:v>断货</x:v>
      </x:c>
      <x:c r="M669" s="11" t="n">
        <x:v>0</x:v>
      </x:c>
      <x:c r="N669" s="10" t="n">
        <x:f>IF(AND(Z669="共同",COUNT(H669:I669)=2),H669-I669,"")</x:f>
        <x:v>0</x:v>
      </x:c>
      <x:c r="O669" s="10" t="n">
        <x:v>11</x:v>
      </x:c>
      <x:c r="P669" s="10" t="n">
        <x:v>1</x:v>
      </x:c>
      <x:c r="Q669" s="10" t="n">
        <x:v>2</x:v>
      </x:c>
      <x:c r="R669" s="10" t="n">
        <x:v>8</x:v>
      </x:c>
      <x:c r="S669" s="10" t="n">
        <x:v>3</x:v>
      </x:c>
      <x:c r="T669" s="10" t="n">
        <x:v>2</x:v>
      </x:c>
      <x:c r="U669" s="10" t="n">
        <x:f>IF(AND(ISNUMBER(X669),X669&gt;=0,Y669&lt;&gt;1),X669,"")</x:f>
        <x:v>0</x:v>
      </x:c>
      <x:c r="V669" s="10" t="n">
        <x:v>0</x:v>
      </x:c>
      <x:c r="W669" s="10" t="n">
        <x:v>40</x:v>
      </x:c>
      <x:c r="X669" s="10" t="n">
        <x:v>0</x:v>
      </x:c>
      <x:c r="Y669" s="3" t="n">
        <x:v>0</x:v>
      </x:c>
      <x:c r="Z669" s="3" t="str">
        <x:v>共同</x:v>
      </x:c>
      <x:c r="AA669" s="3" t="str">
        <x:v>在售</x:v>
      </x:c>
      <x:c r="AB669" s="12" t="n">
        <x:f>IF(AND(Z669="共同",ISNUMBER(G669),ISNUMBER(AD669)),G669-AD669,"")</x:f>
        <x:v>-0.19714285714285712</x:v>
      </x:c>
      <x:c r="AC669" s="3" t="str"/>
      <x:c r="AD669" s="12" t="n">
        <x:v>0.36476190476190473</x:v>
      </x:c>
      <x:c r="AE669" s="3" t="str">
        <x:v>[13120,"B06b-NU-41"]</x:v>
      </x:c>
      <x:c r="AF669" t="n">
        <x:f>IF(ISNUMBER(H669),1,0)</x:f>
        <x:v>1</x:v>
      </x:c>
      <x:c r="AG669" t="n">
        <x:f>IF(ISNUMBER(I669),1,0)</x:f>
        <x:v>1</x:v>
      </x:c>
      <x:c r="AH669" t="str">
        <x:v>["B06b","B06b-NU","NU","裸色羊京绒"]</x:v>
      </x:c>
      <x:c r="AI669" t="n">
        <x:f>IF(ISNUMBER(G669),1,0)</x:f>
        <x:v>1</x:v>
      </x:c>
      <x:c r="AJ669" t="n">
        <x:f>IF(ISNUMBER(AD669),1,0)</x:f>
        <x:v>1</x:v>
      </x:c>
    </x:row>
    <x:row r="670" ht="30" customHeight="1">
      <x:c r="A670" s="3" t="str">
        <x:v>B06b-NU-41.5</x:v>
      </x:c>
      <x:c r="B670" s="3" t="str">
        <x:v>1店-MUSSHOE-US</x:v>
      </x:c>
      <x:c r="C670" s="3" t="str">
        <x:v>艾年</x:v>
      </x:c>
      <x:c r="D670" s="3" t="str">
        <x:v>B06b</x:v>
      </x:c>
      <x:c r="E670" s="3" t="str">
        <x:f>IF(Z670="移出","已移出",IF(NOT(ISNUMBER(H670)),"数据待核",IF(H670=0,"断货",IF(NOT(ISNUMBER(G670)),"数据待核",IF(G670=0,"零日销待复核",IF(F670&lt;60,"补货提醒",IF(F670&lt;=90,"正常库存",IF(F670&lt;180,"促销",IF(F670&lt;=365,"红线促销","考虑清仓")))))))))</x:f>
        <x:v>断货</x:v>
      </x:c>
      <x:c r="F670" s="11" t="n">
        <x:f>IF(AND(ISNUMBER(H670),ISNUMBER(G670),G670&gt;0),H670/G670,"")</x:f>
        <x:v>0</x:v>
      </x:c>
      <x:c r="G670" s="12" t="n">
        <x:f>IF(AND(COUNT(P670:R670)=3,MIN(P670:R670)&gt;=0,P670&lt;=Q670,Q670&lt;=R670),P670/7*0.5+Q670/14*0.3+R670/30*0.2,"")</x:f>
        <x:v>0.03476190476190476</x:v>
      </x:c>
      <x:c r="H670" s="10" t="n">
        <x:f>IF(ISNUMBER(U670),U670,"")</x:f>
        <x:v>0</x:v>
      </x:c>
      <x:c r="I670" s="10" t="n">
        <x:v>0</x:v>
      </x:c>
      <x:c r="J670" s="11" t="n">
        <x:f>IF(AND(Z670="共同",ISNUMBER(F670),ISNUMBER(M670)),F670-M670,"")</x:f>
        <x:v>0</x:v>
      </x:c>
      <x:c r="K670" s="13" t="str">
        <x:f>IF(AND(ISNUMBER(J670),M670&lt;&gt;0),J670/M670,"")</x:f>
      </x:c>
      <x:c r="L670" s="10" t="str">
        <x:v>断货</x:v>
      </x:c>
      <x:c r="M670" s="11" t="n">
        <x:v>0</x:v>
      </x:c>
      <x:c r="N670" s="10" t="n">
        <x:f>IF(AND(Z670="共同",COUNT(H670:I670)=2),H670-I670,"")</x:f>
        <x:v>0</x:v>
      </x:c>
      <x:c r="O670" s="10" t="n">
        <x:v>10</x:v>
      </x:c>
      <x:c r="P670" s="10" t="n">
        <x:v>0</x:v>
      </x:c>
      <x:c r="Q670" s="10" t="n">
        <x:v>1</x:v>
      </x:c>
      <x:c r="R670" s="10" t="n">
        <x:v>2</x:v>
      </x:c>
      <x:c r="S670" s="10" t="n">
        <x:v>0</x:v>
      </x:c>
      <x:c r="T670" s="10" t="n">
        <x:v>0</x:v>
      </x:c>
      <x:c r="U670" s="10" t="n">
        <x:f>IF(AND(ISNUMBER(X670),X670&gt;=0,Y670&lt;&gt;1),X670,"")</x:f>
        <x:v>0</x:v>
      </x:c>
      <x:c r="V670" s="10" t="n">
        <x:v>0</x:v>
      </x:c>
      <x:c r="W670" s="10" t="n">
        <x:v>0</x:v>
      </x:c>
      <x:c r="X670" s="10" t="n">
        <x:v>0</x:v>
      </x:c>
      <x:c r="Y670" s="3" t="n">
        <x:v>0</x:v>
      </x:c>
      <x:c r="Z670" s="3" t="str">
        <x:v>共同</x:v>
      </x:c>
      <x:c r="AA670" s="3" t="str">
        <x:v>停售</x:v>
      </x:c>
      <x:c r="AB670" s="12" t="n">
        <x:f>IF(AND(Z670="共同",ISNUMBER(G670),ISNUMBER(AD670)),G670-AD670,"")</x:f>
        <x:v>-0.09285714285714285</x:v>
      </x:c>
      <x:c r="AC670" s="3" t="str"/>
      <x:c r="AD670" s="12" t="n">
        <x:v>0.1276190476190476</x:v>
      </x:c>
      <x:c r="AE670" s="3" t="str">
        <x:v>[13120,"B06b-NU-41.5"]</x:v>
      </x:c>
      <x:c r="AF670" t="n">
        <x:f>IF(ISNUMBER(H670),1,0)</x:f>
        <x:v>1</x:v>
      </x:c>
      <x:c r="AG670" t="n">
        <x:f>IF(ISNUMBER(I670),1,0)</x:f>
        <x:v>1</x:v>
      </x:c>
      <x:c r="AH670" t="str">
        <x:v>["B06b","B06b-NU","NU","裸色羊京绒"]</x:v>
      </x:c>
      <x:c r="AI670" t="n">
        <x:f>IF(ISNUMBER(G670),1,0)</x:f>
        <x:v>1</x:v>
      </x:c>
      <x:c r="AJ670" t="n">
        <x:f>IF(ISNUMBER(AD670),1,0)</x:f>
        <x:v>1</x:v>
      </x:c>
    </x:row>
    <x:row r="671" ht="30" customHeight="1">
      <x:c r="A671" s="3" t="str">
        <x:v>B06b-NU-42</x:v>
      </x:c>
      <x:c r="B671" s="3" t="str">
        <x:v>1店-MUSSHOE-US</x:v>
      </x:c>
      <x:c r="C671" s="3" t="str">
        <x:v>艾年</x:v>
      </x:c>
      <x:c r="D671" s="3" t="str">
        <x:v>B06b</x:v>
      </x:c>
      <x:c r="E671" s="3" t="str">
        <x:f>IF(Z671="移出","已移出",IF(NOT(ISNUMBER(H671)),"数据待核",IF(H671=0,"断货",IF(NOT(ISNUMBER(G671)),"数据待核",IF(G671=0,"零日销待复核",IF(F671&lt;60,"补货提醒",IF(F671&lt;=90,"正常库存",IF(F671&lt;180,"促销",IF(F671&lt;=365,"红线促销","考虑清仓")))))))))</x:f>
        <x:v>断货</x:v>
      </x:c>
      <x:c r="F671" s="11" t="n">
        <x:f>IF(AND(ISNUMBER(H671),ISNUMBER(G671),G671&gt;0),H671/G671,"")</x:f>
        <x:v>0</x:v>
      </x:c>
      <x:c r="G671" s="12" t="n">
        <x:f>IF(AND(COUNT(P671:R671)=3,MIN(P671:R671)&gt;=0,P671&lt;=Q671,Q671&lt;=R671),P671/7*0.5+Q671/14*0.3+R671/30*0.2,"")</x:f>
        <x:v>0.006666666666666667</x:v>
      </x:c>
      <x:c r="H671" s="10" t="n">
        <x:f>IF(ISNUMBER(U671),U671,"")</x:f>
        <x:v>0</x:v>
      </x:c>
      <x:c r="I671" s="10" t="n">
        <x:v>0</x:v>
      </x:c>
      <x:c r="J671" s="11" t="n">
        <x:f>IF(AND(Z671="共同",ISNUMBER(F671),ISNUMBER(M671)),F671-M671,"")</x:f>
        <x:v>0</x:v>
      </x:c>
      <x:c r="K671" s="13" t="str">
        <x:f>IF(AND(ISNUMBER(J671),M671&lt;&gt;0),J671/M671,"")</x:f>
      </x:c>
      <x:c r="L671" s="10" t="str">
        <x:v>断货</x:v>
      </x:c>
      <x:c r="M671" s="11" t="n">
        <x:v>0</x:v>
      </x:c>
      <x:c r="N671" s="10" t="n">
        <x:f>IF(AND(Z671="共同",COUNT(H671:I671)=2),H671-I671,"")</x:f>
        <x:v>0</x:v>
      </x:c>
      <x:c r="O671" s="10" t="n">
        <x:v>127</x:v>
      </x:c>
      <x:c r="P671" s="10" t="n">
        <x:v>0</x:v>
      </x:c>
      <x:c r="Q671" s="10" t="n">
        <x:v>0</x:v>
      </x:c>
      <x:c r="R671" s="10" t="n">
        <x:v>1</x:v>
      </x:c>
      <x:c r="S671" s="10" t="n">
        <x:v>1</x:v>
      </x:c>
      <x:c r="T671" s="10" t="n">
        <x:v>0</x:v>
      </x:c>
      <x:c r="U671" s="10" t="n">
        <x:f>IF(AND(ISNUMBER(X671),X671&gt;=0,Y671&lt;&gt;1),X671,"")</x:f>
        <x:v>0</x:v>
      </x:c>
      <x:c r="V671" s="10" t="n">
        <x:v>0</x:v>
      </x:c>
      <x:c r="W671" s="10" t="n">
        <x:v>35</x:v>
      </x:c>
      <x:c r="X671" s="10" t="n">
        <x:v>0</x:v>
      </x:c>
      <x:c r="Y671" s="3" t="n">
        <x:v>0</x:v>
      </x:c>
      <x:c r="Z671" s="3" t="str">
        <x:v>共同</x:v>
      </x:c>
      <x:c r="AA671" s="3" t="str">
        <x:v>停售</x:v>
      </x:c>
      <x:c r="AB671" s="12" t="n">
        <x:f>IF(AND(Z671="共同",ISNUMBER(G671),ISNUMBER(AD671)),G671-AD671,"")</x:f>
        <x:v>-0.02809523809523809</x:v>
      </x:c>
      <x:c r="AC671" s="3" t="str"/>
      <x:c r="AD671" s="12" t="n">
        <x:v>0.03476190476190476</x:v>
      </x:c>
      <x:c r="AE671" s="3" t="str">
        <x:v>[13120,"B06b-NU-42"]</x:v>
      </x:c>
      <x:c r="AF671" t="n">
        <x:f>IF(ISNUMBER(H671),1,0)</x:f>
        <x:v>1</x:v>
      </x:c>
      <x:c r="AG671" t="n">
        <x:f>IF(ISNUMBER(I671),1,0)</x:f>
        <x:v>1</x:v>
      </x:c>
      <x:c r="AH671" t="str">
        <x:v>["B06b","B06b-NU","NU","裸色羊京绒"]</x:v>
      </x:c>
      <x:c r="AI671" t="n">
        <x:f>IF(ISNUMBER(G671),1,0)</x:f>
        <x:v>1</x:v>
      </x:c>
      <x:c r="AJ671" t="n">
        <x:f>IF(ISNUMBER(AD671),1,0)</x:f>
        <x:v>1</x:v>
      </x:c>
    </x:row>
    <x:row r="672" ht="30" customHeight="1">
      <x:c r="A672" s="3" t="str">
        <x:v>B06b-NY-37</x:v>
      </x:c>
      <x:c r="B672" s="3" t="str">
        <x:v>1店-MUSSHOE-US</x:v>
      </x:c>
      <x:c r="C672" s="3" t="str">
        <x:v>艾年</x:v>
      </x:c>
      <x:c r="D672" s="3" t="str">
        <x:v>B06b</x:v>
      </x:c>
      <x:c r="E672" s="3" t="str">
        <x:f>IF(Z672="移出","已移出",IF(NOT(ISNUMBER(H672)),"数据待核",IF(H672=0,"断货",IF(NOT(ISNUMBER(G672)),"数据待核",IF(G672=0,"零日销待复核",IF(F672&lt;60,"补货提醒",IF(F672&lt;=90,"正常库存",IF(F672&lt;180,"促销",IF(F672&lt;=365,"红线促销","考虑清仓")))))))))</x:f>
        <x:v>断货</x:v>
      </x:c>
      <x:c r="F672" s="11" t="n">
        <x:f>IF(AND(ISNUMBER(H672),ISNUMBER(G672),G672&gt;0),H672/G672,"")</x:f>
        <x:v>0</x:v>
      </x:c>
      <x:c r="G672" s="12" t="n">
        <x:f>IF(AND(COUNT(P672:R672)=3,MIN(P672:R672)&gt;=0,P672&lt;=Q672,Q672&lt;=R672),P672/7*0.5+Q672/14*0.3+R672/30*0.2,"")</x:f>
        <x:v>0.09095238095238095</x:v>
      </x:c>
      <x:c r="H672" s="10" t="n">
        <x:f>IF(ISNUMBER(U672),U672,"")</x:f>
        <x:v>0</x:v>
      </x:c>
      <x:c r="I672" s="10" t="n">
        <x:v>2</x:v>
      </x:c>
      <x:c r="J672" s="11" t="n">
        <x:f>IF(AND(Z672="共同",ISNUMBER(F672),ISNUMBER(M672)),F672-M672,"")</x:f>
        <x:v>-14.893617021276595</x:v>
      </x:c>
      <x:c r="K672" s="13" t="n">
        <x:f>IF(AND(ISNUMBER(J672),M672&lt;&gt;0),J672/M672,"")</x:f>
        <x:v>-1</x:v>
      </x:c>
      <x:c r="L672" s="10" t="str">
        <x:v>补货提醒</x:v>
      </x:c>
      <x:c r="M672" s="11" t="n">
        <x:v>14.893617021276595</x:v>
      </x:c>
      <x:c r="N672" s="10" t="n">
        <x:f>IF(AND(Z672="共同",COUNT(H672:I672)=2),H672-I672,"")</x:f>
        <x:v>-2</x:v>
      </x:c>
      <x:c r="O672" s="10" t="n">
        <x:v>0</x:v>
      </x:c>
      <x:c r="P672" s="10" t="n">
        <x:v>0</x:v>
      </x:c>
      <x:c r="Q672" s="10" t="n">
        <x:v>3</x:v>
      </x:c>
      <x:c r="R672" s="10" t="n">
        <x:v>4</x:v>
      </x:c>
      <x:c r="S672" s="10" t="n">
        <x:v>0</x:v>
      </x:c>
      <x:c r="T672" s="10" t="n">
        <x:v>0</x:v>
      </x:c>
      <x:c r="U672" s="10" t="n">
        <x:f>IF(AND(ISNUMBER(X672),X672&gt;=0,Y672&lt;&gt;1),X672,"")</x:f>
        <x:v>0</x:v>
      </x:c>
      <x:c r="V672" s="10" t="n">
        <x:v>0</x:v>
      </x:c>
      <x:c r="W672" s="10" t="n">
        <x:v>0</x:v>
      </x:c>
      <x:c r="X672" s="10" t="n">
        <x:v>0</x:v>
      </x:c>
      <x:c r="Y672" s="3" t="n">
        <x:v>0</x:v>
      </x:c>
      <x:c r="Z672" s="3" t="str">
        <x:v>共同</x:v>
      </x:c>
      <x:c r="AA672" s="3" t="str">
        <x:v>停售</x:v>
      </x:c>
      <x:c r="AB672" s="12" t="n">
        <x:f>IF(AND(Z672="共同",ISNUMBER(G672),ISNUMBER(AD672)),G672-AD672,"")</x:f>
        <x:v>-0.043333333333333335</x:v>
      </x:c>
      <x:c r="AC672" s="3" t="str"/>
      <x:c r="AD672" s="12" t="n">
        <x:v>0.13428571428571429</x:v>
      </x:c>
      <x:c r="AE672" s="3" t="str">
        <x:v>[13120,"B06b-NY-37"]</x:v>
      </x:c>
      <x:c r="AF672" t="n">
        <x:f>IF(ISNUMBER(H672),1,0)</x:f>
        <x:v>1</x:v>
      </x:c>
      <x:c r="AG672" t="n">
        <x:f>IF(ISNUMBER(I672),1,0)</x:f>
        <x:v>1</x:v>
      </x:c>
      <x:c r="AH672" t="str">
        <x:v>["B06b","B06b-NY","NY","藏青色羊京绒"]</x:v>
      </x:c>
      <x:c r="AI672" t="n">
        <x:f>IF(ISNUMBER(G672),1,0)</x:f>
        <x:v>1</x:v>
      </x:c>
      <x:c r="AJ672" t="n">
        <x:f>IF(ISNUMBER(AD672),1,0)</x:f>
        <x:v>1</x:v>
      </x:c>
    </x:row>
    <x:row r="673" ht="30" customHeight="1">
      <x:c r="A673" s="3" t="str">
        <x:v>B06b-NY-38.5</x:v>
      </x:c>
      <x:c r="B673" s="3" t="str">
        <x:v>1店-MUSSHOE-US</x:v>
      </x:c>
      <x:c r="C673" s="3" t="str">
        <x:v>艾年</x:v>
      </x:c>
      <x:c r="D673" s="3" t="str">
        <x:v>B06b</x:v>
      </x:c>
      <x:c r="E673" s="3" t="str">
        <x:f>IF(Z673="移出","已移出",IF(NOT(ISNUMBER(H673)),"数据待核",IF(H673=0,"断货",IF(NOT(ISNUMBER(G673)),"数据待核",IF(G673=0,"零日销待复核",IF(F673&lt;60,"补货提醒",IF(F673&lt;=90,"正常库存",IF(F673&lt;180,"促销",IF(F673&lt;=365,"红线促销","考虑清仓")))))))))</x:f>
        <x:v>断货</x:v>
      </x:c>
      <x:c r="F673" s="11" t="n">
        <x:f>IF(AND(ISNUMBER(H673),ISNUMBER(G673),G673&gt;0),H673/G673,"")</x:f>
        <x:v>0</x:v>
      </x:c>
      <x:c r="G673" s="12" t="n">
        <x:f>IF(AND(COUNT(P673:R673)=3,MIN(P673:R673)&gt;=0,P673&lt;=Q673,Q673&lt;=R673),P673/7*0.5+Q673/14*0.3+R673/30*0.2,"")</x:f>
        <x:v>0.09952380952380951</x:v>
      </x:c>
      <x:c r="H673" s="10" t="n">
        <x:f>IF(ISNUMBER(U673),U673,"")</x:f>
        <x:v>0</x:v>
      </x:c>
      <x:c r="I673" s="10" t="n">
        <x:v>0</x:v>
      </x:c>
      <x:c r="J673" s="11" t="str">
        <x:f>IF(AND(Z673="共同",ISNUMBER(F673),ISNUMBER(M673)),F673-M673,"")</x:f>
      </x:c>
      <x:c r="K673" s="13" t="str">
        <x:f>IF(AND(ISNUMBER(J673),M673&lt;&gt;0),J673/M673,"")</x:f>
      </x:c>
      <x:c r="L673" s="10" t="str">
        <x:v>断货</x:v>
      </x:c>
      <x:c r="M673" s="11"/>
      <x:c r="N673" s="10" t="n">
        <x:f>IF(AND(Z673="共同",COUNT(H673:I673)=2),H673-I673,"")</x:f>
        <x:v>0</x:v>
      </x:c>
      <x:c r="O673" s="10" t="n">
        <x:v>0</x:v>
      </x:c>
      <x:c r="P673" s="10" t="n">
        <x:v>1</x:v>
      </x:c>
      <x:c r="Q673" s="10" t="n">
        <x:v>1</x:v>
      </x:c>
      <x:c r="R673" s="10" t="n">
        <x:v>1</x:v>
      </x:c>
      <x:c r="S673" s="10" t="n">
        <x:v>0</x:v>
      </x:c>
      <x:c r="T673" s="10" t="n">
        <x:v>0</x:v>
      </x:c>
      <x:c r="U673" s="10" t="n">
        <x:f>IF(AND(ISNUMBER(X673),X673&gt;=0,Y673&lt;&gt;1),X673,"")</x:f>
        <x:v>0</x:v>
      </x:c>
      <x:c r="V673" s="10" t="n">
        <x:v>0</x:v>
      </x:c>
      <x:c r="W673" s="10" t="n">
        <x:v>18</x:v>
      </x:c>
      <x:c r="X673" s="10" t="n">
        <x:v>0</x:v>
      </x:c>
      <x:c r="Y673" s="3" t="n">
        <x:v>0</x:v>
      </x:c>
      <x:c r="Z673" s="3" t="str">
        <x:v>共同</x:v>
      </x:c>
      <x:c r="AA673" s="3" t="str">
        <x:v>停售</x:v>
      </x:c>
      <x:c r="AB673" s="12" t="n">
        <x:f>IF(AND(Z673="共同",ISNUMBER(G673),ISNUMBER(AD673)),G673-AD673,"")</x:f>
        <x:v>0.09952380952380951</x:v>
      </x:c>
      <x:c r="AC673" s="3" t="str"/>
      <x:c r="AD673" s="12" t="n">
        <x:v>0</x:v>
      </x:c>
      <x:c r="AE673" s="3" t="str">
        <x:v>[13120,"B06b-NY-38.5"]</x:v>
      </x:c>
      <x:c r="AF673" t="n">
        <x:f>IF(ISNUMBER(H673),1,0)</x:f>
        <x:v>1</x:v>
      </x:c>
      <x:c r="AG673" t="n">
        <x:f>IF(ISNUMBER(I673),1,0)</x:f>
        <x:v>1</x:v>
      </x:c>
      <x:c r="AH673" t="str">
        <x:v>["B06b","B06b-NY","NY","藏青色羊京绒"]</x:v>
      </x:c>
      <x:c r="AI673" t="n">
        <x:f>IF(ISNUMBER(G673),1,0)</x:f>
        <x:v>1</x:v>
      </x:c>
      <x:c r="AJ673" t="n">
        <x:f>IF(ISNUMBER(AD673),1,0)</x:f>
        <x:v>1</x:v>
      </x:c>
    </x:row>
    <x:row r="674" ht="30" customHeight="1">
      <x:c r="A674" s="3" t="str">
        <x:v>B06b-NY-39.5</x:v>
      </x:c>
      <x:c r="B674" s="3" t="str">
        <x:v>1店-MUSSHOE-US</x:v>
      </x:c>
      <x:c r="C674" s="3" t="str">
        <x:v>艾年</x:v>
      </x:c>
      <x:c r="D674" s="3" t="str">
        <x:v>B06b</x:v>
      </x:c>
      <x:c r="E674" s="3" t="str">
        <x:f>IF(Z674="移出","已移出",IF(NOT(ISNUMBER(H674)),"数据待核",IF(H674=0,"断货",IF(NOT(ISNUMBER(G674)),"数据待核",IF(G674=0,"零日销待复核",IF(F674&lt;60,"补货提醒",IF(F674&lt;=90,"正常库存",IF(F674&lt;180,"促销",IF(F674&lt;=365,"红线促销","考虑清仓")))))))))</x:f>
        <x:v>断货</x:v>
      </x:c>
      <x:c r="F674" s="11" t="str">
        <x:f>IF(AND(ISNUMBER(H674),ISNUMBER(G674),G674&gt;0),H674/G674,"")</x:f>
      </x:c>
      <x:c r="G674" s="12" t="n">
        <x:f>IF(AND(COUNT(P674:R674)=3,MIN(P674:R674)&gt;=0,P674&lt;=Q674,Q674&lt;=R674),P674/7*0.5+Q674/14*0.3+R674/30*0.2,"")</x:f>
        <x:v>0</x:v>
      </x:c>
      <x:c r="H674" s="10" t="n">
        <x:f>IF(ISNUMBER(U674),U674,"")</x:f>
        <x:v>0</x:v>
      </x:c>
      <x:c r="I674" s="10" t="n">
        <x:v>0</x:v>
      </x:c>
      <x:c r="J674" s="11" t="str">
        <x:f>IF(AND(Z674="共同",ISNUMBER(F674),ISNUMBER(M674)),F674-M674,"")</x:f>
      </x:c>
      <x:c r="K674" s="13" t="str">
        <x:f>IF(AND(ISNUMBER(J674),M674&lt;&gt;0),J674/M674,"")</x:f>
      </x:c>
      <x:c r="L674" s="10" t="str">
        <x:v>断货</x:v>
      </x:c>
      <x:c r="M674" s="11"/>
      <x:c r="N674" s="10" t="n">
        <x:f>IF(AND(Z674="共同",COUNT(H674:I674)=2),H674-I674,"")</x:f>
        <x:v>0</x:v>
      </x:c>
      <x:c r="O674" s="10" t="n">
        <x:v>0</x:v>
      </x:c>
      <x:c r="P674" s="10" t="n">
        <x:v>0</x:v>
      </x:c>
      <x:c r="Q674" s="10" t="n">
        <x:v>0</x:v>
      </x:c>
      <x:c r="R674" s="10" t="n">
        <x:v>0</x:v>
      </x:c>
      <x:c r="S674" s="10" t="n">
        <x:v>0</x:v>
      </x:c>
      <x:c r="T674" s="10" t="n">
        <x:v>0</x:v>
      </x:c>
      <x:c r="U674" s="10" t="n">
        <x:f>IF(AND(ISNUMBER(X674),X674&gt;=0,Y674&lt;&gt;1),X674,"")</x:f>
        <x:v>0</x:v>
      </x:c>
      <x:c r="V674" s="10" t="n">
        <x:v>0</x:v>
      </x:c>
      <x:c r="W674" s="10" t="n">
        <x:v>14</x:v>
      </x:c>
      <x:c r="X674" s="10" t="n">
        <x:v>0</x:v>
      </x:c>
      <x:c r="Y674" s="3" t="n">
        <x:v>0</x:v>
      </x:c>
      <x:c r="Z674" s="3" t="str">
        <x:v>共同</x:v>
      </x:c>
      <x:c r="AA674" s="3" t="str">
        <x:v>停售</x:v>
      </x:c>
      <x:c r="AB674" s="12" t="n">
        <x:f>IF(AND(Z674="共同",ISNUMBER(G674),ISNUMBER(AD674)),G674-AD674,"")</x:f>
        <x:v>0</x:v>
      </x:c>
      <x:c r="AC674" s="3" t="str"/>
      <x:c r="AD674" s="12" t="n">
        <x:v>0</x:v>
      </x:c>
      <x:c r="AE674" s="3" t="str">
        <x:v>[13120,"B06b-NY-39.5"]</x:v>
      </x:c>
      <x:c r="AF674" t="n">
        <x:f>IF(ISNUMBER(H674),1,0)</x:f>
        <x:v>1</x:v>
      </x:c>
      <x:c r="AG674" t="n">
        <x:f>IF(ISNUMBER(I674),1,0)</x:f>
        <x:v>1</x:v>
      </x:c>
      <x:c r="AH674" t="str">
        <x:v>["B06b","B06b-NY","NY","藏青色羊京绒"]</x:v>
      </x:c>
      <x:c r="AI674" t="n">
        <x:f>IF(ISNUMBER(G674),1,0)</x:f>
        <x:v>1</x:v>
      </x:c>
      <x:c r="AJ674" t="n">
        <x:f>IF(ISNUMBER(AD674),1,0)</x:f>
        <x:v>1</x:v>
      </x:c>
    </x:row>
    <x:row r="675" ht="30" customHeight="1">
      <x:c r="A675" s="3" t="str">
        <x:v>B06b-NY-40</x:v>
      </x:c>
      <x:c r="B675" s="3" t="str">
        <x:v>1店-MUSSHOE-US</x:v>
      </x:c>
      <x:c r="C675" s="3" t="str">
        <x:v>艾年</x:v>
      </x:c>
      <x:c r="D675" s="3" t="str">
        <x:v>B06b</x:v>
      </x:c>
      <x:c r="E675" s="3" t="str">
        <x:f>IF(Z675="移出","已移出",IF(NOT(ISNUMBER(H675)),"数据待核",IF(H675=0,"断货",IF(NOT(ISNUMBER(G675)),"数据待核",IF(G675=0,"零日销待复核",IF(F675&lt;60,"补货提醒",IF(F675&lt;=90,"正常库存",IF(F675&lt;180,"促销",IF(F675&lt;=365,"红线促销","考虑清仓")))))))))</x:f>
        <x:v>断货</x:v>
      </x:c>
      <x:c r="F675" s="11" t="n">
        <x:f>IF(AND(ISNUMBER(H675),ISNUMBER(G675),G675&gt;0),H675/G675,"")</x:f>
        <x:v>0</x:v>
      </x:c>
      <x:c r="G675" s="12" t="n">
        <x:f>IF(AND(COUNT(P675:R675)=3,MIN(P675:R675)&gt;=0,P675&lt;=Q675,Q675&lt;=R675),P675/7*0.5+Q675/14*0.3+R675/30*0.2,"")</x:f>
        <x:v>0.47428571428571425</x:v>
      </x:c>
      <x:c r="H675" s="10" t="n">
        <x:f>IF(ISNUMBER(U675),U675,"")</x:f>
        <x:v>0</x:v>
      </x:c>
      <x:c r="I675" s="10" t="n">
        <x:v>5</x:v>
      </x:c>
      <x:c r="J675" s="11" t="n">
        <x:f>IF(AND(Z675="共同",ISNUMBER(F675),ISNUMBER(M675)),F675-M675,"")</x:f>
        <x:v>-21.38492871690428</x:v>
      </x:c>
      <x:c r="K675" s="13" t="n">
        <x:f>IF(AND(ISNUMBER(J675),M675&lt;&gt;0),J675/M675,"")</x:f>
        <x:v>-1</x:v>
      </x:c>
      <x:c r="L675" s="10" t="str">
        <x:v>补货提醒</x:v>
      </x:c>
      <x:c r="M675" s="11" t="n">
        <x:v>21.38492871690428</x:v>
      </x:c>
      <x:c r="N675" s="10" t="n">
        <x:f>IF(AND(Z675="共同",COUNT(H675:I675)=2),H675-I675,"")</x:f>
        <x:v>-5</x:v>
      </x:c>
      <x:c r="O675" s="10" t="n">
        <x:v>0</x:v>
      </x:c>
      <x:c r="P675" s="10" t="n">
        <x:v>4</x:v>
      </x:c>
      <x:c r="Q675" s="10" t="n">
        <x:v>6</x:v>
      </x:c>
      <x:c r="R675" s="10" t="n">
        <x:v>9</x:v>
      </x:c>
      <x:c r="S675" s="10" t="n">
        <x:v>1</x:v>
      </x:c>
      <x:c r="T675" s="10" t="n">
        <x:v>1</x:v>
      </x:c>
      <x:c r="U675" s="10" t="n">
        <x:f>IF(AND(ISNUMBER(X675),X675&gt;=0,Y675&lt;&gt;1),X675,"")</x:f>
        <x:v>0</x:v>
      </x:c>
      <x:c r="V675" s="10" t="n">
        <x:v>0</x:v>
      </x:c>
      <x:c r="W675" s="10" t="n">
        <x:v>0</x:v>
      </x:c>
      <x:c r="X675" s="10" t="n">
        <x:v>0</x:v>
      </x:c>
      <x:c r="Y675" s="3" t="n">
        <x:v>0</x:v>
      </x:c>
      <x:c r="Z675" s="3" t="str">
        <x:v>共同</x:v>
      </x:c>
      <x:c r="AA675" s="3" t="str">
        <x:v>在售</x:v>
      </x:c>
      <x:c r="AB675" s="12" t="n">
        <x:f>IF(AND(Z675="共同",ISNUMBER(G675),ISNUMBER(AD675)),G675-AD675,"")</x:f>
        <x:v>0.24047619047619048</x:v>
      </x:c>
      <x:c r="AC675" s="3" t="str"/>
      <x:c r="AD675" s="12" t="n">
        <x:v>0.23380952380952377</x:v>
      </x:c>
      <x:c r="AE675" s="3" t="str">
        <x:v>[13120,"B06b-NY-40"]</x:v>
      </x:c>
      <x:c r="AF675" t="n">
        <x:f>IF(ISNUMBER(H675),1,0)</x:f>
        <x:v>1</x:v>
      </x:c>
      <x:c r="AG675" t="n">
        <x:f>IF(ISNUMBER(I675),1,0)</x:f>
        <x:v>1</x:v>
      </x:c>
      <x:c r="AH675" t="str">
        <x:v>["B06b","B06b-NY","NY","藏青色羊京绒"]</x:v>
      </x:c>
      <x:c r="AI675" t="n">
        <x:f>IF(ISNUMBER(G675),1,0)</x:f>
        <x:v>1</x:v>
      </x:c>
      <x:c r="AJ675" t="n">
        <x:f>IF(ISNUMBER(AD675),1,0)</x:f>
        <x:v>1</x:v>
      </x:c>
    </x:row>
    <x:row r="676" ht="30" customHeight="1">
      <x:c r="A676" s="3" t="str">
        <x:v>B06b-NY-40.5</x:v>
      </x:c>
      <x:c r="B676" s="3" t="str">
        <x:v>1店-MUSSHOE-US</x:v>
      </x:c>
      <x:c r="C676" s="3" t="str">
        <x:v>艾年</x:v>
      </x:c>
      <x:c r="D676" s="3" t="str">
        <x:v>B06b</x:v>
      </x:c>
      <x:c r="E676" s="3" t="str">
        <x:f>IF(Z676="移出","已移出",IF(NOT(ISNUMBER(H676)),"数据待核",IF(H676=0,"断货",IF(NOT(ISNUMBER(G676)),"数据待核",IF(G676=0,"零日销待复核",IF(F676&lt;60,"补货提醒",IF(F676&lt;=90,"正常库存",IF(F676&lt;180,"促销",IF(F676&lt;=365,"红线促销","考虑清仓")))))))))</x:f>
        <x:v>断货</x:v>
      </x:c>
      <x:c r="F676" s="11" t="str">
        <x:f>IF(AND(ISNUMBER(H676),ISNUMBER(G676),G676&gt;0),H676/G676,"")</x:f>
      </x:c>
      <x:c r="G676" s="12" t="n">
        <x:f>IF(AND(COUNT(P676:R676)=3,MIN(P676:R676)&gt;=0,P676&lt;=Q676,Q676&lt;=R676),P676/7*0.5+Q676/14*0.3+R676/30*0.2,"")</x:f>
        <x:v>0</x:v>
      </x:c>
      <x:c r="H676" s="10" t="n">
        <x:f>IF(ISNUMBER(U676),U676,"")</x:f>
        <x:v>0</x:v>
      </x:c>
      <x:c r="I676" s="10" t="n">
        <x:v>0</x:v>
      </x:c>
      <x:c r="J676" s="11" t="str">
        <x:f>IF(AND(Z676="共同",ISNUMBER(F676),ISNUMBER(M676)),F676-M676,"")</x:f>
      </x:c>
      <x:c r="K676" s="13" t="str">
        <x:f>IF(AND(ISNUMBER(J676),M676&lt;&gt;0),J676/M676,"")</x:f>
      </x:c>
      <x:c r="L676" s="10" t="str">
        <x:v>断货</x:v>
      </x:c>
      <x:c r="M676" s="11"/>
      <x:c r="N676" s="10" t="n">
        <x:f>IF(AND(Z676="共同",COUNT(H676:I676)=2),H676-I676,"")</x:f>
        <x:v>0</x:v>
      </x:c>
      <x:c r="O676" s="10" t="n">
        <x:v>4</x:v>
      </x:c>
      <x:c r="P676" s="10" t="n">
        <x:v>0</x:v>
      </x:c>
      <x:c r="Q676" s="10" t="n">
        <x:v>0</x:v>
      </x:c>
      <x:c r="R676" s="10" t="n">
        <x:v>0</x:v>
      </x:c>
      <x:c r="S676" s="10" t="n">
        <x:v>0</x:v>
      </x:c>
      <x:c r="T676" s="10" t="n">
        <x:v>0</x:v>
      </x:c>
      <x:c r="U676" s="10" t="n">
        <x:f>IF(AND(ISNUMBER(X676),X676&gt;=0,Y676&lt;&gt;1),X676,"")</x:f>
        <x:v>0</x:v>
      </x:c>
      <x:c r="V676" s="10" t="n">
        <x:v>0</x:v>
      </x:c>
      <x:c r="W676" s="10" t="n">
        <x:v>0</x:v>
      </x:c>
      <x:c r="X676" s="10" t="n">
        <x:v>0</x:v>
      </x:c>
      <x:c r="Y676" s="3" t="n">
        <x:v>0</x:v>
      </x:c>
      <x:c r="Z676" s="3" t="str">
        <x:v>共同</x:v>
      </x:c>
      <x:c r="AA676" s="3" t="str">
        <x:v>停售</x:v>
      </x:c>
      <x:c r="AB676" s="12" t="n">
        <x:f>IF(AND(Z676="共同",ISNUMBER(G676),ISNUMBER(AD676)),G676-AD676,"")</x:f>
        <x:v>0</x:v>
      </x:c>
      <x:c r="AC676" s="3" t="str"/>
      <x:c r="AD676" s="12" t="n">
        <x:v>0</x:v>
      </x:c>
      <x:c r="AE676" s="3" t="str">
        <x:v>[13120,"B06b-NY-40.5"]</x:v>
      </x:c>
      <x:c r="AF676" t="n">
        <x:f>IF(ISNUMBER(H676),1,0)</x:f>
        <x:v>1</x:v>
      </x:c>
      <x:c r="AG676" t="n">
        <x:f>IF(ISNUMBER(I676),1,0)</x:f>
        <x:v>1</x:v>
      </x:c>
      <x:c r="AH676" t="str">
        <x:v>["B06b","B06b-NY","NY","藏青色羊京绒"]</x:v>
      </x:c>
      <x:c r="AI676" t="n">
        <x:f>IF(ISNUMBER(G676),1,0)</x:f>
        <x:v>1</x:v>
      </x:c>
      <x:c r="AJ676" t="n">
        <x:f>IF(ISNUMBER(AD676),1,0)</x:f>
        <x:v>1</x:v>
      </x:c>
    </x:row>
    <x:row r="677" ht="30" customHeight="1">
      <x:c r="A677" s="3" t="str">
        <x:v>B06b-NY-41</x:v>
      </x:c>
      <x:c r="B677" s="3" t="str">
        <x:v>1店-MUSSHOE-US</x:v>
      </x:c>
      <x:c r="C677" s="3" t="str">
        <x:v>艾年</x:v>
      </x:c>
      <x:c r="D677" s="3" t="str">
        <x:v>B06b</x:v>
      </x:c>
      <x:c r="E677" s="3" t="str">
        <x:f>IF(Z677="移出","已移出",IF(NOT(ISNUMBER(H677)),"数据待核",IF(H677=0,"断货",IF(NOT(ISNUMBER(G677)),"数据待核",IF(G677=0,"零日销待复核",IF(F677&lt;60,"补货提醒",IF(F677&lt;=90,"正常库存",IF(F677&lt;180,"促销",IF(F677&lt;=365,"红线促销","考虑清仓")))))))))</x:f>
        <x:v>断货</x:v>
      </x:c>
      <x:c r="F677" s="11" t="str">
        <x:f>IF(AND(ISNUMBER(H677),ISNUMBER(G677),G677&gt;0),H677/G677,"")</x:f>
      </x:c>
      <x:c r="G677" s="12" t="n">
        <x:f>IF(AND(COUNT(P677:R677)=3,MIN(P677:R677)&gt;=0,P677&lt;=Q677,Q677&lt;=R677),P677/7*0.5+Q677/14*0.3+R677/30*0.2,"")</x:f>
        <x:v>0</x:v>
      </x:c>
      <x:c r="H677" s="10" t="n">
        <x:f>IF(ISNUMBER(U677),U677,"")</x:f>
        <x:v>0</x:v>
      </x:c>
      <x:c r="I677" s="10" t="n">
        <x:v>0</x:v>
      </x:c>
      <x:c r="J677" s="11" t="str">
        <x:f>IF(AND(Z677="共同",ISNUMBER(F677),ISNUMBER(M677)),F677-M677,"")</x:f>
      </x:c>
      <x:c r="K677" s="13" t="str">
        <x:f>IF(AND(ISNUMBER(J677),M677&lt;&gt;0),J677/M677,"")</x:f>
      </x:c>
      <x:c r="L677" s="10" t="str">
        <x:v>断货</x:v>
      </x:c>
      <x:c r="M677" s="11"/>
      <x:c r="N677" s="10" t="n">
        <x:f>IF(AND(Z677="共同",COUNT(H677:I677)=2),H677-I677,"")</x:f>
        <x:v>0</x:v>
      </x:c>
      <x:c r="O677" s="10" t="n">
        <x:v>0</x:v>
      </x:c>
      <x:c r="P677" s="10" t="n">
        <x:v>0</x:v>
      </x:c>
      <x:c r="Q677" s="10" t="n">
        <x:v>0</x:v>
      </x:c>
      <x:c r="R677" s="10" t="n">
        <x:v>0</x:v>
      </x:c>
      <x:c r="S677" s="10" t="n">
        <x:v>0</x:v>
      </x:c>
      <x:c r="T677" s="10" t="n">
        <x:v>0</x:v>
      </x:c>
      <x:c r="U677" s="10" t="n">
        <x:f>IF(AND(ISNUMBER(X677),X677&gt;=0,Y677&lt;&gt;1),X677,"")</x:f>
        <x:v>0</x:v>
      </x:c>
      <x:c r="V677" s="10" t="n">
        <x:v>0</x:v>
      </x:c>
      <x:c r="W677" s="10" t="n">
        <x:v>22</x:v>
      </x:c>
      <x:c r="X677" s="10" t="n">
        <x:v>0</x:v>
      </x:c>
      <x:c r="Y677" s="3" t="n">
        <x:v>0</x:v>
      </x:c>
      <x:c r="Z677" s="3" t="str">
        <x:v>共同</x:v>
      </x:c>
      <x:c r="AA677" s="3" t="str">
        <x:v>停售</x:v>
      </x:c>
      <x:c r="AB677" s="12" t="n">
        <x:f>IF(AND(Z677="共同",ISNUMBER(G677),ISNUMBER(AD677)),G677-AD677,"")</x:f>
        <x:v>0</x:v>
      </x:c>
      <x:c r="AC677" s="3" t="str"/>
      <x:c r="AD677" s="12" t="n">
        <x:v>0</x:v>
      </x:c>
      <x:c r="AE677" s="3" t="str">
        <x:v>[13120,"B06b-NY-41"]</x:v>
      </x:c>
      <x:c r="AF677" t="n">
        <x:f>IF(ISNUMBER(H677),1,0)</x:f>
        <x:v>1</x:v>
      </x:c>
      <x:c r="AG677" t="n">
        <x:f>IF(ISNUMBER(I677),1,0)</x:f>
        <x:v>1</x:v>
      </x:c>
      <x:c r="AH677" t="str">
        <x:v>["B06b","B06b-NY","NY","藏青色羊京绒"]</x:v>
      </x:c>
      <x:c r="AI677" t="n">
        <x:f>IF(ISNUMBER(G677),1,0)</x:f>
        <x:v>1</x:v>
      </x:c>
      <x:c r="AJ677" t="n">
        <x:f>IF(ISNUMBER(AD677),1,0)</x:f>
        <x:v>1</x:v>
      </x:c>
    </x:row>
    <x:row r="678" ht="30" customHeight="1">
      <x:c r="A678" s="3" t="str">
        <x:v>B06b-NY-42</x:v>
      </x:c>
      <x:c r="B678" s="3" t="str">
        <x:v>1店-MUSSHOE-US</x:v>
      </x:c>
      <x:c r="C678" s="3" t="str">
        <x:v>艾年</x:v>
      </x:c>
      <x:c r="D678" s="3" t="str">
        <x:v>B06b</x:v>
      </x:c>
      <x:c r="E678" s="3" t="str">
        <x:f>IF(Z678="移出","已移出",IF(NOT(ISNUMBER(H678)),"数据待核",IF(H678=0,"断货",IF(NOT(ISNUMBER(G678)),"数据待核",IF(G678=0,"零日销待复核",IF(F678&lt;60,"补货提醒",IF(F678&lt;=90,"正常库存",IF(F678&lt;180,"促销",IF(F678&lt;=365,"红线促销","考虑清仓")))))))))</x:f>
        <x:v>断货</x:v>
      </x:c>
      <x:c r="F678" s="11" t="str">
        <x:f>IF(AND(ISNUMBER(H678),ISNUMBER(G678),G678&gt;0),H678/G678,"")</x:f>
      </x:c>
      <x:c r="G678" s="12" t="n">
        <x:f>IF(AND(COUNT(P678:R678)=3,MIN(P678:R678)&gt;=0,P678&lt;=Q678,Q678&lt;=R678),P678/7*0.5+Q678/14*0.3+R678/30*0.2,"")</x:f>
        <x:v>0</x:v>
      </x:c>
      <x:c r="H678" s="10" t="n">
        <x:f>IF(ISNUMBER(U678),U678,"")</x:f>
        <x:v>0</x:v>
      </x:c>
      <x:c r="I678" s="10" t="n">
        <x:v>0</x:v>
      </x:c>
      <x:c r="J678" s="11" t="str">
        <x:f>IF(AND(Z678="共同",ISNUMBER(F678),ISNUMBER(M678)),F678-M678,"")</x:f>
      </x:c>
      <x:c r="K678" s="13" t="str">
        <x:f>IF(AND(ISNUMBER(J678),M678&lt;&gt;0),J678/M678,"")</x:f>
      </x:c>
      <x:c r="L678" s="10" t="str">
        <x:v>断货</x:v>
      </x:c>
      <x:c r="M678" s="11" t="n">
        <x:v>0</x:v>
      </x:c>
      <x:c r="N678" s="10" t="n">
        <x:f>IF(AND(Z678="共同",COUNT(H678:I678)=2),H678-I678,"")</x:f>
        <x:v>0</x:v>
      </x:c>
      <x:c r="O678" s="10" t="n">
        <x:v>0</x:v>
      </x:c>
      <x:c r="P678" s="10" t="n">
        <x:v>0</x:v>
      </x:c>
      <x:c r="Q678" s="10" t="n">
        <x:v>0</x:v>
      </x:c>
      <x:c r="R678" s="10" t="n">
        <x:v>0</x:v>
      </x:c>
      <x:c r="S678" s="10" t="n">
        <x:v>0</x:v>
      </x:c>
      <x:c r="T678" s="10" t="n">
        <x:v>0</x:v>
      </x:c>
      <x:c r="U678" s="10" t="n">
        <x:f>IF(AND(ISNUMBER(X678),X678&gt;=0,Y678&lt;&gt;1),X678,"")</x:f>
        <x:v>0</x:v>
      </x:c>
      <x:c r="V678" s="10" t="n">
        <x:v>0</x:v>
      </x:c>
      <x:c r="W678" s="10" t="n">
        <x:v>0</x:v>
      </x:c>
      <x:c r="X678" s="10" t="n">
        <x:v>0</x:v>
      </x:c>
      <x:c r="Y678" s="3" t="n">
        <x:v>0</x:v>
      </x:c>
      <x:c r="Z678" s="3" t="str">
        <x:v>共同</x:v>
      </x:c>
      <x:c r="AA678" s="3" t="str">
        <x:v>停售</x:v>
      </x:c>
      <x:c r="AB678" s="12" t="n">
        <x:f>IF(AND(Z678="共同",ISNUMBER(G678),ISNUMBER(AD678)),G678-AD678,"")</x:f>
        <x:v>-0.02</x:v>
      </x:c>
      <x:c r="AC678" s="3" t="str"/>
      <x:c r="AD678" s="12" t="n">
        <x:v>0.02</x:v>
      </x:c>
      <x:c r="AE678" s="3" t="str">
        <x:v>[13120,"B06b-NY-42"]</x:v>
      </x:c>
      <x:c r="AF678" t="n">
        <x:f>IF(ISNUMBER(H678),1,0)</x:f>
        <x:v>1</x:v>
      </x:c>
      <x:c r="AG678" t="n">
        <x:f>IF(ISNUMBER(I678),1,0)</x:f>
        <x:v>1</x:v>
      </x:c>
      <x:c r="AH678" t="str">
        <x:v>["B06b","B06b-NY","NY","藏青色羊京绒"]</x:v>
      </x:c>
      <x:c r="AI678" t="n">
        <x:f>IF(ISNUMBER(G678),1,0)</x:f>
        <x:v>1</x:v>
      </x:c>
      <x:c r="AJ678" t="n">
        <x:f>IF(ISNUMBER(AD678),1,0)</x:f>
        <x:v>1</x:v>
      </x:c>
    </x:row>
    <x:row r="679" ht="30" customHeight="1">
      <x:c r="A679" s="3" t="str">
        <x:v>B06b-RD-38-N</x:v>
      </x:c>
      <x:c r="B679" s="3" t="str">
        <x:v>1店-MUSSHOE-US</x:v>
      </x:c>
      <x:c r="C679" s="3" t="str">
        <x:v>艾年</x:v>
      </x:c>
      <x:c r="D679" s="3" t="str">
        <x:v>B06b</x:v>
      </x:c>
      <x:c r="E679" s="3" t="str">
        <x:f>IF(Z679="移出","已移出",IF(NOT(ISNUMBER(H679)),"数据待核",IF(H679=0,"断货",IF(NOT(ISNUMBER(G679)),"数据待核",IF(G679=0,"零日销待复核",IF(F679&lt;60,"补货提醒",IF(F679&lt;=90,"正常库存",IF(F679&lt;180,"促销",IF(F679&lt;=365,"红线促销","考虑清仓")))))))))</x:f>
        <x:v>断货</x:v>
      </x:c>
      <x:c r="F679" s="11" t="str">
        <x:f>IF(AND(ISNUMBER(H679),ISNUMBER(G679),G679&gt;0),H679/G679,"")</x:f>
      </x:c>
      <x:c r="G679" s="12" t="n">
        <x:f>IF(AND(COUNT(P679:R679)=3,MIN(P679:R679)&gt;=0,P679&lt;=Q679,Q679&lt;=R679),P679/7*0.5+Q679/14*0.3+R679/30*0.2,"")</x:f>
        <x:v>0</x:v>
      </x:c>
      <x:c r="H679" s="10" t="n">
        <x:f>IF(ISNUMBER(U679),U679,"")</x:f>
        <x:v>0</x:v>
      </x:c>
      <x:c r="I679" s="10" t="n">
        <x:v>0</x:v>
      </x:c>
      <x:c r="J679" s="11" t="str">
        <x:f>IF(AND(Z679="共同",ISNUMBER(F679),ISNUMBER(M679)),F679-M679,"")</x:f>
      </x:c>
      <x:c r="K679" s="13" t="str">
        <x:f>IF(AND(ISNUMBER(J679),M679&lt;&gt;0),J679/M679,"")</x:f>
      </x:c>
      <x:c r="L679" s="10" t="str">
        <x:v>断货</x:v>
      </x:c>
      <x:c r="M679" s="11" t="n">
        <x:v>0</x:v>
      </x:c>
      <x:c r="N679" s="10" t="n">
        <x:f>IF(AND(Z679="共同",COUNT(H679:I679)=2),H679-I679,"")</x:f>
        <x:v>0</x:v>
      </x:c>
      <x:c r="O679" s="10" t="n">
        <x:v>0</x:v>
      </x:c>
      <x:c r="P679" s="10" t="n">
        <x:v>0</x:v>
      </x:c>
      <x:c r="Q679" s="10" t="n">
        <x:v>0</x:v>
      </x:c>
      <x:c r="R679" s="10" t="n">
        <x:v>0</x:v>
      </x:c>
      <x:c r="S679" s="10" t="n">
        <x:v>0</x:v>
      </x:c>
      <x:c r="T679" s="10" t="n">
        <x:v>0</x:v>
      </x:c>
      <x:c r="U679" s="10" t="n">
        <x:f>IF(AND(ISNUMBER(X679),X679&gt;=0,Y679&lt;&gt;1),X679,"")</x:f>
        <x:v>0</x:v>
      </x:c>
      <x:c r="V679" s="10" t="n">
        <x:v>0</x:v>
      </x:c>
      <x:c r="W679" s="10" t="n">
        <x:v>0</x:v>
      </x:c>
      <x:c r="X679" s="10" t="n">
        <x:v>0</x:v>
      </x:c>
      <x:c r="Y679" s="3" t="n">
        <x:v>0</x:v>
      </x:c>
      <x:c r="Z679" s="3" t="str">
        <x:v>共同</x:v>
      </x:c>
      <x:c r="AA679" s="3" t="str">
        <x:v>停售</x:v>
      </x:c>
      <x:c r="AB679" s="12" t="n">
        <x:f>IF(AND(Z679="共同",ISNUMBER(G679),ISNUMBER(AD679)),G679-AD679,"")</x:f>
        <x:v>-0.006666666666666666</x:v>
      </x:c>
      <x:c r="AC679" s="3" t="str"/>
      <x:c r="AD679" s="12" t="n">
        <x:v>0.006666666666666666</x:v>
      </x:c>
      <x:c r="AE679" s="3" t="str">
        <x:v>[13120,"B06b-RD-38-N"]</x:v>
      </x:c>
      <x:c r="AF679" t="n">
        <x:f>IF(ISNUMBER(H679),1,0)</x:f>
        <x:v>1</x:v>
      </x:c>
      <x:c r="AG679" t="n">
        <x:f>IF(ISNUMBER(I679),1,0)</x:f>
        <x:v>1</x:v>
      </x:c>
      <x:c r="AH679" t="str">
        <x:v>["B06b","B06b-RD","RD","大红色羊京绒"]</x:v>
      </x:c>
      <x:c r="AI679" t="n">
        <x:f>IF(ISNUMBER(G679),1,0)</x:f>
        <x:v>1</x:v>
      </x:c>
      <x:c r="AJ679" t="n">
        <x:f>IF(ISNUMBER(AD679),1,0)</x:f>
        <x:v>1</x:v>
      </x:c>
    </x:row>
    <x:row r="680" ht="30" customHeight="1">
      <x:c r="A680" s="3" t="str">
        <x:v>B06b-RD-41</x:v>
      </x:c>
      <x:c r="B680" s="3" t="str">
        <x:v>1店-MUSSHOE-US</x:v>
      </x:c>
      <x:c r="C680" s="3" t="str">
        <x:v>艾年</x:v>
      </x:c>
      <x:c r="D680" s="3" t="str">
        <x:v>B06b</x:v>
      </x:c>
      <x:c r="E680" s="3" t="str">
        <x:f>IF(Z680="移出","已移出",IF(NOT(ISNUMBER(H680)),"数据待核",IF(H680=0,"断货",IF(NOT(ISNUMBER(G680)),"数据待核",IF(G680=0,"零日销待复核",IF(F680&lt;60,"补货提醒",IF(F680&lt;=90,"正常库存",IF(F680&lt;180,"促销",IF(F680&lt;=365,"红线促销","考虑清仓")))))))))</x:f>
        <x:v>断货</x:v>
      </x:c>
      <x:c r="F680" s="11" t="str">
        <x:f>IF(AND(ISNUMBER(H680),ISNUMBER(G680),G680&gt;0),H680/G680,"")</x:f>
      </x:c>
      <x:c r="G680" s="12" t="n">
        <x:f>IF(AND(COUNT(P680:R680)=3,MIN(P680:R680)&gt;=0,P680&lt;=Q680,Q680&lt;=R680),P680/7*0.5+Q680/14*0.3+R680/30*0.2,"")</x:f>
        <x:v>0</x:v>
      </x:c>
      <x:c r="H680" s="10" t="n">
        <x:f>IF(ISNUMBER(U680),U680,"")</x:f>
        <x:v>0</x:v>
      </x:c>
      <x:c r="I680" s="10" t="n">
        <x:v>0</x:v>
      </x:c>
      <x:c r="J680" s="11" t="str">
        <x:f>IF(AND(Z680="共同",ISNUMBER(F680),ISNUMBER(M680)),F680-M680,"")</x:f>
      </x:c>
      <x:c r="K680" s="13" t="str">
        <x:f>IF(AND(ISNUMBER(J680),M680&lt;&gt;0),J680/M680,"")</x:f>
      </x:c>
      <x:c r="L680" s="10" t="str">
        <x:v>断货</x:v>
      </x:c>
      <x:c r="M680" s="11"/>
      <x:c r="N680" s="10" t="n">
        <x:f>IF(AND(Z680="共同",COUNT(H680:I680)=2),H680-I680,"")</x:f>
        <x:v>0</x:v>
      </x:c>
      <x:c r="O680" s="10" t="n">
        <x:v>0</x:v>
      </x:c>
      <x:c r="P680" s="10" t="n">
        <x:v>0</x:v>
      </x:c>
      <x:c r="Q680" s="10" t="n">
        <x:v>0</x:v>
      </x:c>
      <x:c r="R680" s="10" t="n">
        <x:v>0</x:v>
      </x:c>
      <x:c r="S680" s="10" t="n">
        <x:v>0</x:v>
      </x:c>
      <x:c r="T680" s="10" t="n">
        <x:v>0</x:v>
      </x:c>
      <x:c r="U680" s="10" t="n">
        <x:f>IF(AND(ISNUMBER(X680),X680&gt;=0,Y680&lt;&gt;1),X680,"")</x:f>
        <x:v>0</x:v>
      </x:c>
      <x:c r="V680" s="10" t="n">
        <x:v>0</x:v>
      </x:c>
      <x:c r="W680" s="10" t="n">
        <x:v>0</x:v>
      </x:c>
      <x:c r="X680" s="10" t="n">
        <x:v>0</x:v>
      </x:c>
      <x:c r="Y680" s="3" t="n">
        <x:v>0</x:v>
      </x:c>
      <x:c r="Z680" s="3" t="str">
        <x:v>共同</x:v>
      </x:c>
      <x:c r="AA680" s="3" t="str">
        <x:v>停售</x:v>
      </x:c>
      <x:c r="AB680" s="12" t="str">
        <x:f>IF(AND(Z680="共同",ISNUMBER(G680),ISNUMBER(AD680)),G680-AD680,"")</x:f>
      </x:c>
      <x:c r="AC680" s="3" t="str">
        <x:v>近90天SKU销量未匹配，未按0处理</x:v>
      </x:c>
      <x:c r="AD680" s="12"/>
      <x:c r="AE680" s="3" t="str">
        <x:v>[13120,"B06b-RD-41"]</x:v>
      </x:c>
      <x:c r="AF680" t="n">
        <x:f>IF(ISNUMBER(H680),1,0)</x:f>
        <x:v>1</x:v>
      </x:c>
      <x:c r="AG680" t="n">
        <x:f>IF(ISNUMBER(I680),1,0)</x:f>
        <x:v>1</x:v>
      </x:c>
      <x:c r="AH680" t="str">
        <x:v>["B06b","B06b-RD","RD","大红色羊京绒"]</x:v>
      </x:c>
      <x:c r="AI680" t="n">
        <x:f>IF(ISNUMBER(G680),1,0)</x:f>
        <x:v>1</x:v>
      </x:c>
      <x:c r="AJ680" t="n">
        <x:f>IF(ISNUMBER(AD680),1,0)</x:f>
        <x:v>0</x:v>
      </x:c>
    </x:row>
    <x:row r="681" ht="30" customHeight="1">
      <x:c r="A681" s="3" t="str">
        <x:v>B06b-RD-42</x:v>
      </x:c>
      <x:c r="B681" s="3" t="str">
        <x:v>1店-MUSSHOE-US</x:v>
      </x:c>
      <x:c r="C681" s="3" t="str">
        <x:v>艾年</x:v>
      </x:c>
      <x:c r="D681" s="3" t="str">
        <x:v>B06b</x:v>
      </x:c>
      <x:c r="E681" s="3" t="str">
        <x:f>IF(Z681="移出","已移出",IF(NOT(ISNUMBER(H681)),"数据待核",IF(H681=0,"断货",IF(NOT(ISNUMBER(G681)),"数据待核",IF(G681=0,"零日销待复核",IF(F681&lt;60,"补货提醒",IF(F681&lt;=90,"正常库存",IF(F681&lt;180,"促销",IF(F681&lt;=365,"红线促销","考虑清仓")))))))))</x:f>
        <x:v>断货</x:v>
      </x:c>
      <x:c r="F681" s="11" t="str">
        <x:f>IF(AND(ISNUMBER(H681),ISNUMBER(G681),G681&gt;0),H681/G681,"")</x:f>
      </x:c>
      <x:c r="G681" s="12" t="n">
        <x:f>IF(AND(COUNT(P681:R681)=3,MIN(P681:R681)&gt;=0,P681&lt;=Q681,Q681&lt;=R681),P681/7*0.5+Q681/14*0.3+R681/30*0.2,"")</x:f>
        <x:v>0</x:v>
      </x:c>
      <x:c r="H681" s="10" t="n">
        <x:f>IF(ISNUMBER(U681),U681,"")</x:f>
        <x:v>0</x:v>
      </x:c>
      <x:c r="I681" s="10" t="n">
        <x:v>0</x:v>
      </x:c>
      <x:c r="J681" s="11" t="str">
        <x:f>IF(AND(Z681="共同",ISNUMBER(F681),ISNUMBER(M681)),F681-M681,"")</x:f>
      </x:c>
      <x:c r="K681" s="13" t="str">
        <x:f>IF(AND(ISNUMBER(J681),M681&lt;&gt;0),J681/M681,"")</x:f>
      </x:c>
      <x:c r="L681" s="10" t="str">
        <x:v>断货</x:v>
      </x:c>
      <x:c r="M681" s="11"/>
      <x:c r="N681" s="10" t="n">
        <x:f>IF(AND(Z681="共同",COUNT(H681:I681)=2),H681-I681,"")</x:f>
        <x:v>0</x:v>
      </x:c>
      <x:c r="O681" s="10" t="n">
        <x:v>0</x:v>
      </x:c>
      <x:c r="P681" s="10" t="n">
        <x:v>0</x:v>
      </x:c>
      <x:c r="Q681" s="10" t="n">
        <x:v>0</x:v>
      </x:c>
      <x:c r="R681" s="10" t="n">
        <x:v>0</x:v>
      </x:c>
      <x:c r="S681" s="10" t="n">
        <x:v>0</x:v>
      </x:c>
      <x:c r="T681" s="10" t="n">
        <x:v>0</x:v>
      </x:c>
      <x:c r="U681" s="10" t="n">
        <x:f>IF(AND(ISNUMBER(X681),X681&gt;=0,Y681&lt;&gt;1),X681,"")</x:f>
        <x:v>0</x:v>
      </x:c>
      <x:c r="V681" s="10" t="n">
        <x:v>0</x:v>
      </x:c>
      <x:c r="W681" s="10" t="n">
        <x:v>0</x:v>
      </x:c>
      <x:c r="X681" s="10" t="n">
        <x:v>0</x:v>
      </x:c>
      <x:c r="Y681" s="3" t="n">
        <x:v>0</x:v>
      </x:c>
      <x:c r="Z681" s="3" t="str">
        <x:v>共同</x:v>
      </x:c>
      <x:c r="AA681" s="3" t="str">
        <x:v>停售</x:v>
      </x:c>
      <x:c r="AB681" s="12" t="str">
        <x:f>IF(AND(Z681="共同",ISNUMBER(G681),ISNUMBER(AD681)),G681-AD681,"")</x:f>
      </x:c>
      <x:c r="AC681" s="3" t="str">
        <x:v>近90天SKU销量未匹配，未按0处理</x:v>
      </x:c>
      <x:c r="AD681" s="12"/>
      <x:c r="AE681" s="3" t="str">
        <x:v>[13120,"B06b-RD-42"]</x:v>
      </x:c>
      <x:c r="AF681" t="n">
        <x:f>IF(ISNUMBER(H681),1,0)</x:f>
        <x:v>1</x:v>
      </x:c>
      <x:c r="AG681" t="n">
        <x:f>IF(ISNUMBER(I681),1,0)</x:f>
        <x:v>1</x:v>
      </x:c>
      <x:c r="AH681" t="str">
        <x:v>["B06b","B06b-RD","RD","大红色羊京绒"]</x:v>
      </x:c>
      <x:c r="AI681" t="n">
        <x:f>IF(ISNUMBER(G681),1,0)</x:f>
        <x:v>1</x:v>
      </x:c>
      <x:c r="AJ681" t="n">
        <x:f>IF(ISNUMBER(AD681),1,0)</x:f>
        <x:v>0</x:v>
      </x:c>
    </x:row>
    <x:row r="682" ht="30" customHeight="1">
      <x:c r="A682" s="3" t="str">
        <x:v>B06b-TN-39</x:v>
      </x:c>
      <x:c r="B682" s="3" t="str">
        <x:v>1店-MUSSHOE-US</x:v>
      </x:c>
      <x:c r="C682" s="3" t="str">
        <x:v>艾年</x:v>
      </x:c>
      <x:c r="D682" s="3" t="str">
        <x:v>B06b</x:v>
      </x:c>
      <x:c r="E682" s="3" t="str">
        <x:f>IF(Z682="移出","已移出",IF(NOT(ISNUMBER(H682)),"数据待核",IF(H682=0,"断货",IF(NOT(ISNUMBER(G682)),"数据待核",IF(G682=0,"零日销待复核",IF(F682&lt;60,"补货提醒",IF(F682&lt;=90,"正常库存",IF(F682&lt;180,"促销",IF(F682&lt;=365,"红线促销","考虑清仓")))))))))</x:f>
        <x:v>断货</x:v>
      </x:c>
      <x:c r="F682" s="11" t="str">
        <x:f>IF(AND(ISNUMBER(H682),ISNUMBER(G682),G682&gt;0),H682/G682,"")</x:f>
      </x:c>
      <x:c r="G682" s="12" t="n">
        <x:f>IF(AND(COUNT(P682:R682)=3,MIN(P682:R682)&gt;=0,P682&lt;=Q682,Q682&lt;=R682),P682/7*0.5+Q682/14*0.3+R682/30*0.2,"")</x:f>
        <x:v>0</x:v>
      </x:c>
      <x:c r="H682" s="10" t="n">
        <x:f>IF(ISNUMBER(U682),U682,"")</x:f>
        <x:v>0</x:v>
      </x:c>
      <x:c r="I682" s="10" t="n">
        <x:v>0</x:v>
      </x:c>
      <x:c r="J682" s="11" t="str">
        <x:f>IF(AND(Z682="共同",ISNUMBER(F682),ISNUMBER(M682)),F682-M682,"")</x:f>
      </x:c>
      <x:c r="K682" s="13" t="str">
        <x:f>IF(AND(ISNUMBER(J682),M682&lt;&gt;0),J682/M682,"")</x:f>
      </x:c>
      <x:c r="L682" s="10" t="str">
        <x:v>断货</x:v>
      </x:c>
      <x:c r="M682" s="11"/>
      <x:c r="N682" s="10" t="n">
        <x:f>IF(AND(Z682="共同",COUNT(H682:I682)=2),H682-I682,"")</x:f>
        <x:v>0</x:v>
      </x:c>
      <x:c r="O682" s="10" t="n">
        <x:v>0</x:v>
      </x:c>
      <x:c r="P682" s="10" t="n">
        <x:v>0</x:v>
      </x:c>
      <x:c r="Q682" s="10" t="n">
        <x:v>0</x:v>
      </x:c>
      <x:c r="R682" s="10" t="n">
        <x:v>0</x:v>
      </x:c>
      <x:c r="S682" s="10" t="n">
        <x:v>0</x:v>
      </x:c>
      <x:c r="T682" s="10" t="n">
        <x:v>0</x:v>
      </x:c>
      <x:c r="U682" s="10" t="n">
        <x:f>IF(AND(ISNUMBER(X682),X682&gt;=0,Y682&lt;&gt;1),X682,"")</x:f>
        <x:v>0</x:v>
      </x:c>
      <x:c r="V682" s="10" t="n">
        <x:v>0</x:v>
      </x:c>
      <x:c r="W682" s="10" t="n">
        <x:v>0</x:v>
      </x:c>
      <x:c r="X682" s="10" t="n">
        <x:v>0</x:v>
      </x:c>
      <x:c r="Y682" s="3" t="n">
        <x:v>0</x:v>
      </x:c>
      <x:c r="Z682" s="3" t="str">
        <x:v>共同</x:v>
      </x:c>
      <x:c r="AA682" s="3" t="str">
        <x:v>停售</x:v>
      </x:c>
      <x:c r="AB682" s="12" t="str">
        <x:f>IF(AND(Z682="共同",ISNUMBER(G682),ISNUMBER(AD682)),G682-AD682,"")</x:f>
      </x:c>
      <x:c r="AC682" s="3" t="str">
        <x:v>近90天SKU销量未匹配，未按0处理</x:v>
      </x:c>
      <x:c r="AD682" s="12"/>
      <x:c r="AE682" s="3" t="str">
        <x:v>[13120,"B06b-TN-39"]</x:v>
      </x:c>
      <x:c r="AF682" t="n">
        <x:f>IF(ISNUMBER(H682),1,0)</x:f>
        <x:v>1</x:v>
      </x:c>
      <x:c r="AG682" t="n">
        <x:f>IF(ISNUMBER(I682),1,0)</x:f>
        <x:v>1</x:v>
      </x:c>
      <x:c r="AH682" t="str">
        <x:v>["B06b","B06b-TN","TN","驼色羊京绒"]</x:v>
      </x:c>
      <x:c r="AI682" t="n">
        <x:f>IF(ISNUMBER(G682),1,0)</x:f>
        <x:v>1</x:v>
      </x:c>
      <x:c r="AJ682" t="n">
        <x:f>IF(ISNUMBER(AD682),1,0)</x:f>
        <x:v>0</x:v>
      </x:c>
    </x:row>
    <x:row r="683" ht="30" customHeight="1">
      <x:c r="A683" s="3" t="str">
        <x:v>B06b-TN-41</x:v>
      </x:c>
      <x:c r="B683" s="3" t="str">
        <x:v>1店-MUSSHOE-US</x:v>
      </x:c>
      <x:c r="C683" s="3" t="str">
        <x:v>艾年</x:v>
      </x:c>
      <x:c r="D683" s="3" t="str">
        <x:v>B06b</x:v>
      </x:c>
      <x:c r="E683" s="3" t="str">
        <x:f>IF(Z683="移出","已移出",IF(NOT(ISNUMBER(H683)),"数据待核",IF(H683=0,"断货",IF(NOT(ISNUMBER(G683)),"数据待核",IF(G683=0,"零日销待复核",IF(F683&lt;60,"补货提醒",IF(F683&lt;=90,"正常库存",IF(F683&lt;180,"促销",IF(F683&lt;=365,"红线促销","考虑清仓")))))))))</x:f>
        <x:v>断货</x:v>
      </x:c>
      <x:c r="F683" s="11" t="str">
        <x:f>IF(AND(ISNUMBER(H683),ISNUMBER(G683),G683&gt;0),H683/G683,"")</x:f>
      </x:c>
      <x:c r="G683" s="12" t="n">
        <x:f>IF(AND(COUNT(P683:R683)=3,MIN(P683:R683)&gt;=0,P683&lt;=Q683,Q683&lt;=R683),P683/7*0.5+Q683/14*0.3+R683/30*0.2,"")</x:f>
        <x:v>0</x:v>
      </x:c>
      <x:c r="H683" s="10" t="n">
        <x:f>IF(ISNUMBER(U683),U683,"")</x:f>
        <x:v>0</x:v>
      </x:c>
      <x:c r="I683" s="10" t="n">
        <x:v>0</x:v>
      </x:c>
      <x:c r="J683" s="11" t="str">
        <x:f>IF(AND(Z683="共同",ISNUMBER(F683),ISNUMBER(M683)),F683-M683,"")</x:f>
      </x:c>
      <x:c r="K683" s="13" t="str">
        <x:f>IF(AND(ISNUMBER(J683),M683&lt;&gt;0),J683/M683,"")</x:f>
      </x:c>
      <x:c r="L683" s="10" t="str">
        <x:v>断货</x:v>
      </x:c>
      <x:c r="M683" s="11"/>
      <x:c r="N683" s="10" t="n">
        <x:f>IF(AND(Z683="共同",COUNT(H683:I683)=2),H683-I683,"")</x:f>
        <x:v>0</x:v>
      </x:c>
      <x:c r="O683" s="10" t="n">
        <x:v>0</x:v>
      </x:c>
      <x:c r="P683" s="10" t="n">
        <x:v>0</x:v>
      </x:c>
      <x:c r="Q683" s="10" t="n">
        <x:v>0</x:v>
      </x:c>
      <x:c r="R683" s="10" t="n">
        <x:v>0</x:v>
      </x:c>
      <x:c r="S683" s="10" t="n">
        <x:v>0</x:v>
      </x:c>
      <x:c r="T683" s="10" t="n">
        <x:v>0</x:v>
      </x:c>
      <x:c r="U683" s="10" t="n">
        <x:f>IF(AND(ISNUMBER(X683),X683&gt;=0,Y683&lt;&gt;1),X683,"")</x:f>
        <x:v>0</x:v>
      </x:c>
      <x:c r="V683" s="10" t="n">
        <x:v>0</x:v>
      </x:c>
      <x:c r="W683" s="10" t="n">
        <x:v>0</x:v>
      </x:c>
      <x:c r="X683" s="10" t="n">
        <x:v>0</x:v>
      </x:c>
      <x:c r="Y683" s="3" t="n">
        <x:v>0</x:v>
      </x:c>
      <x:c r="Z683" s="3" t="str">
        <x:v>共同</x:v>
      </x:c>
      <x:c r="AA683" s="3" t="str">
        <x:v>停售</x:v>
      </x:c>
      <x:c r="AB683" s="12" t="n">
        <x:f>IF(AND(Z683="共同",ISNUMBER(G683),ISNUMBER(AD683)),G683-AD683,"")</x:f>
        <x:v>0</x:v>
      </x:c>
      <x:c r="AC683" s="3" t="str"/>
      <x:c r="AD683" s="12" t="n">
        <x:v>0</x:v>
      </x:c>
      <x:c r="AE683" s="3" t="str">
        <x:v>[13120,"B06b-TN-41"]</x:v>
      </x:c>
      <x:c r="AF683" t="n">
        <x:f>IF(ISNUMBER(H683),1,0)</x:f>
        <x:v>1</x:v>
      </x:c>
      <x:c r="AG683" t="n">
        <x:f>IF(ISNUMBER(I683),1,0)</x:f>
        <x:v>1</x:v>
      </x:c>
      <x:c r="AH683" t="str">
        <x:v>["B06b","B06b-TN","TN","驼色羊京绒"]</x:v>
      </x:c>
      <x:c r="AI683" t="n">
        <x:f>IF(ISNUMBER(G683),1,0)</x:f>
        <x:v>1</x:v>
      </x:c>
      <x:c r="AJ683" t="n">
        <x:f>IF(ISNUMBER(AD683),1,0)</x:f>
        <x:v>1</x:v>
      </x:c>
    </x:row>
    <x:row r="684" ht="30" customHeight="1">
      <x:c r="A684" s="3" t="str">
        <x:v>B07-BG-38-by</x:v>
      </x:c>
      <x:c r="B684" s="3" t="str">
        <x:v>4店-彬郁-US</x:v>
      </x:c>
      <x:c r="C684" s="3" t="str">
        <x:v>艾年</x:v>
      </x:c>
      <x:c r="D684" s="3" t="str">
        <x:v>B07</x:v>
      </x:c>
      <x:c r="E684" s="3" t="str">
        <x:f>IF(Z684="移出","已移出",IF(NOT(ISNUMBER(H684)),"数据待核",IF(H684=0,"断货",IF(NOT(ISNUMBER(G684)),"数据待核",IF(G684=0,"零日销待复核",IF(F684&lt;60,"补货提醒",IF(F684&lt;=90,"正常库存",IF(F684&lt;180,"促销",IF(F684&lt;=365,"红线促销","考虑清仓")))))))))</x:f>
        <x:v>断货</x:v>
      </x:c>
      <x:c r="F684" s="11" t="str">
        <x:f>IF(AND(ISNUMBER(H684),ISNUMBER(G684),G684&gt;0),H684/G684,"")</x:f>
      </x:c>
      <x:c r="G684" s="12" t="n">
        <x:f>IF(AND(COUNT(P684:R684)=3,MIN(P684:R684)&gt;=0,P684&lt;=Q684,Q684&lt;=R684),P684/7*0.5+Q684/14*0.3+R684/30*0.2,"")</x:f>
        <x:v>0</x:v>
      </x:c>
      <x:c r="H684" s="10" t="n">
        <x:f>IF(ISNUMBER(U684),U684,"")</x:f>
        <x:v>0</x:v>
      </x:c>
      <x:c r="I684" s="10" t="n">
        <x:v>0</x:v>
      </x:c>
      <x:c r="J684" s="11" t="str">
        <x:f>IF(AND(Z684="共同",ISNUMBER(F684),ISNUMBER(M684)),F684-M684,"")</x:f>
      </x:c>
      <x:c r="K684" s="13" t="str">
        <x:f>IF(AND(ISNUMBER(J684),M684&lt;&gt;0),J684/M684,"")</x:f>
      </x:c>
      <x:c r="L684" s="10" t="str">
        <x:v>断货</x:v>
      </x:c>
      <x:c r="M684" s="11"/>
      <x:c r="N684" s="10" t="n">
        <x:f>IF(AND(Z684="共同",COUNT(H684:I684)=2),H684-I684,"")</x:f>
        <x:v>0</x:v>
      </x:c>
      <x:c r="O684" s="10" t="n">
        <x:v>0</x:v>
      </x:c>
      <x:c r="P684" s="10" t="n">
        <x:v>0</x:v>
      </x:c>
      <x:c r="Q684" s="10" t="n">
        <x:v>0</x:v>
      </x:c>
      <x:c r="R684" s="10" t="n">
        <x:v>0</x:v>
      </x:c>
      <x:c r="S684" s="10" t="n">
        <x:v>0</x:v>
      </x:c>
      <x:c r="T684" s="10" t="n">
        <x:v>0</x:v>
      </x:c>
      <x:c r="U684" s="10" t="n">
        <x:f>IF(AND(ISNUMBER(X684),X684&gt;=0,Y684&lt;&gt;1),X684,"")</x:f>
        <x:v>0</x:v>
      </x:c>
      <x:c r="V684" s="10" t="n">
        <x:v>0</x:v>
      </x:c>
      <x:c r="W684" s="10" t="n">
        <x:v>8</x:v>
      </x:c>
      <x:c r="X684" s="10" t="n">
        <x:v>0</x:v>
      </x:c>
      <x:c r="Y684" s="3" t="n">
        <x:v>0</x:v>
      </x:c>
      <x:c r="Z684" s="3" t="str">
        <x:v>共同</x:v>
      </x:c>
      <x:c r="AA684" s="3" t="str">
        <x:v>在售</x:v>
      </x:c>
      <x:c r="AB684" s="12" t="n">
        <x:f>IF(AND(Z684="共同",ISNUMBER(G684),ISNUMBER(AD684)),G684-AD684,"")</x:f>
        <x:v>0</x:v>
      </x:c>
      <x:c r="AC684" s="3" t="str"/>
      <x:c r="AD684" s="12" t="n">
        <x:v>0</x:v>
      </x:c>
      <x:c r="AE684" s="3" t="str">
        <x:v>[13306,"B07-BG-38-by"]</x:v>
      </x:c>
      <x:c r="AF684" t="n">
        <x:f>IF(ISNUMBER(H684),1,0)</x:f>
        <x:v>1</x:v>
      </x:c>
      <x:c r="AG684" t="n">
        <x:f>IF(ISNUMBER(I684),1,0)</x:f>
        <x:v>1</x:v>
      </x:c>
      <x:c r="AH684" t="str">
        <x:v>["B07","B07-BG","BG","米色羊京绒"]</x:v>
      </x:c>
      <x:c r="AI684" t="n">
        <x:f>IF(ISNUMBER(G684),1,0)</x:f>
        <x:v>1</x:v>
      </x:c>
      <x:c r="AJ684" t="n">
        <x:f>IF(ISNUMBER(AD684),1,0)</x:f>
        <x:v>1</x:v>
      </x:c>
    </x:row>
    <x:row r="685" ht="30" customHeight="1">
      <x:c r="A685" s="3" t="str">
        <x:v>B07-BG-40-by</x:v>
      </x:c>
      <x:c r="B685" s="3" t="str">
        <x:v>4店-彬郁-US</x:v>
      </x:c>
      <x:c r="C685" s="3" t="str">
        <x:v>艾年</x:v>
      </x:c>
      <x:c r="D685" s="3" t="str">
        <x:v>B07</x:v>
      </x:c>
      <x:c r="E685" s="3" t="str">
        <x:f>IF(Z685="移出","已移出",IF(NOT(ISNUMBER(H685)),"数据待核",IF(H685=0,"断货",IF(NOT(ISNUMBER(G685)),"数据待核",IF(G685=0,"零日销待复核",IF(F685&lt;60,"补货提醒",IF(F685&lt;=90,"正常库存",IF(F685&lt;180,"促销",IF(F685&lt;=365,"红线促销","考虑清仓")))))))))</x:f>
        <x:v>断货</x:v>
      </x:c>
      <x:c r="F685" s="11" t="str">
        <x:f>IF(AND(ISNUMBER(H685),ISNUMBER(G685),G685&gt;0),H685/G685,"")</x:f>
      </x:c>
      <x:c r="G685" s="12" t="n">
        <x:f>IF(AND(COUNT(P685:R685)=3,MIN(P685:R685)&gt;=0,P685&lt;=Q685,Q685&lt;=R685),P685/7*0.5+Q685/14*0.3+R685/30*0.2,"")</x:f>
        <x:v>0</x:v>
      </x:c>
      <x:c r="H685" s="10" t="n">
        <x:f>IF(ISNUMBER(U685),U685,"")</x:f>
        <x:v>0</x:v>
      </x:c>
      <x:c r="I685" s="10" t="n">
        <x:v>0</x:v>
      </x:c>
      <x:c r="J685" s="11" t="str">
        <x:f>IF(AND(Z685="共同",ISNUMBER(F685),ISNUMBER(M685)),F685-M685,"")</x:f>
      </x:c>
      <x:c r="K685" s="13" t="str">
        <x:f>IF(AND(ISNUMBER(J685),M685&lt;&gt;0),J685/M685,"")</x:f>
      </x:c>
      <x:c r="L685" s="10" t="str">
        <x:v>断货</x:v>
      </x:c>
      <x:c r="M685" s="11"/>
      <x:c r="N685" s="10" t="n">
        <x:f>IF(AND(Z685="共同",COUNT(H685:I685)=2),H685-I685,"")</x:f>
        <x:v>0</x:v>
      </x:c>
      <x:c r="O685" s="10" t="n">
        <x:v>0</x:v>
      </x:c>
      <x:c r="P685" s="10" t="n">
        <x:v>0</x:v>
      </x:c>
      <x:c r="Q685" s="10" t="n">
        <x:v>0</x:v>
      </x:c>
      <x:c r="R685" s="10" t="n">
        <x:v>0</x:v>
      </x:c>
      <x:c r="S685" s="10" t="n">
        <x:v>0</x:v>
      </x:c>
      <x:c r="T685" s="10" t="n">
        <x:v>0</x:v>
      </x:c>
      <x:c r="U685" s="10" t="n">
        <x:f>IF(AND(ISNUMBER(X685),X685&gt;=0,Y685&lt;&gt;1),X685,"")</x:f>
        <x:v>0</x:v>
      </x:c>
      <x:c r="V685" s="10" t="n">
        <x:v>0</x:v>
      </x:c>
      <x:c r="W685" s="10" t="n">
        <x:v>0</x:v>
      </x:c>
      <x:c r="X685" s="10" t="n">
        <x:v>0</x:v>
      </x:c>
      <x:c r="Y685" s="3" t="n">
        <x:v>0</x:v>
      </x:c>
      <x:c r="Z685" s="3" t="str">
        <x:v>共同</x:v>
      </x:c>
      <x:c r="AA685" s="3" t="str">
        <x:v>停售</x:v>
      </x:c>
      <x:c r="AB685" s="12" t="str">
        <x:f>IF(AND(Z685="共同",ISNUMBER(G685),ISNUMBER(AD685)),G685-AD685,"")</x:f>
      </x:c>
      <x:c r="AC685" s="3" t="str">
        <x:v>近90天SKU销量未匹配，未按0处理</x:v>
      </x:c>
      <x:c r="AD685" s="12"/>
      <x:c r="AE685" s="3" t="str">
        <x:v>[13306,"B07-BG-40-by"]</x:v>
      </x:c>
      <x:c r="AF685" t="n">
        <x:f>IF(ISNUMBER(H685),1,0)</x:f>
        <x:v>1</x:v>
      </x:c>
      <x:c r="AG685" t="n">
        <x:f>IF(ISNUMBER(I685),1,0)</x:f>
        <x:v>1</x:v>
      </x:c>
      <x:c r="AH685" t="str">
        <x:v>["B07","B07-BG","BG","米色羊京绒"]</x:v>
      </x:c>
      <x:c r="AI685" t="n">
        <x:f>IF(ISNUMBER(G685),1,0)</x:f>
        <x:v>1</x:v>
      </x:c>
      <x:c r="AJ685" t="n">
        <x:f>IF(ISNUMBER(AD685),1,0)</x:f>
        <x:v>0</x:v>
      </x:c>
    </x:row>
    <x:row r="686" ht="30" customHeight="1">
      <x:c r="A686" s="3" t="str">
        <x:v>B07-BG-41-by</x:v>
      </x:c>
      <x:c r="B686" s="3" t="str">
        <x:v>4店-彬郁-US</x:v>
      </x:c>
      <x:c r="C686" s="3" t="str">
        <x:v>艾年</x:v>
      </x:c>
      <x:c r="D686" s="3" t="str">
        <x:v>B07</x:v>
      </x:c>
      <x:c r="E686" s="3" t="str">
        <x:f>IF(Z686="移出","已移出",IF(NOT(ISNUMBER(H686)),"数据待核",IF(H686=0,"断货",IF(NOT(ISNUMBER(G686)),"数据待核",IF(G686=0,"零日销待复核",IF(F686&lt;60,"补货提醒",IF(F686&lt;=90,"正常库存",IF(F686&lt;180,"促销",IF(F686&lt;=365,"红线促销","考虑清仓")))))))))</x:f>
        <x:v>断货</x:v>
      </x:c>
      <x:c r="F686" s="11" t="n">
        <x:f>IF(AND(ISNUMBER(H686),ISNUMBER(G686),G686&gt;0),H686/G686,"")</x:f>
        <x:v>0</x:v>
      </x:c>
      <x:c r="G686" s="12" t="n">
        <x:f>IF(AND(COUNT(P686:R686)=3,MIN(P686:R686)&gt;=0,P686&lt;=Q686,Q686&lt;=R686),P686/7*0.5+Q686/14*0.3+R686/30*0.2,"")</x:f>
        <x:v>0.09952380952380951</x:v>
      </x:c>
      <x:c r="H686" s="10" t="n">
        <x:f>IF(ISNUMBER(U686),U686,"")</x:f>
        <x:v>0</x:v>
      </x:c>
      <x:c r="I686" s="10" t="n">
        <x:v>0</x:v>
      </x:c>
      <x:c r="J686" s="11" t="n">
        <x:f>IF(AND(Z686="共同",ISNUMBER(F686),ISNUMBER(M686)),F686-M686,"")</x:f>
        <x:v>0</x:v>
      </x:c>
      <x:c r="K686" s="13" t="str">
        <x:f>IF(AND(ISNUMBER(J686),M686&lt;&gt;0),J686/M686,"")</x:f>
      </x:c>
      <x:c r="L686" s="10" t="str">
        <x:v>断货</x:v>
      </x:c>
      <x:c r="M686" s="11" t="n">
        <x:v>0</x:v>
      </x:c>
      <x:c r="N686" s="10" t="n">
        <x:f>IF(AND(Z686="共同",COUNT(H686:I686)=2),H686-I686,"")</x:f>
        <x:v>0</x:v>
      </x:c>
      <x:c r="O686" s="10" t="n">
        <x:v>0</x:v>
      </x:c>
      <x:c r="P686" s="10" t="n">
        <x:v>1</x:v>
      </x:c>
      <x:c r="Q686" s="10" t="n">
        <x:v>1</x:v>
      </x:c>
      <x:c r="R686" s="10" t="n">
        <x:v>1</x:v>
      </x:c>
      <x:c r="S686" s="10" t="n">
        <x:v>0</x:v>
      </x:c>
      <x:c r="T686" s="10" t="n">
        <x:v>0</x:v>
      </x:c>
      <x:c r="U686" s="10" t="n">
        <x:f>IF(AND(ISNUMBER(X686),X686&gt;=0,Y686&lt;&gt;1),X686,"")</x:f>
        <x:v>0</x:v>
      </x:c>
      <x:c r="V686" s="10" t="n">
        <x:v>0</x:v>
      </x:c>
      <x:c r="W686" s="10" t="n">
        <x:v>22</x:v>
      </x:c>
      <x:c r="X686" s="10" t="n">
        <x:v>0</x:v>
      </x:c>
      <x:c r="Y686" s="3" t="n">
        <x:v>0</x:v>
      </x:c>
      <x:c r="Z686" s="3" t="str">
        <x:v>共同</x:v>
      </x:c>
      <x:c r="AA686" s="3" t="str">
        <x:v>在售</x:v>
      </x:c>
      <x:c r="AB686" s="12" t="n">
        <x:f>IF(AND(Z686="共同",ISNUMBER(G686),ISNUMBER(AD686)),G686-AD686,"")</x:f>
        <x:v>0.09285714285714285</x:v>
      </x:c>
      <x:c r="AC686" s="3" t="str"/>
      <x:c r="AD686" s="12" t="n">
        <x:v>0.006666666666666666</x:v>
      </x:c>
      <x:c r="AE686" s="3" t="str">
        <x:v>[13306,"B07-BG-41-by"]</x:v>
      </x:c>
      <x:c r="AF686" t="n">
        <x:f>IF(ISNUMBER(H686),1,0)</x:f>
        <x:v>1</x:v>
      </x:c>
      <x:c r="AG686" t="n">
        <x:f>IF(ISNUMBER(I686),1,0)</x:f>
        <x:v>1</x:v>
      </x:c>
      <x:c r="AH686" t="str">
        <x:v>["B07","B07-BG","BG","米色羊京绒"]</x:v>
      </x:c>
      <x:c r="AI686" t="n">
        <x:f>IF(ISNUMBER(G686),1,0)</x:f>
        <x:v>1</x:v>
      </x:c>
      <x:c r="AJ686" t="n">
        <x:f>IF(ISNUMBER(AD686),1,0)</x:f>
        <x:v>1</x:v>
      </x:c>
    </x:row>
    <x:row r="687" ht="30" customHeight="1">
      <x:c r="A687" s="3" t="str">
        <x:v>B07-BG-41.5</x:v>
      </x:c>
      <x:c r="B687" s="3" t="str">
        <x:v>4店-彬郁-US</x:v>
      </x:c>
      <x:c r="C687" s="3" t="str">
        <x:v>艾年</x:v>
      </x:c>
      <x:c r="D687" s="3" t="str">
        <x:v>B07</x:v>
      </x:c>
      <x:c r="E687" s="3" t="str">
        <x:f>IF(Z687="移出","已移出",IF(NOT(ISNUMBER(H687)),"数据待核",IF(H687=0,"断货",IF(NOT(ISNUMBER(G687)),"数据待核",IF(G687=0,"零日销待复核",IF(F687&lt;60,"补货提醒",IF(F687&lt;=90,"正常库存",IF(F687&lt;180,"促销",IF(F687&lt;=365,"红线促销","考虑清仓")))))))))</x:f>
        <x:v>断货</x:v>
      </x:c>
      <x:c r="F687" s="11" t="str">
        <x:f>IF(AND(ISNUMBER(H687),ISNUMBER(G687),G687&gt;0),H687/G687,"")</x:f>
      </x:c>
      <x:c r="G687" s="12" t="n">
        <x:f>IF(AND(COUNT(P687:R687)=3,MIN(P687:R687)&gt;=0,P687&lt;=Q687,Q687&lt;=R687),P687/7*0.5+Q687/14*0.3+R687/30*0.2,"")</x:f>
        <x:v>0</x:v>
      </x:c>
      <x:c r="H687" s="10" t="n">
        <x:f>IF(ISNUMBER(U687),U687,"")</x:f>
        <x:v>0</x:v>
      </x:c>
      <x:c r="I687" s="10" t="n">
        <x:v>0</x:v>
      </x:c>
      <x:c r="J687" s="11" t="str">
        <x:f>IF(AND(Z687="共同",ISNUMBER(F687),ISNUMBER(M687)),F687-M687,"")</x:f>
      </x:c>
      <x:c r="K687" s="13" t="str">
        <x:f>IF(AND(ISNUMBER(J687),M687&lt;&gt;0),J687/M687,"")</x:f>
      </x:c>
      <x:c r="L687" s="10" t="str">
        <x:v>断货</x:v>
      </x:c>
      <x:c r="M687" s="11"/>
      <x:c r="N687" s="10" t="n">
        <x:f>IF(AND(Z687="共同",COUNT(H687:I687)=2),H687-I687,"")</x:f>
        <x:v>0</x:v>
      </x:c>
      <x:c r="O687" s="10" t="n">
        <x:v>0</x:v>
      </x:c>
      <x:c r="P687" s="10" t="n">
        <x:v>0</x:v>
      </x:c>
      <x:c r="Q687" s="10" t="n">
        <x:v>0</x:v>
      </x:c>
      <x:c r="R687" s="10" t="n">
        <x:v>0</x:v>
      </x:c>
      <x:c r="S687" s="10" t="n">
        <x:v>0</x:v>
      </x:c>
      <x:c r="T687" s="10" t="n">
        <x:v>0</x:v>
      </x:c>
      <x:c r="U687" s="10" t="n">
        <x:f>IF(AND(ISNUMBER(X687),X687&gt;=0,Y687&lt;&gt;1),X687,"")</x:f>
        <x:v>0</x:v>
      </x:c>
      <x:c r="V687" s="10" t="n">
        <x:v>0</x:v>
      </x:c>
      <x:c r="W687" s="10" t="n">
        <x:v>14</x:v>
      </x:c>
      <x:c r="X687" s="10" t="n">
        <x:v>0</x:v>
      </x:c>
      <x:c r="Y687" s="3" t="n">
        <x:v>0</x:v>
      </x:c>
      <x:c r="Z687" s="3" t="str">
        <x:v>共同</x:v>
      </x:c>
      <x:c r="AA687" s="3" t="str">
        <x:v>在售</x:v>
      </x:c>
      <x:c r="AB687" s="12" t="str">
        <x:f>IF(AND(Z687="共同",ISNUMBER(G687),ISNUMBER(AD687)),G687-AD687,"")</x:f>
      </x:c>
      <x:c r="AC687" s="3" t="str">
        <x:v>近90天SKU销量未匹配，未按0处理</x:v>
      </x:c>
      <x:c r="AD687" s="12"/>
      <x:c r="AE687" s="3" t="str">
        <x:v>[13306,"B07-BG-41.5"]</x:v>
      </x:c>
      <x:c r="AF687" t="n">
        <x:f>IF(ISNUMBER(H687),1,0)</x:f>
        <x:v>1</x:v>
      </x:c>
      <x:c r="AG687" t="n">
        <x:f>IF(ISNUMBER(I687),1,0)</x:f>
        <x:v>1</x:v>
      </x:c>
      <x:c r="AH687" t="str">
        <x:v>["B07","B07-BG","BG","米色羊京绒"]</x:v>
      </x:c>
      <x:c r="AI687" t="n">
        <x:f>IF(ISNUMBER(G687),1,0)</x:f>
        <x:v>1</x:v>
      </x:c>
      <x:c r="AJ687" t="n">
        <x:f>IF(ISNUMBER(AD687),1,0)</x:f>
        <x:v>0</x:v>
      </x:c>
    </x:row>
    <x:row r="688" ht="30" customHeight="1">
      <x:c r="A688" s="3" t="str">
        <x:v>B07-BGP-38.5</x:v>
      </x:c>
      <x:c r="B688" s="3" t="str">
        <x:v>4店-彬郁-US</x:v>
      </x:c>
      <x:c r="C688" s="3" t="str">
        <x:v>艾年</x:v>
      </x:c>
      <x:c r="D688" s="3" t="str">
        <x:v>B07</x:v>
      </x:c>
      <x:c r="E688" s="3" t="str">
        <x:f>IF(Z688="移出","已移出",IF(NOT(ISNUMBER(H688)),"数据待核",IF(H688=0,"断货",IF(NOT(ISNUMBER(G688)),"数据待核",IF(G688=0,"零日销待复核",IF(F688&lt;60,"补货提醒",IF(F688&lt;=90,"正常库存",IF(F688&lt;180,"促销",IF(F688&lt;=365,"红线促销","考虑清仓")))))))))</x:f>
        <x:v>断货</x:v>
      </x:c>
      <x:c r="F688" s="11" t="n">
        <x:f>IF(AND(ISNUMBER(H688),ISNUMBER(G688),G688&gt;0),H688/G688,"")</x:f>
        <x:v>0</x:v>
      </x:c>
      <x:c r="G688" s="12" t="n">
        <x:f>IF(AND(COUNT(P688:R688)=3,MIN(P688:R688)&gt;=0,P688&lt;=Q688,Q688&lt;=R688),P688/7*0.5+Q688/14*0.3+R688/30*0.2,"")</x:f>
        <x:v>0.03333333333333333</x:v>
      </x:c>
      <x:c r="H688" s="10" t="n">
        <x:f>IF(ISNUMBER(U688),U688,"")</x:f>
        <x:v>0</x:v>
      </x:c>
      <x:c r="I688" s="10" t="n">
        <x:v>0</x:v>
      </x:c>
      <x:c r="J688" s="11" t="n">
        <x:f>IF(AND(Z688="共同",ISNUMBER(F688),ISNUMBER(M688)),F688-M688,"")</x:f>
        <x:v>0</x:v>
      </x:c>
      <x:c r="K688" s="13" t="str">
        <x:f>IF(AND(ISNUMBER(J688),M688&lt;&gt;0),J688/M688,"")</x:f>
      </x:c>
      <x:c r="L688" s="10" t="str">
        <x:v>断货</x:v>
      </x:c>
      <x:c r="M688" s="11" t="n">
        <x:v>0</x:v>
      </x:c>
      <x:c r="N688" s="10" t="n">
        <x:f>IF(AND(Z688="共同",COUNT(H688:I688)=2),H688-I688,"")</x:f>
        <x:v>0</x:v>
      </x:c>
      <x:c r="O688" s="10" t="n">
        <x:v>0</x:v>
      </x:c>
      <x:c r="P688" s="10" t="n">
        <x:v>0</x:v>
      </x:c>
      <x:c r="Q688" s="10" t="n">
        <x:v>0</x:v>
      </x:c>
      <x:c r="R688" s="10" t="n">
        <x:v>5</x:v>
      </x:c>
      <x:c r="S688" s="10" t="n">
        <x:v>2</x:v>
      </x:c>
      <x:c r="T688" s="10" t="n">
        <x:v>0</x:v>
      </x:c>
      <x:c r="U688" s="10" t="n">
        <x:f>IF(AND(ISNUMBER(X688),X688&gt;=0,Y688&lt;&gt;1),X688,"")</x:f>
        <x:v>0</x:v>
      </x:c>
      <x:c r="V688" s="10" t="n">
        <x:v>0</x:v>
      </x:c>
      <x:c r="W688" s="10" t="n">
        <x:v>0</x:v>
      </x:c>
      <x:c r="X688" s="10" t="n">
        <x:v>0</x:v>
      </x:c>
      <x:c r="Y688" s="3" t="n">
        <x:v>0</x:v>
      </x:c>
      <x:c r="Z688" s="3" t="str">
        <x:v>共同</x:v>
      </x:c>
      <x:c r="AA688" s="3" t="str">
        <x:v>在售</x:v>
      </x:c>
      <x:c r="AB688" s="12" t="n">
        <x:f>IF(AND(Z688="共同",ISNUMBER(G688),ISNUMBER(AD688)),G688-AD688,"")</x:f>
        <x:v>-0.1638095238095238</x:v>
      </x:c>
      <x:c r="AC688" s="3" t="str"/>
      <x:c r="AD688" s="12" t="n">
        <x:v>0.19714285714285712</x:v>
      </x:c>
      <x:c r="AE688" s="3" t="str">
        <x:v>[13306,"B07-BGP-38.5"]</x:v>
      </x:c>
      <x:c r="AF688" t="n">
        <x:f>IF(ISNUMBER(H688),1,0)</x:f>
        <x:v>1</x:v>
      </x:c>
      <x:c r="AG688" t="n">
        <x:f>IF(ISNUMBER(I688),1,0)</x:f>
        <x:v>1</x:v>
      </x:c>
      <x:c r="AH688" t="str">
        <x:v>["B07","B07-BGP","BGP","米色PU"]</x:v>
      </x:c>
      <x:c r="AI688" t="n">
        <x:f>IF(ISNUMBER(G688),1,0)</x:f>
        <x:v>1</x:v>
      </x:c>
      <x:c r="AJ688" t="n">
        <x:f>IF(ISNUMBER(AD688),1,0)</x:f>
        <x:v>1</x:v>
      </x:c>
    </x:row>
    <x:row r="689" ht="30" customHeight="1">
      <x:c r="A689" s="3" t="str">
        <x:v>B07-BGP-41.5</x:v>
      </x:c>
      <x:c r="B689" s="3" t="str">
        <x:v>4店-彬郁-US</x:v>
      </x:c>
      <x:c r="C689" s="3" t="str">
        <x:v>艾年</x:v>
      </x:c>
      <x:c r="D689" s="3" t="str">
        <x:v>B07</x:v>
      </x:c>
      <x:c r="E689" s="3" t="str">
        <x:f>IF(Z689="移出","已移出",IF(NOT(ISNUMBER(H689)),"数据待核",IF(H689=0,"断货",IF(NOT(ISNUMBER(G689)),"数据待核",IF(G689=0,"零日销待复核",IF(F689&lt;60,"补货提醒",IF(F689&lt;=90,"正常库存",IF(F689&lt;180,"促销",IF(F689&lt;=365,"红线促销","考虑清仓")))))))))</x:f>
        <x:v>断货</x:v>
      </x:c>
      <x:c r="F689" s="11" t="str">
        <x:f>IF(AND(ISNUMBER(H689),ISNUMBER(G689),G689&gt;0),H689/G689,"")</x:f>
      </x:c>
      <x:c r="G689" s="12" t="n">
        <x:f>IF(AND(COUNT(P689:R689)=3,MIN(P689:R689)&gt;=0,P689&lt;=Q689,Q689&lt;=R689),P689/7*0.5+Q689/14*0.3+R689/30*0.2,"")</x:f>
        <x:v>0</x:v>
      </x:c>
      <x:c r="H689" s="10" t="n">
        <x:f>IF(ISNUMBER(U689),U689,"")</x:f>
        <x:v>0</x:v>
      </x:c>
      <x:c r="I689" s="10" t="n">
        <x:v>0</x:v>
      </x:c>
      <x:c r="J689" s="11" t="str">
        <x:f>IF(AND(Z689="共同",ISNUMBER(F689),ISNUMBER(M689)),F689-M689,"")</x:f>
      </x:c>
      <x:c r="K689" s="13" t="str">
        <x:f>IF(AND(ISNUMBER(J689),M689&lt;&gt;0),J689/M689,"")</x:f>
      </x:c>
      <x:c r="L689" s="10" t="str">
        <x:v>断货</x:v>
      </x:c>
      <x:c r="M689" s="11"/>
      <x:c r="N689" s="10" t="n">
        <x:f>IF(AND(Z689="共同",COUNT(H689:I689)=2),H689-I689,"")</x:f>
        <x:v>0</x:v>
      </x:c>
      <x:c r="O689" s="10"/>
      <x:c r="P689" s="10" t="n">
        <x:v>0</x:v>
      </x:c>
      <x:c r="Q689" s="10" t="n">
        <x:v>0</x:v>
      </x:c>
      <x:c r="R689" s="10" t="n">
        <x:v>0</x:v>
      </x:c>
      <x:c r="S689" s="10" t="n">
        <x:v>0</x:v>
      </x:c>
      <x:c r="T689" s="10" t="n">
        <x:v>0</x:v>
      </x:c>
      <x:c r="U689" s="10" t="n">
        <x:f>IF(AND(ISNUMBER(X689),X689&gt;=0,Y689&lt;&gt;1),X689,"")</x:f>
        <x:v>0</x:v>
      </x:c>
      <x:c r="V689" s="10" t="n">
        <x:v>0</x:v>
      </x:c>
      <x:c r="W689" s="10" t="n">
        <x:v>0</x:v>
      </x:c>
      <x:c r="X689" s="10" t="n">
        <x:v>0</x:v>
      </x:c>
      <x:c r="Y689" s="3" t="n">
        <x:v>0</x:v>
      </x:c>
      <x:c r="Z689" s="3" t="str">
        <x:v>共同</x:v>
      </x:c>
      <x:c r="AA689" s="3" t="str">
        <x:v>停售</x:v>
      </x:c>
      <x:c r="AB689" s="12" t="str">
        <x:f>IF(AND(Z689="共同",ISNUMBER(G689),ISNUMBER(AD689)),G689-AD689,"")</x:f>
      </x:c>
      <x:c r="AC689" s="3" t="str">
        <x:v>近90天SKU销量未匹配，未按0处理</x:v>
      </x:c>
      <x:c r="AD689" s="12"/>
      <x:c r="AE689" s="3" t="str">
        <x:v>[13306,"B07-BGP-41.5"]</x:v>
      </x:c>
      <x:c r="AF689" t="n">
        <x:f>IF(ISNUMBER(H689),1,0)</x:f>
        <x:v>1</x:v>
      </x:c>
      <x:c r="AG689" t="n">
        <x:f>IF(ISNUMBER(I689),1,0)</x:f>
        <x:v>1</x:v>
      </x:c>
      <x:c r="AH689" t="str">
        <x:v>["B07","B07-BGP","BGP","米色PU"]</x:v>
      </x:c>
      <x:c r="AI689" t="n">
        <x:f>IF(ISNUMBER(G689),1,0)</x:f>
        <x:v>1</x:v>
      </x:c>
      <x:c r="AJ689" t="n">
        <x:f>IF(ISNUMBER(AD689),1,0)</x:f>
        <x:v>0</x:v>
      </x:c>
    </x:row>
    <x:row r="690" ht="30" customHeight="1">
      <x:c r="A690" s="3" t="str">
        <x:v>B07-BK-37.5</x:v>
      </x:c>
      <x:c r="B690" s="3" t="str">
        <x:v>4店-彬郁-US</x:v>
      </x:c>
      <x:c r="C690" s="3" t="str">
        <x:v>艾年</x:v>
      </x:c>
      <x:c r="D690" s="3" t="str">
        <x:v>B07</x:v>
      </x:c>
      <x:c r="E690" s="3" t="str">
        <x:f>IF(Z690="移出","已移出",IF(NOT(ISNUMBER(H690)),"数据待核",IF(H690=0,"断货",IF(NOT(ISNUMBER(G690)),"数据待核",IF(G690=0,"零日销待复核",IF(F690&lt;60,"补货提醒",IF(F690&lt;=90,"正常库存",IF(F690&lt;180,"促销",IF(F690&lt;=365,"红线促销","考虑清仓")))))))))</x:f>
        <x:v>断货</x:v>
      </x:c>
      <x:c r="F690" s="11" t="n">
        <x:f>IF(AND(ISNUMBER(H690),ISNUMBER(G690),G690&gt;0),H690/G690,"")</x:f>
        <x:v>0</x:v>
      </x:c>
      <x:c r="G690" s="12" t="n">
        <x:f>IF(AND(COUNT(P690:R690)=3,MIN(P690:R690)&gt;=0,P690&lt;=Q690,Q690&lt;=R690),P690/7*0.5+Q690/14*0.3+R690/30*0.2,"")</x:f>
        <x:v>0.020000000000000004</x:v>
      </x:c>
      <x:c r="H690" s="10" t="n">
        <x:f>IF(ISNUMBER(U690),U690,"")</x:f>
        <x:v>0</x:v>
      </x:c>
      <x:c r="I690" s="10" t="n">
        <x:v>0</x:v>
      </x:c>
      <x:c r="J690" s="11" t="n">
        <x:f>IF(AND(Z690="共同",ISNUMBER(F690),ISNUMBER(M690)),F690-M690,"")</x:f>
        <x:v>0</x:v>
      </x:c>
      <x:c r="K690" s="13" t="str">
        <x:f>IF(AND(ISNUMBER(J690),M690&lt;&gt;0),J690/M690,"")</x:f>
      </x:c>
      <x:c r="L690" s="10" t="str">
        <x:v>断货</x:v>
      </x:c>
      <x:c r="M690" s="11" t="n">
        <x:v>0</x:v>
      </x:c>
      <x:c r="N690" s="10" t="n">
        <x:f>IF(AND(Z690="共同",COUNT(H690:I690)=2),H690-I690,"")</x:f>
        <x:v>0</x:v>
      </x:c>
      <x:c r="O690" s="10" t="n">
        <x:v>4</x:v>
      </x:c>
      <x:c r="P690" s="10" t="n">
        <x:v>0</x:v>
      </x:c>
      <x:c r="Q690" s="10" t="n">
        <x:v>0</x:v>
      </x:c>
      <x:c r="R690" s="10" t="n">
        <x:v>3</x:v>
      </x:c>
      <x:c r="S690" s="10" t="n">
        <x:v>6</x:v>
      </x:c>
      <x:c r="T690" s="10" t="n">
        <x:v>1</x:v>
      </x:c>
      <x:c r="U690" s="10" t="n">
        <x:f>IF(AND(ISNUMBER(X690),X690&gt;=0,Y690&lt;&gt;1),X690,"")</x:f>
        <x:v>0</x:v>
      </x:c>
      <x:c r="V690" s="10" t="n">
        <x:v>0</x:v>
      </x:c>
      <x:c r="W690" s="10" t="n">
        <x:v>4</x:v>
      </x:c>
      <x:c r="X690" s="10" t="n">
        <x:v>0</x:v>
      </x:c>
      <x:c r="Y690" s="3" t="n">
        <x:v>0</x:v>
      </x:c>
      <x:c r="Z690" s="3" t="str">
        <x:v>共同</x:v>
      </x:c>
      <x:c r="AA690" s="3" t="str">
        <x:v>在售</x:v>
      </x:c>
      <x:c r="AB690" s="12" t="n">
        <x:f>IF(AND(Z690="共同",ISNUMBER(G690),ISNUMBER(AD690)),G690-AD690,"")</x:f>
        <x:v>-0.14095238095238094</x:v>
      </x:c>
      <x:c r="AC690" s="3" t="str"/>
      <x:c r="AD690" s="12" t="n">
        <x:v>0.16095238095238096</x:v>
      </x:c>
      <x:c r="AE690" s="3" t="str">
        <x:v>[13306,"B07-BK-37.5"]</x:v>
      </x:c>
      <x:c r="AF690" t="n">
        <x:f>IF(ISNUMBER(H690),1,0)</x:f>
        <x:v>1</x:v>
      </x:c>
      <x:c r="AG690" t="n">
        <x:f>IF(ISNUMBER(I690),1,0)</x:f>
        <x:v>1</x:v>
      </x:c>
      <x:c r="AH690" t="str">
        <x:v>["B07","B07-BK","BK","黑色羊京绒"]</x:v>
      </x:c>
      <x:c r="AI690" t="n">
        <x:f>IF(ISNUMBER(G690),1,0)</x:f>
        <x:v>1</x:v>
      </x:c>
      <x:c r="AJ690" t="n">
        <x:f>IF(ISNUMBER(AD690),1,0)</x:f>
        <x:v>1</x:v>
      </x:c>
    </x:row>
    <x:row r="691" ht="30" customHeight="1">
      <x:c r="A691" s="3" t="str">
        <x:v>B07-BK-40-New</x:v>
      </x:c>
      <x:c r="B691" s="3" t="str">
        <x:v>4店-彬郁-US</x:v>
      </x:c>
      <x:c r="C691" s="3" t="str">
        <x:v>艾年</x:v>
      </x:c>
      <x:c r="D691" s="3" t="str">
        <x:v>B07</x:v>
      </x:c>
      <x:c r="E691" s="3" t="str">
        <x:f>IF(Z691="移出","已移出",IF(NOT(ISNUMBER(H691)),"数据待核",IF(H691=0,"断货",IF(NOT(ISNUMBER(G691)),"数据待核",IF(G691=0,"零日销待复核",IF(F691&lt;60,"补货提醒",IF(F691&lt;=90,"正常库存",IF(F691&lt;180,"促销",IF(F691&lt;=365,"红线促销","考虑清仓")))))))))</x:f>
        <x:v>断货</x:v>
      </x:c>
      <x:c r="F691" s="11" t="n">
        <x:f>IF(AND(ISNUMBER(H691),ISNUMBER(G691),G691&gt;0),H691/G691,"")</x:f>
        <x:v>0</x:v>
      </x:c>
      <x:c r="G691" s="12" t="n">
        <x:f>IF(AND(COUNT(P691:R691)=3,MIN(P691:R691)&gt;=0,P691&lt;=Q691,Q691&lt;=R691),P691/7*0.5+Q691/14*0.3+R691/30*0.2,"")</x:f>
        <x:v>0.7257142857142856</x:v>
      </x:c>
      <x:c r="H691" s="10" t="n">
        <x:f>IF(ISNUMBER(U691),U691,"")</x:f>
        <x:v>0</x:v>
      </x:c>
      <x:c r="I691" s="10" t="n">
        <x:v>2</x:v>
      </x:c>
      <x:c r="J691" s="11" t="n">
        <x:f>IF(AND(Z691="共同",ISNUMBER(F691),ISNUMBER(M691)),F691-M691,"")</x:f>
        <x:v>-3.189066059225513</x:v>
      </x:c>
      <x:c r="K691" s="13" t="n">
        <x:f>IF(AND(ISNUMBER(J691),M691&lt;&gt;0),J691/M691,"")</x:f>
        <x:v>-1</x:v>
      </x:c>
      <x:c r="L691" s="10" t="str">
        <x:v>补货提醒</x:v>
      </x:c>
      <x:c r="M691" s="11" t="n">
        <x:v>3.189066059225513</x:v>
      </x:c>
      <x:c r="N691" s="10" t="n">
        <x:f>IF(AND(Z691="共同",COUNT(H691:I691)=2),H691-I691,"")</x:f>
        <x:v>-2</x:v>
      </x:c>
      <x:c r="O691" s="10" t="n">
        <x:v>41</x:v>
      </x:c>
      <x:c r="P691" s="10" t="n">
        <x:v>4</x:v>
      </x:c>
      <x:c r="Q691" s="10" t="n">
        <x:v>14</x:v>
      </x:c>
      <x:c r="R691" s="10" t="n">
        <x:v>21</x:v>
      </x:c>
      <x:c r="S691" s="10" t="n">
        <x:v>18</x:v>
      </x:c>
      <x:c r="T691" s="10" t="n">
        <x:v>2</x:v>
      </x:c>
      <x:c r="U691" s="10" t="n">
        <x:f>IF(AND(ISNUMBER(X691),X691&gt;=0,Y691&lt;&gt;1),X691,"")</x:f>
        <x:v>0</x:v>
      </x:c>
      <x:c r="V691" s="10" t="n">
        <x:v>0</x:v>
      </x:c>
      <x:c r="W691" s="10" t="n">
        <x:v>40</x:v>
      </x:c>
      <x:c r="X691" s="10" t="n">
        <x:v>0</x:v>
      </x:c>
      <x:c r="Y691" s="3" t="n">
        <x:v>0</x:v>
      </x:c>
      <x:c r="Z691" s="3" t="str">
        <x:v>共同</x:v>
      </x:c>
      <x:c r="AA691" s="3" t="str">
        <x:v>在售</x:v>
      </x:c>
      <x:c r="AB691" s="12" t="n">
        <x:f>IF(AND(Z691="共同",ISNUMBER(G691),ISNUMBER(AD691)),G691-AD691,"")</x:f>
        <x:v>0.09857142857142853</x:v>
      </x:c>
      <x:c r="AC691" s="3" t="str"/>
      <x:c r="AD691" s="12" t="n">
        <x:v>0.6271428571428571</x:v>
      </x:c>
      <x:c r="AE691" s="3" t="str">
        <x:v>[13306,"B07-BK-40-New"]</x:v>
      </x:c>
      <x:c r="AF691" t="n">
        <x:f>IF(ISNUMBER(H691),1,0)</x:f>
        <x:v>1</x:v>
      </x:c>
      <x:c r="AG691" t="n">
        <x:f>IF(ISNUMBER(I691),1,0)</x:f>
        <x:v>1</x:v>
      </x:c>
      <x:c r="AH691" t="str">
        <x:v>["B07","B07-BK","BK","黑色羊京绒"]</x:v>
      </x:c>
      <x:c r="AI691" t="n">
        <x:f>IF(ISNUMBER(G691),1,0)</x:f>
        <x:v>1</x:v>
      </x:c>
      <x:c r="AJ691" t="n">
        <x:f>IF(ISNUMBER(AD691),1,0)</x:f>
        <x:v>1</x:v>
      </x:c>
    </x:row>
    <x:row r="692" ht="30" customHeight="1">
      <x:c r="A692" s="3" t="str">
        <x:v>B07-BK-41.5</x:v>
      </x:c>
      <x:c r="B692" s="3" t="str">
        <x:v>4店-彬郁-US</x:v>
      </x:c>
      <x:c r="C692" s="3" t="str">
        <x:v>艾年</x:v>
      </x:c>
      <x:c r="D692" s="3" t="str">
        <x:v>B07</x:v>
      </x:c>
      <x:c r="E692" s="3" t="str">
        <x:f>IF(Z692="移出","已移出",IF(NOT(ISNUMBER(H692)),"数据待核",IF(H692=0,"断货",IF(NOT(ISNUMBER(G692)),"数据待核",IF(G692=0,"零日销待复核",IF(F692&lt;60,"补货提醒",IF(F692&lt;=90,"正常库存",IF(F692&lt;180,"促销",IF(F692&lt;=365,"红线促销","考虑清仓")))))))))</x:f>
        <x:v>断货</x:v>
      </x:c>
      <x:c r="F692" s="11" t="n">
        <x:f>IF(AND(ISNUMBER(H692),ISNUMBER(G692),G692&gt;0),H692/G692,"")</x:f>
        <x:v>0</x:v>
      </x:c>
      <x:c r="G692" s="12" t="n">
        <x:f>IF(AND(COUNT(P692:R692)=3,MIN(P692:R692)&gt;=0,P692&lt;=Q692,Q692&lt;=R692),P692/7*0.5+Q692/14*0.3+R692/30*0.2,"")</x:f>
        <x:v>0.31</x:v>
      </x:c>
      <x:c r="H692" s="10" t="n">
        <x:f>IF(ISNUMBER(U692),U692,"")</x:f>
        <x:v>0</x:v>
      </x:c>
      <x:c r="I692" s="10" t="n">
        <x:v>3</x:v>
      </x:c>
      <x:c r="J692" s="11" t="n">
        <x:f>IF(AND(Z692="共同",ISNUMBER(F692),ISNUMBER(M692)),F692-M692,"")</x:f>
        <x:v>-30.731707317073177</x:v>
      </x:c>
      <x:c r="K692" s="13" t="n">
        <x:f>IF(AND(ISNUMBER(J692),M692&lt;&gt;0),J692/M692,"")</x:f>
        <x:v>-1</x:v>
      </x:c>
      <x:c r="L692" s="10" t="str">
        <x:v>补货提醒</x:v>
      </x:c>
      <x:c r="M692" s="11" t="n">
        <x:v>30.731707317073177</x:v>
      </x:c>
      <x:c r="N692" s="10" t="n">
        <x:f>IF(AND(Z692="共同",COUNT(H692:I692)=2),H692-I692,"")</x:f>
        <x:v>-3</x:v>
      </x:c>
      <x:c r="O692" s="10" t="n">
        <x:v>0</x:v>
      </x:c>
      <x:c r="P692" s="10" t="n">
        <x:v>2</x:v>
      </x:c>
      <x:c r="Q692" s="10" t="n">
        <x:v>5</x:v>
      </x:c>
      <x:c r="R692" s="10" t="n">
        <x:v>9</x:v>
      </x:c>
      <x:c r="S692" s="10" t="n">
        <x:v>3</x:v>
      </x:c>
      <x:c r="T692" s="10" t="n">
        <x:v>0</x:v>
      </x:c>
      <x:c r="U692" s="10" t="n">
        <x:f>IF(AND(ISNUMBER(X692),X692&gt;=0,Y692&lt;&gt;1),X692,"")</x:f>
        <x:v>0</x:v>
      </x:c>
      <x:c r="V692" s="10" t="n">
        <x:v>0</x:v>
      </x:c>
      <x:c r="W692" s="10" t="n">
        <x:v>0</x:v>
      </x:c>
      <x:c r="X692" s="10" t="n">
        <x:v>0</x:v>
      </x:c>
      <x:c r="Y692" s="3" t="n">
        <x:v>0</x:v>
      </x:c>
      <x:c r="Z692" s="3" t="str">
        <x:v>共同</x:v>
      </x:c>
      <x:c r="AA692" s="3" t="str">
        <x:v>在售</x:v>
      </x:c>
      <x:c r="AB692" s="12" t="n">
        <x:f>IF(AND(Z692="共同",ISNUMBER(G692),ISNUMBER(AD692)),G692-AD692,"")</x:f>
        <x:v>0.2123809523809524</x:v>
      </x:c>
      <x:c r="AC692" s="3" t="str"/>
      <x:c r="AD692" s="12" t="n">
        <x:v>0.0976190476190476</x:v>
      </x:c>
      <x:c r="AE692" s="3" t="str">
        <x:v>[13306,"B07-BK-41.5"]</x:v>
      </x:c>
      <x:c r="AF692" t="n">
        <x:f>IF(ISNUMBER(H692),1,0)</x:f>
        <x:v>1</x:v>
      </x:c>
      <x:c r="AG692" t="n">
        <x:f>IF(ISNUMBER(I692),1,0)</x:f>
        <x:v>1</x:v>
      </x:c>
      <x:c r="AH692" t="str">
        <x:v>["B07","B07-BK","BK","黑色羊京绒"]</x:v>
      </x:c>
      <x:c r="AI692" t="n">
        <x:f>IF(ISNUMBER(G692),1,0)</x:f>
        <x:v>1</x:v>
      </x:c>
      <x:c r="AJ692" t="n">
        <x:f>IF(ISNUMBER(AD692),1,0)</x:f>
        <x:v>1</x:v>
      </x:c>
    </x:row>
    <x:row r="693" ht="30" customHeight="1">
      <x:c r="A693" s="3" t="str">
        <x:v>B07-BK-I-0-39</x:v>
      </x:c>
      <x:c r="B693" s="3" t="str">
        <x:v>4店-彬郁-US</x:v>
      </x:c>
      <x:c r="C693" s="3" t="str">
        <x:v>艾年</x:v>
      </x:c>
      <x:c r="D693" s="3" t="str">
        <x:v>B07</x:v>
      </x:c>
      <x:c r="E693" s="3" t="str">
        <x:f>IF(Z693="移出","已移出",IF(NOT(ISNUMBER(H693)),"数据待核",IF(H693=0,"断货",IF(NOT(ISNUMBER(G693)),"数据待核",IF(G693=0,"零日销待复核",IF(F693&lt;60,"补货提醒",IF(F693&lt;=90,"正常库存",IF(F693&lt;180,"促销",IF(F693&lt;=365,"红线促销","考虑清仓")))))))))</x:f>
        <x:v>断货</x:v>
      </x:c>
      <x:c r="F693" s="11" t="str">
        <x:f>IF(AND(ISNUMBER(H693),ISNUMBER(G693),G693&gt;0),H693/G693,"")</x:f>
      </x:c>
      <x:c r="G693" s="12" t="n">
        <x:f>IF(AND(COUNT(P693:R693)=3,MIN(P693:R693)&gt;=0,P693&lt;=Q693,Q693&lt;=R693),P693/7*0.5+Q693/14*0.3+R693/30*0.2,"")</x:f>
        <x:v>0</x:v>
      </x:c>
      <x:c r="H693" s="10" t="n">
        <x:f>IF(ISNUMBER(U693),U693,"")</x:f>
        <x:v>0</x:v>
      </x:c>
      <x:c r="I693" s="10" t="n">
        <x:v>0</x:v>
      </x:c>
      <x:c r="J693" s="11" t="str">
        <x:f>IF(AND(Z693="共同",ISNUMBER(F693),ISNUMBER(M693)),F693-M693,"")</x:f>
      </x:c>
      <x:c r="K693" s="13" t="str">
        <x:f>IF(AND(ISNUMBER(J693),M693&lt;&gt;0),J693/M693,"")</x:f>
      </x:c>
      <x:c r="L693" s="10" t="str">
        <x:v>断货</x:v>
      </x:c>
      <x:c r="M693" s="11"/>
      <x:c r="N693" s="10" t="n">
        <x:f>IF(AND(Z693="共同",COUNT(H693:I693)=2),H693-I693,"")</x:f>
        <x:v>0</x:v>
      </x:c>
      <x:c r="O693" s="10" t="n">
        <x:v>0</x:v>
      </x:c>
      <x:c r="P693" s="10" t="n">
        <x:v>0</x:v>
      </x:c>
      <x:c r="Q693" s="10" t="n">
        <x:v>0</x:v>
      </x:c>
      <x:c r="R693" s="10" t="n">
        <x:v>0</x:v>
      </x:c>
      <x:c r="S693" s="10" t="n">
        <x:v>0</x:v>
      </x:c>
      <x:c r="T693" s="10" t="n">
        <x:v>0</x:v>
      </x:c>
      <x:c r="U693" s="10" t="n">
        <x:f>IF(AND(ISNUMBER(X693),X693&gt;=0,Y693&lt;&gt;1),X693,"")</x:f>
        <x:v>0</x:v>
      </x:c>
      <x:c r="V693" s="10" t="n">
        <x:v>0</x:v>
      </x:c>
      <x:c r="W693" s="10" t="n">
        <x:v>0</x:v>
      </x:c>
      <x:c r="X693" s="10" t="n">
        <x:v>0</x:v>
      </x:c>
      <x:c r="Y693" s="3" t="n">
        <x:v>0</x:v>
      </x:c>
      <x:c r="Z693" s="3" t="str">
        <x:v>共同</x:v>
      </x:c>
      <x:c r="AA693" s="3" t="str">
        <x:v>停售</x:v>
      </x:c>
      <x:c r="AB693" s="12" t="n">
        <x:f>IF(AND(Z693="共同",ISNUMBER(G693),ISNUMBER(AD693)),G693-AD693,"")</x:f>
        <x:v>0</x:v>
      </x:c>
      <x:c r="AC693" s="3" t="str"/>
      <x:c r="AD693" s="12" t="n">
        <x:v>0</x:v>
      </x:c>
      <x:c r="AE693" s="3" t="str">
        <x:v>[13306,"B07-BK-I-0-39"]</x:v>
      </x:c>
      <x:c r="AF693" t="n">
        <x:f>IF(ISNUMBER(H693),1,0)</x:f>
        <x:v>1</x:v>
      </x:c>
      <x:c r="AG693" t="n">
        <x:f>IF(ISNUMBER(I693),1,0)</x:f>
        <x:v>1</x:v>
      </x:c>
      <x:c r="AH693" t="str">
        <x:v>["B07","B07-BK-I-0","BK-I","黑色色织提花"]</x:v>
      </x:c>
      <x:c r="AI693" t="n">
        <x:f>IF(ISNUMBER(G693),1,0)</x:f>
        <x:v>1</x:v>
      </x:c>
      <x:c r="AJ693" t="n">
        <x:f>IF(ISNUMBER(AD693),1,0)</x:f>
        <x:v>1</x:v>
      </x:c>
    </x:row>
    <x:row r="694" ht="30" customHeight="1">
      <x:c r="A694" s="3" t="str">
        <x:v>B07-BK-I-0-39.5</x:v>
      </x:c>
      <x:c r="B694" s="3" t="str">
        <x:v>4店-彬郁-US</x:v>
      </x:c>
      <x:c r="C694" s="3" t="str">
        <x:v>艾年</x:v>
      </x:c>
      <x:c r="D694" s="3" t="str">
        <x:v>B07</x:v>
      </x:c>
      <x:c r="E694" s="3" t="str">
        <x:f>IF(Z694="移出","已移出",IF(NOT(ISNUMBER(H694)),"数据待核",IF(H694=0,"断货",IF(NOT(ISNUMBER(G694)),"数据待核",IF(G694=0,"零日销待复核",IF(F694&lt;60,"补货提醒",IF(F694&lt;=90,"正常库存",IF(F694&lt;180,"促销",IF(F694&lt;=365,"红线促销","考虑清仓")))))))))</x:f>
        <x:v>断货</x:v>
      </x:c>
      <x:c r="F694" s="11" t="str">
        <x:f>IF(AND(ISNUMBER(H694),ISNUMBER(G694),G694&gt;0),H694/G694,"")</x:f>
      </x:c>
      <x:c r="G694" s="12" t="n">
        <x:f>IF(AND(COUNT(P694:R694)=3,MIN(P694:R694)&gt;=0,P694&lt;=Q694,Q694&lt;=R694),P694/7*0.5+Q694/14*0.3+R694/30*0.2,"")</x:f>
        <x:v>0</x:v>
      </x:c>
      <x:c r="H694" s="10" t="n">
        <x:f>IF(ISNUMBER(U694),U694,"")</x:f>
        <x:v>0</x:v>
      </x:c>
      <x:c r="I694" s="10" t="n">
        <x:v>0</x:v>
      </x:c>
      <x:c r="J694" s="11" t="str">
        <x:f>IF(AND(Z694="共同",ISNUMBER(F694),ISNUMBER(M694)),F694-M694,"")</x:f>
      </x:c>
      <x:c r="K694" s="13" t="str">
        <x:f>IF(AND(ISNUMBER(J694),M694&lt;&gt;0),J694/M694,"")</x:f>
      </x:c>
      <x:c r="L694" s="10" t="str">
        <x:v>断货</x:v>
      </x:c>
      <x:c r="M694" s="11" t="n">
        <x:v>0</x:v>
      </x:c>
      <x:c r="N694" s="10" t="n">
        <x:f>IF(AND(Z694="共同",COUNT(H694:I694)=2),H694-I694,"")</x:f>
        <x:v>0</x:v>
      </x:c>
      <x:c r="O694" s="10" t="n">
        <x:v>0</x:v>
      </x:c>
      <x:c r="P694" s="10" t="n">
        <x:v>0</x:v>
      </x:c>
      <x:c r="Q694" s="10" t="n">
        <x:v>0</x:v>
      </x:c>
      <x:c r="R694" s="10" t="n">
        <x:v>0</x:v>
      </x:c>
      <x:c r="S694" s="10" t="n">
        <x:v>0</x:v>
      </x:c>
      <x:c r="T694" s="10" t="n">
        <x:v>0</x:v>
      </x:c>
      <x:c r="U694" s="10" t="n">
        <x:f>IF(AND(ISNUMBER(X694),X694&gt;=0,Y694&lt;&gt;1),X694,"")</x:f>
        <x:v>0</x:v>
      </x:c>
      <x:c r="V694" s="10" t="n">
        <x:v>0</x:v>
      </x:c>
      <x:c r="W694" s="10" t="n">
        <x:v>0</x:v>
      </x:c>
      <x:c r="X694" s="10" t="n">
        <x:v>0</x:v>
      </x:c>
      <x:c r="Y694" s="3" t="n">
        <x:v>0</x:v>
      </x:c>
      <x:c r="Z694" s="3" t="str">
        <x:v>共同</x:v>
      </x:c>
      <x:c r="AA694" s="3" t="str">
        <x:v>停售</x:v>
      </x:c>
      <x:c r="AB694" s="12" t="n">
        <x:f>IF(AND(Z694="共同",ISNUMBER(G694),ISNUMBER(AD694)),G694-AD694,"")</x:f>
        <x:v>-0.006666666666666666</x:v>
      </x:c>
      <x:c r="AC694" s="3" t="str"/>
      <x:c r="AD694" s="12" t="n">
        <x:v>0.006666666666666666</x:v>
      </x:c>
      <x:c r="AE694" s="3" t="str">
        <x:v>[13306,"B07-BK-I-0-39.5"]</x:v>
      </x:c>
      <x:c r="AF694" t="n">
        <x:f>IF(ISNUMBER(H694),1,0)</x:f>
        <x:v>1</x:v>
      </x:c>
      <x:c r="AG694" t="n">
        <x:f>IF(ISNUMBER(I694),1,0)</x:f>
        <x:v>1</x:v>
      </x:c>
      <x:c r="AH694" t="str">
        <x:v>["B07","B07-BK-I-0","BK-I","黑色色织提花"]</x:v>
      </x:c>
      <x:c r="AI694" t="n">
        <x:f>IF(ISNUMBER(G694),1,0)</x:f>
        <x:v>1</x:v>
      </x:c>
      <x:c r="AJ694" t="n">
        <x:f>IF(ISNUMBER(AD694),1,0)</x:f>
        <x:v>1</x:v>
      </x:c>
    </x:row>
    <x:row r="695" ht="30" customHeight="1">
      <x:c r="A695" s="3" t="str">
        <x:v>B07-BK-I-0-40</x:v>
      </x:c>
      <x:c r="B695" s="3" t="str">
        <x:v>4店-彬郁-US</x:v>
      </x:c>
      <x:c r="C695" s="3" t="str">
        <x:v>艾年</x:v>
      </x:c>
      <x:c r="D695" s="3" t="str">
        <x:v>B07</x:v>
      </x:c>
      <x:c r="E695" s="3" t="str">
        <x:f>IF(Z695="移出","已移出",IF(NOT(ISNUMBER(H695)),"数据待核",IF(H695=0,"断货",IF(NOT(ISNUMBER(G695)),"数据待核",IF(G695=0,"零日销待复核",IF(F695&lt;60,"补货提醒",IF(F695&lt;=90,"正常库存",IF(F695&lt;180,"促销",IF(F695&lt;=365,"红线促销","考虑清仓")))))))))</x:f>
        <x:v>断货</x:v>
      </x:c>
      <x:c r="F695" s="11" t="str">
        <x:f>IF(AND(ISNUMBER(H695),ISNUMBER(G695),G695&gt;0),H695/G695,"")</x:f>
      </x:c>
      <x:c r="G695" s="12" t="n">
        <x:f>IF(AND(COUNT(P695:R695)=3,MIN(P695:R695)&gt;=0,P695&lt;=Q695,Q695&lt;=R695),P695/7*0.5+Q695/14*0.3+R695/30*0.2,"")</x:f>
        <x:v>0</x:v>
      </x:c>
      <x:c r="H695" s="10" t="n">
        <x:f>IF(ISNUMBER(U695),U695,"")</x:f>
        <x:v>0</x:v>
      </x:c>
      <x:c r="I695" s="10" t="n">
        <x:v>0</x:v>
      </x:c>
      <x:c r="J695" s="11" t="str">
        <x:f>IF(AND(Z695="共同",ISNUMBER(F695),ISNUMBER(M695)),F695-M695,"")</x:f>
      </x:c>
      <x:c r="K695" s="13" t="str">
        <x:f>IF(AND(ISNUMBER(J695),M695&lt;&gt;0),J695/M695,"")</x:f>
      </x:c>
      <x:c r="L695" s="10" t="str">
        <x:v>断货</x:v>
      </x:c>
      <x:c r="M695" s="11"/>
      <x:c r="N695" s="10" t="n">
        <x:f>IF(AND(Z695="共同",COUNT(H695:I695)=2),H695-I695,"")</x:f>
        <x:v>0</x:v>
      </x:c>
      <x:c r="O695" s="10" t="n">
        <x:v>4</x:v>
      </x:c>
      <x:c r="P695" s="10" t="n">
        <x:v>0</x:v>
      </x:c>
      <x:c r="Q695" s="10" t="n">
        <x:v>0</x:v>
      </x:c>
      <x:c r="R695" s="10" t="n">
        <x:v>0</x:v>
      </x:c>
      <x:c r="S695" s="10" t="n">
        <x:v>0</x:v>
      </x:c>
      <x:c r="T695" s="10" t="n">
        <x:v>0</x:v>
      </x:c>
      <x:c r="U695" s="10" t="n">
        <x:f>IF(AND(ISNUMBER(X695),X695&gt;=0,Y695&lt;&gt;1),X695,"")</x:f>
        <x:v>0</x:v>
      </x:c>
      <x:c r="V695" s="10" t="n">
        <x:v>0</x:v>
      </x:c>
      <x:c r="W695" s="10" t="n">
        <x:v>16</x:v>
      </x:c>
      <x:c r="X695" s="10" t="n">
        <x:v>0</x:v>
      </x:c>
      <x:c r="Y695" s="3" t="n">
        <x:v>0</x:v>
      </x:c>
      <x:c r="Z695" s="3" t="str">
        <x:v>共同</x:v>
      </x:c>
      <x:c r="AA695" s="3" t="str">
        <x:v>在售</x:v>
      </x:c>
      <x:c r="AB695" s="12" t="str">
        <x:f>IF(AND(Z695="共同",ISNUMBER(G695),ISNUMBER(AD695)),G695-AD695,"")</x:f>
      </x:c>
      <x:c r="AC695" s="3" t="str">
        <x:v>近90天SKU销量未匹配，未按0处理</x:v>
      </x:c>
      <x:c r="AD695" s="12"/>
      <x:c r="AE695" s="3" t="str">
        <x:v>[13306,"B07-BK-I-0-40"]</x:v>
      </x:c>
      <x:c r="AF695" t="n">
        <x:f>IF(ISNUMBER(H695),1,0)</x:f>
        <x:v>1</x:v>
      </x:c>
      <x:c r="AG695" t="n">
        <x:f>IF(ISNUMBER(I695),1,0)</x:f>
        <x:v>1</x:v>
      </x:c>
      <x:c r="AH695" t="str">
        <x:v>["B07","B07-BK-I-0","BK-I","米色PU"]</x:v>
      </x:c>
      <x:c r="AI695" t="n">
        <x:f>IF(ISNUMBER(G695),1,0)</x:f>
        <x:v>1</x:v>
      </x:c>
      <x:c r="AJ695" t="n">
        <x:f>IF(ISNUMBER(AD695),1,0)</x:f>
        <x:v>0</x:v>
      </x:c>
    </x:row>
    <x:row r="696" ht="30" customHeight="1">
      <x:c r="A696" s="3" t="str">
        <x:v>B07-BK-V-0-41</x:v>
      </x:c>
      <x:c r="B696" s="3" t="str">
        <x:v>4店-彬郁-US</x:v>
      </x:c>
      <x:c r="C696" s="3" t="str">
        <x:v>艾年</x:v>
      </x:c>
      <x:c r="D696" s="3" t="str">
        <x:v>B07</x:v>
      </x:c>
      <x:c r="E696" s="3" t="str">
        <x:f>IF(Z696="移出","已移出",IF(NOT(ISNUMBER(H696)),"数据待核",IF(H696=0,"断货",IF(NOT(ISNUMBER(G696)),"数据待核",IF(G696=0,"零日销待复核",IF(F696&lt;60,"补货提醒",IF(F696&lt;=90,"正常库存",IF(F696&lt;180,"促销",IF(F696&lt;=365,"红线促销","考虑清仓")))))))))</x:f>
        <x:v>断货</x:v>
      </x:c>
      <x:c r="F696" s="11" t="n">
        <x:f>IF(AND(ISNUMBER(H696),ISNUMBER(G696),G696&gt;0),H696/G696,"")</x:f>
        <x:v>0</x:v>
      </x:c>
      <x:c r="G696" s="12" t="n">
        <x:f>IF(AND(COUNT(P696:R696)=3,MIN(P696:R696)&gt;=0,P696&lt;=Q696,Q696&lt;=R696),P696/7*0.5+Q696/14*0.3+R696/30*0.2,"")</x:f>
        <x:v>0.013333333333333334</x:v>
      </x:c>
      <x:c r="H696" s="10" t="n">
        <x:f>IF(ISNUMBER(U696),U696,"")</x:f>
        <x:v>0</x:v>
      </x:c>
      <x:c r="I696" s="10" t="n">
        <x:v>0</x:v>
      </x:c>
      <x:c r="J696" s="11" t="n">
        <x:f>IF(AND(Z696="共同",ISNUMBER(F696),ISNUMBER(M696)),F696-M696,"")</x:f>
        <x:v>0</x:v>
      </x:c>
      <x:c r="K696" s="13" t="str">
        <x:f>IF(AND(ISNUMBER(J696),M696&lt;&gt;0),J696/M696,"")</x:f>
      </x:c>
      <x:c r="L696" s="10" t="str">
        <x:v>断货</x:v>
      </x:c>
      <x:c r="M696" s="11" t="n">
        <x:v>0</x:v>
      </x:c>
      <x:c r="N696" s="10" t="n">
        <x:f>IF(AND(Z696="共同",COUNT(H696:I696)=2),H696-I696,"")</x:f>
        <x:v>0</x:v>
      </x:c>
      <x:c r="O696" s="10" t="n">
        <x:v>0</x:v>
      </x:c>
      <x:c r="P696" s="10" t="n">
        <x:v>0</x:v>
      </x:c>
      <x:c r="Q696" s="10" t="n">
        <x:v>0</x:v>
      </x:c>
      <x:c r="R696" s="10" t="n">
        <x:v>2</x:v>
      </x:c>
      <x:c r="S696" s="10" t="n">
        <x:v>0</x:v>
      </x:c>
      <x:c r="T696" s="10" t="n">
        <x:v>0</x:v>
      </x:c>
      <x:c r="U696" s="10" t="n">
        <x:f>IF(AND(ISNUMBER(X696),X696&gt;=0,Y696&lt;&gt;1),X696,"")</x:f>
        <x:v>0</x:v>
      </x:c>
      <x:c r="V696" s="10" t="n">
        <x:v>0</x:v>
      </x:c>
      <x:c r="W696" s="10" t="n">
        <x:v>0</x:v>
      </x:c>
      <x:c r="X696" s="10" t="n">
        <x:v>0</x:v>
      </x:c>
      <x:c r="Y696" s="3" t="n">
        <x:v>0</x:v>
      </x:c>
      <x:c r="Z696" s="3" t="str">
        <x:v>共同</x:v>
      </x:c>
      <x:c r="AA696" s="3" t="str">
        <x:v>停售</x:v>
      </x:c>
      <x:c r="AB696" s="12" t="n">
        <x:f>IF(AND(Z696="共同",ISNUMBER(G696),ISNUMBER(AD696)),G696-AD696,"")</x:f>
        <x:v>-0.1857142857142857</x:v>
      </x:c>
      <x:c r="AC696" s="3" t="str"/>
      <x:c r="AD696" s="12" t="n">
        <x:v>0.19904761904761903</x:v>
      </x:c>
      <x:c r="AE696" s="3" t="str">
        <x:v>[13306,"B07-BK-V-0-41"]</x:v>
      </x:c>
      <x:c r="AF696" t="n">
        <x:f>IF(ISNUMBER(H696),1,0)</x:f>
        <x:v>1</x:v>
      </x:c>
      <x:c r="AG696" t="n">
        <x:f>IF(ISNUMBER(I696),1,0)</x:f>
        <x:v>1</x:v>
      </x:c>
      <x:c r="AH696" t="str">
        <x:v>["B07","B07-BK-V-0","BK-V","黑色天鹅绒"]</x:v>
      </x:c>
      <x:c r="AI696" t="n">
        <x:f>IF(ISNUMBER(G696),1,0)</x:f>
        <x:v>1</x:v>
      </x:c>
      <x:c r="AJ696" t="n">
        <x:f>IF(ISNUMBER(AD696),1,0)</x:f>
        <x:v>1</x:v>
      </x:c>
    </x:row>
    <x:row r="697" ht="30" customHeight="1">
      <x:c r="A697" s="3" t="str">
        <x:v>B07-BK-Z-0-39.5</x:v>
      </x:c>
      <x:c r="B697" s="3" t="str">
        <x:v>4店-彬郁-US</x:v>
      </x:c>
      <x:c r="C697" s="3" t="str">
        <x:v>艾年</x:v>
      </x:c>
      <x:c r="D697" s="3" t="str">
        <x:v>B07</x:v>
      </x:c>
      <x:c r="E697" s="3" t="str">
        <x:f>IF(Z697="移出","已移出",IF(NOT(ISNUMBER(H697)),"数据待核",IF(H697=0,"断货",IF(NOT(ISNUMBER(G697)),"数据待核",IF(G697=0,"零日销待复核",IF(F697&lt;60,"补货提醒",IF(F697&lt;=90,"正常库存",IF(F697&lt;180,"促销",IF(F697&lt;=365,"红线促销","考虑清仓")))))))))</x:f>
        <x:v>断货</x:v>
      </x:c>
      <x:c r="F697" s="11" t="str">
        <x:f>IF(AND(ISNUMBER(H697),ISNUMBER(G697),G697&gt;0),H697/G697,"")</x:f>
      </x:c>
      <x:c r="G697" s="12" t="n">
        <x:f>IF(AND(COUNT(P697:R697)=3,MIN(P697:R697)&gt;=0,P697&lt;=Q697,Q697&lt;=R697),P697/7*0.5+Q697/14*0.3+R697/30*0.2,"")</x:f>
        <x:v>0</x:v>
      </x:c>
      <x:c r="H697" s="10" t="n">
        <x:f>IF(ISNUMBER(U697),U697,"")</x:f>
        <x:v>0</x:v>
      </x:c>
      <x:c r="I697" s="10" t="n">
        <x:v>0</x:v>
      </x:c>
      <x:c r="J697" s="11" t="str">
        <x:f>IF(AND(Z697="共同",ISNUMBER(F697),ISNUMBER(M697)),F697-M697,"")</x:f>
      </x:c>
      <x:c r="K697" s="13" t="str">
        <x:f>IF(AND(ISNUMBER(J697),M697&lt;&gt;0),J697/M697,"")</x:f>
      </x:c>
      <x:c r="L697" s="10" t="str">
        <x:v>断货</x:v>
      </x:c>
      <x:c r="M697" s="11"/>
      <x:c r="N697" s="10" t="n">
        <x:f>IF(AND(Z697="共同",COUNT(H697:I697)=2),H697-I697,"")</x:f>
        <x:v>0</x:v>
      </x:c>
      <x:c r="O697" s="10" t="n">
        <x:v>0</x:v>
      </x:c>
      <x:c r="P697" s="10" t="n">
        <x:v>0</x:v>
      </x:c>
      <x:c r="Q697" s="10" t="n">
        <x:v>0</x:v>
      </x:c>
      <x:c r="R697" s="10" t="n">
        <x:v>0</x:v>
      </x:c>
      <x:c r="S697" s="10" t="n">
        <x:v>0</x:v>
      </x:c>
      <x:c r="T697" s="10" t="n">
        <x:v>0</x:v>
      </x:c>
      <x:c r="U697" s="10" t="n">
        <x:f>IF(AND(ISNUMBER(X697),X697&gt;=0,Y697&lt;&gt;1),X697,"")</x:f>
        <x:v>0</x:v>
      </x:c>
      <x:c r="V697" s="10" t="n">
        <x:v>0</x:v>
      </x:c>
      <x:c r="W697" s="10" t="n">
        <x:v>0</x:v>
      </x:c>
      <x:c r="X697" s="10" t="n">
        <x:v>0</x:v>
      </x:c>
      <x:c r="Y697" s="3" t="n">
        <x:v>0</x:v>
      </x:c>
      <x:c r="Z697" s="3" t="str">
        <x:v>共同</x:v>
      </x:c>
      <x:c r="AA697" s="3" t="str">
        <x:v>停售</x:v>
      </x:c>
      <x:c r="AB697" s="12" t="n">
        <x:f>IF(AND(Z697="共同",ISNUMBER(G697),ISNUMBER(AD697)),G697-AD697,"")</x:f>
        <x:v>0</x:v>
      </x:c>
      <x:c r="AC697" s="3" t="str"/>
      <x:c r="AD697" s="12" t="n">
        <x:v>0</x:v>
      </x:c>
      <x:c r="AE697" s="3" t="str">
        <x:v>[13306,"B07-BK-Z-0-39.5"]</x:v>
      </x:c>
      <x:c r="AF697" t="n">
        <x:f>IF(ISNUMBER(H697),1,0)</x:f>
        <x:v>1</x:v>
      </x:c>
      <x:c r="AG697" t="n">
        <x:f>IF(ISNUMBER(I697),1,0)</x:f>
        <x:v>1</x:v>
      </x:c>
      <x:c r="AH697" t="str">
        <x:v>["B07","B07-BK-Z-0","BK-Z","黑色镜面PU"]</x:v>
      </x:c>
      <x:c r="AI697" t="n">
        <x:f>IF(ISNUMBER(G697),1,0)</x:f>
        <x:v>1</x:v>
      </x:c>
      <x:c r="AJ697" t="n">
        <x:f>IF(ISNUMBER(AD697),1,0)</x:f>
        <x:v>1</x:v>
      </x:c>
    </x:row>
    <x:row r="698" ht="30" customHeight="1">
      <x:c r="A698" s="3" t="str">
        <x:v>B07-BK-Z-0-40</x:v>
      </x:c>
      <x:c r="B698" s="3" t="str">
        <x:v>4店-彬郁-US</x:v>
      </x:c>
      <x:c r="C698" s="3" t="str">
        <x:v>艾年</x:v>
      </x:c>
      <x:c r="D698" s="3" t="str">
        <x:v>B07</x:v>
      </x:c>
      <x:c r="E698" s="3" t="str">
        <x:f>IF(Z698="移出","已移出",IF(NOT(ISNUMBER(H698)),"数据待核",IF(H698=0,"断货",IF(NOT(ISNUMBER(G698)),"数据待核",IF(G698=0,"零日销待复核",IF(F698&lt;60,"补货提醒",IF(F698&lt;=90,"正常库存",IF(F698&lt;180,"促销",IF(F698&lt;=365,"红线促销","考虑清仓")))))))))</x:f>
        <x:v>断货</x:v>
      </x:c>
      <x:c r="F698" s="11" t="n">
        <x:f>IF(AND(ISNUMBER(H698),ISNUMBER(G698),G698&gt;0),H698/G698,"")</x:f>
        <x:v>0</x:v>
      </x:c>
      <x:c r="G698" s="12" t="n">
        <x:f>IF(AND(COUNT(P698:R698)=3,MIN(P698:R698)&gt;=0,P698&lt;=Q698,Q698&lt;=R698),P698/7*0.5+Q698/14*0.3+R698/30*0.2,"")</x:f>
        <x:v>0.020000000000000004</x:v>
      </x:c>
      <x:c r="H698" s="10" t="n">
        <x:f>IF(ISNUMBER(U698),U698,"")</x:f>
        <x:v>0</x:v>
      </x:c>
      <x:c r="I698" s="10" t="n">
        <x:v>0</x:v>
      </x:c>
      <x:c r="J698" s="11" t="n">
        <x:f>IF(AND(Z698="共同",ISNUMBER(F698),ISNUMBER(M698)),F698-M698,"")</x:f>
        <x:v>0</x:v>
      </x:c>
      <x:c r="K698" s="13" t="str">
        <x:f>IF(AND(ISNUMBER(J698),M698&lt;&gt;0),J698/M698,"")</x:f>
      </x:c>
      <x:c r="L698" s="10" t="str">
        <x:v>断货</x:v>
      </x:c>
      <x:c r="M698" s="11" t="n">
        <x:v>0</x:v>
      </x:c>
      <x:c r="N698" s="10" t="n">
        <x:f>IF(AND(Z698="共同",COUNT(H698:I698)=2),H698-I698,"")</x:f>
        <x:v>0</x:v>
      </x:c>
      <x:c r="O698" s="10" t="n">
        <x:v>0</x:v>
      </x:c>
      <x:c r="P698" s="10" t="n">
        <x:v>0</x:v>
      </x:c>
      <x:c r="Q698" s="10" t="n">
        <x:v>0</x:v>
      </x:c>
      <x:c r="R698" s="10" t="n">
        <x:v>3</x:v>
      </x:c>
      <x:c r="S698" s="10" t="n">
        <x:v>0</x:v>
      </x:c>
      <x:c r="T698" s="10" t="n">
        <x:v>0</x:v>
      </x:c>
      <x:c r="U698" s="10" t="n">
        <x:f>IF(AND(ISNUMBER(X698),X698&gt;=0,Y698&lt;&gt;1),X698,"")</x:f>
        <x:v>0</x:v>
      </x:c>
      <x:c r="V698" s="10" t="n">
        <x:v>0</x:v>
      </x:c>
      <x:c r="W698" s="10" t="n">
        <x:v>0</x:v>
      </x:c>
      <x:c r="X698" s="10" t="n">
        <x:v>0</x:v>
      </x:c>
      <x:c r="Y698" s="3" t="n">
        <x:v>0</x:v>
      </x:c>
      <x:c r="Z698" s="3" t="str">
        <x:v>共同</x:v>
      </x:c>
      <x:c r="AA698" s="3" t="str">
        <x:v>停售</x:v>
      </x:c>
      <x:c r="AB698" s="12" t="n">
        <x:f>IF(AND(Z698="共同",ISNUMBER(G698),ISNUMBER(AD698)),G698-AD698,"")</x:f>
        <x:v>-0.22047619047619044</x:v>
      </x:c>
      <x:c r="AC698" s="3" t="str"/>
      <x:c r="AD698" s="12" t="n">
        <x:v>0.24047619047619045</x:v>
      </x:c>
      <x:c r="AE698" s="3" t="str">
        <x:v>[13306,"B07-BK-Z-0-40"]</x:v>
      </x:c>
      <x:c r="AF698" t="n">
        <x:f>IF(ISNUMBER(H698),1,0)</x:f>
        <x:v>1</x:v>
      </x:c>
      <x:c r="AG698" t="n">
        <x:f>IF(ISNUMBER(I698),1,0)</x:f>
        <x:v>1</x:v>
      </x:c>
      <x:c r="AH698" t="str">
        <x:v>["B07","B07-BK-Z-0","BK-Z","黑色镜面PU"]</x:v>
      </x:c>
      <x:c r="AI698" t="n">
        <x:f>IF(ISNUMBER(G698),1,0)</x:f>
        <x:v>1</x:v>
      </x:c>
      <x:c r="AJ698" t="n">
        <x:f>IF(ISNUMBER(AD698),1,0)</x:f>
        <x:v>1</x:v>
      </x:c>
    </x:row>
    <x:row r="699" ht="30" customHeight="1">
      <x:c r="A699" s="3" t="str">
        <x:v>B07-BK-Z-0-42</x:v>
      </x:c>
      <x:c r="B699" s="3" t="str">
        <x:v>4店-彬郁-US</x:v>
      </x:c>
      <x:c r="C699" s="3" t="str">
        <x:v>艾年</x:v>
      </x:c>
      <x:c r="D699" s="3" t="str">
        <x:v>B07</x:v>
      </x:c>
      <x:c r="E699" s="3" t="str">
        <x:f>IF(Z699="移出","已移出",IF(NOT(ISNUMBER(H699)),"数据待核",IF(H699=0,"断货",IF(NOT(ISNUMBER(G699)),"数据待核",IF(G699=0,"零日销待复核",IF(F699&lt;60,"补货提醒",IF(F699&lt;=90,"正常库存",IF(F699&lt;180,"促销",IF(F699&lt;=365,"红线促销","考虑清仓")))))))))</x:f>
        <x:v>断货</x:v>
      </x:c>
      <x:c r="F699" s="11" t="n">
        <x:f>IF(AND(ISNUMBER(H699),ISNUMBER(G699),G699&gt;0),H699/G699,"")</x:f>
        <x:v>0</x:v>
      </x:c>
      <x:c r="G699" s="12" t="n">
        <x:f>IF(AND(COUNT(P699:R699)=3,MIN(P699:R699)&gt;=0,P699&lt;=Q699,Q699&lt;=R699),P699/7*0.5+Q699/14*0.3+R699/30*0.2,"")</x:f>
        <x:v>0.006666666666666667</x:v>
      </x:c>
      <x:c r="H699" s="10" t="n">
        <x:f>IF(ISNUMBER(U699),U699,"")</x:f>
        <x:v>0</x:v>
      </x:c>
      <x:c r="I699" s="10" t="n">
        <x:v>0</x:v>
      </x:c>
      <x:c r="J699" s="11" t="n">
        <x:f>IF(AND(Z699="共同",ISNUMBER(F699),ISNUMBER(M699)),F699-M699,"")</x:f>
        <x:v>0</x:v>
      </x:c>
      <x:c r="K699" s="13" t="str">
        <x:f>IF(AND(ISNUMBER(J699),M699&lt;&gt;0),J699/M699,"")</x:f>
      </x:c>
      <x:c r="L699" s="10" t="str">
        <x:v>断货</x:v>
      </x:c>
      <x:c r="M699" s="11" t="n">
        <x:v>0</x:v>
      </x:c>
      <x:c r="N699" s="10" t="n">
        <x:f>IF(AND(Z699="共同",COUNT(H699:I699)=2),H699-I699,"")</x:f>
        <x:v>0</x:v>
      </x:c>
      <x:c r="O699" s="10" t="n">
        <x:v>0</x:v>
      </x:c>
      <x:c r="P699" s="10" t="n">
        <x:v>0</x:v>
      </x:c>
      <x:c r="Q699" s="10" t="n">
        <x:v>0</x:v>
      </x:c>
      <x:c r="R699" s="10" t="n">
        <x:v>1</x:v>
      </x:c>
      <x:c r="S699" s="10" t="n">
        <x:v>0</x:v>
      </x:c>
      <x:c r="T699" s="10" t="n">
        <x:v>0</x:v>
      </x:c>
      <x:c r="U699" s="10" t="n">
        <x:f>IF(AND(ISNUMBER(X699),X699&gt;=0,Y699&lt;&gt;1),X699,"")</x:f>
        <x:v>0</x:v>
      </x:c>
      <x:c r="V699" s="10" t="n">
        <x:v>0</x:v>
      </x:c>
      <x:c r="W699" s="10" t="n">
        <x:v>0</x:v>
      </x:c>
      <x:c r="X699" s="10" t="n">
        <x:v>0</x:v>
      </x:c>
      <x:c r="Y699" s="3" t="n">
        <x:v>0</x:v>
      </x:c>
      <x:c r="Z699" s="3" t="str">
        <x:v>共同</x:v>
      </x:c>
      <x:c r="AA699" s="3" t="str">
        <x:v>停售</x:v>
      </x:c>
      <x:c r="AB699" s="12" t="n">
        <x:f>IF(AND(Z699="共同",ISNUMBER(G699),ISNUMBER(AD699)),G699-AD699,"")</x:f>
        <x:v>-0.09285714285714285</x:v>
      </x:c>
      <x:c r="AC699" s="3" t="str"/>
      <x:c r="AD699" s="12" t="n">
        <x:v>0.09952380952380951</x:v>
      </x:c>
      <x:c r="AE699" s="3" t="str">
        <x:v>[13306,"B07-BK-Z-0-42"]</x:v>
      </x:c>
      <x:c r="AF699" t="n">
        <x:f>IF(ISNUMBER(H699),1,0)</x:f>
        <x:v>1</x:v>
      </x:c>
      <x:c r="AG699" t="n">
        <x:f>IF(ISNUMBER(I699),1,0)</x:f>
        <x:v>1</x:v>
      </x:c>
      <x:c r="AH699" t="str">
        <x:v>["B07","B07-BK-Z-0","BK-Z","黑色镜面PU"]</x:v>
      </x:c>
      <x:c r="AI699" t="n">
        <x:f>IF(ISNUMBER(G699),1,0)</x:f>
        <x:v>1</x:v>
      </x:c>
      <x:c r="AJ699" t="n">
        <x:f>IF(ISNUMBER(AD699),1,0)</x:f>
        <x:v>1</x:v>
      </x:c>
    </x:row>
    <x:row r="700" ht="30" customHeight="1">
      <x:c r="A700" s="3" t="str">
        <x:v>B07-BKP-39.5</x:v>
      </x:c>
      <x:c r="B700" s="3" t="str">
        <x:v>4店-彬郁-US</x:v>
      </x:c>
      <x:c r="C700" s="3" t="str">
        <x:v>艾年</x:v>
      </x:c>
      <x:c r="D700" s="3" t="str">
        <x:v>B07</x:v>
      </x:c>
      <x:c r="E700" s="3" t="str">
        <x:f>IF(Z700="移出","已移出",IF(NOT(ISNUMBER(H700)),"数据待核",IF(H700=0,"断货",IF(NOT(ISNUMBER(G700)),"数据待核",IF(G700=0,"零日销待复核",IF(F700&lt;60,"补货提醒",IF(F700&lt;=90,"正常库存",IF(F700&lt;180,"促销",IF(F700&lt;=365,"红线促销","考虑清仓")))))))))</x:f>
        <x:v>断货</x:v>
      </x:c>
      <x:c r="F700" s="11" t="n">
        <x:f>IF(AND(ISNUMBER(H700),ISNUMBER(G700),G700&gt;0),H700/G700,"")</x:f>
        <x:v>0</x:v>
      </x:c>
      <x:c r="G700" s="12" t="n">
        <x:f>IF(AND(COUNT(P700:R700)=3,MIN(P700:R700)&gt;=0,P700&lt;=Q700,Q700&lt;=R700),P700/7*0.5+Q700/14*0.3+R700/30*0.2,"")</x:f>
        <x:v>0.03476190476190476</x:v>
      </x:c>
      <x:c r="H700" s="10" t="n">
        <x:f>IF(ISNUMBER(U700),U700,"")</x:f>
        <x:v>0</x:v>
      </x:c>
      <x:c r="I700" s="10" t="n">
        <x:v>0</x:v>
      </x:c>
      <x:c r="J700" s="11" t="n">
        <x:f>IF(AND(Z700="共同",ISNUMBER(F700),ISNUMBER(M700)),F700-M700,"")</x:f>
        <x:v>0</x:v>
      </x:c>
      <x:c r="K700" s="13" t="str">
        <x:f>IF(AND(ISNUMBER(J700),M700&lt;&gt;0),J700/M700,"")</x:f>
      </x:c>
      <x:c r="L700" s="10" t="str">
        <x:v>断货</x:v>
      </x:c>
      <x:c r="M700" s="11" t="n">
        <x:v>0</x:v>
      </x:c>
      <x:c r="N700" s="10" t="n">
        <x:f>IF(AND(Z700="共同",COUNT(H700:I700)=2),H700-I700,"")</x:f>
        <x:v>0</x:v>
      </x:c>
      <x:c r="O700" s="10" t="n">
        <x:v>48</x:v>
      </x:c>
      <x:c r="P700" s="10" t="n">
        <x:v>0</x:v>
      </x:c>
      <x:c r="Q700" s="10" t="n">
        <x:v>1</x:v>
      </x:c>
      <x:c r="R700" s="10" t="n">
        <x:v>2</x:v>
      </x:c>
      <x:c r="S700" s="10" t="n">
        <x:v>0</x:v>
      </x:c>
      <x:c r="T700" s="10" t="n">
        <x:v>0</x:v>
      </x:c>
      <x:c r="U700" s="10" t="n">
        <x:f>IF(AND(ISNUMBER(X700),X700&gt;=0,Y700&lt;&gt;1),X700,"")</x:f>
        <x:v>0</x:v>
      </x:c>
      <x:c r="V700" s="10" t="n">
        <x:v>0</x:v>
      </x:c>
      <x:c r="W700" s="10" t="n">
        <x:v>48</x:v>
      </x:c>
      <x:c r="X700" s="10" t="n">
        <x:v>0</x:v>
      </x:c>
      <x:c r="Y700" s="3" t="n">
        <x:v>0</x:v>
      </x:c>
      <x:c r="Z700" s="3" t="str">
        <x:v>共同</x:v>
      </x:c>
      <x:c r="AA700" s="3" t="str">
        <x:v>停售</x:v>
      </x:c>
      <x:c r="AB700" s="12" t="n">
        <x:f>IF(AND(Z700="共同",ISNUMBER(G700),ISNUMBER(AD700)),G700-AD700,"")</x:f>
        <x:v>-0.09952380952380953</x:v>
      </x:c>
      <x:c r="AC700" s="3" t="str"/>
      <x:c r="AD700" s="12" t="n">
        <x:v>0.13428571428571429</x:v>
      </x:c>
      <x:c r="AE700" s="3" t="str">
        <x:v>[13306,"B07-BKP-39.5"]</x:v>
      </x:c>
      <x:c r="AF700" t="n">
        <x:f>IF(ISNUMBER(H700),1,0)</x:f>
        <x:v>1</x:v>
      </x:c>
      <x:c r="AG700" t="n">
        <x:f>IF(ISNUMBER(I700),1,0)</x:f>
        <x:v>1</x:v>
      </x:c>
      <x:c r="AH700" t="str">
        <x:v>["B07","B07-BKP","BKP","黑色PU"]</x:v>
      </x:c>
      <x:c r="AI700" t="n">
        <x:f>IF(ISNUMBER(G700),1,0)</x:f>
        <x:v>1</x:v>
      </x:c>
      <x:c r="AJ700" t="n">
        <x:f>IF(ISNUMBER(AD700),1,0)</x:f>
        <x:v>1</x:v>
      </x:c>
    </x:row>
    <x:row r="701" ht="30" customHeight="1">
      <x:c r="A701" s="3" t="str">
        <x:v>B07-BKP-40-New</x:v>
      </x:c>
      <x:c r="B701" s="3" t="str">
        <x:v>4店-彬郁-US</x:v>
      </x:c>
      <x:c r="C701" s="3" t="str">
        <x:v>艾年</x:v>
      </x:c>
      <x:c r="D701" s="3" t="str">
        <x:v>B07</x:v>
      </x:c>
      <x:c r="E701" s="3" t="str">
        <x:f>IF(Z701="移出","已移出",IF(NOT(ISNUMBER(H701)),"数据待核",IF(H701=0,"断货",IF(NOT(ISNUMBER(G701)),"数据待核",IF(G701=0,"零日销待复核",IF(F701&lt;60,"补货提醒",IF(F701&lt;=90,"正常库存",IF(F701&lt;180,"促销",IF(F701&lt;=365,"红线促销","考虑清仓")))))))))</x:f>
        <x:v>断货</x:v>
      </x:c>
      <x:c r="F701" s="11" t="str">
        <x:f>IF(AND(ISNUMBER(H701),ISNUMBER(G701),G701&gt;0),H701/G701,"")</x:f>
      </x:c>
      <x:c r="G701" s="12" t="n">
        <x:f>IF(AND(COUNT(P701:R701)=3,MIN(P701:R701)&gt;=0,P701&lt;=Q701,Q701&lt;=R701),P701/7*0.5+Q701/14*0.3+R701/30*0.2,"")</x:f>
        <x:v>0</x:v>
      </x:c>
      <x:c r="H701" s="10" t="n">
        <x:f>IF(ISNUMBER(U701),U701,"")</x:f>
        <x:v>0</x:v>
      </x:c>
      <x:c r="I701" s="10" t="n">
        <x:v>0</x:v>
      </x:c>
      <x:c r="J701" s="11" t="str">
        <x:f>IF(AND(Z701="共同",ISNUMBER(F701),ISNUMBER(M701)),F701-M701,"")</x:f>
      </x:c>
      <x:c r="K701" s="13" t="str">
        <x:f>IF(AND(ISNUMBER(J701),M701&lt;&gt;0),J701/M701,"")</x:f>
      </x:c>
      <x:c r="L701" s="10" t="str">
        <x:v>断货</x:v>
      </x:c>
      <x:c r="M701" s="11"/>
      <x:c r="N701" s="10" t="n">
        <x:f>IF(AND(Z701="共同",COUNT(H701:I701)=2),H701-I701,"")</x:f>
        <x:v>0</x:v>
      </x:c>
      <x:c r="O701" s="10" t="n">
        <x:v>67</x:v>
      </x:c>
      <x:c r="P701" s="10" t="n">
        <x:v>0</x:v>
      </x:c>
      <x:c r="Q701" s="10" t="n">
        <x:v>0</x:v>
      </x:c>
      <x:c r="R701" s="10" t="n">
        <x:v>0</x:v>
      </x:c>
      <x:c r="S701" s="10" t="n">
        <x:v>1</x:v>
      </x:c>
      <x:c r="T701" s="10" t="n">
        <x:v>0</x:v>
      </x:c>
      <x:c r="U701" s="10" t="n">
        <x:f>IF(AND(ISNUMBER(X701),X701&gt;=0,Y701&lt;&gt;1),X701,"")</x:f>
        <x:v>0</x:v>
      </x:c>
      <x:c r="V701" s="10" t="n">
        <x:v>0</x:v>
      </x:c>
      <x:c r="W701" s="10" t="n">
        <x:v>0</x:v>
      </x:c>
      <x:c r="X701" s="10" t="n">
        <x:v>0</x:v>
      </x:c>
      <x:c r="Y701" s="3" t="n">
        <x:v>0</x:v>
      </x:c>
      <x:c r="Z701" s="3" t="str">
        <x:v>共同</x:v>
      </x:c>
      <x:c r="AA701" s="3" t="str">
        <x:v>停售</x:v>
      </x:c>
      <x:c r="AB701" s="12" t="n">
        <x:f>IF(AND(Z701="共同",ISNUMBER(G701),ISNUMBER(AD701)),G701-AD701,"")</x:f>
        <x:v>0</x:v>
      </x:c>
      <x:c r="AC701" s="3" t="str"/>
      <x:c r="AD701" s="12" t="n">
        <x:v>0</x:v>
      </x:c>
      <x:c r="AE701" s="3" t="str">
        <x:v>[13306,"B07-BKP-40-New"]</x:v>
      </x:c>
      <x:c r="AF701" t="n">
        <x:f>IF(ISNUMBER(H701),1,0)</x:f>
        <x:v>1</x:v>
      </x:c>
      <x:c r="AG701" t="n">
        <x:f>IF(ISNUMBER(I701),1,0)</x:f>
        <x:v>1</x:v>
      </x:c>
      <x:c r="AH701" t="str">
        <x:v>["B07","B07-BKP","BKP","黑色PU"]</x:v>
      </x:c>
      <x:c r="AI701" t="n">
        <x:f>IF(ISNUMBER(G701),1,0)</x:f>
        <x:v>1</x:v>
      </x:c>
      <x:c r="AJ701" t="n">
        <x:f>IF(ISNUMBER(AD701),1,0)</x:f>
        <x:v>1</x:v>
      </x:c>
    </x:row>
    <x:row r="702" ht="30" customHeight="1">
      <x:c r="A702" s="3" t="str">
        <x:v>B07-BKP-41-by</x:v>
      </x:c>
      <x:c r="B702" s="3" t="str">
        <x:v>4店-彬郁-US</x:v>
      </x:c>
      <x:c r="C702" s="3" t="str">
        <x:v>艾年</x:v>
      </x:c>
      <x:c r="D702" s="3" t="str">
        <x:v>B07</x:v>
      </x:c>
      <x:c r="E702" s="3" t="str">
        <x:f>IF(Z702="移出","已移出",IF(NOT(ISNUMBER(H702)),"数据待核",IF(H702=0,"断货",IF(NOT(ISNUMBER(G702)),"数据待核",IF(G702=0,"零日销待复核",IF(F702&lt;60,"补货提醒",IF(F702&lt;=90,"正常库存",IF(F702&lt;180,"促销",IF(F702&lt;=365,"红线促销","考虑清仓")))))))))</x:f>
        <x:v>断货</x:v>
      </x:c>
      <x:c r="F702" s="11" t="str">
        <x:f>IF(AND(ISNUMBER(H702),ISNUMBER(G702),G702&gt;0),H702/G702,"")</x:f>
      </x:c>
      <x:c r="G702" s="12" t="n">
        <x:f>IF(AND(COUNT(P702:R702)=3,MIN(P702:R702)&gt;=0,P702&lt;=Q702,Q702&lt;=R702),P702/7*0.5+Q702/14*0.3+R702/30*0.2,"")</x:f>
        <x:v>0</x:v>
      </x:c>
      <x:c r="H702" s="10" t="n">
        <x:f>IF(ISNUMBER(U702),U702,"")</x:f>
        <x:v>0</x:v>
      </x:c>
      <x:c r="I702" s="10" t="n">
        <x:v>0</x:v>
      </x:c>
      <x:c r="J702" s="11" t="str">
        <x:f>IF(AND(Z702="共同",ISNUMBER(F702),ISNUMBER(M702)),F702-M702,"")</x:f>
      </x:c>
      <x:c r="K702" s="13" t="str">
        <x:f>IF(AND(ISNUMBER(J702),M702&lt;&gt;0),J702/M702,"")</x:f>
      </x:c>
      <x:c r="L702" s="10" t="str">
        <x:v>断货</x:v>
      </x:c>
      <x:c r="M702" s="11"/>
      <x:c r="N702" s="10" t="n">
        <x:f>IF(AND(Z702="共同",COUNT(H702:I702)=2),H702-I702,"")</x:f>
        <x:v>0</x:v>
      </x:c>
      <x:c r="O702" s="10" t="n">
        <x:v>0</x:v>
      </x:c>
      <x:c r="P702" s="10" t="n">
        <x:v>0</x:v>
      </x:c>
      <x:c r="Q702" s="10" t="n">
        <x:v>0</x:v>
      </x:c>
      <x:c r="R702" s="10" t="n">
        <x:v>0</x:v>
      </x:c>
      <x:c r="S702" s="10" t="n">
        <x:v>0</x:v>
      </x:c>
      <x:c r="T702" s="10" t="n">
        <x:v>0</x:v>
      </x:c>
      <x:c r="U702" s="10" t="n">
        <x:f>IF(AND(ISNUMBER(X702),X702&gt;=0,Y702&lt;&gt;1),X702,"")</x:f>
        <x:v>0</x:v>
      </x:c>
      <x:c r="V702" s="10" t="n">
        <x:v>0</x:v>
      </x:c>
      <x:c r="W702" s="10" t="n">
        <x:v>0</x:v>
      </x:c>
      <x:c r="X702" s="10" t="n">
        <x:v>0</x:v>
      </x:c>
      <x:c r="Y702" s="3" t="n">
        <x:v>0</x:v>
      </x:c>
      <x:c r="Z702" s="3" t="str">
        <x:v>共同</x:v>
      </x:c>
      <x:c r="AA702" s="3" t="str">
        <x:v>停售</x:v>
      </x:c>
      <x:c r="AB702" s="12" t="str">
        <x:f>IF(AND(Z702="共同",ISNUMBER(G702),ISNUMBER(AD702)),G702-AD702,"")</x:f>
      </x:c>
      <x:c r="AC702" s="3" t="str">
        <x:v>近90天SKU销量未匹配，未按0处理</x:v>
      </x:c>
      <x:c r="AD702" s="12"/>
      <x:c r="AE702" s="3" t="str">
        <x:v>[13306,"B07-BKP-41-by"]</x:v>
      </x:c>
      <x:c r="AF702" t="n">
        <x:f>IF(ISNUMBER(H702),1,0)</x:f>
        <x:v>1</x:v>
      </x:c>
      <x:c r="AG702" t="n">
        <x:f>IF(ISNUMBER(I702),1,0)</x:f>
        <x:v>1</x:v>
      </x:c>
      <x:c r="AH702" t="str">
        <x:v>["B07","B07-BKP","BKP","黑色PU"]</x:v>
      </x:c>
      <x:c r="AI702" t="n">
        <x:f>IF(ISNUMBER(G702),1,0)</x:f>
        <x:v>1</x:v>
      </x:c>
      <x:c r="AJ702" t="n">
        <x:f>IF(ISNUMBER(AD702),1,0)</x:f>
        <x:v>0</x:v>
      </x:c>
    </x:row>
    <x:row r="703" ht="30" customHeight="1">
      <x:c r="A703" s="3" t="str">
        <x:v>B07-CF-38</x:v>
      </x:c>
      <x:c r="B703" s="3" t="str">
        <x:v>4店-彬郁-US</x:v>
      </x:c>
      <x:c r="C703" s="3" t="str">
        <x:v>艾年</x:v>
      </x:c>
      <x:c r="D703" s="3" t="str">
        <x:v>B07</x:v>
      </x:c>
      <x:c r="E703" s="3" t="str">
        <x:f>IF(Z703="移出","已移出",IF(NOT(ISNUMBER(H703)),"数据待核",IF(H703=0,"断货",IF(NOT(ISNUMBER(G703)),"数据待核",IF(G703=0,"零日销待复核",IF(F703&lt;60,"补货提醒",IF(F703&lt;=90,"正常库存",IF(F703&lt;180,"促销",IF(F703&lt;=365,"红线促销","考虑清仓")))))))))</x:f>
        <x:v>断货</x:v>
      </x:c>
      <x:c r="F703" s="11" t="str">
        <x:f>IF(AND(ISNUMBER(H703),ISNUMBER(G703),G703&gt;0),H703/G703,"")</x:f>
      </x:c>
      <x:c r="G703" s="12" t="n">
        <x:f>IF(AND(COUNT(P703:R703)=3,MIN(P703:R703)&gt;=0,P703&lt;=Q703,Q703&lt;=R703),P703/7*0.5+Q703/14*0.3+R703/30*0.2,"")</x:f>
        <x:v>0</x:v>
      </x:c>
      <x:c r="H703" s="10" t="n">
        <x:f>IF(ISNUMBER(U703),U703,"")</x:f>
        <x:v>0</x:v>
      </x:c>
      <x:c r="I703" s="10" t="n">
        <x:v>0</x:v>
      </x:c>
      <x:c r="J703" s="11" t="str">
        <x:f>IF(AND(Z703="共同",ISNUMBER(F703),ISNUMBER(M703)),F703-M703,"")</x:f>
      </x:c>
      <x:c r="K703" s="13" t="str">
        <x:f>IF(AND(ISNUMBER(J703),M703&lt;&gt;0),J703/M703,"")</x:f>
      </x:c>
      <x:c r="L703" s="10" t="str">
        <x:v>断货</x:v>
      </x:c>
      <x:c r="M703" s="11"/>
      <x:c r="N703" s="10" t="n">
        <x:f>IF(AND(Z703="共同",COUNT(H703:I703)=2),H703-I703,"")</x:f>
        <x:v>0</x:v>
      </x:c>
      <x:c r="O703" s="10" t="n">
        <x:v>51</x:v>
      </x:c>
      <x:c r="P703" s="10" t="n">
        <x:v>0</x:v>
      </x:c>
      <x:c r="Q703" s="10" t="n">
        <x:v>0</x:v>
      </x:c>
      <x:c r="R703" s="10" t="n">
        <x:v>0</x:v>
      </x:c>
      <x:c r="S703" s="10" t="n">
        <x:v>0</x:v>
      </x:c>
      <x:c r="T703" s="10" t="n">
        <x:v>0</x:v>
      </x:c>
      <x:c r="U703" s="10" t="n">
        <x:f>IF(AND(ISNUMBER(X703),X703&gt;=0,Y703&lt;&gt;1),X703,"")</x:f>
        <x:v>0</x:v>
      </x:c>
      <x:c r="V703" s="10" t="n">
        <x:v>0</x:v>
      </x:c>
      <x:c r="W703" s="10" t="n">
        <x:v>30</x:v>
      </x:c>
      <x:c r="X703" s="10" t="n">
        <x:v>0</x:v>
      </x:c>
      <x:c r="Y703" s="3" t="n">
        <x:v>0</x:v>
      </x:c>
      <x:c r="Z703" s="3" t="str">
        <x:v>共同</x:v>
      </x:c>
      <x:c r="AA703" s="3" t="str">
        <x:v>在售</x:v>
      </x:c>
      <x:c r="AB703" s="12" t="n">
        <x:f>IF(AND(Z703="共同",ISNUMBER(G703),ISNUMBER(AD703)),G703-AD703,"")</x:f>
        <x:v>0</x:v>
      </x:c>
      <x:c r="AC703" s="3" t="str"/>
      <x:c r="AD703" s="12" t="n">
        <x:v>0</x:v>
      </x:c>
      <x:c r="AE703" s="3" t="str">
        <x:v>[13306,"B07-CF-38"]</x:v>
      </x:c>
      <x:c r="AF703" t="n">
        <x:f>IF(ISNUMBER(H703),1,0)</x:f>
        <x:v>1</x:v>
      </x:c>
      <x:c r="AG703" t="n">
        <x:f>IF(ISNUMBER(I703),1,0)</x:f>
        <x:v>1</x:v>
      </x:c>
      <x:c r="AH703" t="str">
        <x:v>["B07","B07-CF","CF","咖色PU"]</x:v>
      </x:c>
      <x:c r="AI703" t="n">
        <x:f>IF(ISNUMBER(G703),1,0)</x:f>
        <x:v>1</x:v>
      </x:c>
      <x:c r="AJ703" t="n">
        <x:f>IF(ISNUMBER(AD703),1,0)</x:f>
        <x:v>1</x:v>
      </x:c>
    </x:row>
    <x:row r="704" ht="30" customHeight="1">
      <x:c r="A704" s="3" t="str">
        <x:v>B07-CF-39</x:v>
      </x:c>
      <x:c r="B704" s="3" t="str">
        <x:v>4店-彬郁-US</x:v>
      </x:c>
      <x:c r="C704" s="3" t="str">
        <x:v>艾年</x:v>
      </x:c>
      <x:c r="D704" s="3" t="str">
        <x:v>B07</x:v>
      </x:c>
      <x:c r="E704" s="3" t="str">
        <x:f>IF(Z704="移出","已移出",IF(NOT(ISNUMBER(H704)),"数据待核",IF(H704=0,"断货",IF(NOT(ISNUMBER(G704)),"数据待核",IF(G704=0,"零日销待复核",IF(F704&lt;60,"补货提醒",IF(F704&lt;=90,"正常库存",IF(F704&lt;180,"促销",IF(F704&lt;=365,"红线促销","考虑清仓")))))))))</x:f>
        <x:v>断货</x:v>
      </x:c>
      <x:c r="F704" s="11" t="n">
        <x:f>IF(AND(ISNUMBER(H704),ISNUMBER(G704),G704&gt;0),H704/G704,"")</x:f>
        <x:v>0</x:v>
      </x:c>
      <x:c r="G704" s="12" t="n">
        <x:f>IF(AND(COUNT(P704:R704)=3,MIN(P704:R704)&gt;=0,P704&lt;=Q704,Q704&lt;=R704),P704/7*0.5+Q704/14*0.3+R704/30*0.2,"")</x:f>
        <x:v>0.11952380952380952</x:v>
      </x:c>
      <x:c r="H704" s="10" t="n">
        <x:f>IF(ISNUMBER(U704),U704,"")</x:f>
        <x:v>0</x:v>
      </x:c>
      <x:c r="I704" s="10" t="n">
        <x:v>0</x:v>
      </x:c>
      <x:c r="J704" s="11" t="n">
        <x:f>IF(AND(Z704="共同",ISNUMBER(F704),ISNUMBER(M704)),F704-M704,"")</x:f>
        <x:v>0</x:v>
      </x:c>
      <x:c r="K704" s="13" t="str">
        <x:f>IF(AND(ISNUMBER(J704),M704&lt;&gt;0),J704/M704,"")</x:f>
      </x:c>
      <x:c r="L704" s="10" t="str">
        <x:v>断货</x:v>
      </x:c>
      <x:c r="M704" s="11" t="n">
        <x:v>0</x:v>
      </x:c>
      <x:c r="N704" s="10" t="n">
        <x:f>IF(AND(Z704="共同",COUNT(H704:I704)=2),H704-I704,"")</x:f>
        <x:v>0</x:v>
      </x:c>
      <x:c r="O704" s="10" t="n">
        <x:v>29</x:v>
      </x:c>
      <x:c r="P704" s="10" t="n">
        <x:v>1</x:v>
      </x:c>
      <x:c r="Q704" s="10" t="n">
        <x:v>1</x:v>
      </x:c>
      <x:c r="R704" s="10" t="n">
        <x:v>4</x:v>
      </x:c>
      <x:c r="S704" s="10" t="n">
        <x:v>3</x:v>
      </x:c>
      <x:c r="T704" s="10" t="n">
        <x:v>0</x:v>
      </x:c>
      <x:c r="U704" s="10" t="n">
        <x:f>IF(AND(ISNUMBER(X704),X704&gt;=0,Y704&lt;&gt;1),X704,"")</x:f>
        <x:v>0</x:v>
      </x:c>
      <x:c r="V704" s="10" t="n">
        <x:v>0</x:v>
      </x:c>
      <x:c r="W704" s="10" t="n">
        <x:v>40</x:v>
      </x:c>
      <x:c r="X704" s="10" t="n">
        <x:v>0</x:v>
      </x:c>
      <x:c r="Y704" s="3" t="n">
        <x:v>0</x:v>
      </x:c>
      <x:c r="Z704" s="3" t="str">
        <x:v>共同</x:v>
      </x:c>
      <x:c r="AA704" s="3" t="str">
        <x:v>在售</x:v>
      </x:c>
      <x:c r="AB704" s="12" t="n">
        <x:f>IF(AND(Z704="共同",ISNUMBER(G704),ISNUMBER(AD704)),G704-AD704,"")</x:f>
        <x:v>-0.011428571428571413</x:v>
      </x:c>
      <x:c r="AC704" s="3" t="str"/>
      <x:c r="AD704" s="12" t="n">
        <x:v>0.13095238095238093</x:v>
      </x:c>
      <x:c r="AE704" s="3" t="str">
        <x:v>[13306,"B07-CF-39"]</x:v>
      </x:c>
      <x:c r="AF704" t="n">
        <x:f>IF(ISNUMBER(H704),1,0)</x:f>
        <x:v>1</x:v>
      </x:c>
      <x:c r="AG704" t="n">
        <x:f>IF(ISNUMBER(I704),1,0)</x:f>
        <x:v>1</x:v>
      </x:c>
      <x:c r="AH704" t="str">
        <x:v>["B07","B07-CF","CF","咖色PU"]</x:v>
      </x:c>
      <x:c r="AI704" t="n">
        <x:f>IF(ISNUMBER(G704),1,0)</x:f>
        <x:v>1</x:v>
      </x:c>
      <x:c r="AJ704" t="n">
        <x:f>IF(ISNUMBER(AD704),1,0)</x:f>
        <x:v>1</x:v>
      </x:c>
    </x:row>
    <x:row r="705" ht="30" customHeight="1">
      <x:c r="A705" s="3" t="str">
        <x:v>B07-CF-39.5</x:v>
      </x:c>
      <x:c r="B705" s="3" t="str">
        <x:v>4店-彬郁-US</x:v>
      </x:c>
      <x:c r="C705" s="3" t="str">
        <x:v>艾年</x:v>
      </x:c>
      <x:c r="D705" s="3" t="str">
        <x:v>B07</x:v>
      </x:c>
      <x:c r="E705" s="3" t="str">
        <x:f>IF(Z705="移出","已移出",IF(NOT(ISNUMBER(H705)),"数据待核",IF(H705=0,"断货",IF(NOT(ISNUMBER(G705)),"数据待核",IF(G705=0,"零日销待复核",IF(F705&lt;60,"补货提醒",IF(F705&lt;=90,"正常库存",IF(F705&lt;180,"促销",IF(F705&lt;=365,"红线促销","考虑清仓")))))))))</x:f>
        <x:v>断货</x:v>
      </x:c>
      <x:c r="F705" s="11" t="n">
        <x:f>IF(AND(ISNUMBER(H705),ISNUMBER(G705),G705&gt;0),H705/G705,"")</x:f>
        <x:v>0</x:v>
      </x:c>
      <x:c r="G705" s="12" t="n">
        <x:f>IF(AND(COUNT(P705:R705)=3,MIN(P705:R705)&gt;=0,P705&lt;=Q705,Q705&lt;=R705),P705/7*0.5+Q705/14*0.3+R705/30*0.2,"")</x:f>
        <x:v>0.006666666666666667</x:v>
      </x:c>
      <x:c r="H705" s="10" t="n">
        <x:f>IF(ISNUMBER(U705),U705,"")</x:f>
        <x:v>0</x:v>
      </x:c>
      <x:c r="I705" s="10" t="n">
        <x:v>0</x:v>
      </x:c>
      <x:c r="J705" s="11" t="n">
        <x:f>IF(AND(Z705="共同",ISNUMBER(F705),ISNUMBER(M705)),F705-M705,"")</x:f>
        <x:v>0</x:v>
      </x:c>
      <x:c r="K705" s="13" t="str">
        <x:f>IF(AND(ISNUMBER(J705),M705&lt;&gt;0),J705/M705,"")</x:f>
      </x:c>
      <x:c r="L705" s="10" t="str">
        <x:v>断货</x:v>
      </x:c>
      <x:c r="M705" s="11" t="n">
        <x:v>0</x:v>
      </x:c>
      <x:c r="N705" s="10" t="n">
        <x:f>IF(AND(Z705="共同",COUNT(H705:I705)=2),H705-I705,"")</x:f>
        <x:v>0</x:v>
      </x:c>
      <x:c r="O705" s="10" t="n">
        <x:v>0</x:v>
      </x:c>
      <x:c r="P705" s="10" t="n">
        <x:v>0</x:v>
      </x:c>
      <x:c r="Q705" s="10" t="n">
        <x:v>0</x:v>
      </x:c>
      <x:c r="R705" s="10" t="n">
        <x:v>1</x:v>
      </x:c>
      <x:c r="S705" s="10" t="n">
        <x:v>1</x:v>
      </x:c>
      <x:c r="T705" s="10" t="n">
        <x:v>0</x:v>
      </x:c>
      <x:c r="U705" s="10" t="n">
        <x:f>IF(AND(ISNUMBER(X705),X705&gt;=0,Y705&lt;&gt;1),X705,"")</x:f>
        <x:v>0</x:v>
      </x:c>
      <x:c r="V705" s="10" t="n">
        <x:v>0</x:v>
      </x:c>
      <x:c r="W705" s="10" t="n">
        <x:v>24</x:v>
      </x:c>
      <x:c r="X705" s="10" t="n">
        <x:v>0</x:v>
      </x:c>
      <x:c r="Y705" s="3" t="n">
        <x:v>0</x:v>
      </x:c>
      <x:c r="Z705" s="3" t="str">
        <x:v>共同</x:v>
      </x:c>
      <x:c r="AA705" s="3" t="str">
        <x:v>在售</x:v>
      </x:c>
      <x:c r="AB705" s="12" t="n">
        <x:f>IF(AND(Z705="共同",ISNUMBER(G705),ISNUMBER(AD705)),G705-AD705,"")</x:f>
        <x:v>-0.09285714285714285</x:v>
      </x:c>
      <x:c r="AC705" s="3" t="str"/>
      <x:c r="AD705" s="12" t="n">
        <x:v>0.09952380952380951</x:v>
      </x:c>
      <x:c r="AE705" s="3" t="str">
        <x:v>[13306,"B07-CF-39.5"]</x:v>
      </x:c>
      <x:c r="AF705" t="n">
        <x:f>IF(ISNUMBER(H705),1,0)</x:f>
        <x:v>1</x:v>
      </x:c>
      <x:c r="AG705" t="n">
        <x:f>IF(ISNUMBER(I705),1,0)</x:f>
        <x:v>1</x:v>
      </x:c>
      <x:c r="AH705" t="str">
        <x:v>["B07","B07-CF","CF","咖色PU"]</x:v>
      </x:c>
      <x:c r="AI705" t="n">
        <x:f>IF(ISNUMBER(G705),1,0)</x:f>
        <x:v>1</x:v>
      </x:c>
      <x:c r="AJ705" t="n">
        <x:f>IF(ISNUMBER(AD705),1,0)</x:f>
        <x:v>1</x:v>
      </x:c>
    </x:row>
    <x:row r="706" ht="30" customHeight="1">
      <x:c r="A706" s="3" t="str">
        <x:v>B07-CF-40</x:v>
      </x:c>
      <x:c r="B706" s="3" t="str">
        <x:v>4店-彬郁-US</x:v>
      </x:c>
      <x:c r="C706" s="3" t="str">
        <x:v>艾年</x:v>
      </x:c>
      <x:c r="D706" s="3" t="str">
        <x:v>B07</x:v>
      </x:c>
      <x:c r="E706" s="3" t="str">
        <x:f>IF(Z706="移出","已移出",IF(NOT(ISNUMBER(H706)),"数据待核",IF(H706=0,"断货",IF(NOT(ISNUMBER(G706)),"数据待核",IF(G706=0,"零日销待复核",IF(F706&lt;60,"补货提醒",IF(F706&lt;=90,"正常库存",IF(F706&lt;180,"促销",IF(F706&lt;=365,"红线促销","考虑清仓")))))))))</x:f>
        <x:v>断货</x:v>
      </x:c>
      <x:c r="F706" s="11" t="n">
        <x:f>IF(AND(ISNUMBER(H706),ISNUMBER(G706),G706&gt;0),H706/G706,"")</x:f>
        <x:v>0</x:v>
      </x:c>
      <x:c r="G706" s="12" t="n">
        <x:f>IF(AND(COUNT(P706:R706)=3,MIN(P706:R706)&gt;=0,P706&lt;=Q706,Q706&lt;=R706),P706/7*0.5+Q706/14*0.3+R706/30*0.2,"")</x:f>
        <x:v>0.11285714285714285</x:v>
      </x:c>
      <x:c r="H706" s="10" t="n">
        <x:f>IF(ISNUMBER(U706),U706,"")</x:f>
        <x:v>0</x:v>
      </x:c>
      <x:c r="I706" s="10" t="n">
        <x:v>0</x:v>
      </x:c>
      <x:c r="J706" s="11" t="n">
        <x:f>IF(AND(Z706="共同",ISNUMBER(F706),ISNUMBER(M706)),F706-M706,"")</x:f>
        <x:v>0</x:v>
      </x:c>
      <x:c r="K706" s="13" t="str">
        <x:f>IF(AND(ISNUMBER(J706),M706&lt;&gt;0),J706/M706,"")</x:f>
      </x:c>
      <x:c r="L706" s="10" t="str">
        <x:v>断货</x:v>
      </x:c>
      <x:c r="M706" s="11" t="n">
        <x:v>0</x:v>
      </x:c>
      <x:c r="N706" s="10" t="n">
        <x:f>IF(AND(Z706="共同",COUNT(H706:I706)=2),H706-I706,"")</x:f>
        <x:v>0</x:v>
      </x:c>
      <x:c r="O706" s="10" t="n">
        <x:v>30</x:v>
      </x:c>
      <x:c r="P706" s="10" t="n">
        <x:v>1</x:v>
      </x:c>
      <x:c r="Q706" s="10" t="n">
        <x:v>1</x:v>
      </x:c>
      <x:c r="R706" s="10" t="n">
        <x:v>3</x:v>
      </x:c>
      <x:c r="S706" s="10" t="n">
        <x:v>0</x:v>
      </x:c>
      <x:c r="T706" s="10" t="n">
        <x:v>0</x:v>
      </x:c>
      <x:c r="U706" s="10" t="n">
        <x:f>IF(AND(ISNUMBER(X706),X706&gt;=0,Y706&lt;&gt;1),X706,"")</x:f>
        <x:v>0</x:v>
      </x:c>
      <x:c r="V706" s="10" t="n">
        <x:v>0</x:v>
      </x:c>
      <x:c r="W706" s="10" t="n">
        <x:v>30</x:v>
      </x:c>
      <x:c r="X706" s="10" t="n">
        <x:v>0</x:v>
      </x:c>
      <x:c r="Y706" s="3" t="n">
        <x:v>0</x:v>
      </x:c>
      <x:c r="Z706" s="3" t="str">
        <x:v>共同</x:v>
      </x:c>
      <x:c r="AA706" s="3" t="str">
        <x:v>在售</x:v>
      </x:c>
      <x:c r="AB706" s="12" t="n">
        <x:f>IF(AND(Z706="共同",ISNUMBER(G706),ISNUMBER(AD706)),G706-AD706,"")</x:f>
        <x:v>-0.09952380952380954</x:v>
      </x:c>
      <x:c r="AC706" s="3" t="str"/>
      <x:c r="AD706" s="12" t="n">
        <x:v>0.2123809523809524</x:v>
      </x:c>
      <x:c r="AE706" s="3" t="str">
        <x:v>[13306,"B07-CF-40"]</x:v>
      </x:c>
      <x:c r="AF706" t="n">
        <x:f>IF(ISNUMBER(H706),1,0)</x:f>
        <x:v>1</x:v>
      </x:c>
      <x:c r="AG706" t="n">
        <x:f>IF(ISNUMBER(I706),1,0)</x:f>
        <x:v>1</x:v>
      </x:c>
      <x:c r="AH706" t="str">
        <x:v>["B07","B07-CF","CF","咖色PU"]</x:v>
      </x:c>
      <x:c r="AI706" t="n">
        <x:f>IF(ISNUMBER(G706),1,0)</x:f>
        <x:v>1</x:v>
      </x:c>
      <x:c r="AJ706" t="n">
        <x:f>IF(ISNUMBER(AD706),1,0)</x:f>
        <x:v>1</x:v>
      </x:c>
    </x:row>
    <x:row r="707" ht="30" customHeight="1">
      <x:c r="A707" s="3" t="str">
        <x:v>B07-GY-37-by</x:v>
      </x:c>
      <x:c r="B707" s="3" t="str">
        <x:v>4店-彬郁-US</x:v>
      </x:c>
      <x:c r="C707" s="3" t="str">
        <x:v>艾年</x:v>
      </x:c>
      <x:c r="D707" s="3" t="str">
        <x:v>B07</x:v>
      </x:c>
      <x:c r="E707" s="3" t="str">
        <x:f>IF(Z707="移出","已移出",IF(NOT(ISNUMBER(H707)),"数据待核",IF(H707=0,"断货",IF(NOT(ISNUMBER(G707)),"数据待核",IF(G707=0,"零日销待复核",IF(F707&lt;60,"补货提醒",IF(F707&lt;=90,"正常库存",IF(F707&lt;180,"促销",IF(F707&lt;=365,"红线促销","考虑清仓")))))))))</x:f>
        <x:v>断货</x:v>
      </x:c>
      <x:c r="F707" s="11" t="n">
        <x:f>IF(AND(ISNUMBER(H707),ISNUMBER(G707),G707&gt;0),H707/G707,"")</x:f>
        <x:v>0</x:v>
      </x:c>
      <x:c r="G707" s="12" t="n">
        <x:f>IF(AND(COUNT(P707:R707)=3,MIN(P707:R707)&gt;=0,P707&lt;=Q707,Q707&lt;=R707),P707/7*0.5+Q707/14*0.3+R707/30*0.2,"")</x:f>
        <x:v>0.028095238095238093</x:v>
      </x:c>
      <x:c r="H707" s="10" t="n">
        <x:f>IF(ISNUMBER(U707),U707,"")</x:f>
        <x:v>0</x:v>
      </x:c>
      <x:c r="I707" s="10" t="n">
        <x:v>0</x:v>
      </x:c>
      <x:c r="J707" s="11" t="str">
        <x:f>IF(AND(Z707="共同",ISNUMBER(F707),ISNUMBER(M707)),F707-M707,"")</x:f>
      </x:c>
      <x:c r="K707" s="13" t="str">
        <x:f>IF(AND(ISNUMBER(J707),M707&lt;&gt;0),J707/M707,"")</x:f>
      </x:c>
      <x:c r="L707" s="10" t="str">
        <x:v>断货</x:v>
      </x:c>
      <x:c r="M707" s="11"/>
      <x:c r="N707" s="10" t="n">
        <x:f>IF(AND(Z707="共同",COUNT(H707:I707)=2),H707-I707,"")</x:f>
        <x:v>0</x:v>
      </x:c>
      <x:c r="O707" s="10" t="n">
        <x:v>0</x:v>
      </x:c>
      <x:c r="P707" s="10" t="n">
        <x:v>0</x:v>
      </x:c>
      <x:c r="Q707" s="10" t="n">
        <x:v>1</x:v>
      </x:c>
      <x:c r="R707" s="10" t="n">
        <x:v>1</x:v>
      </x:c>
      <x:c r="S707" s="10" t="n">
        <x:v>0</x:v>
      </x:c>
      <x:c r="T707" s="10" t="n">
        <x:v>0</x:v>
      </x:c>
      <x:c r="U707" s="10" t="n">
        <x:f>IF(AND(ISNUMBER(X707),X707&gt;=0,Y707&lt;&gt;1),X707,"")</x:f>
        <x:v>0</x:v>
      </x:c>
      <x:c r="V707" s="10" t="n">
        <x:v>0</x:v>
      </x:c>
      <x:c r="W707" s="10" t="n">
        <x:v>6</x:v>
      </x:c>
      <x:c r="X707" s="10" t="n">
        <x:v>0</x:v>
      </x:c>
      <x:c r="Y707" s="3" t="n">
        <x:v>0</x:v>
      </x:c>
      <x:c r="Z707" s="3" t="str">
        <x:v>共同</x:v>
      </x:c>
      <x:c r="AA707" s="3" t="str">
        <x:v>在售</x:v>
      </x:c>
      <x:c r="AB707" s="12" t="n">
        <x:f>IF(AND(Z707="共同",ISNUMBER(G707),ISNUMBER(AD707)),G707-AD707,"")</x:f>
        <x:v>0.028095238095238093</x:v>
      </x:c>
      <x:c r="AC707" s="3" t="str"/>
      <x:c r="AD707" s="12" t="n">
        <x:v>0</x:v>
      </x:c>
      <x:c r="AE707" s="3" t="str">
        <x:v>[13306,"B07-GY-37-by"]</x:v>
      </x:c>
      <x:c r="AF707" t="n">
        <x:f>IF(ISNUMBER(H707),1,0)</x:f>
        <x:v>1</x:v>
      </x:c>
      <x:c r="AG707" t="n">
        <x:f>IF(ISNUMBER(I707),1,0)</x:f>
        <x:v>1</x:v>
      </x:c>
      <x:c r="AH707" t="str">
        <x:v>["B07","B07-GY","GY","灰色羊京绒"]</x:v>
      </x:c>
      <x:c r="AI707" t="n">
        <x:f>IF(ISNUMBER(G707),1,0)</x:f>
        <x:v>1</x:v>
      </x:c>
      <x:c r="AJ707" t="n">
        <x:f>IF(ISNUMBER(AD707),1,0)</x:f>
        <x:v>1</x:v>
      </x:c>
    </x:row>
    <x:row r="708" ht="30" customHeight="1">
      <x:c r="A708" s="3" t="str">
        <x:v>B07-GY-38.5</x:v>
      </x:c>
      <x:c r="B708" s="3" t="str">
        <x:v>4店-彬郁-US</x:v>
      </x:c>
      <x:c r="C708" s="3" t="str">
        <x:v>艾年</x:v>
      </x:c>
      <x:c r="D708" s="3" t="str">
        <x:v>B07</x:v>
      </x:c>
      <x:c r="E708" s="3" t="str">
        <x:f>IF(Z708="移出","已移出",IF(NOT(ISNUMBER(H708)),"数据待核",IF(H708=0,"断货",IF(NOT(ISNUMBER(G708)),"数据待核",IF(G708=0,"零日销待复核",IF(F708&lt;60,"补货提醒",IF(F708&lt;=90,"正常库存",IF(F708&lt;180,"促销",IF(F708&lt;=365,"红线促销","考虑清仓")))))))))</x:f>
        <x:v>断货</x:v>
      </x:c>
      <x:c r="F708" s="11" t="str">
        <x:f>IF(AND(ISNUMBER(H708),ISNUMBER(G708),G708&gt;0),H708/G708,"")</x:f>
      </x:c>
      <x:c r="G708" s="12" t="n">
        <x:f>IF(AND(COUNT(P708:R708)=3,MIN(P708:R708)&gt;=0,P708&lt;=Q708,Q708&lt;=R708),P708/7*0.5+Q708/14*0.3+R708/30*0.2,"")</x:f>
        <x:v>0</x:v>
      </x:c>
      <x:c r="H708" s="10" t="n">
        <x:f>IF(ISNUMBER(U708),U708,"")</x:f>
        <x:v>0</x:v>
      </x:c>
      <x:c r="I708" s="10" t="n">
        <x:v>0</x:v>
      </x:c>
      <x:c r="J708" s="11" t="str">
        <x:f>IF(AND(Z708="共同",ISNUMBER(F708),ISNUMBER(M708)),F708-M708,"")</x:f>
      </x:c>
      <x:c r="K708" s="13" t="str">
        <x:f>IF(AND(ISNUMBER(J708),M708&lt;&gt;0),J708/M708,"")</x:f>
      </x:c>
      <x:c r="L708" s="10" t="str">
        <x:v>断货</x:v>
      </x:c>
      <x:c r="M708" s="11"/>
      <x:c r="N708" s="10" t="n">
        <x:f>IF(AND(Z708="共同",COUNT(H708:I708)=2),H708-I708,"")</x:f>
        <x:v>0</x:v>
      </x:c>
      <x:c r="O708" s="10" t="n">
        <x:v>0</x:v>
      </x:c>
      <x:c r="P708" s="10" t="n">
        <x:v>0</x:v>
      </x:c>
      <x:c r="Q708" s="10" t="n">
        <x:v>0</x:v>
      </x:c>
      <x:c r="R708" s="10" t="n">
        <x:v>0</x:v>
      </x:c>
      <x:c r="S708" s="10" t="n">
        <x:v>0</x:v>
      </x:c>
      <x:c r="T708" s="10" t="n">
        <x:v>0</x:v>
      </x:c>
      <x:c r="U708" s="10" t="n">
        <x:f>IF(AND(ISNUMBER(X708),X708&gt;=0,Y708&lt;&gt;1),X708,"")</x:f>
        <x:v>0</x:v>
      </x:c>
      <x:c r="V708" s="10" t="n">
        <x:v>0</x:v>
      </x:c>
      <x:c r="W708" s="10" t="n">
        <x:v>12</x:v>
      </x:c>
      <x:c r="X708" s="10" t="n">
        <x:v>0</x:v>
      </x:c>
      <x:c r="Y708" s="3" t="n">
        <x:v>0</x:v>
      </x:c>
      <x:c r="Z708" s="3" t="str">
        <x:v>共同</x:v>
      </x:c>
      <x:c r="AA708" s="3" t="str">
        <x:v>在售</x:v>
      </x:c>
      <x:c r="AB708" s="12" t="str">
        <x:f>IF(AND(Z708="共同",ISNUMBER(G708),ISNUMBER(AD708)),G708-AD708,"")</x:f>
      </x:c>
      <x:c r="AC708" s="3" t="str">
        <x:v>近90天SKU销量未匹配，未按0处理</x:v>
      </x:c>
      <x:c r="AD708" s="12"/>
      <x:c r="AE708" s="3" t="str">
        <x:v>[13306,"B07-GY-38.5"]</x:v>
      </x:c>
      <x:c r="AF708" t="n">
        <x:f>IF(ISNUMBER(H708),1,0)</x:f>
        <x:v>1</x:v>
      </x:c>
      <x:c r="AG708" t="n">
        <x:f>IF(ISNUMBER(I708),1,0)</x:f>
        <x:v>1</x:v>
      </x:c>
      <x:c r="AH708" t="str">
        <x:v>["B07","B07-GY","GY","灰色羊京绒"]</x:v>
      </x:c>
      <x:c r="AI708" t="n">
        <x:f>IF(ISNUMBER(G708),1,0)</x:f>
        <x:v>1</x:v>
      </x:c>
      <x:c r="AJ708" t="n">
        <x:f>IF(ISNUMBER(AD708),1,0)</x:f>
        <x:v>0</x:v>
      </x:c>
    </x:row>
    <x:row r="709" ht="30" customHeight="1">
      <x:c r="A709" s="3" t="str">
        <x:v>B07-GY-39-New</x:v>
      </x:c>
      <x:c r="B709" s="3" t="str">
        <x:v>4店-彬郁-US</x:v>
      </x:c>
      <x:c r="C709" s="3" t="str">
        <x:v>艾年</x:v>
      </x:c>
      <x:c r="D709" s="3" t="str">
        <x:v>B07</x:v>
      </x:c>
      <x:c r="E709" s="3" t="str">
        <x:f>IF(Z709="移出","已移出",IF(NOT(ISNUMBER(H709)),"数据待核",IF(H709=0,"断货",IF(NOT(ISNUMBER(G709)),"数据待核",IF(G709=0,"零日销待复核",IF(F709&lt;60,"补货提醒",IF(F709&lt;=90,"正常库存",IF(F709&lt;180,"促销",IF(F709&lt;=365,"红线促销","考虑清仓")))))))))</x:f>
        <x:v>断货</x:v>
      </x:c>
      <x:c r="F709" s="11" t="str">
        <x:f>IF(AND(ISNUMBER(H709),ISNUMBER(G709),G709&gt;0),H709/G709,"")</x:f>
      </x:c>
      <x:c r="G709" s="12" t="n">
        <x:f>IF(AND(COUNT(P709:R709)=3,MIN(P709:R709)&gt;=0,P709&lt;=Q709,Q709&lt;=R709),P709/7*0.5+Q709/14*0.3+R709/30*0.2,"")</x:f>
        <x:v>0</x:v>
      </x:c>
      <x:c r="H709" s="10" t="n">
        <x:f>IF(ISNUMBER(U709),U709,"")</x:f>
        <x:v>0</x:v>
      </x:c>
      <x:c r="I709" s="10" t="n">
        <x:v>0</x:v>
      </x:c>
      <x:c r="J709" s="11" t="str">
        <x:f>IF(AND(Z709="共同",ISNUMBER(F709),ISNUMBER(M709)),F709-M709,"")</x:f>
      </x:c>
      <x:c r="K709" s="13" t="str">
        <x:f>IF(AND(ISNUMBER(J709),M709&lt;&gt;0),J709/M709,"")</x:f>
      </x:c>
      <x:c r="L709" s="10" t="str">
        <x:v>断货</x:v>
      </x:c>
      <x:c r="M709" s="11"/>
      <x:c r="N709" s="10" t="n">
        <x:f>IF(AND(Z709="共同",COUNT(H709:I709)=2),H709-I709,"")</x:f>
        <x:v>0</x:v>
      </x:c>
      <x:c r="O709" s="10"/>
      <x:c r="P709" s="10" t="n">
        <x:v>0</x:v>
      </x:c>
      <x:c r="Q709" s="10" t="n">
        <x:v>0</x:v>
      </x:c>
      <x:c r="R709" s="10" t="n">
        <x:v>0</x:v>
      </x:c>
      <x:c r="S709" s="10" t="n">
        <x:v>0</x:v>
      </x:c>
      <x:c r="T709" s="10" t="n">
        <x:v>0</x:v>
      </x:c>
      <x:c r="U709" s="10" t="n">
        <x:f>IF(AND(ISNUMBER(X709),X709&gt;=0,Y709&lt;&gt;1),X709,"")</x:f>
        <x:v>0</x:v>
      </x:c>
      <x:c r="V709" s="10" t="n">
        <x:v>0</x:v>
      </x:c>
      <x:c r="W709" s="10" t="n">
        <x:v>0</x:v>
      </x:c>
      <x:c r="X709" s="10" t="n">
        <x:v>0</x:v>
      </x:c>
      <x:c r="Y709" s="3" t="n">
        <x:v>0</x:v>
      </x:c>
      <x:c r="Z709" s="3" t="str">
        <x:v>共同</x:v>
      </x:c>
      <x:c r="AA709" s="3" t="str">
        <x:v>停售</x:v>
      </x:c>
      <x:c r="AB709" s="12" t="n">
        <x:f>IF(AND(Z709="共同",ISNUMBER(G709),ISNUMBER(AD709)),G709-AD709,"")</x:f>
        <x:v>0</x:v>
      </x:c>
      <x:c r="AC709" s="3" t="str"/>
      <x:c r="AD709" s="12" t="n">
        <x:v>0</x:v>
      </x:c>
      <x:c r="AE709" s="3" t="str">
        <x:v>[13306,"B07-GY-39-New"]</x:v>
      </x:c>
      <x:c r="AF709" t="n">
        <x:f>IF(ISNUMBER(H709),1,0)</x:f>
        <x:v>1</x:v>
      </x:c>
      <x:c r="AG709" t="n">
        <x:f>IF(ISNUMBER(I709),1,0)</x:f>
        <x:v>1</x:v>
      </x:c>
      <x:c r="AH709" t="str">
        <x:v>["B07","B07-GY","GY","灰色羊京绒"]</x:v>
      </x:c>
      <x:c r="AI709" t="n">
        <x:f>IF(ISNUMBER(G709),1,0)</x:f>
        <x:v>1</x:v>
      </x:c>
      <x:c r="AJ709" t="n">
        <x:f>IF(ISNUMBER(AD709),1,0)</x:f>
        <x:v>1</x:v>
      </x:c>
    </x:row>
    <x:row r="710" ht="30" customHeight="1">
      <x:c r="A710" s="3" t="str">
        <x:v>B07-GY-39.5</x:v>
      </x:c>
      <x:c r="B710" s="3" t="str">
        <x:v>4店-彬郁-US</x:v>
      </x:c>
      <x:c r="C710" s="3" t="str">
        <x:v>艾年</x:v>
      </x:c>
      <x:c r="D710" s="3" t="str">
        <x:v>B07</x:v>
      </x:c>
      <x:c r="E710" s="3" t="str">
        <x:f>IF(Z710="移出","已移出",IF(NOT(ISNUMBER(H710)),"数据待核",IF(H710=0,"断货",IF(NOT(ISNUMBER(G710)),"数据待核",IF(G710=0,"零日销待复核",IF(F710&lt;60,"补货提醒",IF(F710&lt;=90,"正常库存",IF(F710&lt;180,"促销",IF(F710&lt;=365,"红线促销","考虑清仓")))))))))</x:f>
        <x:v>断货</x:v>
      </x:c>
      <x:c r="F710" s="11" t="str">
        <x:f>IF(AND(ISNUMBER(H710),ISNUMBER(G710),G710&gt;0),H710/G710,"")</x:f>
      </x:c>
      <x:c r="G710" s="12" t="n">
        <x:f>IF(AND(COUNT(P710:R710)=3,MIN(P710:R710)&gt;=0,P710&lt;=Q710,Q710&lt;=R710),P710/7*0.5+Q710/14*0.3+R710/30*0.2,"")</x:f>
        <x:v>0</x:v>
      </x:c>
      <x:c r="H710" s="10" t="n">
        <x:f>IF(ISNUMBER(U710),U710,"")</x:f>
        <x:v>0</x:v>
      </x:c>
      <x:c r="I710" s="10" t="n">
        <x:v>0</x:v>
      </x:c>
      <x:c r="J710" s="11" t="str">
        <x:f>IF(AND(Z710="共同",ISNUMBER(F710),ISNUMBER(M710)),F710-M710,"")</x:f>
      </x:c>
      <x:c r="K710" s="13" t="str">
        <x:f>IF(AND(ISNUMBER(J710),M710&lt;&gt;0),J710/M710,"")</x:f>
      </x:c>
      <x:c r="L710" s="10" t="str">
        <x:v>断货</x:v>
      </x:c>
      <x:c r="M710" s="11"/>
      <x:c r="N710" s="10" t="n">
        <x:f>IF(AND(Z710="共同",COUNT(H710:I710)=2),H710-I710,"")</x:f>
        <x:v>0</x:v>
      </x:c>
      <x:c r="O710" s="10" t="n">
        <x:v>0</x:v>
      </x:c>
      <x:c r="P710" s="10" t="n">
        <x:v>0</x:v>
      </x:c>
      <x:c r="Q710" s="10" t="n">
        <x:v>0</x:v>
      </x:c>
      <x:c r="R710" s="10" t="n">
        <x:v>0</x:v>
      </x:c>
      <x:c r="S710" s="10" t="n">
        <x:v>0</x:v>
      </x:c>
      <x:c r="T710" s="10" t="n">
        <x:v>0</x:v>
      </x:c>
      <x:c r="U710" s="10" t="n">
        <x:f>IF(AND(ISNUMBER(X710),X710&gt;=0,Y710&lt;&gt;1),X710,"")</x:f>
        <x:v>0</x:v>
      </x:c>
      <x:c r="V710" s="10" t="n">
        <x:v>0</x:v>
      </x:c>
      <x:c r="W710" s="10" t="n">
        <x:v>8</x:v>
      </x:c>
      <x:c r="X710" s="10" t="n">
        <x:v>0</x:v>
      </x:c>
      <x:c r="Y710" s="3" t="n">
        <x:v>0</x:v>
      </x:c>
      <x:c r="Z710" s="3" t="str">
        <x:v>共同</x:v>
      </x:c>
      <x:c r="AA710" s="3" t="str">
        <x:v>在售</x:v>
      </x:c>
      <x:c r="AB710" s="12" t="str">
        <x:f>IF(AND(Z710="共同",ISNUMBER(G710),ISNUMBER(AD710)),G710-AD710,"")</x:f>
      </x:c>
      <x:c r="AC710" s="3" t="str">
        <x:v>近90天SKU销量未匹配，未按0处理</x:v>
      </x:c>
      <x:c r="AD710" s="12"/>
      <x:c r="AE710" s="3" t="str">
        <x:v>[13306,"B07-GY-39.5"]</x:v>
      </x:c>
      <x:c r="AF710" t="n">
        <x:f>IF(ISNUMBER(H710),1,0)</x:f>
        <x:v>1</x:v>
      </x:c>
      <x:c r="AG710" t="n">
        <x:f>IF(ISNUMBER(I710),1,0)</x:f>
        <x:v>1</x:v>
      </x:c>
      <x:c r="AH710" t="str">
        <x:v>["B07","B07-GY","GY","灰色羊京绒"]</x:v>
      </x:c>
      <x:c r="AI710" t="n">
        <x:f>IF(ISNUMBER(G710),1,0)</x:f>
        <x:v>1</x:v>
      </x:c>
      <x:c r="AJ710" t="n">
        <x:f>IF(ISNUMBER(AD710),1,0)</x:f>
        <x:v>0</x:v>
      </x:c>
    </x:row>
    <x:row r="711" ht="30" customHeight="1">
      <x:c r="A711" s="3" t="str">
        <x:v>B07-GY-40.5</x:v>
      </x:c>
      <x:c r="B711" s="3" t="str">
        <x:v>4店-彬郁-US</x:v>
      </x:c>
      <x:c r="C711" s="3" t="str">
        <x:v>艾年</x:v>
      </x:c>
      <x:c r="D711" s="3" t="str">
        <x:v>B07</x:v>
      </x:c>
      <x:c r="E711" s="3" t="str">
        <x:f>IF(Z711="移出","已移出",IF(NOT(ISNUMBER(H711)),"数据待核",IF(H711=0,"断货",IF(NOT(ISNUMBER(G711)),"数据待核",IF(G711=0,"零日销待复核",IF(F711&lt;60,"补货提醒",IF(F711&lt;=90,"正常库存",IF(F711&lt;180,"促销",IF(F711&lt;=365,"红线促销","考虑清仓")))))))))</x:f>
        <x:v>断货</x:v>
      </x:c>
      <x:c r="F711" s="11" t="str">
        <x:f>IF(AND(ISNUMBER(H711),ISNUMBER(G711),G711&gt;0),H711/G711,"")</x:f>
      </x:c>
      <x:c r="G711" s="12" t="n">
        <x:f>IF(AND(COUNT(P711:R711)=3,MIN(P711:R711)&gt;=0,P711&lt;=Q711,Q711&lt;=R711),P711/7*0.5+Q711/14*0.3+R711/30*0.2,"")</x:f>
        <x:v>0</x:v>
      </x:c>
      <x:c r="H711" s="10" t="n">
        <x:f>IF(ISNUMBER(U711),U711,"")</x:f>
        <x:v>0</x:v>
      </x:c>
      <x:c r="I711" s="10" t="n">
        <x:v>0</x:v>
      </x:c>
      <x:c r="J711" s="11" t="str">
        <x:f>IF(AND(Z711="共同",ISNUMBER(F711),ISNUMBER(M711)),F711-M711,"")</x:f>
      </x:c>
      <x:c r="K711" s="13" t="str">
        <x:f>IF(AND(ISNUMBER(J711),M711&lt;&gt;0),J711/M711,"")</x:f>
      </x:c>
      <x:c r="L711" s="10" t="str">
        <x:v>断货</x:v>
      </x:c>
      <x:c r="M711" s="11"/>
      <x:c r="N711" s="10" t="n">
        <x:f>IF(AND(Z711="共同",COUNT(H711:I711)=2),H711-I711,"")</x:f>
        <x:v>0</x:v>
      </x:c>
      <x:c r="O711" s="10" t="n">
        <x:v>0</x:v>
      </x:c>
      <x:c r="P711" s="10" t="n">
        <x:v>0</x:v>
      </x:c>
      <x:c r="Q711" s="10" t="n">
        <x:v>0</x:v>
      </x:c>
      <x:c r="R711" s="10" t="n">
        <x:v>0</x:v>
      </x:c>
      <x:c r="S711" s="10" t="n">
        <x:v>0</x:v>
      </x:c>
      <x:c r="T711" s="10" t="n">
        <x:v>0</x:v>
      </x:c>
      <x:c r="U711" s="10" t="n">
        <x:f>IF(AND(ISNUMBER(X711),X711&gt;=0,Y711&lt;&gt;1),X711,"")</x:f>
        <x:v>0</x:v>
      </x:c>
      <x:c r="V711" s="10" t="n">
        <x:v>0</x:v>
      </x:c>
      <x:c r="W711" s="10" t="n">
        <x:v>8</x:v>
      </x:c>
      <x:c r="X711" s="10" t="n">
        <x:v>0</x:v>
      </x:c>
      <x:c r="Y711" s="3" t="n">
        <x:v>0</x:v>
      </x:c>
      <x:c r="Z711" s="3" t="str">
        <x:v>共同</x:v>
      </x:c>
      <x:c r="AA711" s="3" t="str">
        <x:v>在售</x:v>
      </x:c>
      <x:c r="AB711" s="12" t="str">
        <x:f>IF(AND(Z711="共同",ISNUMBER(G711),ISNUMBER(AD711)),G711-AD711,"")</x:f>
      </x:c>
      <x:c r="AC711" s="3" t="str">
        <x:v>近90天SKU销量未匹配，未按0处理</x:v>
      </x:c>
      <x:c r="AD711" s="12"/>
      <x:c r="AE711" s="3" t="str">
        <x:v>[13306,"B07-GY-40.5"]</x:v>
      </x:c>
      <x:c r="AF711" t="n">
        <x:f>IF(ISNUMBER(H711),1,0)</x:f>
        <x:v>1</x:v>
      </x:c>
      <x:c r="AG711" t="n">
        <x:f>IF(ISNUMBER(I711),1,0)</x:f>
        <x:v>1</x:v>
      </x:c>
      <x:c r="AH711" t="str">
        <x:v>["B07","B07-GY","GY","灰色羊京绒"]</x:v>
      </x:c>
      <x:c r="AI711" t="n">
        <x:f>IF(ISNUMBER(G711),1,0)</x:f>
        <x:v>1</x:v>
      </x:c>
      <x:c r="AJ711" t="n">
        <x:f>IF(ISNUMBER(AD711),1,0)</x:f>
        <x:v>0</x:v>
      </x:c>
    </x:row>
    <x:row r="712" ht="30" customHeight="1">
      <x:c r="A712" s="3" t="str">
        <x:v>B07-GY-41.5</x:v>
      </x:c>
      <x:c r="B712" s="3" t="str">
        <x:v>4店-彬郁-US</x:v>
      </x:c>
      <x:c r="C712" s="3" t="str">
        <x:v>艾年</x:v>
      </x:c>
      <x:c r="D712" s="3" t="str">
        <x:v>B07</x:v>
      </x:c>
      <x:c r="E712" s="3" t="str">
        <x:f>IF(Z712="移出","已移出",IF(NOT(ISNUMBER(H712)),"数据待核",IF(H712=0,"断货",IF(NOT(ISNUMBER(G712)),"数据待核",IF(G712=0,"零日销待复核",IF(F712&lt;60,"补货提醒",IF(F712&lt;=90,"正常库存",IF(F712&lt;180,"促销",IF(F712&lt;=365,"红线促销","考虑清仓")))))))))</x:f>
        <x:v>断货</x:v>
      </x:c>
      <x:c r="F712" s="11" t="str">
        <x:f>IF(AND(ISNUMBER(H712),ISNUMBER(G712),G712&gt;0),H712/G712,"")</x:f>
      </x:c>
      <x:c r="G712" s="12" t="n">
        <x:f>IF(AND(COUNT(P712:R712)=3,MIN(P712:R712)&gt;=0,P712&lt;=Q712,Q712&lt;=R712),P712/7*0.5+Q712/14*0.3+R712/30*0.2,"")</x:f>
        <x:v>0</x:v>
      </x:c>
      <x:c r="H712" s="10" t="n">
        <x:f>IF(ISNUMBER(U712),U712,"")</x:f>
        <x:v>0</x:v>
      </x:c>
      <x:c r="I712" s="10" t="n">
        <x:v>0</x:v>
      </x:c>
      <x:c r="J712" s="11" t="str">
        <x:f>IF(AND(Z712="共同",ISNUMBER(F712),ISNUMBER(M712)),F712-M712,"")</x:f>
      </x:c>
      <x:c r="K712" s="13" t="str">
        <x:f>IF(AND(ISNUMBER(J712),M712&lt;&gt;0),J712/M712,"")</x:f>
      </x:c>
      <x:c r="L712" s="10" t="str">
        <x:v>断货</x:v>
      </x:c>
      <x:c r="M712" s="11"/>
      <x:c r="N712" s="10" t="n">
        <x:f>IF(AND(Z712="共同",COUNT(H712:I712)=2),H712-I712,"")</x:f>
        <x:v>0</x:v>
      </x:c>
      <x:c r="O712" s="10" t="n">
        <x:v>0</x:v>
      </x:c>
      <x:c r="P712" s="10" t="n">
        <x:v>0</x:v>
      </x:c>
      <x:c r="Q712" s="10" t="n">
        <x:v>0</x:v>
      </x:c>
      <x:c r="R712" s="10" t="n">
        <x:v>0</x:v>
      </x:c>
      <x:c r="S712" s="10" t="n">
        <x:v>0</x:v>
      </x:c>
      <x:c r="T712" s="10" t="n">
        <x:v>0</x:v>
      </x:c>
      <x:c r="U712" s="10" t="n">
        <x:f>IF(AND(ISNUMBER(X712),X712&gt;=0,Y712&lt;&gt;1),X712,"")</x:f>
        <x:v>0</x:v>
      </x:c>
      <x:c r="V712" s="10" t="n">
        <x:v>0</x:v>
      </x:c>
      <x:c r="W712" s="10" t="n">
        <x:v>7</x:v>
      </x:c>
      <x:c r="X712" s="10" t="n">
        <x:v>0</x:v>
      </x:c>
      <x:c r="Y712" s="3" t="n">
        <x:v>0</x:v>
      </x:c>
      <x:c r="Z712" s="3" t="str">
        <x:v>共同</x:v>
      </x:c>
      <x:c r="AA712" s="3" t="str">
        <x:v>在售</x:v>
      </x:c>
      <x:c r="AB712" s="12" t="str">
        <x:f>IF(AND(Z712="共同",ISNUMBER(G712),ISNUMBER(AD712)),G712-AD712,"")</x:f>
      </x:c>
      <x:c r="AC712" s="3" t="str">
        <x:v>近90天SKU销量未匹配，未按0处理</x:v>
      </x:c>
      <x:c r="AD712" s="12"/>
      <x:c r="AE712" s="3" t="str">
        <x:v>[13306,"B07-GY-41.5"]</x:v>
      </x:c>
      <x:c r="AF712" t="n">
        <x:f>IF(ISNUMBER(H712),1,0)</x:f>
        <x:v>1</x:v>
      </x:c>
      <x:c r="AG712" t="n">
        <x:f>IF(ISNUMBER(I712),1,0)</x:f>
        <x:v>1</x:v>
      </x:c>
      <x:c r="AH712" t="str">
        <x:v>["B07","B07-GY","GY","灰色羊京绒"]</x:v>
      </x:c>
      <x:c r="AI712" t="n">
        <x:f>IF(ISNUMBER(G712),1,0)</x:f>
        <x:v>1</x:v>
      </x:c>
      <x:c r="AJ712" t="n">
        <x:f>IF(ISNUMBER(AD712),1,0)</x:f>
        <x:v>0</x:v>
      </x:c>
    </x:row>
    <x:row r="713" ht="30" customHeight="1">
      <x:c r="A713" s="3" t="str">
        <x:v>B07-IV-P-42</x:v>
      </x:c>
      <x:c r="B713" s="3" t="str">
        <x:v>4店-彬郁-US</x:v>
      </x:c>
      <x:c r="C713" s="3" t="str">
        <x:v>艾年</x:v>
      </x:c>
      <x:c r="D713" s="3" t="str">
        <x:v>B07</x:v>
      </x:c>
      <x:c r="E713" s="3" t="str">
        <x:f>IF(Z713="移出","已移出",IF(NOT(ISNUMBER(H713)),"数据待核",IF(H713=0,"断货",IF(NOT(ISNUMBER(G713)),"数据待核",IF(G713=0,"零日销待复核",IF(F713&lt;60,"补货提醒",IF(F713&lt;=90,"正常库存",IF(F713&lt;180,"促销",IF(F713&lt;=365,"红线促销","考虑清仓")))))))))</x:f>
        <x:v>断货</x:v>
      </x:c>
      <x:c r="F713" s="11" t="str">
        <x:f>IF(AND(ISNUMBER(H713),ISNUMBER(G713),G713&gt;0),H713/G713,"")</x:f>
      </x:c>
      <x:c r="G713" s="12" t="n">
        <x:f>IF(AND(COUNT(P713:R713)=3,MIN(P713:R713)&gt;=0,P713&lt;=Q713,Q713&lt;=R713),P713/7*0.5+Q713/14*0.3+R713/30*0.2,"")</x:f>
        <x:v>0</x:v>
      </x:c>
      <x:c r="H713" s="10" t="n">
        <x:f>IF(ISNUMBER(U713),U713,"")</x:f>
        <x:v>0</x:v>
      </x:c>
      <x:c r="I713" s="10" t="n">
        <x:v>0</x:v>
      </x:c>
      <x:c r="J713" s="11" t="str">
        <x:f>IF(AND(Z713="共同",ISNUMBER(F713),ISNUMBER(M713)),F713-M713,"")</x:f>
      </x:c>
      <x:c r="K713" s="13" t="str">
        <x:f>IF(AND(ISNUMBER(J713),M713&lt;&gt;0),J713/M713,"")</x:f>
      </x:c>
      <x:c r="L713" s="10" t="str">
        <x:v>断货</x:v>
      </x:c>
      <x:c r="M713" s="11"/>
      <x:c r="N713" s="10" t="n">
        <x:f>IF(AND(Z713="共同",COUNT(H713:I713)=2),H713-I713,"")</x:f>
        <x:v>0</x:v>
      </x:c>
      <x:c r="O713" s="10" t="n">
        <x:v>0</x:v>
      </x:c>
      <x:c r="P713" s="10" t="n">
        <x:v>0</x:v>
      </x:c>
      <x:c r="Q713" s="10" t="n">
        <x:v>0</x:v>
      </x:c>
      <x:c r="R713" s="10" t="n">
        <x:v>0</x:v>
      </x:c>
      <x:c r="S713" s="10" t="n">
        <x:v>0</x:v>
      </x:c>
      <x:c r="T713" s="10" t="n">
        <x:v>0</x:v>
      </x:c>
      <x:c r="U713" s="10" t="n">
        <x:f>IF(AND(ISNUMBER(X713),X713&gt;=0,Y713&lt;&gt;1),X713,"")</x:f>
        <x:v>0</x:v>
      </x:c>
      <x:c r="V713" s="10" t="n">
        <x:v>0</x:v>
      </x:c>
      <x:c r="W713" s="10" t="n">
        <x:v>0</x:v>
      </x:c>
      <x:c r="X713" s="10" t="n">
        <x:v>0</x:v>
      </x:c>
      <x:c r="Y713" s="3" t="n">
        <x:v>0</x:v>
      </x:c>
      <x:c r="Z713" s="3" t="str">
        <x:v>共同</x:v>
      </x:c>
      <x:c r="AA713" s="3" t="str">
        <x:v>停售</x:v>
      </x:c>
      <x:c r="AB713" s="12" t="str">
        <x:f>IF(AND(Z713="共同",ISNUMBER(G713),ISNUMBER(AD713)),G713-AD713,"")</x:f>
      </x:c>
      <x:c r="AC713" s="3" t="str">
        <x:v>近90天SKU销量未匹配，未按0处理</x:v>
      </x:c>
      <x:c r="AD713" s="12"/>
      <x:c r="AE713" s="3" t="str">
        <x:v>[13306,"B07-IV-P-42"]</x:v>
      </x:c>
      <x:c r="AF713" t="n">
        <x:f>IF(ISNUMBER(H713),1,0)</x:f>
        <x:v>1</x:v>
      </x:c>
      <x:c r="AG713" t="n">
        <x:f>IF(ISNUMBER(I713),1,0)</x:f>
        <x:v>1</x:v>
      </x:c>
      <x:c r="AH713" t="str">
        <x:v>["B07","B07-IV-P","IV-P","米白色PU"]</x:v>
      </x:c>
      <x:c r="AI713" t="n">
        <x:f>IF(ISNUMBER(G713),1,0)</x:f>
        <x:v>1</x:v>
      </x:c>
      <x:c r="AJ713" t="n">
        <x:f>IF(ISNUMBER(AD713),1,0)</x:f>
        <x:v>0</x:v>
      </x:c>
    </x:row>
    <x:row r="714" ht="30" customHeight="1">
      <x:c r="A714" s="3" t="str">
        <x:v>B07-LP-37-by</x:v>
      </x:c>
      <x:c r="B714" s="3" t="str">
        <x:v>4店-彬郁-US</x:v>
      </x:c>
      <x:c r="C714" s="3" t="str">
        <x:v>艾年</x:v>
      </x:c>
      <x:c r="D714" s="3" t="str">
        <x:v>B07</x:v>
      </x:c>
      <x:c r="E714" s="3" t="str">
        <x:f>IF(Z714="移出","已移出",IF(NOT(ISNUMBER(H714)),"数据待核",IF(H714=0,"断货",IF(NOT(ISNUMBER(G714)),"数据待核",IF(G714=0,"零日销待复核",IF(F714&lt;60,"补货提醒",IF(F714&lt;=90,"正常库存",IF(F714&lt;180,"促销",IF(F714&lt;=365,"红线促销","考虑清仓")))))))))</x:f>
        <x:v>断货</x:v>
      </x:c>
      <x:c r="F714" s="11" t="n">
        <x:f>IF(AND(ISNUMBER(H714),ISNUMBER(G714),G714&gt;0),H714/G714,"")</x:f>
        <x:v>0</x:v>
      </x:c>
      <x:c r="G714" s="12" t="n">
        <x:f>IF(AND(COUNT(P714:R714)=3,MIN(P714:R714)&gt;=0,P714&lt;=Q714,Q714&lt;=R714),P714/7*0.5+Q714/14*0.3+R714/30*0.2,"")</x:f>
        <x:v>0.6238095238095238</x:v>
      </x:c>
      <x:c r="H714" s="10" t="n">
        <x:f>IF(ISNUMBER(U714),U714,"")</x:f>
        <x:v>0</x:v>
      </x:c>
      <x:c r="I714" s="10" t="n">
        <x:v>6</x:v>
      </x:c>
      <x:c r="J714" s="11" t="n">
        <x:f>IF(AND(Z714="共同",ISNUMBER(F714),ISNUMBER(M714)),F714-M714,"")</x:f>
        <x:v>-28.506787330316747</x:v>
      </x:c>
      <x:c r="K714" s="13" t="n">
        <x:f>IF(AND(ISNUMBER(J714),M714&lt;&gt;0),J714/M714,"")</x:f>
        <x:v>-1</x:v>
      </x:c>
      <x:c r="L714" s="10" t="str">
        <x:v>补货提醒</x:v>
      </x:c>
      <x:c r="M714" s="11" t="n">
        <x:v>28.506787330316747</x:v>
      </x:c>
      <x:c r="N714" s="10" t="n">
        <x:f>IF(AND(Z714="共同",COUNT(H714:I714)=2),H714-I714,"")</x:f>
        <x:v>-6</x:v>
      </x:c>
      <x:c r="O714" s="10" t="n">
        <x:v>5</x:v>
      </x:c>
      <x:c r="P714" s="10" t="n">
        <x:v>6</x:v>
      </x:c>
      <x:c r="Q714" s="10" t="n">
        <x:v>6</x:v>
      </x:c>
      <x:c r="R714" s="10" t="n">
        <x:v>10</x:v>
      </x:c>
      <x:c r="S714" s="10" t="n">
        <x:v>3</x:v>
      </x:c>
      <x:c r="T714" s="10" t="n">
        <x:v>1</x:v>
      </x:c>
      <x:c r="U714" s="10" t="n">
        <x:f>IF(AND(ISNUMBER(X714),X714&gt;=0,Y714&lt;&gt;1),X714,"")</x:f>
        <x:v>0</x:v>
      </x:c>
      <x:c r="V714" s="10" t="n">
        <x:v>0</x:v>
      </x:c>
      <x:c r="W714" s="10" t="n">
        <x:v>4</x:v>
      </x:c>
      <x:c r="X714" s="10" t="n">
        <x:v>0</x:v>
      </x:c>
      <x:c r="Y714" s="3" t="n">
        <x:v>0</x:v>
      </x:c>
      <x:c r="Z714" s="3" t="str">
        <x:v>共同</x:v>
      </x:c>
      <x:c r="AA714" s="3" t="str">
        <x:v>在售</x:v>
      </x:c>
      <x:c r="AB714" s="12" t="n">
        <x:f>IF(AND(Z714="共同",ISNUMBER(G714),ISNUMBER(AD714)),G714-AD714,"")</x:f>
        <x:v>0.4133333333333334</x:v>
      </x:c>
      <x:c r="AC714" s="3" t="str"/>
      <x:c r="AD714" s="12" t="n">
        <x:v>0.21047619047619043</x:v>
      </x:c>
      <x:c r="AE714" s="3" t="str">
        <x:v>[13306,"B07-LP-37-by"]</x:v>
      </x:c>
      <x:c r="AF714" t="n">
        <x:f>IF(ISNUMBER(H714),1,0)</x:f>
        <x:v>1</x:v>
      </x:c>
      <x:c r="AG714" t="n">
        <x:f>IF(ISNUMBER(I714),1,0)</x:f>
        <x:v>1</x:v>
      </x:c>
      <x:c r="AH714" t="str">
        <x:v>["B07","B07-LP","LP","豹纹羊京绒"]</x:v>
      </x:c>
      <x:c r="AI714" t="n">
        <x:f>IF(ISNUMBER(G714),1,0)</x:f>
        <x:v>1</x:v>
      </x:c>
      <x:c r="AJ714" t="n">
        <x:f>IF(ISNUMBER(AD714),1,0)</x:f>
        <x:v>1</x:v>
      </x:c>
    </x:row>
    <x:row r="715" ht="30" customHeight="1">
      <x:c r="A715" s="3" t="str">
        <x:v>B07-LP-38-by</x:v>
      </x:c>
      <x:c r="B715" s="3" t="str">
        <x:v>4店-彬郁-US</x:v>
      </x:c>
      <x:c r="C715" s="3" t="str">
        <x:v>艾年</x:v>
      </x:c>
      <x:c r="D715" s="3" t="str">
        <x:v>B07</x:v>
      </x:c>
      <x:c r="E715" s="3" t="str">
        <x:f>IF(Z715="移出","已移出",IF(NOT(ISNUMBER(H715)),"数据待核",IF(H715=0,"断货",IF(NOT(ISNUMBER(G715)),"数据待核",IF(G715=0,"零日销待复核",IF(F715&lt;60,"补货提醒",IF(F715&lt;=90,"正常库存",IF(F715&lt;180,"促销",IF(F715&lt;=365,"红线促销","考虑清仓")))))))))</x:f>
        <x:v>断货</x:v>
      </x:c>
      <x:c r="F715" s="11" t="n">
        <x:f>IF(AND(ISNUMBER(H715),ISNUMBER(G715),G715&gt;0),H715/G715,"")</x:f>
        <x:v>0</x:v>
      </x:c>
      <x:c r="G715" s="12" t="n">
        <x:f>IF(AND(COUNT(P715:R715)=3,MIN(P715:R715)&gt;=0,P715&lt;=Q715,Q715&lt;=R715),P715/7*0.5+Q715/14*0.3+R715/30*0.2,"")</x:f>
        <x:v>0.2257142857142857</x:v>
      </x:c>
      <x:c r="H715" s="10" t="n">
        <x:f>IF(ISNUMBER(U715),U715,"")</x:f>
        <x:v>0</x:v>
      </x:c>
      <x:c r="I715" s="10" t="n">
        <x:v>0</x:v>
      </x:c>
      <x:c r="J715" s="11" t="n">
        <x:f>IF(AND(Z715="共同",ISNUMBER(F715),ISNUMBER(M715)),F715-M715,"")</x:f>
        <x:v>0</x:v>
      </x:c>
      <x:c r="K715" s="13" t="str">
        <x:f>IF(AND(ISNUMBER(J715),M715&lt;&gt;0),J715/M715,"")</x:f>
      </x:c>
      <x:c r="L715" s="10" t="str">
        <x:v>断货</x:v>
      </x:c>
      <x:c r="M715" s="11" t="n">
        <x:v>0</x:v>
      </x:c>
      <x:c r="N715" s="10" t="n">
        <x:f>IF(AND(Z715="共同",COUNT(H715:I715)=2),H715-I715,"")</x:f>
        <x:v>0</x:v>
      </x:c>
      <x:c r="O715" s="10" t="n">
        <x:v>1</x:v>
      </x:c>
      <x:c r="P715" s="10" t="n">
        <x:v>2</x:v>
      </x:c>
      <x:c r="Q715" s="10" t="n">
        <x:v>2</x:v>
      </x:c>
      <x:c r="R715" s="10" t="n">
        <x:v>6</x:v>
      </x:c>
      <x:c r="S715" s="10" t="n">
        <x:v>2</x:v>
      </x:c>
      <x:c r="T715" s="10" t="n">
        <x:v>2</x:v>
      </x:c>
      <x:c r="U715" s="10" t="n">
        <x:f>IF(AND(ISNUMBER(X715),X715&gt;=0,Y715&lt;&gt;1),X715,"")</x:f>
        <x:v>0</x:v>
      </x:c>
      <x:c r="V715" s="10" t="n">
        <x:v>0</x:v>
      </x:c>
      <x:c r="W715" s="10" t="n">
        <x:v>0</x:v>
      </x:c>
      <x:c r="X715" s="10" t="n">
        <x:v>0</x:v>
      </x:c>
      <x:c r="Y715" s="3" t="n">
        <x:v>0</x:v>
      </x:c>
      <x:c r="Z715" s="3" t="str">
        <x:v>共同</x:v>
      </x:c>
      <x:c r="AA715" s="3" t="str">
        <x:v>在售</x:v>
      </x:c>
      <x:c r="AB715" s="12" t="n">
        <x:f>IF(AND(Z715="共同",ISNUMBER(G715),ISNUMBER(AD715)),G715-AD715,"")</x:f>
        <x:v>-0.11428571428571427</x:v>
      </x:c>
      <x:c r="AC715" s="3" t="str"/>
      <x:c r="AD715" s="12" t="n">
        <x:v>0.33999999999999997</x:v>
      </x:c>
      <x:c r="AE715" s="3" t="str">
        <x:v>[13306,"B07-LP-38-by"]</x:v>
      </x:c>
      <x:c r="AF715" t="n">
        <x:f>IF(ISNUMBER(H715),1,0)</x:f>
        <x:v>1</x:v>
      </x:c>
      <x:c r="AG715" t="n">
        <x:f>IF(ISNUMBER(I715),1,0)</x:f>
        <x:v>1</x:v>
      </x:c>
      <x:c r="AH715" t="str">
        <x:v>["B07","B07-LP","LP","豹纹羊京绒"]</x:v>
      </x:c>
      <x:c r="AI715" t="n">
        <x:f>IF(ISNUMBER(G715),1,0)</x:f>
        <x:v>1</x:v>
      </x:c>
      <x:c r="AJ715" t="n">
        <x:f>IF(ISNUMBER(AD715),1,0)</x:f>
        <x:v>1</x:v>
      </x:c>
    </x:row>
    <x:row r="716" ht="30" customHeight="1">
      <x:c r="A716" s="3" t="str">
        <x:v>B07-LP-38.5</x:v>
      </x:c>
      <x:c r="B716" s="3" t="str">
        <x:v>4店-彬郁-US</x:v>
      </x:c>
      <x:c r="C716" s="3" t="str">
        <x:v>艾年</x:v>
      </x:c>
      <x:c r="D716" s="3" t="str">
        <x:v>B07</x:v>
      </x:c>
      <x:c r="E716" s="3" t="str">
        <x:f>IF(Z716="移出","已移出",IF(NOT(ISNUMBER(H716)),"数据待核",IF(H716=0,"断货",IF(NOT(ISNUMBER(G716)),"数据待核",IF(G716=0,"零日销待复核",IF(F716&lt;60,"补货提醒",IF(F716&lt;=90,"正常库存",IF(F716&lt;180,"促销",IF(F716&lt;=365,"红线促销","考虑清仓")))))))))</x:f>
        <x:v>断货</x:v>
      </x:c>
      <x:c r="F716" s="11" t="n">
        <x:f>IF(AND(ISNUMBER(H716),ISNUMBER(G716),G716&gt;0),H716/G716,"")</x:f>
        <x:v>0</x:v>
      </x:c>
      <x:c r="G716" s="12" t="n">
        <x:f>IF(AND(COUNT(P716:R716)=3,MIN(P716:R716)&gt;=0,P716&lt;=Q716,Q716&lt;=R716),P716/7*0.5+Q716/14*0.3+R716/30*0.2,"")</x:f>
        <x:v>0.006666666666666667</x:v>
      </x:c>
      <x:c r="H716" s="10" t="n">
        <x:f>IF(ISNUMBER(U716),U716,"")</x:f>
        <x:v>0</x:v>
      </x:c>
      <x:c r="I716" s="10" t="n">
        <x:v>0</x:v>
      </x:c>
      <x:c r="J716" s="11" t="n">
        <x:f>IF(AND(Z716="共同",ISNUMBER(F716),ISNUMBER(M716)),F716-M716,"")</x:f>
        <x:v>0</x:v>
      </x:c>
      <x:c r="K716" s="13" t="str">
        <x:f>IF(AND(ISNUMBER(J716),M716&lt;&gt;0),J716/M716,"")</x:f>
      </x:c>
      <x:c r="L716" s="10" t="str">
        <x:v>断货</x:v>
      </x:c>
      <x:c r="M716" s="11" t="n">
        <x:v>0</x:v>
      </x:c>
      <x:c r="N716" s="10" t="n">
        <x:f>IF(AND(Z716="共同",COUNT(H716:I716)=2),H716-I716,"")</x:f>
        <x:v>0</x:v>
      </x:c>
      <x:c r="O716" s="10" t="n">
        <x:v>92</x:v>
      </x:c>
      <x:c r="P716" s="10" t="n">
        <x:v>0</x:v>
      </x:c>
      <x:c r="Q716" s="10" t="n">
        <x:v>0</x:v>
      </x:c>
      <x:c r="R716" s="10" t="n">
        <x:v>1</x:v>
      </x:c>
      <x:c r="S716" s="10" t="n">
        <x:v>0</x:v>
      </x:c>
      <x:c r="T716" s="10" t="n">
        <x:v>0</x:v>
      </x:c>
      <x:c r="U716" s="10" t="n">
        <x:f>IF(AND(ISNUMBER(X716),X716&gt;=0,Y716&lt;&gt;1),X716,"")</x:f>
        <x:v>0</x:v>
      </x:c>
      <x:c r="V716" s="10" t="n">
        <x:v>0</x:v>
      </x:c>
      <x:c r="W716" s="10" t="n">
        <x:v>92</x:v>
      </x:c>
      <x:c r="X716" s="10" t="n">
        <x:v>0</x:v>
      </x:c>
      <x:c r="Y716" s="3" t="n">
        <x:v>0</x:v>
      </x:c>
      <x:c r="Z716" s="3" t="str">
        <x:v>共同</x:v>
      </x:c>
      <x:c r="AA716" s="3" t="str">
        <x:v>停售</x:v>
      </x:c>
      <x:c r="AB716" s="12" t="n">
        <x:f>IF(AND(Z716="共同",ISNUMBER(G716),ISNUMBER(AD716)),G716-AD716,"")</x:f>
        <x:v>-0.10619047619047618</x:v>
      </x:c>
      <x:c r="AC716" s="3" t="str"/>
      <x:c r="AD716" s="12" t="n">
        <x:v>0.11285714285714285</x:v>
      </x:c>
      <x:c r="AE716" s="3" t="str">
        <x:v>[13306,"B07-LP-38.5"]</x:v>
      </x:c>
      <x:c r="AF716" t="n">
        <x:f>IF(ISNUMBER(H716),1,0)</x:f>
        <x:v>1</x:v>
      </x:c>
      <x:c r="AG716" t="n">
        <x:f>IF(ISNUMBER(I716),1,0)</x:f>
        <x:v>1</x:v>
      </x:c>
      <x:c r="AH716" t="str">
        <x:v>["B07","B07-LP","LP","豹纹羊京绒"]</x:v>
      </x:c>
      <x:c r="AI716" t="n">
        <x:f>IF(ISNUMBER(G716),1,0)</x:f>
        <x:v>1</x:v>
      </x:c>
      <x:c r="AJ716" t="n">
        <x:f>IF(ISNUMBER(AD716),1,0)</x:f>
        <x:v>1</x:v>
      </x:c>
    </x:row>
    <x:row r="717" ht="30" customHeight="1">
      <x:c r="A717" s="3" t="str">
        <x:v>B07-LP-39-by</x:v>
      </x:c>
      <x:c r="B717" s="3" t="str">
        <x:v>4店-彬郁-US</x:v>
      </x:c>
      <x:c r="C717" s="3" t="str">
        <x:v>艾年</x:v>
      </x:c>
      <x:c r="D717" s="3" t="str">
        <x:v>B07</x:v>
      </x:c>
      <x:c r="E717" s="3" t="str">
        <x:f>IF(Z717="移出","已移出",IF(NOT(ISNUMBER(H717)),"数据待核",IF(H717=0,"断货",IF(NOT(ISNUMBER(G717)),"数据待核",IF(G717=0,"零日销待复核",IF(F717&lt;60,"补货提醒",IF(F717&lt;=90,"正常库存",IF(F717&lt;180,"促销",IF(F717&lt;=365,"红线促销","考虑清仓")))))))))</x:f>
        <x:v>断货</x:v>
      </x:c>
      <x:c r="F717" s="11" t="n">
        <x:f>IF(AND(ISNUMBER(H717),ISNUMBER(G717),G717&gt;0),H717/G717,"")</x:f>
        <x:v>0</x:v>
      </x:c>
      <x:c r="G717" s="12" t="n">
        <x:f>IF(AND(COUNT(P717:R717)=3,MIN(P717:R717)&gt;=0,P717&lt;=Q717,Q717&lt;=R717),P717/7*0.5+Q717/14*0.3+R717/30*0.2,"")</x:f>
        <x:v>0.5838095238095238</x:v>
      </x:c>
      <x:c r="H717" s="10" t="n">
        <x:f>IF(ISNUMBER(U717),U717,"")</x:f>
        <x:v>0</x:v>
      </x:c>
      <x:c r="I717" s="10" t="n">
        <x:v>0</x:v>
      </x:c>
      <x:c r="J717" s="11" t="n">
        <x:f>IF(AND(Z717="共同",ISNUMBER(F717),ISNUMBER(M717)),F717-M717,"")</x:f>
        <x:v>0</x:v>
      </x:c>
      <x:c r="K717" s="13" t="str">
        <x:f>IF(AND(ISNUMBER(J717),M717&lt;&gt;0),J717/M717,"")</x:f>
      </x:c>
      <x:c r="L717" s="10" t="str">
        <x:v>断货</x:v>
      </x:c>
      <x:c r="M717" s="11" t="n">
        <x:v>0</x:v>
      </x:c>
      <x:c r="N717" s="10" t="n">
        <x:f>IF(AND(Z717="共同",COUNT(H717:I717)=2),H717-I717,"")</x:f>
        <x:v>0</x:v>
      </x:c>
      <x:c r="O717" s="10" t="n">
        <x:v>27</x:v>
      </x:c>
      <x:c r="P717" s="10" t="n">
        <x:v>4</x:v>
      </x:c>
      <x:c r="Q717" s="10" t="n">
        <x:v>8</x:v>
      </x:c>
      <x:c r="R717" s="10" t="n">
        <x:v>19</x:v>
      </x:c>
      <x:c r="S717" s="10" t="n">
        <x:v>5</x:v>
      </x:c>
      <x:c r="T717" s="10" t="n">
        <x:v>3</x:v>
      </x:c>
      <x:c r="U717" s="10" t="n">
        <x:f>IF(AND(ISNUMBER(X717),X717&gt;=0,Y717&lt;&gt;1),X717,"")</x:f>
        <x:v>0</x:v>
      </x:c>
      <x:c r="V717" s="10" t="n">
        <x:v>0</x:v>
      </x:c>
      <x:c r="W717" s="10" t="n">
        <x:v>23</x:v>
      </x:c>
      <x:c r="X717" s="10" t="n">
        <x:v>0</x:v>
      </x:c>
      <x:c r="Y717" s="3" t="n">
        <x:v>0</x:v>
      </x:c>
      <x:c r="Z717" s="3" t="str">
        <x:v>共同</x:v>
      </x:c>
      <x:c r="AA717" s="3" t="str">
        <x:v>在售</x:v>
      </x:c>
      <x:c r="AB717" s="12" t="n">
        <x:f>IF(AND(Z717="共同",ISNUMBER(G717),ISNUMBER(AD717)),G717-AD717,"")</x:f>
        <x:v>-0.17285714285714282</x:v>
      </x:c>
      <x:c r="AC717" s="3" t="str"/>
      <x:c r="AD717" s="12" t="n">
        <x:v>0.7566666666666666</x:v>
      </x:c>
      <x:c r="AE717" s="3" t="str">
        <x:v>[13306,"B07-LP-39-by"]</x:v>
      </x:c>
      <x:c r="AF717" t="n">
        <x:f>IF(ISNUMBER(H717),1,0)</x:f>
        <x:v>1</x:v>
      </x:c>
      <x:c r="AG717" t="n">
        <x:f>IF(ISNUMBER(I717),1,0)</x:f>
        <x:v>1</x:v>
      </x:c>
      <x:c r="AH717" t="str">
        <x:v>["B07","B07-LP","LP","豹纹羊京绒"]</x:v>
      </x:c>
      <x:c r="AI717" t="n">
        <x:f>IF(ISNUMBER(G717),1,0)</x:f>
        <x:v>1</x:v>
      </x:c>
      <x:c r="AJ717" t="n">
        <x:f>IF(ISNUMBER(AD717),1,0)</x:f>
        <x:v>1</x:v>
      </x:c>
    </x:row>
    <x:row r="718" ht="30" customHeight="1">
      <x:c r="A718" s="3" t="str">
        <x:v>B07-LP-39.5</x:v>
      </x:c>
      <x:c r="B718" s="3" t="str">
        <x:v>4店-彬郁-US</x:v>
      </x:c>
      <x:c r="C718" s="3" t="str">
        <x:v>艾年</x:v>
      </x:c>
      <x:c r="D718" s="3" t="str">
        <x:v>B07</x:v>
      </x:c>
      <x:c r="E718" s="3" t="str">
        <x:f>IF(Z718="移出","已移出",IF(NOT(ISNUMBER(H718)),"数据待核",IF(H718=0,"断货",IF(NOT(ISNUMBER(G718)),"数据待核",IF(G718=0,"零日销待复核",IF(F718&lt;60,"补货提醒",IF(F718&lt;=90,"正常库存",IF(F718&lt;180,"促销",IF(F718&lt;=365,"红线促销","考虑清仓")))))))))</x:f>
        <x:v>断货</x:v>
      </x:c>
      <x:c r="F718" s="11" t="n">
        <x:f>IF(AND(ISNUMBER(H718),ISNUMBER(G718),G718&gt;0),H718/G718,"")</x:f>
        <x:v>0</x:v>
      </x:c>
      <x:c r="G718" s="12" t="n">
        <x:f>IF(AND(COUNT(P718:R718)=3,MIN(P718:R718)&gt;=0,P718&lt;=Q718,Q718&lt;=R718),P718/7*0.5+Q718/14*0.3+R718/30*0.2,"")</x:f>
        <x:v>0.690952380952381</x:v>
      </x:c>
      <x:c r="H718" s="10" t="n">
        <x:f>IF(ISNUMBER(U718),U718,"")</x:f>
        <x:v>0</x:v>
      </x:c>
      <x:c r="I718" s="10" t="n">
        <x:v>0</x:v>
      </x:c>
      <x:c r="J718" s="11" t="n">
        <x:f>IF(AND(Z718="共同",ISNUMBER(F718),ISNUMBER(M718)),F718-M718,"")</x:f>
        <x:v>0</x:v>
      </x:c>
      <x:c r="K718" s="13" t="str">
        <x:f>IF(AND(ISNUMBER(J718),M718&lt;&gt;0),J718/M718,"")</x:f>
      </x:c>
      <x:c r="L718" s="10" t="str">
        <x:v>断货</x:v>
      </x:c>
      <x:c r="M718" s="11" t="n">
        <x:v>0</x:v>
      </x:c>
      <x:c r="N718" s="10" t="n">
        <x:f>IF(AND(Z718="共同",COUNT(H718:I718)=2),H718-I718,"")</x:f>
        <x:v>0</x:v>
      </x:c>
      <x:c r="O718" s="10" t="n">
        <x:v>0</x:v>
      </x:c>
      <x:c r="P718" s="10" t="n">
        <x:v>4</x:v>
      </x:c>
      <x:c r="Q718" s="10" t="n">
        <x:v>13</x:v>
      </x:c>
      <x:c r="R718" s="10" t="n">
        <x:v>19</x:v>
      </x:c>
      <x:c r="S718" s="10" t="n">
        <x:v>19</x:v>
      </x:c>
      <x:c r="T718" s="10" t="n">
        <x:v>4</x:v>
      </x:c>
      <x:c r="U718" s="10" t="n">
        <x:f>IF(AND(ISNUMBER(X718),X718&gt;=0,Y718&lt;&gt;1),X718,"")</x:f>
        <x:v>0</x:v>
      </x:c>
      <x:c r="V718" s="10" t="n">
        <x:v>0</x:v>
      </x:c>
      <x:c r="W718" s="10" t="n">
        <x:v>0</x:v>
      </x:c>
      <x:c r="X718" s="10" t="n">
        <x:v>0</x:v>
      </x:c>
      <x:c r="Y718" s="3" t="n">
        <x:v>0</x:v>
      </x:c>
      <x:c r="Z718" s="3" t="str">
        <x:v>共同</x:v>
      </x:c>
      <x:c r="AA718" s="3" t="str">
        <x:v>在售</x:v>
      </x:c>
      <x:c r="AB718" s="12" t="n">
        <x:f>IF(AND(Z718="共同",ISNUMBER(G718),ISNUMBER(AD718)),G718-AD718,"")</x:f>
        <x:v>0.28952380952380957</x:v>
      </x:c>
      <x:c r="AC718" s="3" t="str"/>
      <x:c r="AD718" s="12" t="n">
        <x:v>0.4014285714285714</x:v>
      </x:c>
      <x:c r="AE718" s="3" t="str">
        <x:v>[13306,"B07-LP-39.5"]</x:v>
      </x:c>
      <x:c r="AF718" t="n">
        <x:f>IF(ISNUMBER(H718),1,0)</x:f>
        <x:v>1</x:v>
      </x:c>
      <x:c r="AG718" t="n">
        <x:f>IF(ISNUMBER(I718),1,0)</x:f>
        <x:v>1</x:v>
      </x:c>
      <x:c r="AH718" t="str">
        <x:v>["B07","B07-LP","LP","豹纹羊京绒"]</x:v>
      </x:c>
      <x:c r="AI718" t="n">
        <x:f>IF(ISNUMBER(G718),1,0)</x:f>
        <x:v>1</x:v>
      </x:c>
      <x:c r="AJ718" t="n">
        <x:f>IF(ISNUMBER(AD718),1,0)</x:f>
        <x:v>1</x:v>
      </x:c>
    </x:row>
    <x:row r="719" ht="30" customHeight="1">
      <x:c r="A719" s="3" t="str">
        <x:v>B07-LP-42-by</x:v>
      </x:c>
      <x:c r="B719" s="3" t="str">
        <x:v>4店-彬郁-US</x:v>
      </x:c>
      <x:c r="C719" s="3" t="str">
        <x:v>艾年</x:v>
      </x:c>
      <x:c r="D719" s="3" t="str">
        <x:v>B07</x:v>
      </x:c>
      <x:c r="E719" s="3" t="str">
        <x:f>IF(Z719="移出","已移出",IF(NOT(ISNUMBER(H719)),"数据待核",IF(H719=0,"断货",IF(NOT(ISNUMBER(G719)),"数据待核",IF(G719=0,"零日销待复核",IF(F719&lt;60,"补货提醒",IF(F719&lt;=90,"正常库存",IF(F719&lt;180,"促销",IF(F719&lt;=365,"红线促销","考虑清仓")))))))))</x:f>
        <x:v>断货</x:v>
      </x:c>
      <x:c r="F719" s="11" t="n">
        <x:f>IF(AND(ISNUMBER(H719),ISNUMBER(G719),G719&gt;0),H719/G719,"")</x:f>
        <x:v>0</x:v>
      </x:c>
      <x:c r="G719" s="12" t="n">
        <x:f>IF(AND(COUNT(P719:R719)=3,MIN(P719:R719)&gt;=0,P719&lt;=Q719,Q719&lt;=R719),P719/7*0.5+Q719/14*0.3+R719/30*0.2,"")</x:f>
        <x:v>0.03333333333333333</x:v>
      </x:c>
      <x:c r="H719" s="10" t="n">
        <x:f>IF(ISNUMBER(U719),U719,"")</x:f>
        <x:v>0</x:v>
      </x:c>
      <x:c r="I719" s="10" t="n">
        <x:v>0</x:v>
      </x:c>
      <x:c r="J719" s="11" t="n">
        <x:f>IF(AND(Z719="共同",ISNUMBER(F719),ISNUMBER(M719)),F719-M719,"")</x:f>
        <x:v>0</x:v>
      </x:c>
      <x:c r="K719" s="13" t="str">
        <x:f>IF(AND(ISNUMBER(J719),M719&lt;&gt;0),J719/M719,"")</x:f>
      </x:c>
      <x:c r="L719" s="10" t="str">
        <x:v>断货</x:v>
      </x:c>
      <x:c r="M719" s="11" t="n">
        <x:v>0</x:v>
      </x:c>
      <x:c r="N719" s="10" t="n">
        <x:f>IF(AND(Z719="共同",COUNT(H719:I719)=2),H719-I719,"")</x:f>
        <x:v>0</x:v>
      </x:c>
      <x:c r="O719" s="10" t="n">
        <x:v>0</x:v>
      </x:c>
      <x:c r="P719" s="10" t="n">
        <x:v>0</x:v>
      </x:c>
      <x:c r="Q719" s="10" t="n">
        <x:v>0</x:v>
      </x:c>
      <x:c r="R719" s="10" t="n">
        <x:v>5</x:v>
      </x:c>
      <x:c r="S719" s="10" t="n">
        <x:v>2</x:v>
      </x:c>
      <x:c r="T719" s="10" t="n">
        <x:v>2</x:v>
      </x:c>
      <x:c r="U719" s="10" t="n">
        <x:f>IF(AND(ISNUMBER(X719),X719&gt;=0,Y719&lt;&gt;1),X719,"")</x:f>
        <x:v>0</x:v>
      </x:c>
      <x:c r="V719" s="10" t="n">
        <x:v>0</x:v>
      </x:c>
      <x:c r="W719" s="10" t="n">
        <x:v>57</x:v>
      </x:c>
      <x:c r="X719" s="10" t="n">
        <x:v>0</x:v>
      </x:c>
      <x:c r="Y719" s="3" t="n">
        <x:v>0</x:v>
      </x:c>
      <x:c r="Z719" s="3" t="str">
        <x:v>共同</x:v>
      </x:c>
      <x:c r="AA719" s="3" t="str">
        <x:v>在售</x:v>
      </x:c>
      <x:c r="AB719" s="12" t="n">
        <x:f>IF(AND(Z719="共同",ISNUMBER(G719),ISNUMBER(AD719)),G719-AD719,"")</x:f>
        <x:v>-0.3414285714285714</x:v>
      </x:c>
      <x:c r="AC719" s="3" t="str"/>
      <x:c r="AD719" s="12" t="n">
        <x:v>0.37476190476190474</x:v>
      </x:c>
      <x:c r="AE719" s="3" t="str">
        <x:v>[13306,"B07-LP-42-by"]</x:v>
      </x:c>
      <x:c r="AF719" t="n">
        <x:f>IF(ISNUMBER(H719),1,0)</x:f>
        <x:v>1</x:v>
      </x:c>
      <x:c r="AG719" t="n">
        <x:f>IF(ISNUMBER(I719),1,0)</x:f>
        <x:v>1</x:v>
      </x:c>
      <x:c r="AH719" t="str">
        <x:v>["B07","B07-LP","LP","豹纹羊京绒"]</x:v>
      </x:c>
      <x:c r="AI719" t="n">
        <x:f>IF(ISNUMBER(G719),1,0)</x:f>
        <x:v>1</x:v>
      </x:c>
      <x:c r="AJ719" t="n">
        <x:f>IF(ISNUMBER(AD719),1,0)</x:f>
        <x:v>1</x:v>
      </x:c>
    </x:row>
    <x:row r="720" ht="30" customHeight="1">
      <x:c r="A720" s="3" t="str">
        <x:v>B07-LP1-40-by</x:v>
      </x:c>
      <x:c r="B720" s="3" t="str">
        <x:v>4店-彬郁-US</x:v>
      </x:c>
      <x:c r="C720" s="3" t="str">
        <x:v>艾年</x:v>
      </x:c>
      <x:c r="D720" s="3" t="str">
        <x:v>B07</x:v>
      </x:c>
      <x:c r="E720" s="3" t="str">
        <x:f>IF(Z720="移出","已移出",IF(NOT(ISNUMBER(H720)),"数据待核",IF(H720=0,"断货",IF(NOT(ISNUMBER(G720)),"数据待核",IF(G720=0,"零日销待复核",IF(F720&lt;60,"补货提醒",IF(F720&lt;=90,"正常库存",IF(F720&lt;180,"促销",IF(F720&lt;=365,"红线促销","考虑清仓")))))))))</x:f>
        <x:v>断货</x:v>
      </x:c>
      <x:c r="F720" s="11" t="n">
        <x:f>IF(AND(ISNUMBER(H720),ISNUMBER(G720),G720&gt;0),H720/G720,"")</x:f>
        <x:v>0</x:v>
      </x:c>
      <x:c r="G720" s="12" t="n">
        <x:f>IF(AND(COUNT(P720:R720)=3,MIN(P720:R720)&gt;=0,P720&lt;=Q720,Q720&lt;=R720),P720/7*0.5+Q720/14*0.3+R720/30*0.2,"")</x:f>
        <x:v>0.589047619047619</x:v>
      </x:c>
      <x:c r="H720" s="10" t="n">
        <x:f>IF(ISNUMBER(U720),U720,"")</x:f>
        <x:v>0</x:v>
      </x:c>
      <x:c r="I720" s="10" t="n">
        <x:v>0</x:v>
      </x:c>
      <x:c r="J720" s="11" t="n">
        <x:f>IF(AND(Z720="共同",ISNUMBER(F720),ISNUMBER(M720)),F720-M720,"")</x:f>
        <x:v>0</x:v>
      </x:c>
      <x:c r="K720" s="13" t="str">
        <x:f>IF(AND(ISNUMBER(J720),M720&lt;&gt;0),J720/M720,"")</x:f>
      </x:c>
      <x:c r="L720" s="10" t="str">
        <x:v>断货</x:v>
      </x:c>
      <x:c r="M720" s="11" t="n">
        <x:v>0</x:v>
      </x:c>
      <x:c r="N720" s="10" t="n">
        <x:f>IF(AND(Z720="共同",COUNT(H720:I720)=2),H720-I720,"")</x:f>
        <x:v>0</x:v>
      </x:c>
      <x:c r="O720" s="10" t="n">
        <x:v>167</x:v>
      </x:c>
      <x:c r="P720" s="10" t="n">
        <x:v>4</x:v>
      </x:c>
      <x:c r="Q720" s="10" t="n">
        <x:v>7</x:v>
      </x:c>
      <x:c r="R720" s="10" t="n">
        <x:v>23</x:v>
      </x:c>
      <x:c r="S720" s="10" t="n">
        <x:v>6</x:v>
      </x:c>
      <x:c r="T720" s="10" t="n">
        <x:v>5</x:v>
      </x:c>
      <x:c r="U720" s="10" t="n">
        <x:f>IF(AND(ISNUMBER(X720),X720&gt;=0,Y720&lt;&gt;1),X720,"")</x:f>
        <x:v>0</x:v>
      </x:c>
      <x:c r="V720" s="10" t="n">
        <x:v>0</x:v>
      </x:c>
      <x:c r="W720" s="10" t="n">
        <x:v>120</x:v>
      </x:c>
      <x:c r="X720" s="10" t="n">
        <x:v>0</x:v>
      </x:c>
      <x:c r="Y720" s="3" t="n">
        <x:v>0</x:v>
      </x:c>
      <x:c r="Z720" s="3" t="str">
        <x:v>共同</x:v>
      </x:c>
      <x:c r="AA720" s="3" t="str">
        <x:v>在售</x:v>
      </x:c>
      <x:c r="AB720" s="12" t="n">
        <x:f>IF(AND(Z720="共同",ISNUMBER(G720),ISNUMBER(AD720)),G720-AD720,"")</x:f>
        <x:v>-0.2019047619047618</x:v>
      </x:c>
      <x:c r="AC720" s="3" t="str"/>
      <x:c r="AD720" s="12" t="n">
        <x:v>0.7909523809523809</x:v>
      </x:c>
      <x:c r="AE720" s="3" t="str">
        <x:v>[13306,"B07-LP1-40-by"]</x:v>
      </x:c>
      <x:c r="AF720" t="n">
        <x:f>IF(ISNUMBER(H720),1,0)</x:f>
        <x:v>1</x:v>
      </x:c>
      <x:c r="AG720" t="n">
        <x:f>IF(ISNUMBER(I720),1,0)</x:f>
        <x:v>1</x:v>
      </x:c>
      <x:c r="AH720" t="str">
        <x:v>["B07","B07-LP1","LP1","豹纹羊京绒"]</x:v>
      </x:c>
      <x:c r="AI720" t="n">
        <x:f>IF(ISNUMBER(G720),1,0)</x:f>
        <x:v>1</x:v>
      </x:c>
      <x:c r="AJ720" t="n">
        <x:f>IF(ISNUMBER(AD720),1,0)</x:f>
        <x:v>1</x:v>
      </x:c>
    </x:row>
    <x:row r="721" ht="30" customHeight="1">
      <x:c r="A721" s="3" t="str">
        <x:v>B07-LP1-40.5</x:v>
      </x:c>
      <x:c r="B721" s="3" t="str">
        <x:v>4店-彬郁-US</x:v>
      </x:c>
      <x:c r="C721" s="3" t="str">
        <x:v>艾年</x:v>
      </x:c>
      <x:c r="D721" s="3" t="str">
        <x:v>B07</x:v>
      </x:c>
      <x:c r="E721" s="3" t="str">
        <x:f>IF(Z721="移出","已移出",IF(NOT(ISNUMBER(H721)),"数据待核",IF(H721=0,"断货",IF(NOT(ISNUMBER(G721)),"数据待核",IF(G721=0,"零日销待复核",IF(F721&lt;60,"补货提醒",IF(F721&lt;=90,"正常库存",IF(F721&lt;180,"促销",IF(F721&lt;=365,"红线促销","考虑清仓")))))))))</x:f>
        <x:v>断货</x:v>
      </x:c>
      <x:c r="F721" s="11" t="n">
        <x:f>IF(AND(ISNUMBER(H721),ISNUMBER(G721),G721&gt;0),H721/G721,"")</x:f>
        <x:v>0</x:v>
      </x:c>
      <x:c r="G721" s="12" t="n">
        <x:f>IF(AND(COUNT(P721:R721)=3,MIN(P721:R721)&gt;=0,P721&lt;=Q721,Q721&lt;=R721),P721/7*0.5+Q721/14*0.3+R721/30*0.2,"")</x:f>
        <x:v>0.18904761904761905</x:v>
      </x:c>
      <x:c r="H721" s="10" t="n">
        <x:f>IF(ISNUMBER(U721),U721,"")</x:f>
        <x:v>0</x:v>
      </x:c>
      <x:c r="I721" s="10" t="n">
        <x:v>0</x:v>
      </x:c>
      <x:c r="J721" s="11" t="n">
        <x:f>IF(AND(Z721="共同",ISNUMBER(F721),ISNUMBER(M721)),F721-M721,"")</x:f>
        <x:v>0</x:v>
      </x:c>
      <x:c r="K721" s="13" t="str">
        <x:f>IF(AND(ISNUMBER(J721),M721&lt;&gt;0),J721/M721,"")</x:f>
      </x:c>
      <x:c r="L721" s="10" t="str">
        <x:v>断货</x:v>
      </x:c>
      <x:c r="M721" s="11" t="n">
        <x:v>0</x:v>
      </x:c>
      <x:c r="N721" s="10" t="n">
        <x:f>IF(AND(Z721="共同",COUNT(H721:I721)=2),H721-I721,"")</x:f>
        <x:v>0</x:v>
      </x:c>
      <x:c r="O721" s="10" t="n">
        <x:v>68</x:v>
      </x:c>
      <x:c r="P721" s="10" t="n">
        <x:v>1</x:v>
      </x:c>
      <x:c r="Q721" s="10" t="n">
        <x:v>3</x:v>
      </x:c>
      <x:c r="R721" s="10" t="n">
        <x:v>8</x:v>
      </x:c>
      <x:c r="S721" s="10" t="n">
        <x:v>2</x:v>
      </x:c>
      <x:c r="T721" s="10" t="n">
        <x:v>1</x:v>
      </x:c>
      <x:c r="U721" s="10" t="n">
        <x:f>IF(AND(ISNUMBER(X721),X721&gt;=0,Y721&lt;&gt;1),X721,"")</x:f>
        <x:v>0</x:v>
      </x:c>
      <x:c r="V721" s="10" t="n">
        <x:v>0</x:v>
      </x:c>
      <x:c r="W721" s="10" t="n">
        <x:v>49</x:v>
      </x:c>
      <x:c r="X721" s="10" t="n">
        <x:v>0</x:v>
      </x:c>
      <x:c r="Y721" s="3" t="n">
        <x:v>0</x:v>
      </x:c>
      <x:c r="Z721" s="3" t="str">
        <x:v>共同</x:v>
      </x:c>
      <x:c r="AA721" s="3" t="str">
        <x:v>在售</x:v>
      </x:c>
      <x:c r="AB721" s="12" t="n">
        <x:f>IF(AND(Z721="共同",ISNUMBER(G721),ISNUMBER(AD721)),G721-AD721,"")</x:f>
        <x:v>-0.1195238095238095</x:v>
      </x:c>
      <x:c r="AC721" s="3" t="str"/>
      <x:c r="AD721" s="12" t="n">
        <x:v>0.30857142857142855</x:v>
      </x:c>
      <x:c r="AE721" s="3" t="str">
        <x:v>[13306,"B07-LP1-40.5"]</x:v>
      </x:c>
      <x:c r="AF721" t="n">
        <x:f>IF(ISNUMBER(H721),1,0)</x:f>
        <x:v>1</x:v>
      </x:c>
      <x:c r="AG721" t="n">
        <x:f>IF(ISNUMBER(I721),1,0)</x:f>
        <x:v>1</x:v>
      </x:c>
      <x:c r="AH721" t="str">
        <x:v>["B07","B07-LP1","LP1","豹纹羊京绒"]</x:v>
      </x:c>
      <x:c r="AI721" t="n">
        <x:f>IF(ISNUMBER(G721),1,0)</x:f>
        <x:v>1</x:v>
      </x:c>
      <x:c r="AJ721" t="n">
        <x:f>IF(ISNUMBER(AD721),1,0)</x:f>
        <x:v>1</x:v>
      </x:c>
    </x:row>
    <x:row r="722" ht="30" customHeight="1">
      <x:c r="A722" s="3" t="str">
        <x:v>B07-LP1-41-by</x:v>
      </x:c>
      <x:c r="B722" s="3" t="str">
        <x:v>4店-彬郁-US</x:v>
      </x:c>
      <x:c r="C722" s="3" t="str">
        <x:v>艾年</x:v>
      </x:c>
      <x:c r="D722" s="3" t="str">
        <x:v>B07</x:v>
      </x:c>
      <x:c r="E722" s="3" t="str">
        <x:f>IF(Z722="移出","已移出",IF(NOT(ISNUMBER(H722)),"数据待核",IF(H722=0,"断货",IF(NOT(ISNUMBER(G722)),"数据待核",IF(G722=0,"零日销待复核",IF(F722&lt;60,"补货提醒",IF(F722&lt;=90,"正常库存",IF(F722&lt;180,"促销",IF(F722&lt;=365,"红线促销","考虑清仓")))))))))</x:f>
        <x:v>断货</x:v>
      </x:c>
      <x:c r="F722" s="11" t="n">
        <x:f>IF(AND(ISNUMBER(H722),ISNUMBER(G722),G722&gt;0),H722/G722,"")</x:f>
        <x:v>0</x:v>
      </x:c>
      <x:c r="G722" s="12" t="n">
        <x:f>IF(AND(COUNT(P722:R722)=3,MIN(P722:R722)&gt;=0,P722&lt;=Q722,Q722&lt;=R722),P722/7*0.5+Q722/14*0.3+R722/30*0.2,"")</x:f>
        <x:v>0.6</x:v>
      </x:c>
      <x:c r="H722" s="10" t="n">
        <x:f>IF(ISNUMBER(U722),U722,"")</x:f>
        <x:v>0</x:v>
      </x:c>
      <x:c r="I722" s="10" t="n">
        <x:v>3</x:v>
      </x:c>
      <x:c r="J722" s="11" t="n">
        <x:f>IF(AND(Z722="共同",ISNUMBER(F722),ISNUMBER(M722)),F722-M722,"")</x:f>
        <x:v>-8.005082592121983</x:v>
      </x:c>
      <x:c r="K722" s="13" t="n">
        <x:f>IF(AND(ISNUMBER(J722),M722&lt;&gt;0),J722/M722,"")</x:f>
        <x:v>-1</x:v>
      </x:c>
      <x:c r="L722" s="10" t="str">
        <x:v>补货提醒</x:v>
      </x:c>
      <x:c r="M722" s="11" t="n">
        <x:v>8.005082592121983</x:v>
      </x:c>
      <x:c r="N722" s="10" t="n">
        <x:f>IF(AND(Z722="共同",COUNT(H722:I722)=2),H722-I722,"")</x:f>
        <x:v>-3</x:v>
      </x:c>
      <x:c r="O722" s="10" t="n">
        <x:v>16</x:v>
      </x:c>
      <x:c r="P722" s="10" t="n">
        <x:v>4</x:v>
      </x:c>
      <x:c r="Q722" s="10" t="n">
        <x:v>10</x:v>
      </x:c>
      <x:c r="R722" s="10" t="n">
        <x:v>15</x:v>
      </x:c>
      <x:c r="S722" s="10" t="n">
        <x:v>8</x:v>
      </x:c>
      <x:c r="T722" s="10" t="n">
        <x:v>7</x:v>
      </x:c>
      <x:c r="U722" s="10" t="n">
        <x:f>IF(AND(ISNUMBER(X722),X722&gt;=0,Y722&lt;&gt;1),X722,"")</x:f>
        <x:v>0</x:v>
      </x:c>
      <x:c r="V722" s="10" t="n">
        <x:v>0</x:v>
      </x:c>
      <x:c r="W722" s="10" t="n">
        <x:v>31</x:v>
      </x:c>
      <x:c r="X722" s="10" t="n">
        <x:v>0</x:v>
      </x:c>
      <x:c r="Y722" s="3" t="n">
        <x:v>0</x:v>
      </x:c>
      <x:c r="Z722" s="3" t="str">
        <x:v>共同</x:v>
      </x:c>
      <x:c r="AA722" s="3" t="str">
        <x:v>在售</x:v>
      </x:c>
      <x:c r="AB722" s="12" t="n">
        <x:f>IF(AND(Z722="共同",ISNUMBER(G722),ISNUMBER(AD722)),G722-AD722,"")</x:f>
        <x:v>0.22523809523809524</x:v>
      </x:c>
      <x:c r="AC722" s="3" t="str"/>
      <x:c r="AD722" s="12" t="n">
        <x:v>0.37476190476190474</x:v>
      </x:c>
      <x:c r="AE722" s="3" t="str">
        <x:v>[13306,"B07-LP1-41-by"]</x:v>
      </x:c>
      <x:c r="AF722" t="n">
        <x:f>IF(ISNUMBER(H722),1,0)</x:f>
        <x:v>1</x:v>
      </x:c>
      <x:c r="AG722" t="n">
        <x:f>IF(ISNUMBER(I722),1,0)</x:f>
        <x:v>1</x:v>
      </x:c>
      <x:c r="AH722" t="str">
        <x:v>["B07","B07-LP1","LP1","豹纹羊京绒"]</x:v>
      </x:c>
      <x:c r="AI722" t="n">
        <x:f>IF(ISNUMBER(G722),1,0)</x:f>
        <x:v>1</x:v>
      </x:c>
      <x:c r="AJ722" t="n">
        <x:f>IF(ISNUMBER(AD722),1,0)</x:f>
        <x:v>1</x:v>
      </x:c>
    </x:row>
    <x:row r="723" ht="30" customHeight="1">
      <x:c r="A723" s="3" t="str">
        <x:v>B07-MT-39-by</x:v>
      </x:c>
      <x:c r="B723" s="3" t="str">
        <x:v>4店-彬郁-US</x:v>
      </x:c>
      <x:c r="C723" s="3" t="str">
        <x:v>艾年</x:v>
      </x:c>
      <x:c r="D723" s="3" t="str">
        <x:v>B07</x:v>
      </x:c>
      <x:c r="E723" s="3" t="str">
        <x:f>IF(Z723="移出","已移出",IF(NOT(ISNUMBER(H723)),"数据待核",IF(H723=0,"断货",IF(NOT(ISNUMBER(G723)),"数据待核",IF(G723=0,"零日销待复核",IF(F723&lt;60,"补货提醒",IF(F723&lt;=90,"正常库存",IF(F723&lt;180,"促销",IF(F723&lt;=365,"红线促销","考虑清仓")))))))))</x:f>
        <x:v>断货</x:v>
      </x:c>
      <x:c r="F723" s="11" t="n">
        <x:f>IF(AND(ISNUMBER(H723),ISNUMBER(G723),G723&gt;0),H723/G723,"")</x:f>
        <x:v>0</x:v>
      </x:c>
      <x:c r="G723" s="12" t="n">
        <x:f>IF(AND(COUNT(P723:R723)=3,MIN(P723:R723)&gt;=0,P723&lt;=Q723,Q723&lt;=R723),P723/7*0.5+Q723/14*0.3+R723/30*0.2,"")</x:f>
        <x:v>0.09952380952380951</x:v>
      </x:c>
      <x:c r="H723" s="10" t="n">
        <x:f>IF(ISNUMBER(U723),U723,"")</x:f>
        <x:v>0</x:v>
      </x:c>
      <x:c r="I723" s="10" t="n">
        <x:v>1</x:v>
      </x:c>
      <x:c r="J723" s="11" t="n">
        <x:f>IF(AND(Z723="共同",ISNUMBER(F723),ISNUMBER(M723)),F723-M723,"")</x:f>
        <x:v>-150</x:v>
      </x:c>
      <x:c r="K723" s="13" t="n">
        <x:f>IF(AND(ISNUMBER(J723),M723&lt;&gt;0),J723/M723,"")</x:f>
        <x:v>-1</x:v>
      </x:c>
      <x:c r="L723" s="10" t="str">
        <x:v>促销</x:v>
      </x:c>
      <x:c r="M723" s="11" t="n">
        <x:v>150</x:v>
      </x:c>
      <x:c r="N723" s="10" t="n">
        <x:f>IF(AND(Z723="共同",COUNT(H723:I723)=2),H723-I723,"")</x:f>
        <x:v>-1</x:v>
      </x:c>
      <x:c r="O723" s="10" t="n">
        <x:v>0</x:v>
      </x:c>
      <x:c r="P723" s="10" t="n">
        <x:v>1</x:v>
      </x:c>
      <x:c r="Q723" s="10" t="n">
        <x:v>1</x:v>
      </x:c>
      <x:c r="R723" s="10" t="n">
        <x:v>1</x:v>
      </x:c>
      <x:c r="S723" s="10" t="n">
        <x:v>0</x:v>
      </x:c>
      <x:c r="T723" s="10" t="n">
        <x:v>0</x:v>
      </x:c>
      <x:c r="U723" s="10" t="n">
        <x:f>IF(AND(ISNUMBER(X723),X723&gt;=0,Y723&lt;&gt;1),X723,"")</x:f>
        <x:v>0</x:v>
      </x:c>
      <x:c r="V723" s="10" t="n">
        <x:v>0</x:v>
      </x:c>
      <x:c r="W723" s="10" t="n">
        <x:v>0</x:v>
      </x:c>
      <x:c r="X723" s="10" t="n">
        <x:v>0</x:v>
      </x:c>
      <x:c r="Y723" s="3" t="n">
        <x:v>0</x:v>
      </x:c>
      <x:c r="Z723" s="3" t="str">
        <x:v>共同</x:v>
      </x:c>
      <x:c r="AA723" s="3" t="str">
        <x:v>在售</x:v>
      </x:c>
      <x:c r="AB723" s="12" t="n">
        <x:f>IF(AND(Z723="共同",ISNUMBER(G723),ISNUMBER(AD723)),G723-AD723,"")</x:f>
        <x:v>0.09285714285714285</x:v>
      </x:c>
      <x:c r="AC723" s="3" t="str"/>
      <x:c r="AD723" s="12" t="n">
        <x:v>0.006666666666666666</x:v>
      </x:c>
      <x:c r="AE723" s="3" t="str">
        <x:v>[13306,"B07-MT-39-by"]</x:v>
      </x:c>
      <x:c r="AF723" t="n">
        <x:f>IF(ISNUMBER(H723),1,0)</x:f>
        <x:v>1</x:v>
      </x:c>
      <x:c r="AG723" t="n">
        <x:f>IF(ISNUMBER(I723),1,0)</x:f>
        <x:v>1</x:v>
      </x:c>
      <x:c r="AH723" t="str">
        <x:v>["B07","B07-MT","MT","黄色羊京绒"]</x:v>
      </x:c>
      <x:c r="AI723" t="n">
        <x:f>IF(ISNUMBER(G723),1,0)</x:f>
        <x:v>1</x:v>
      </x:c>
      <x:c r="AJ723" t="n">
        <x:f>IF(ISNUMBER(AD723),1,0)</x:f>
        <x:v>1</x:v>
      </x:c>
    </x:row>
    <x:row r="724" ht="30" customHeight="1">
      <x:c r="A724" s="3" t="str">
        <x:v>B07-MT-41.5</x:v>
      </x:c>
      <x:c r="B724" s="3" t="str">
        <x:v>4店-彬郁-US</x:v>
      </x:c>
      <x:c r="C724" s="3" t="str">
        <x:v>艾年</x:v>
      </x:c>
      <x:c r="D724" s="3" t="str">
        <x:v>B07</x:v>
      </x:c>
      <x:c r="E724" s="3" t="str">
        <x:f>IF(Z724="移出","已移出",IF(NOT(ISNUMBER(H724)),"数据待核",IF(H724=0,"断货",IF(NOT(ISNUMBER(G724)),"数据待核",IF(G724=0,"零日销待复核",IF(F724&lt;60,"补货提醒",IF(F724&lt;=90,"正常库存",IF(F724&lt;180,"促销",IF(F724&lt;=365,"红线促销","考虑清仓")))))))))</x:f>
        <x:v>断货</x:v>
      </x:c>
      <x:c r="F724" s="11" t="str">
        <x:f>IF(AND(ISNUMBER(H724),ISNUMBER(G724),G724&gt;0),H724/G724,"")</x:f>
      </x:c>
      <x:c r="G724" s="12" t="n">
        <x:f>IF(AND(COUNT(P724:R724)=3,MIN(P724:R724)&gt;=0,P724&lt;=Q724,Q724&lt;=R724),P724/7*0.5+Q724/14*0.3+R724/30*0.2,"")</x:f>
        <x:v>0</x:v>
      </x:c>
      <x:c r="H724" s="10" t="n">
        <x:f>IF(ISNUMBER(U724),U724,"")</x:f>
        <x:v>0</x:v>
      </x:c>
      <x:c r="I724" s="10" t="n">
        <x:v>0</x:v>
      </x:c>
      <x:c r="J724" s="11" t="str">
        <x:f>IF(AND(Z724="共同",ISNUMBER(F724),ISNUMBER(M724)),F724-M724,"")</x:f>
      </x:c>
      <x:c r="K724" s="13" t="str">
        <x:f>IF(AND(ISNUMBER(J724),M724&lt;&gt;0),J724/M724,"")</x:f>
      </x:c>
      <x:c r="L724" s="10" t="str">
        <x:v>断货</x:v>
      </x:c>
      <x:c r="M724" s="11"/>
      <x:c r="N724" s="10" t="n">
        <x:f>IF(AND(Z724="共同",COUNT(H724:I724)=2),H724-I724,"")</x:f>
        <x:v>0</x:v>
      </x:c>
      <x:c r="O724" s="10" t="n">
        <x:v>0</x:v>
      </x:c>
      <x:c r="P724" s="10" t="n">
        <x:v>0</x:v>
      </x:c>
      <x:c r="Q724" s="10" t="n">
        <x:v>0</x:v>
      </x:c>
      <x:c r="R724" s="10" t="n">
        <x:v>0</x:v>
      </x:c>
      <x:c r="S724" s="10" t="n">
        <x:v>0</x:v>
      </x:c>
      <x:c r="T724" s="10" t="n">
        <x:v>0</x:v>
      </x:c>
      <x:c r="U724" s="10" t="n">
        <x:f>IF(AND(ISNUMBER(X724),X724&gt;=0,Y724&lt;&gt;1),X724,"")</x:f>
        <x:v>0</x:v>
      </x:c>
      <x:c r="V724" s="10" t="n">
        <x:v>0</x:v>
      </x:c>
      <x:c r="W724" s="10" t="n">
        <x:v>0</x:v>
      </x:c>
      <x:c r="X724" s="10" t="n">
        <x:v>0</x:v>
      </x:c>
      <x:c r="Y724" s="3" t="n">
        <x:v>0</x:v>
      </x:c>
      <x:c r="Z724" s="3" t="str">
        <x:v>共同</x:v>
      </x:c>
      <x:c r="AA724" s="3" t="str">
        <x:v>停售</x:v>
      </x:c>
      <x:c r="AB724" s="12" t="str">
        <x:f>IF(AND(Z724="共同",ISNUMBER(G724),ISNUMBER(AD724)),G724-AD724,"")</x:f>
      </x:c>
      <x:c r="AC724" s="3" t="str">
        <x:v>近90天SKU销量未匹配，未按0处理</x:v>
      </x:c>
      <x:c r="AD724" s="12"/>
      <x:c r="AE724" s="3" t="str">
        <x:v>[13306,"B07-MT-41.5"]</x:v>
      </x:c>
      <x:c r="AF724" t="n">
        <x:f>IF(ISNUMBER(H724),1,0)</x:f>
        <x:v>1</x:v>
      </x:c>
      <x:c r="AG724" t="n">
        <x:f>IF(ISNUMBER(I724),1,0)</x:f>
        <x:v>1</x:v>
      </x:c>
      <x:c r="AH724" t="str">
        <x:v>["B07","B07-MT","MT","黄色羊京绒"]</x:v>
      </x:c>
      <x:c r="AI724" t="n">
        <x:f>IF(ISNUMBER(G724),1,0)</x:f>
        <x:v>1</x:v>
      </x:c>
      <x:c r="AJ724" t="n">
        <x:f>IF(ISNUMBER(AD724),1,0)</x:f>
        <x:v>0</x:v>
      </x:c>
    </x:row>
    <x:row r="725" ht="30" customHeight="1">
      <x:c r="A725" s="3" t="str">
        <x:v>B07-MT-42-by</x:v>
      </x:c>
      <x:c r="B725" s="3" t="str">
        <x:v>4店-彬郁-US</x:v>
      </x:c>
      <x:c r="C725" s="3" t="str">
        <x:v>艾年</x:v>
      </x:c>
      <x:c r="D725" s="3" t="str">
        <x:v>B07</x:v>
      </x:c>
      <x:c r="E725" s="3" t="str">
        <x:f>IF(Z725="移出","已移出",IF(NOT(ISNUMBER(H725)),"数据待核",IF(H725=0,"断货",IF(NOT(ISNUMBER(G725)),"数据待核",IF(G725=0,"零日销待复核",IF(F725&lt;60,"补货提醒",IF(F725&lt;=90,"正常库存",IF(F725&lt;180,"促销",IF(F725&lt;=365,"红线促销","考虑清仓")))))))))</x:f>
        <x:v>断货</x:v>
      </x:c>
      <x:c r="F725" s="11" t="str">
        <x:f>IF(AND(ISNUMBER(H725),ISNUMBER(G725),G725&gt;0),H725/G725,"")</x:f>
      </x:c>
      <x:c r="G725" s="12" t="n">
        <x:f>IF(AND(COUNT(P725:R725)=3,MIN(P725:R725)&gt;=0,P725&lt;=Q725,Q725&lt;=R725),P725/7*0.5+Q725/14*0.3+R725/30*0.2,"")</x:f>
        <x:v>0</x:v>
      </x:c>
      <x:c r="H725" s="10" t="n">
        <x:f>IF(ISNUMBER(U725),U725,"")</x:f>
        <x:v>0</x:v>
      </x:c>
      <x:c r="I725" s="10" t="n">
        <x:v>0</x:v>
      </x:c>
      <x:c r="J725" s="11" t="str">
        <x:f>IF(AND(Z725="共同",ISNUMBER(F725),ISNUMBER(M725)),F725-M725,"")</x:f>
      </x:c>
      <x:c r="K725" s="13" t="str">
        <x:f>IF(AND(ISNUMBER(J725),M725&lt;&gt;0),J725/M725,"")</x:f>
      </x:c>
      <x:c r="L725" s="10" t="str">
        <x:v>断货</x:v>
      </x:c>
      <x:c r="M725" s="11"/>
      <x:c r="N725" s="10" t="n">
        <x:f>IF(AND(Z725="共同",COUNT(H725:I725)=2),H725-I725,"")</x:f>
        <x:v>0</x:v>
      </x:c>
      <x:c r="O725" s="10"/>
      <x:c r="P725" s="10" t="n">
        <x:v>0</x:v>
      </x:c>
      <x:c r="Q725" s="10" t="n">
        <x:v>0</x:v>
      </x:c>
      <x:c r="R725" s="10" t="n">
        <x:v>0</x:v>
      </x:c>
      <x:c r="S725" s="10" t="n">
        <x:v>0</x:v>
      </x:c>
      <x:c r="T725" s="10" t="n">
        <x:v>0</x:v>
      </x:c>
      <x:c r="U725" s="10" t="n">
        <x:f>IF(AND(ISNUMBER(X725),X725&gt;=0,Y725&lt;&gt;1),X725,"")</x:f>
        <x:v>0</x:v>
      </x:c>
      <x:c r="V725" s="10" t="n">
        <x:v>0</x:v>
      </x:c>
      <x:c r="W725" s="10" t="n">
        <x:v>0</x:v>
      </x:c>
      <x:c r="X725" s="10" t="n">
        <x:v>0</x:v>
      </x:c>
      <x:c r="Y725" s="3" t="n">
        <x:v>0</x:v>
      </x:c>
      <x:c r="Z725" s="3" t="str">
        <x:v>共同</x:v>
      </x:c>
      <x:c r="AA725" s="3" t="str">
        <x:v>停售</x:v>
      </x:c>
      <x:c r="AB725" s="12" t="str">
        <x:f>IF(AND(Z725="共同",ISNUMBER(G725),ISNUMBER(AD725)),G725-AD725,"")</x:f>
      </x:c>
      <x:c r="AC725" s="3" t="str">
        <x:v>近90天SKU销量未匹配，未按0处理</x:v>
      </x:c>
      <x:c r="AD725" s="12"/>
      <x:c r="AE725" s="3" t="str">
        <x:v>[13306,"B07-MT-42-by"]</x:v>
      </x:c>
      <x:c r="AF725" t="n">
        <x:f>IF(ISNUMBER(H725),1,0)</x:f>
        <x:v>1</x:v>
      </x:c>
      <x:c r="AG725" t="n">
        <x:f>IF(ISNUMBER(I725),1,0)</x:f>
        <x:v>1</x:v>
      </x:c>
      <x:c r="AH725" t="str">
        <x:v>["B07","B07-MT","MT","黄色羊京绒"]</x:v>
      </x:c>
      <x:c r="AI725" t="n">
        <x:f>IF(ISNUMBER(G725),1,0)</x:f>
        <x:v>1</x:v>
      </x:c>
      <x:c r="AJ725" t="n">
        <x:f>IF(ISNUMBER(AD725),1,0)</x:f>
        <x:v>0</x:v>
      </x:c>
    </x:row>
    <x:row r="726" ht="30" customHeight="1">
      <x:c r="A726" s="3" t="str">
        <x:v>B07-ND-I-0-37</x:v>
      </x:c>
      <x:c r="B726" s="3" t="str">
        <x:v>4店-彬郁-US</x:v>
      </x:c>
      <x:c r="C726" s="3" t="str">
        <x:v>艾年</x:v>
      </x:c>
      <x:c r="D726" s="3" t="str">
        <x:v>B07</x:v>
      </x:c>
      <x:c r="E726" s="3" t="str">
        <x:f>IF(Z726="移出","已移出",IF(NOT(ISNUMBER(H726)),"数据待核",IF(H726=0,"断货",IF(NOT(ISNUMBER(G726)),"数据待核",IF(G726=0,"零日销待复核",IF(F726&lt;60,"补货提醒",IF(F726&lt;=90,"正常库存",IF(F726&lt;180,"促销",IF(F726&lt;=365,"红线促销","考虑清仓")))))))))</x:f>
        <x:v>断货</x:v>
      </x:c>
      <x:c r="F726" s="11" t="str">
        <x:f>IF(AND(ISNUMBER(H726),ISNUMBER(G726),G726&gt;0),H726/G726,"")</x:f>
      </x:c>
      <x:c r="G726" s="12" t="n">
        <x:f>IF(AND(COUNT(P726:R726)=3,MIN(P726:R726)&gt;=0,P726&lt;=Q726,Q726&lt;=R726),P726/7*0.5+Q726/14*0.3+R726/30*0.2,"")</x:f>
        <x:v>0</x:v>
      </x:c>
      <x:c r="H726" s="10" t="n">
        <x:f>IF(ISNUMBER(U726),U726,"")</x:f>
        <x:v>0</x:v>
      </x:c>
      <x:c r="I726" s="10" t="n">
        <x:v>0</x:v>
      </x:c>
      <x:c r="J726" s="11" t="str">
        <x:f>IF(AND(Z726="共同",ISNUMBER(F726),ISNUMBER(M726)),F726-M726,"")</x:f>
      </x:c>
      <x:c r="K726" s="13" t="str">
        <x:f>IF(AND(ISNUMBER(J726),M726&lt;&gt;0),J726/M726,"")</x:f>
      </x:c>
      <x:c r="L726" s="10" t="str">
        <x:v>断货</x:v>
      </x:c>
      <x:c r="M726" s="11"/>
      <x:c r="N726" s="10" t="n">
        <x:f>IF(AND(Z726="共同",COUNT(H726:I726)=2),H726-I726,"")</x:f>
        <x:v>0</x:v>
      </x:c>
      <x:c r="O726" s="10" t="n">
        <x:v>0</x:v>
      </x:c>
      <x:c r="P726" s="10" t="n">
        <x:v>0</x:v>
      </x:c>
      <x:c r="Q726" s="10" t="n">
        <x:v>0</x:v>
      </x:c>
      <x:c r="R726" s="10" t="n">
        <x:v>0</x:v>
      </x:c>
      <x:c r="S726" s="10" t="n">
        <x:v>19</x:v>
      </x:c>
      <x:c r="T726" s="10" t="n">
        <x:v>0</x:v>
      </x:c>
      <x:c r="U726" s="10" t="n">
        <x:f>IF(AND(ISNUMBER(X726),X726&gt;=0,Y726&lt;&gt;1),X726,"")</x:f>
        <x:v>0</x:v>
      </x:c>
      <x:c r="V726" s="10" t="n">
        <x:v>0</x:v>
      </x:c>
      <x:c r="W726" s="10" t="n">
        <x:v>0</x:v>
      </x:c>
      <x:c r="X726" s="10" t="n">
        <x:v>0</x:v>
      </x:c>
      <x:c r="Y726" s="3" t="n">
        <x:v>0</x:v>
      </x:c>
      <x:c r="Z726" s="3" t="str">
        <x:v>共同</x:v>
      </x:c>
      <x:c r="AA726" s="3" t="str">
        <x:v>在售</x:v>
      </x:c>
      <x:c r="AB726" s="12" t="n">
        <x:f>IF(AND(Z726="共同",ISNUMBER(G726),ISNUMBER(AD726)),G726-AD726,"")</x:f>
        <x:v>0</x:v>
      </x:c>
      <x:c r="AC726" s="3" t="str"/>
      <x:c r="AD726" s="12" t="n">
        <x:v>0</x:v>
      </x:c>
      <x:c r="AE726" s="3" t="str">
        <x:v>[13306,"B07-ND-I-0-37"]</x:v>
      </x:c>
      <x:c r="AF726" t="n">
        <x:f>IF(ISNUMBER(H726),1,0)</x:f>
        <x:v>1</x:v>
      </x:c>
      <x:c r="AG726" t="n">
        <x:f>IF(ISNUMBER(I726),1,0)</x:f>
        <x:v>1</x:v>
      </x:c>
      <x:c r="AH726" t="str">
        <x:v>["B07","B07-ND-I-0","ND-I","裸色色织提花"]</x:v>
      </x:c>
      <x:c r="AI726" t="n">
        <x:f>IF(ISNUMBER(G726),1,0)</x:f>
        <x:v>1</x:v>
      </x:c>
      <x:c r="AJ726" t="n">
        <x:f>IF(ISNUMBER(AD726),1,0)</x:f>
        <x:v>1</x:v>
      </x:c>
    </x:row>
    <x:row r="727" ht="30" customHeight="1">
      <x:c r="A727" s="3" t="str">
        <x:v>B07-ND-I-0-37.5</x:v>
      </x:c>
      <x:c r="B727" s="3" t="str">
        <x:v>4店-彬郁-US</x:v>
      </x:c>
      <x:c r="C727" s="3" t="str">
        <x:v>艾年</x:v>
      </x:c>
      <x:c r="D727" s="3" t="str">
        <x:v>B07</x:v>
      </x:c>
      <x:c r="E727" s="3" t="str">
        <x:f>IF(Z727="移出","已移出",IF(NOT(ISNUMBER(H727)),"数据待核",IF(H727=0,"断货",IF(NOT(ISNUMBER(G727)),"数据待核",IF(G727=0,"零日销待复核",IF(F727&lt;60,"补货提醒",IF(F727&lt;=90,"正常库存",IF(F727&lt;180,"促销",IF(F727&lt;=365,"红线促销","考虑清仓")))))))))</x:f>
        <x:v>断货</x:v>
      </x:c>
      <x:c r="F727" s="11" t="n">
        <x:f>IF(AND(ISNUMBER(H727),ISNUMBER(G727),G727&gt;0),H727/G727,"")</x:f>
        <x:v>0</x:v>
      </x:c>
      <x:c r="G727" s="12" t="n">
        <x:f>IF(AND(COUNT(P727:R727)=3,MIN(P727:R727)&gt;=0,P727&lt;=Q727,Q727&lt;=R727),P727/7*0.5+Q727/14*0.3+R727/30*0.2,"")</x:f>
        <x:v>0.006666666666666667</x:v>
      </x:c>
      <x:c r="H727" s="10" t="n">
        <x:f>IF(ISNUMBER(U727),U727,"")</x:f>
        <x:v>0</x:v>
      </x:c>
      <x:c r="I727" s="10" t="n">
        <x:v>0</x:v>
      </x:c>
      <x:c r="J727" s="11" t="n">
        <x:f>IF(AND(Z727="共同",ISNUMBER(F727),ISNUMBER(M727)),F727-M727,"")</x:f>
        <x:v>0</x:v>
      </x:c>
      <x:c r="K727" s="13" t="str">
        <x:f>IF(AND(ISNUMBER(J727),M727&lt;&gt;0),J727/M727,"")</x:f>
      </x:c>
      <x:c r="L727" s="10" t="str">
        <x:v>断货</x:v>
      </x:c>
      <x:c r="M727" s="11" t="n">
        <x:v>0</x:v>
      </x:c>
      <x:c r="N727" s="10" t="n">
        <x:f>IF(AND(Z727="共同",COUNT(H727:I727)=2),H727-I727,"")</x:f>
        <x:v>0</x:v>
      </x:c>
      <x:c r="O727" s="10"/>
      <x:c r="P727" s="10" t="n">
        <x:v>0</x:v>
      </x:c>
      <x:c r="Q727" s="10" t="n">
        <x:v>0</x:v>
      </x:c>
      <x:c r="R727" s="10" t="n">
        <x:v>1</x:v>
      </x:c>
      <x:c r="S727" s="10" t="n">
        <x:v>0</x:v>
      </x:c>
      <x:c r="T727" s="10" t="n">
        <x:v>0</x:v>
      </x:c>
      <x:c r="U727" s="10" t="n">
        <x:f>IF(AND(ISNUMBER(X727),X727&gt;=0,Y727&lt;&gt;1),X727,"")</x:f>
        <x:v>0</x:v>
      </x:c>
      <x:c r="V727" s="10" t="n">
        <x:v>0</x:v>
      </x:c>
      <x:c r="W727" s="10" t="n">
        <x:v>0</x:v>
      </x:c>
      <x:c r="X727" s="10" t="n">
        <x:v>0</x:v>
      </x:c>
      <x:c r="Y727" s="3" t="n">
        <x:v>0</x:v>
      </x:c>
      <x:c r="Z727" s="3" t="str">
        <x:v>共同</x:v>
      </x:c>
      <x:c r="AA727" s="3" t="str">
        <x:v>停售</x:v>
      </x:c>
      <x:c r="AB727" s="12" t="n">
        <x:f>IF(AND(Z727="共同",ISNUMBER(G727),ISNUMBER(AD727)),G727-AD727,"")</x:f>
        <x:v>-0.02142857142857143</x:v>
      </x:c>
      <x:c r="AC727" s="3" t="str"/>
      <x:c r="AD727" s="12" t="n">
        <x:v>0.028095238095238097</x:v>
      </x:c>
      <x:c r="AE727" s="3" t="str">
        <x:v>[13306,"B07-ND-I-0-37.5"]</x:v>
      </x:c>
      <x:c r="AF727" t="n">
        <x:f>IF(ISNUMBER(H727),1,0)</x:f>
        <x:v>1</x:v>
      </x:c>
      <x:c r="AG727" t="n">
        <x:f>IF(ISNUMBER(I727),1,0)</x:f>
        <x:v>1</x:v>
      </x:c>
      <x:c r="AH727" t="str">
        <x:v>["B07","B07-ND-I-0","ND-I","裸色色织提花"]</x:v>
      </x:c>
      <x:c r="AI727" t="n">
        <x:f>IF(ISNUMBER(G727),1,0)</x:f>
        <x:v>1</x:v>
      </x:c>
      <x:c r="AJ727" t="n">
        <x:f>IF(ISNUMBER(AD727),1,0)</x:f>
        <x:v>1</x:v>
      </x:c>
    </x:row>
    <x:row r="728" ht="30" customHeight="1">
      <x:c r="A728" s="3" t="str">
        <x:v>B07-ND-I-0-39.5</x:v>
      </x:c>
      <x:c r="B728" s="3" t="str">
        <x:v>4店-彬郁-US</x:v>
      </x:c>
      <x:c r="C728" s="3" t="str">
        <x:v>艾年</x:v>
      </x:c>
      <x:c r="D728" s="3" t="str">
        <x:v>B07</x:v>
      </x:c>
      <x:c r="E728" s="3" t="str">
        <x:f>IF(Z728="移出","已移出",IF(NOT(ISNUMBER(H728)),"数据待核",IF(H728=0,"断货",IF(NOT(ISNUMBER(G728)),"数据待核",IF(G728=0,"零日销待复核",IF(F728&lt;60,"补货提醒",IF(F728&lt;=90,"正常库存",IF(F728&lt;180,"促销",IF(F728&lt;=365,"红线促销","考虑清仓")))))))))</x:f>
        <x:v>断货</x:v>
      </x:c>
      <x:c r="F728" s="11" t="str">
        <x:f>IF(AND(ISNUMBER(H728),ISNUMBER(G728),G728&gt;0),H728/G728,"")</x:f>
      </x:c>
      <x:c r="G728" s="12" t="n">
        <x:f>IF(AND(COUNT(P728:R728)=3,MIN(P728:R728)&gt;=0,P728&lt;=Q728,Q728&lt;=R728),P728/7*0.5+Q728/14*0.3+R728/30*0.2,"")</x:f>
        <x:v>0</x:v>
      </x:c>
      <x:c r="H728" s="10" t="n">
        <x:f>IF(ISNUMBER(U728),U728,"")</x:f>
        <x:v>0</x:v>
      </x:c>
      <x:c r="I728" s="10" t="n">
        <x:v>0</x:v>
      </x:c>
      <x:c r="J728" s="11" t="str">
        <x:f>IF(AND(Z728="共同",ISNUMBER(F728),ISNUMBER(M728)),F728-M728,"")</x:f>
      </x:c>
      <x:c r="K728" s="13" t="str">
        <x:f>IF(AND(ISNUMBER(J728),M728&lt;&gt;0),J728/M728,"")</x:f>
      </x:c>
      <x:c r="L728" s="10" t="str">
        <x:v>断货</x:v>
      </x:c>
      <x:c r="M728" s="11"/>
      <x:c r="N728" s="10" t="n">
        <x:f>IF(AND(Z728="共同",COUNT(H728:I728)=2),H728-I728,"")</x:f>
        <x:v>0</x:v>
      </x:c>
      <x:c r="O728" s="10" t="n">
        <x:v>0</x:v>
      </x:c>
      <x:c r="P728" s="10" t="n">
        <x:v>0</x:v>
      </x:c>
      <x:c r="Q728" s="10" t="n">
        <x:v>0</x:v>
      </x:c>
      <x:c r="R728" s="10" t="n">
        <x:v>0</x:v>
      </x:c>
      <x:c r="S728" s="10" t="n">
        <x:v>0</x:v>
      </x:c>
      <x:c r="T728" s="10" t="n">
        <x:v>0</x:v>
      </x:c>
      <x:c r="U728" s="10" t="n">
        <x:f>IF(AND(ISNUMBER(X728),X728&gt;=0,Y728&lt;&gt;1),X728,"")</x:f>
        <x:v>0</x:v>
      </x:c>
      <x:c r="V728" s="10" t="n">
        <x:v>0</x:v>
      </x:c>
      <x:c r="W728" s="10" t="n">
        <x:v>0</x:v>
      </x:c>
      <x:c r="X728" s="10" t="n">
        <x:v>0</x:v>
      </x:c>
      <x:c r="Y728" s="3" t="n">
        <x:v>0</x:v>
      </x:c>
      <x:c r="Z728" s="3" t="str">
        <x:v>共同</x:v>
      </x:c>
      <x:c r="AA728" s="3" t="str">
        <x:v>停售</x:v>
      </x:c>
      <x:c r="AB728" s="12" t="n">
        <x:f>IF(AND(Z728="共同",ISNUMBER(G728),ISNUMBER(AD728)),G728-AD728,"")</x:f>
        <x:v>0</x:v>
      </x:c>
      <x:c r="AC728" s="3" t="str"/>
      <x:c r="AD728" s="12" t="n">
        <x:v>0</x:v>
      </x:c>
      <x:c r="AE728" s="3" t="str">
        <x:v>[13306,"B07-ND-I-0-39.5"]</x:v>
      </x:c>
      <x:c r="AF728" t="n">
        <x:f>IF(ISNUMBER(H728),1,0)</x:f>
        <x:v>1</x:v>
      </x:c>
      <x:c r="AG728" t="n">
        <x:f>IF(ISNUMBER(I728),1,0)</x:f>
        <x:v>1</x:v>
      </x:c>
      <x:c r="AH728" t="str">
        <x:v>["B07","B07-ND-I-0","ND-I","裸色色织提花"]</x:v>
      </x:c>
      <x:c r="AI728" t="n">
        <x:f>IF(ISNUMBER(G728),1,0)</x:f>
        <x:v>1</x:v>
      </x:c>
      <x:c r="AJ728" t="n">
        <x:f>IF(ISNUMBER(AD728),1,0)</x:f>
        <x:v>1</x:v>
      </x:c>
    </x:row>
    <x:row r="729" ht="30" customHeight="1">
      <x:c r="A729" s="3" t="str">
        <x:v>B07-ND-Z-0-39</x:v>
      </x:c>
      <x:c r="B729" s="3" t="str">
        <x:v>4店-彬郁-US</x:v>
      </x:c>
      <x:c r="C729" s="3" t="str">
        <x:v>艾年</x:v>
      </x:c>
      <x:c r="D729" s="3" t="str">
        <x:v>B07</x:v>
      </x:c>
      <x:c r="E729" s="3" t="str">
        <x:f>IF(Z729="移出","已移出",IF(NOT(ISNUMBER(H729)),"数据待核",IF(H729=0,"断货",IF(NOT(ISNUMBER(G729)),"数据待核",IF(G729=0,"零日销待复核",IF(F729&lt;60,"补货提醒",IF(F729&lt;=90,"正常库存",IF(F729&lt;180,"促销",IF(F729&lt;=365,"红线促销","考虑清仓")))))))))</x:f>
        <x:v>断货</x:v>
      </x:c>
      <x:c r="F729" s="11" t="str">
        <x:f>IF(AND(ISNUMBER(H729),ISNUMBER(G729),G729&gt;0),H729/G729,"")</x:f>
      </x:c>
      <x:c r="G729" s="12" t="n">
        <x:f>IF(AND(COUNT(P729:R729)=3,MIN(P729:R729)&gt;=0,P729&lt;=Q729,Q729&lt;=R729),P729/7*0.5+Q729/14*0.3+R729/30*0.2,"")</x:f>
        <x:v>0</x:v>
      </x:c>
      <x:c r="H729" s="10" t="n">
        <x:f>IF(ISNUMBER(U729),U729,"")</x:f>
        <x:v>0</x:v>
      </x:c>
      <x:c r="I729" s="10" t="n">
        <x:v>0</x:v>
      </x:c>
      <x:c r="J729" s="11" t="str">
        <x:f>IF(AND(Z729="共同",ISNUMBER(F729),ISNUMBER(M729)),F729-M729,"")</x:f>
      </x:c>
      <x:c r="K729" s="13" t="str">
        <x:f>IF(AND(ISNUMBER(J729),M729&lt;&gt;0),J729/M729,"")</x:f>
      </x:c>
      <x:c r="L729" s="10" t="str">
        <x:v>断货</x:v>
      </x:c>
      <x:c r="M729" s="11"/>
      <x:c r="N729" s="10" t="n">
        <x:f>IF(AND(Z729="共同",COUNT(H729:I729)=2),H729-I729,"")</x:f>
        <x:v>0</x:v>
      </x:c>
      <x:c r="O729" s="10" t="n">
        <x:v>0</x:v>
      </x:c>
      <x:c r="P729" s="10" t="n">
        <x:v>0</x:v>
      </x:c>
      <x:c r="Q729" s="10" t="n">
        <x:v>0</x:v>
      </x:c>
      <x:c r="R729" s="10" t="n">
        <x:v>0</x:v>
      </x:c>
      <x:c r="S729" s="10" t="n">
        <x:v>2</x:v>
      </x:c>
      <x:c r="T729" s="10" t="n">
        <x:v>0</x:v>
      </x:c>
      <x:c r="U729" s="10" t="n">
        <x:f>IF(AND(ISNUMBER(X729),X729&gt;=0,Y729&lt;&gt;1),X729,"")</x:f>
        <x:v>0</x:v>
      </x:c>
      <x:c r="V729" s="10" t="n">
        <x:v>0</x:v>
      </x:c>
      <x:c r="W729" s="10" t="n">
        <x:v>0</x:v>
      </x:c>
      <x:c r="X729" s="10" t="n">
        <x:v>0</x:v>
      </x:c>
      <x:c r="Y729" s="3" t="n">
        <x:v>0</x:v>
      </x:c>
      <x:c r="Z729" s="3" t="str">
        <x:v>共同</x:v>
      </x:c>
      <x:c r="AA729" s="3" t="str">
        <x:v>在售</x:v>
      </x:c>
      <x:c r="AB729" s="12" t="n">
        <x:f>IF(AND(Z729="共同",ISNUMBER(G729),ISNUMBER(AD729)),G729-AD729,"")</x:f>
        <x:v>0</x:v>
      </x:c>
      <x:c r="AC729" s="3" t="str"/>
      <x:c r="AD729" s="12" t="n">
        <x:v>0</x:v>
      </x:c>
      <x:c r="AE729" s="3" t="str">
        <x:v>[13306,"B07-ND-Z-0-39"]</x:v>
      </x:c>
      <x:c r="AF729" t="n">
        <x:f>IF(ISNUMBER(H729),1,0)</x:f>
        <x:v>1</x:v>
      </x:c>
      <x:c r="AG729" t="n">
        <x:f>IF(ISNUMBER(I729),1,0)</x:f>
        <x:v>1</x:v>
      </x:c>
      <x:c r="AH729" t="str">
        <x:v>["B07","B07-ND-Z-0","ND-Z","裸色镜面PU"]</x:v>
      </x:c>
      <x:c r="AI729" t="n">
        <x:f>IF(ISNUMBER(G729),1,0)</x:f>
        <x:v>1</x:v>
      </x:c>
      <x:c r="AJ729" t="n">
        <x:f>IF(ISNUMBER(AD729),1,0)</x:f>
        <x:v>1</x:v>
      </x:c>
    </x:row>
    <x:row r="730" ht="30" customHeight="1">
      <x:c r="A730" s="3" t="str">
        <x:v>B07-PK-38-by</x:v>
      </x:c>
      <x:c r="B730" s="3" t="str">
        <x:v>4店-彬郁-US</x:v>
      </x:c>
      <x:c r="C730" s="3" t="str">
        <x:v>艾年</x:v>
      </x:c>
      <x:c r="D730" s="3" t="str">
        <x:v>B07</x:v>
      </x:c>
      <x:c r="E730" s="3" t="str">
        <x:f>IF(Z730="移出","已移出",IF(NOT(ISNUMBER(H730)),"数据待核",IF(H730=0,"断货",IF(NOT(ISNUMBER(G730)),"数据待核",IF(G730=0,"零日销待复核",IF(F730&lt;60,"补货提醒",IF(F730&lt;=90,"正常库存",IF(F730&lt;180,"促销",IF(F730&lt;=365,"红线促销","考虑清仓")))))))))</x:f>
        <x:v>断货</x:v>
      </x:c>
      <x:c r="F730" s="11" t="str">
        <x:f>IF(AND(ISNUMBER(H730),ISNUMBER(G730),G730&gt;0),H730/G730,"")</x:f>
      </x:c>
      <x:c r="G730" s="12" t="n">
        <x:f>IF(AND(COUNT(P730:R730)=3,MIN(P730:R730)&gt;=0,P730&lt;=Q730,Q730&lt;=R730),P730/7*0.5+Q730/14*0.3+R730/30*0.2,"")</x:f>
        <x:v>0</x:v>
      </x:c>
      <x:c r="H730" s="10" t="n">
        <x:f>IF(ISNUMBER(U730),U730,"")</x:f>
        <x:v>0</x:v>
      </x:c>
      <x:c r="I730" s="10" t="n">
        <x:v>0</x:v>
      </x:c>
      <x:c r="J730" s="11" t="str">
        <x:f>IF(AND(Z730="共同",ISNUMBER(F730),ISNUMBER(M730)),F730-M730,"")</x:f>
      </x:c>
      <x:c r="K730" s="13" t="str">
        <x:f>IF(AND(ISNUMBER(J730),M730&lt;&gt;0),J730/M730,"")</x:f>
      </x:c>
      <x:c r="L730" s="10" t="str">
        <x:v>断货</x:v>
      </x:c>
      <x:c r="M730" s="11"/>
      <x:c r="N730" s="10" t="n">
        <x:f>IF(AND(Z730="共同",COUNT(H730:I730)=2),H730-I730,"")</x:f>
        <x:v>0</x:v>
      </x:c>
      <x:c r="O730" s="10" t="n">
        <x:v>0</x:v>
      </x:c>
      <x:c r="P730" s="10" t="n">
        <x:v>0</x:v>
      </x:c>
      <x:c r="Q730" s="10" t="n">
        <x:v>0</x:v>
      </x:c>
      <x:c r="R730" s="10" t="n">
        <x:v>0</x:v>
      </x:c>
      <x:c r="S730" s="10" t="n">
        <x:v>0</x:v>
      </x:c>
      <x:c r="T730" s="10" t="n">
        <x:v>0</x:v>
      </x:c>
      <x:c r="U730" s="10" t="n">
        <x:f>IF(AND(ISNUMBER(X730),X730&gt;=0,Y730&lt;&gt;1),X730,"")</x:f>
        <x:v>0</x:v>
      </x:c>
      <x:c r="V730" s="10" t="n">
        <x:v>0</x:v>
      </x:c>
      <x:c r="W730" s="10" t="n">
        <x:v>10</x:v>
      </x:c>
      <x:c r="X730" s="10" t="n">
        <x:v>0</x:v>
      </x:c>
      <x:c r="Y730" s="3" t="n">
        <x:v>0</x:v>
      </x:c>
      <x:c r="Z730" s="3" t="str">
        <x:v>共同</x:v>
      </x:c>
      <x:c r="AA730" s="3" t="str">
        <x:v>在售</x:v>
      </x:c>
      <x:c r="AB730" s="12" t="str">
        <x:f>IF(AND(Z730="共同",ISNUMBER(G730),ISNUMBER(AD730)),G730-AD730,"")</x:f>
      </x:c>
      <x:c r="AC730" s="3" t="str">
        <x:v>近90天SKU销量未匹配，未按0处理</x:v>
      </x:c>
      <x:c r="AD730" s="12"/>
      <x:c r="AE730" s="3" t="str">
        <x:v>[13306,"B07-PK-38-by"]</x:v>
      </x:c>
      <x:c r="AF730" t="n">
        <x:f>IF(ISNUMBER(H730),1,0)</x:f>
        <x:v>1</x:v>
      </x:c>
      <x:c r="AG730" t="n">
        <x:f>IF(ISNUMBER(I730),1,0)</x:f>
        <x:v>1</x:v>
      </x:c>
      <x:c r="AH730" t="str">
        <x:v>["B07","B07-PK","PK","粉色羊京绒"]</x:v>
      </x:c>
      <x:c r="AI730" t="n">
        <x:f>IF(ISNUMBER(G730),1,0)</x:f>
        <x:v>1</x:v>
      </x:c>
      <x:c r="AJ730" t="n">
        <x:f>IF(ISNUMBER(AD730),1,0)</x:f>
        <x:v>0</x:v>
      </x:c>
    </x:row>
    <x:row r="731" ht="30" customHeight="1">
      <x:c r="A731" s="3" t="str">
        <x:v>B07-PK-39-by</x:v>
      </x:c>
      <x:c r="B731" s="3" t="str">
        <x:v>4店-彬郁-US</x:v>
      </x:c>
      <x:c r="C731" s="3" t="str">
        <x:v>艾年</x:v>
      </x:c>
      <x:c r="D731" s="3" t="str">
        <x:v>B07</x:v>
      </x:c>
      <x:c r="E731" s="3" t="str">
        <x:f>IF(Z731="移出","已移出",IF(NOT(ISNUMBER(H731)),"数据待核",IF(H731=0,"断货",IF(NOT(ISNUMBER(G731)),"数据待核",IF(G731=0,"零日销待复核",IF(F731&lt;60,"补货提醒",IF(F731&lt;=90,"正常库存",IF(F731&lt;180,"促销",IF(F731&lt;=365,"红线促销","考虑清仓")))))))))</x:f>
        <x:v>断货</x:v>
      </x:c>
      <x:c r="F731" s="11" t="str">
        <x:f>IF(AND(ISNUMBER(H731),ISNUMBER(G731),G731&gt;0),H731/G731,"")</x:f>
      </x:c>
      <x:c r="G731" s="12" t="n">
        <x:f>IF(AND(COUNT(P731:R731)=3,MIN(P731:R731)&gt;=0,P731&lt;=Q731,Q731&lt;=R731),P731/7*0.5+Q731/14*0.3+R731/30*0.2,"")</x:f>
        <x:v>0</x:v>
      </x:c>
      <x:c r="H731" s="10" t="n">
        <x:f>IF(ISNUMBER(U731),U731,"")</x:f>
        <x:v>0</x:v>
      </x:c>
      <x:c r="I731" s="10" t="n">
        <x:v>0</x:v>
      </x:c>
      <x:c r="J731" s="11" t="str">
        <x:f>IF(AND(Z731="共同",ISNUMBER(F731),ISNUMBER(M731)),F731-M731,"")</x:f>
      </x:c>
      <x:c r="K731" s="13" t="str">
        <x:f>IF(AND(ISNUMBER(J731),M731&lt;&gt;0),J731/M731,"")</x:f>
      </x:c>
      <x:c r="L731" s="10" t="str">
        <x:v>断货</x:v>
      </x:c>
      <x:c r="M731" s="11"/>
      <x:c r="N731" s="10" t="n">
        <x:f>IF(AND(Z731="共同",COUNT(H731:I731)=2),H731-I731,"")</x:f>
        <x:v>0</x:v>
      </x:c>
      <x:c r="O731" s="10" t="n">
        <x:v>0</x:v>
      </x:c>
      <x:c r="P731" s="10" t="n">
        <x:v>0</x:v>
      </x:c>
      <x:c r="Q731" s="10" t="n">
        <x:v>0</x:v>
      </x:c>
      <x:c r="R731" s="10" t="n">
        <x:v>0</x:v>
      </x:c>
      <x:c r="S731" s="10" t="n">
        <x:v>0</x:v>
      </x:c>
      <x:c r="T731" s="10" t="n">
        <x:v>0</x:v>
      </x:c>
      <x:c r="U731" s="10" t="n">
        <x:f>IF(AND(ISNUMBER(X731),X731&gt;=0,Y731&lt;&gt;1),X731,"")</x:f>
        <x:v>0</x:v>
      </x:c>
      <x:c r="V731" s="10" t="n">
        <x:v>0</x:v>
      </x:c>
      <x:c r="W731" s="10" t="n">
        <x:v>10</x:v>
      </x:c>
      <x:c r="X731" s="10" t="n">
        <x:v>0</x:v>
      </x:c>
      <x:c r="Y731" s="3" t="n">
        <x:v>0</x:v>
      </x:c>
      <x:c r="Z731" s="3" t="str">
        <x:v>共同</x:v>
      </x:c>
      <x:c r="AA731" s="3" t="str">
        <x:v>在售</x:v>
      </x:c>
      <x:c r="AB731" s="12" t="str">
        <x:f>IF(AND(Z731="共同",ISNUMBER(G731),ISNUMBER(AD731)),G731-AD731,"")</x:f>
      </x:c>
      <x:c r="AC731" s="3" t="str">
        <x:v>近90天SKU销量未匹配，未按0处理</x:v>
      </x:c>
      <x:c r="AD731" s="12"/>
      <x:c r="AE731" s="3" t="str">
        <x:v>[13306,"B07-PK-39-by"]</x:v>
      </x:c>
      <x:c r="AF731" t="n">
        <x:f>IF(ISNUMBER(H731),1,0)</x:f>
        <x:v>1</x:v>
      </x:c>
      <x:c r="AG731" t="n">
        <x:f>IF(ISNUMBER(I731),1,0)</x:f>
        <x:v>1</x:v>
      </x:c>
      <x:c r="AH731" t="str">
        <x:v>["B07","B07-PK","PK","粉色羊京绒"]</x:v>
      </x:c>
      <x:c r="AI731" t="n">
        <x:f>IF(ISNUMBER(G731),1,0)</x:f>
        <x:v>1</x:v>
      </x:c>
      <x:c r="AJ731" t="n">
        <x:f>IF(ISNUMBER(AD731),1,0)</x:f>
        <x:v>0</x:v>
      </x:c>
    </x:row>
    <x:row r="732" ht="30" customHeight="1">
      <x:c r="A732" s="3" t="str">
        <x:v>B07-RD-I-0-41</x:v>
      </x:c>
      <x:c r="B732" s="3" t="str">
        <x:v>4店-彬郁-US</x:v>
      </x:c>
      <x:c r="C732" s="3" t="str">
        <x:v>艾年</x:v>
      </x:c>
      <x:c r="D732" s="3" t="str">
        <x:v>B07</x:v>
      </x:c>
      <x:c r="E732" s="3" t="str">
        <x:f>IF(Z732="移出","已移出",IF(NOT(ISNUMBER(H732)),"数据待核",IF(H732=0,"断货",IF(NOT(ISNUMBER(G732)),"数据待核",IF(G732=0,"零日销待复核",IF(F732&lt;60,"补货提醒",IF(F732&lt;=90,"正常库存",IF(F732&lt;180,"促销",IF(F732&lt;=365,"红线促销","考虑清仓")))))))))</x:f>
        <x:v>断货</x:v>
      </x:c>
      <x:c r="F732" s="11" t="n">
        <x:f>IF(AND(ISNUMBER(H732),ISNUMBER(G732),G732&gt;0),H732/G732,"")</x:f>
        <x:v>0</x:v>
      </x:c>
      <x:c r="G732" s="12" t="n">
        <x:f>IF(AND(COUNT(P732:R732)=3,MIN(P732:R732)&gt;=0,P732&lt;=Q732,Q732&lt;=R732),P732/7*0.5+Q732/14*0.3+R732/30*0.2,"")</x:f>
        <x:v>0.006666666666666667</x:v>
      </x:c>
      <x:c r="H732" s="10" t="n">
        <x:f>IF(ISNUMBER(U732),U732,"")</x:f>
        <x:v>0</x:v>
      </x:c>
      <x:c r="I732" s="10" t="n">
        <x:v>0</x:v>
      </x:c>
      <x:c r="J732" s="11" t="n">
        <x:f>IF(AND(Z732="共同",ISNUMBER(F732),ISNUMBER(M732)),F732-M732,"")</x:f>
        <x:v>0</x:v>
      </x:c>
      <x:c r="K732" s="13" t="str">
        <x:f>IF(AND(ISNUMBER(J732),M732&lt;&gt;0),J732/M732,"")</x:f>
      </x:c>
      <x:c r="L732" s="10" t="str">
        <x:v>断货</x:v>
      </x:c>
      <x:c r="M732" s="11" t="n">
        <x:v>0</x:v>
      </x:c>
      <x:c r="N732" s="10" t="n">
        <x:f>IF(AND(Z732="共同",COUNT(H732:I732)=2),H732-I732,"")</x:f>
        <x:v>0</x:v>
      </x:c>
      <x:c r="O732" s="10" t="n">
        <x:v>0</x:v>
      </x:c>
      <x:c r="P732" s="10" t="n">
        <x:v>0</x:v>
      </x:c>
      <x:c r="Q732" s="10" t="n">
        <x:v>0</x:v>
      </x:c>
      <x:c r="R732" s="10" t="n">
        <x:v>1</x:v>
      </x:c>
      <x:c r="S732" s="10" t="n">
        <x:v>0</x:v>
      </x:c>
      <x:c r="T732" s="10" t="n">
        <x:v>0</x:v>
      </x:c>
      <x:c r="U732" s="10" t="n">
        <x:f>IF(AND(ISNUMBER(X732),X732&gt;=0,Y732&lt;&gt;1),X732,"")</x:f>
        <x:v>0</x:v>
      </x:c>
      <x:c r="V732" s="10" t="n">
        <x:v>0</x:v>
      </x:c>
      <x:c r="W732" s="10" t="n">
        <x:v>0</x:v>
      </x:c>
      <x:c r="X732" s="10" t="n">
        <x:v>0</x:v>
      </x:c>
      <x:c r="Y732" s="3" t="n">
        <x:v>0</x:v>
      </x:c>
      <x:c r="Z732" s="3" t="str">
        <x:v>共同</x:v>
      </x:c>
      <x:c r="AA732" s="3" t="str">
        <x:v>停售</x:v>
      </x:c>
      <x:c r="AB732" s="12" t="n">
        <x:f>IF(AND(Z732="共同",ISNUMBER(G732),ISNUMBER(AD732)),G732-AD732,"")</x:f>
        <x:v>-0.09285714285714285</x:v>
      </x:c>
      <x:c r="AC732" s="3" t="str"/>
      <x:c r="AD732" s="12" t="n">
        <x:v>0.09952380952380951</x:v>
      </x:c>
      <x:c r="AE732" s="3" t="str">
        <x:v>[13306,"B07-RD-I-0-41"]</x:v>
      </x:c>
      <x:c r="AF732" t="n">
        <x:f>IF(ISNUMBER(H732),1,0)</x:f>
        <x:v>1</x:v>
      </x:c>
      <x:c r="AG732" t="n">
        <x:f>IF(ISNUMBER(I732),1,0)</x:f>
        <x:v>1</x:v>
      </x:c>
      <x:c r="AH732" t="str">
        <x:v>["B07","B07-RD-I-0","RD-I","红色色织提花"]</x:v>
      </x:c>
      <x:c r="AI732" t="n">
        <x:f>IF(ISNUMBER(G732),1,0)</x:f>
        <x:v>1</x:v>
      </x:c>
      <x:c r="AJ732" t="n">
        <x:f>IF(ISNUMBER(AD732),1,0)</x:f>
        <x:v>1</x:v>
      </x:c>
    </x:row>
    <x:row r="733" ht="30" customHeight="1">
      <x:c r="A733" s="3" t="str">
        <x:v>B07-RG-39.5</x:v>
      </x:c>
      <x:c r="B733" s="3" t="str">
        <x:v>4店-彬郁-US</x:v>
      </x:c>
      <x:c r="C733" s="3" t="str">
        <x:v>艾年</x:v>
      </x:c>
      <x:c r="D733" s="3" t="str">
        <x:v>B07</x:v>
      </x:c>
      <x:c r="E733" s="3" t="str">
        <x:f>IF(Z733="移出","已移出",IF(NOT(ISNUMBER(H733)),"数据待核",IF(H733=0,"断货",IF(NOT(ISNUMBER(G733)),"数据待核",IF(G733=0,"零日销待复核",IF(F733&lt;60,"补货提醒",IF(F733&lt;=90,"正常库存",IF(F733&lt;180,"促销",IF(F733&lt;=365,"红线促销","考虑清仓")))))))))</x:f>
        <x:v>断货</x:v>
      </x:c>
      <x:c r="F733" s="11" t="str">
        <x:f>IF(AND(ISNUMBER(H733),ISNUMBER(G733),G733&gt;0),H733/G733,"")</x:f>
      </x:c>
      <x:c r="G733" s="12" t="n">
        <x:f>IF(AND(COUNT(P733:R733)=3,MIN(P733:R733)&gt;=0,P733&lt;=Q733,Q733&lt;=R733),P733/7*0.5+Q733/14*0.3+R733/30*0.2,"")</x:f>
        <x:v>0</x:v>
      </x:c>
      <x:c r="H733" s="10" t="n">
        <x:f>IF(ISNUMBER(U733),U733,"")</x:f>
        <x:v>0</x:v>
      </x:c>
      <x:c r="I733" s="10" t="n">
        <x:v>0</x:v>
      </x:c>
      <x:c r="J733" s="11" t="str">
        <x:f>IF(AND(Z733="共同",ISNUMBER(F733),ISNUMBER(M733)),F733-M733,"")</x:f>
      </x:c>
      <x:c r="K733" s="13" t="str">
        <x:f>IF(AND(ISNUMBER(J733),M733&lt;&gt;0),J733/M733,"")</x:f>
      </x:c>
      <x:c r="L733" s="10" t="str">
        <x:v>断货</x:v>
      </x:c>
      <x:c r="M733" s="11"/>
      <x:c r="N733" s="10" t="n">
        <x:f>IF(AND(Z733="共同",COUNT(H733:I733)=2),H733-I733,"")</x:f>
        <x:v>0</x:v>
      </x:c>
      <x:c r="O733" s="10" t="n">
        <x:v>0</x:v>
      </x:c>
      <x:c r="P733" s="10" t="n">
        <x:v>0</x:v>
      </x:c>
      <x:c r="Q733" s="10" t="n">
        <x:v>0</x:v>
      </x:c>
      <x:c r="R733" s="10" t="n">
        <x:v>0</x:v>
      </x:c>
      <x:c r="S733" s="10" t="n">
        <x:v>0</x:v>
      </x:c>
      <x:c r="T733" s="10" t="n">
        <x:v>0</x:v>
      </x:c>
      <x:c r="U733" s="10" t="n">
        <x:f>IF(AND(ISNUMBER(X733),X733&gt;=0,Y733&lt;&gt;1),X733,"")</x:f>
        <x:v>0</x:v>
      </x:c>
      <x:c r="V733" s="10" t="n">
        <x:v>0</x:v>
      </x:c>
      <x:c r="W733" s="10" t="n">
        <x:v>0</x:v>
      </x:c>
      <x:c r="X733" s="10" t="n">
        <x:v>0</x:v>
      </x:c>
      <x:c r="Y733" s="3" t="n">
        <x:v>0</x:v>
      </x:c>
      <x:c r="Z733" s="3" t="str">
        <x:v>共同</x:v>
      </x:c>
      <x:c r="AA733" s="3" t="str">
        <x:v>停售</x:v>
      </x:c>
      <x:c r="AB733" s="12" t="n">
        <x:f>IF(AND(Z733="共同",ISNUMBER(G733),ISNUMBER(AD733)),G733-AD733,"")</x:f>
        <x:v>0</x:v>
      </x:c>
      <x:c r="AC733" s="3" t="str"/>
      <x:c r="AD733" s="12" t="n">
        <x:v>0</x:v>
      </x:c>
      <x:c r="AE733" s="3" t="str">
        <x:v>[13306,"B07-RG-39.5"]</x:v>
      </x:c>
      <x:c r="AF733" t="n">
        <x:f>IF(ISNUMBER(H733),1,0)</x:f>
        <x:v>1</x:v>
      </x:c>
      <x:c r="AG733" t="n">
        <x:f>IF(ISNUMBER(I733),1,0)</x:f>
        <x:v>1</x:v>
      </x:c>
      <x:c r="AH733" t="str">
        <x:v>["B07","B07-RG","RG","玫瑰金PU"]</x:v>
      </x:c>
      <x:c r="AI733" t="n">
        <x:f>IF(ISNUMBER(G733),1,0)</x:f>
        <x:v>1</x:v>
      </x:c>
      <x:c r="AJ733" t="n">
        <x:f>IF(ISNUMBER(AD733),1,0)</x:f>
        <x:v>1</x:v>
      </x:c>
    </x:row>
    <x:row r="734" ht="30" customHeight="1">
      <x:c r="A734" s="3" t="str">
        <x:v>B07-RG-40-by</x:v>
      </x:c>
      <x:c r="B734" s="3" t="str">
        <x:v>4店-彬郁-US</x:v>
      </x:c>
      <x:c r="C734" s="3" t="str">
        <x:v>艾年</x:v>
      </x:c>
      <x:c r="D734" s="3" t="str">
        <x:v>B07</x:v>
      </x:c>
      <x:c r="E734" s="3" t="str">
        <x:f>IF(Z734="移出","已移出",IF(NOT(ISNUMBER(H734)),"数据待核",IF(H734=0,"断货",IF(NOT(ISNUMBER(G734)),"数据待核",IF(G734=0,"零日销待复核",IF(F734&lt;60,"补货提醒",IF(F734&lt;=90,"正常库存",IF(F734&lt;180,"促销",IF(F734&lt;=365,"红线促销","考虑清仓")))))))))</x:f>
        <x:v>断货</x:v>
      </x:c>
      <x:c r="F734" s="11" t="n">
        <x:f>IF(AND(ISNUMBER(H734),ISNUMBER(G734),G734&gt;0),H734/G734,"")</x:f>
        <x:v>0</x:v>
      </x:c>
      <x:c r="G734" s="12" t="n">
        <x:f>IF(AND(COUNT(P734:R734)=3,MIN(P734:R734)&gt;=0,P734&lt;=Q734,Q734&lt;=R734),P734/7*0.5+Q734/14*0.3+R734/30*0.2,"")</x:f>
        <x:v>0.006666666666666667</x:v>
      </x:c>
      <x:c r="H734" s="10" t="n">
        <x:f>IF(ISNUMBER(U734),U734,"")</x:f>
        <x:v>0</x:v>
      </x:c>
      <x:c r="I734" s="10" t="n">
        <x:v>0</x:v>
      </x:c>
      <x:c r="J734" s="11" t="n">
        <x:f>IF(AND(Z734="共同",ISNUMBER(F734),ISNUMBER(M734)),F734-M734,"")</x:f>
        <x:v>0</x:v>
      </x:c>
      <x:c r="K734" s="13" t="str">
        <x:f>IF(AND(ISNUMBER(J734),M734&lt;&gt;0),J734/M734,"")</x:f>
      </x:c>
      <x:c r="L734" s="10" t="str">
        <x:v>断货</x:v>
      </x:c>
      <x:c r="M734" s="11" t="n">
        <x:v>0</x:v>
      </x:c>
      <x:c r="N734" s="10" t="n">
        <x:f>IF(AND(Z734="共同",COUNT(H734:I734)=2),H734-I734,"")</x:f>
        <x:v>0</x:v>
      </x:c>
      <x:c r="O734" s="10" t="n">
        <x:v>0</x:v>
      </x:c>
      <x:c r="P734" s="10" t="n">
        <x:v>0</x:v>
      </x:c>
      <x:c r="Q734" s="10" t="n">
        <x:v>0</x:v>
      </x:c>
      <x:c r="R734" s="10" t="n">
        <x:v>1</x:v>
      </x:c>
      <x:c r="S734" s="10" t="n">
        <x:v>0</x:v>
      </x:c>
      <x:c r="T734" s="10" t="n">
        <x:v>0</x:v>
      </x:c>
      <x:c r="U734" s="10" t="n">
        <x:f>IF(AND(ISNUMBER(X734),X734&gt;=0,Y734&lt;&gt;1),X734,"")</x:f>
        <x:v>0</x:v>
      </x:c>
      <x:c r="V734" s="10" t="n">
        <x:v>0</x:v>
      </x:c>
      <x:c r="W734" s="10" t="n">
        <x:v>0</x:v>
      </x:c>
      <x:c r="X734" s="10" t="n">
        <x:v>0</x:v>
      </x:c>
      <x:c r="Y734" s="3" t="n">
        <x:v>0</x:v>
      </x:c>
      <x:c r="Z734" s="3" t="str">
        <x:v>共同</x:v>
      </x:c>
      <x:c r="AA734" s="3" t="str">
        <x:v>停售</x:v>
      </x:c>
      <x:c r="AB734" s="12" t="n">
        <x:f>IF(AND(Z734="共同",ISNUMBER(G734),ISNUMBER(AD734)),G734-AD734,"")</x:f>
        <x:v>-0.02142857142857143</x:v>
      </x:c>
      <x:c r="AC734" s="3" t="str"/>
      <x:c r="AD734" s="12" t="n">
        <x:v>0.028095238095238097</x:v>
      </x:c>
      <x:c r="AE734" s="3" t="str">
        <x:v>[13306,"B07-RG-40-by"]</x:v>
      </x:c>
      <x:c r="AF734" t="n">
        <x:f>IF(ISNUMBER(H734),1,0)</x:f>
        <x:v>1</x:v>
      </x:c>
      <x:c r="AG734" t="n">
        <x:f>IF(ISNUMBER(I734),1,0)</x:f>
        <x:v>1</x:v>
      </x:c>
      <x:c r="AH734" t="str">
        <x:v>["B07","B07-RG","RG","玫瑰金PU"]</x:v>
      </x:c>
      <x:c r="AI734" t="n">
        <x:f>IF(ISNUMBER(G734),1,0)</x:f>
        <x:v>1</x:v>
      </x:c>
      <x:c r="AJ734" t="n">
        <x:f>IF(ISNUMBER(AD734),1,0)</x:f>
        <x:v>1</x:v>
      </x:c>
    </x:row>
    <x:row r="735" ht="30" customHeight="1">
      <x:c r="A735" s="3" t="str">
        <x:v>B07-SK-38-by</x:v>
      </x:c>
      <x:c r="B735" s="3" t="str">
        <x:v>4店-彬郁-US</x:v>
      </x:c>
      <x:c r="C735" s="3" t="str">
        <x:v>艾年</x:v>
      </x:c>
      <x:c r="D735" s="3" t="str">
        <x:v>B07</x:v>
      </x:c>
      <x:c r="E735" s="3" t="str">
        <x:f>IF(Z735="移出","已移出",IF(NOT(ISNUMBER(H735)),"数据待核",IF(H735=0,"断货",IF(NOT(ISNUMBER(G735)),"数据待核",IF(G735=0,"零日销待复核",IF(F735&lt;60,"补货提醒",IF(F735&lt;=90,"正常库存",IF(F735&lt;180,"促销",IF(F735&lt;=365,"红线促销","考虑清仓")))))))))</x:f>
        <x:v>断货</x:v>
      </x:c>
      <x:c r="F735" s="11" t="str">
        <x:f>IF(AND(ISNUMBER(H735),ISNUMBER(G735),G735&gt;0),H735/G735,"")</x:f>
      </x:c>
      <x:c r="G735" s="12" t="n">
        <x:f>IF(AND(COUNT(P735:R735)=3,MIN(P735:R735)&gt;=0,P735&lt;=Q735,Q735&lt;=R735),P735/7*0.5+Q735/14*0.3+R735/30*0.2,"")</x:f>
        <x:v>0</x:v>
      </x:c>
      <x:c r="H735" s="10" t="n">
        <x:f>IF(ISNUMBER(U735),U735,"")</x:f>
        <x:v>0</x:v>
      </x:c>
      <x:c r="I735" s="10" t="n">
        <x:v>0</x:v>
      </x:c>
      <x:c r="J735" s="11" t="str">
        <x:f>IF(AND(Z735="共同",ISNUMBER(F735),ISNUMBER(M735)),F735-M735,"")</x:f>
      </x:c>
      <x:c r="K735" s="13" t="str">
        <x:f>IF(AND(ISNUMBER(J735),M735&lt;&gt;0),J735/M735,"")</x:f>
      </x:c>
      <x:c r="L735" s="10" t="str">
        <x:v>断货</x:v>
      </x:c>
      <x:c r="M735" s="11"/>
      <x:c r="N735" s="10" t="n">
        <x:f>IF(AND(Z735="共同",COUNT(H735:I735)=2),H735-I735,"")</x:f>
        <x:v>0</x:v>
      </x:c>
      <x:c r="O735" s="10" t="n">
        <x:v>0</x:v>
      </x:c>
      <x:c r="P735" s="10" t="n">
        <x:v>0</x:v>
      </x:c>
      <x:c r="Q735" s="10" t="n">
        <x:v>0</x:v>
      </x:c>
      <x:c r="R735" s="10" t="n">
        <x:v>0</x:v>
      </x:c>
      <x:c r="S735" s="10" t="n">
        <x:v>0</x:v>
      </x:c>
      <x:c r="T735" s="10" t="n">
        <x:v>0</x:v>
      </x:c>
      <x:c r="U735" s="10" t="n">
        <x:f>IF(AND(ISNUMBER(X735),X735&gt;=0,Y735&lt;&gt;1),X735,"")</x:f>
        <x:v>0</x:v>
      </x:c>
      <x:c r="V735" s="10" t="n">
        <x:v>0</x:v>
      </x:c>
      <x:c r="W735" s="10" t="n">
        <x:v>7</x:v>
      </x:c>
      <x:c r="X735" s="10" t="n">
        <x:v>0</x:v>
      </x:c>
      <x:c r="Y735" s="3" t="n">
        <x:v>0</x:v>
      </x:c>
      <x:c r="Z735" s="3" t="str">
        <x:v>共同</x:v>
      </x:c>
      <x:c r="AA735" s="3" t="str">
        <x:v>在售</x:v>
      </x:c>
      <x:c r="AB735" s="12" t="str">
        <x:f>IF(AND(Z735="共同",ISNUMBER(G735),ISNUMBER(AD735)),G735-AD735,"")</x:f>
      </x:c>
      <x:c r="AC735" s="3" t="str">
        <x:v>近90天SKU销量未匹配，未按0处理</x:v>
      </x:c>
      <x:c r="AD735" s="12"/>
      <x:c r="AE735" s="3" t="str">
        <x:v>[13306,"B07-SK-38-by"]</x:v>
      </x:c>
      <x:c r="AF735" t="n">
        <x:f>IF(ISNUMBER(H735),1,0)</x:f>
        <x:v>1</x:v>
      </x:c>
      <x:c r="AG735" t="n">
        <x:f>IF(ISNUMBER(I735),1,0)</x:f>
        <x:v>1</x:v>
      </x:c>
      <x:c r="AH735" t="str">
        <x:v>["B07","B07-SK","SK","黑白蛇纹PU"]</x:v>
      </x:c>
      <x:c r="AI735" t="n">
        <x:f>IF(ISNUMBER(G735),1,0)</x:f>
        <x:v>1</x:v>
      </x:c>
      <x:c r="AJ735" t="n">
        <x:f>IF(ISNUMBER(AD735),1,0)</x:f>
        <x:v>0</x:v>
      </x:c>
    </x:row>
    <x:row r="736" ht="30" customHeight="1">
      <x:c r="A736" s="3" t="str">
        <x:v>B07-SK-41-New</x:v>
      </x:c>
      <x:c r="B736" s="3" t="str">
        <x:v>4店-彬郁-US</x:v>
      </x:c>
      <x:c r="C736" s="3" t="str">
        <x:v>艾年</x:v>
      </x:c>
      <x:c r="D736" s="3" t="str">
        <x:v>B07</x:v>
      </x:c>
      <x:c r="E736" s="3" t="str">
        <x:f>IF(Z736="移出","已移出",IF(NOT(ISNUMBER(H736)),"数据待核",IF(H736=0,"断货",IF(NOT(ISNUMBER(G736)),"数据待核",IF(G736=0,"零日销待复核",IF(F736&lt;60,"补货提醒",IF(F736&lt;=90,"正常库存",IF(F736&lt;180,"促销",IF(F736&lt;=365,"红线促销","考虑清仓")))))))))</x:f>
        <x:v>断货</x:v>
      </x:c>
      <x:c r="F736" s="11" t="str">
        <x:f>IF(AND(ISNUMBER(H736),ISNUMBER(G736),G736&gt;0),H736/G736,"")</x:f>
      </x:c>
      <x:c r="G736" s="12" t="n">
        <x:f>IF(AND(COUNT(P736:R736)=3,MIN(P736:R736)&gt;=0,P736&lt;=Q736,Q736&lt;=R736),P736/7*0.5+Q736/14*0.3+R736/30*0.2,"")</x:f>
        <x:v>0</x:v>
      </x:c>
      <x:c r="H736" s="10" t="n">
        <x:f>IF(ISNUMBER(U736),U736,"")</x:f>
        <x:v>0</x:v>
      </x:c>
      <x:c r="I736" s="10" t="n">
        <x:v>0</x:v>
      </x:c>
      <x:c r="J736" s="11" t="str">
        <x:f>IF(AND(Z736="共同",ISNUMBER(F736),ISNUMBER(M736)),F736-M736,"")</x:f>
      </x:c>
      <x:c r="K736" s="13" t="str">
        <x:f>IF(AND(ISNUMBER(J736),M736&lt;&gt;0),J736/M736,"")</x:f>
      </x:c>
      <x:c r="L736" s="10" t="str">
        <x:v>断货</x:v>
      </x:c>
      <x:c r="M736" s="11"/>
      <x:c r="N736" s="10" t="n">
        <x:f>IF(AND(Z736="共同",COUNT(H736:I736)=2),H736-I736,"")</x:f>
        <x:v>0</x:v>
      </x:c>
      <x:c r="O736" s="10" t="n">
        <x:v>0</x:v>
      </x:c>
      <x:c r="P736" s="10" t="n">
        <x:v>0</x:v>
      </x:c>
      <x:c r="Q736" s="10" t="n">
        <x:v>0</x:v>
      </x:c>
      <x:c r="R736" s="10" t="n">
        <x:v>0</x:v>
      </x:c>
      <x:c r="S736" s="10" t="n">
        <x:v>0</x:v>
      </x:c>
      <x:c r="T736" s="10" t="n">
        <x:v>0</x:v>
      </x:c>
      <x:c r="U736" s="10" t="n">
        <x:f>IF(AND(ISNUMBER(X736),X736&gt;=0,Y736&lt;&gt;1),X736,"")</x:f>
        <x:v>0</x:v>
      </x:c>
      <x:c r="V736" s="10" t="n">
        <x:v>0</x:v>
      </x:c>
      <x:c r="W736" s="10" t="n">
        <x:v>10</x:v>
      </x:c>
      <x:c r="X736" s="10" t="n">
        <x:v>0</x:v>
      </x:c>
      <x:c r="Y736" s="3" t="n">
        <x:v>0</x:v>
      </x:c>
      <x:c r="Z736" s="3" t="str">
        <x:v>共同</x:v>
      </x:c>
      <x:c r="AA736" s="3" t="str">
        <x:v>在售</x:v>
      </x:c>
      <x:c r="AB736" s="12" t="str">
        <x:f>IF(AND(Z736="共同",ISNUMBER(G736),ISNUMBER(AD736)),G736-AD736,"")</x:f>
      </x:c>
      <x:c r="AC736" s="3" t="str">
        <x:v>近90天SKU销量未匹配，未按0处理</x:v>
      </x:c>
      <x:c r="AD736" s="12"/>
      <x:c r="AE736" s="3" t="str">
        <x:v>[13306,"B07-SK-41-New"]</x:v>
      </x:c>
      <x:c r="AF736" t="n">
        <x:f>IF(ISNUMBER(H736),1,0)</x:f>
        <x:v>1</x:v>
      </x:c>
      <x:c r="AG736" t="n">
        <x:f>IF(ISNUMBER(I736),1,0)</x:f>
        <x:v>1</x:v>
      </x:c>
      <x:c r="AH736" t="str">
        <x:v>["B07","B07-SK","SK","黑白蛇纹PU"]</x:v>
      </x:c>
      <x:c r="AI736" t="n">
        <x:f>IF(ISNUMBER(G736),1,0)</x:f>
        <x:v>1</x:v>
      </x:c>
      <x:c r="AJ736" t="n">
        <x:f>IF(ISNUMBER(AD736),1,0)</x:f>
        <x:v>0</x:v>
      </x:c>
    </x:row>
    <x:row r="737" ht="30" customHeight="1">
      <x:c r="A737" s="3" t="str">
        <x:v>B07-TNP-40-by</x:v>
      </x:c>
      <x:c r="B737" s="3" t="str">
        <x:v>4店-彬郁-US</x:v>
      </x:c>
      <x:c r="C737" s="3" t="str">
        <x:v>艾年</x:v>
      </x:c>
      <x:c r="D737" s="3" t="str">
        <x:v>B07</x:v>
      </x:c>
      <x:c r="E737" s="3" t="str">
        <x:f>IF(Z737="移出","已移出",IF(NOT(ISNUMBER(H737)),"数据待核",IF(H737=0,"断货",IF(NOT(ISNUMBER(G737)),"数据待核",IF(G737=0,"零日销待复核",IF(F737&lt;60,"补货提醒",IF(F737&lt;=90,"正常库存",IF(F737&lt;180,"促销",IF(F737&lt;=365,"红线促销","考虑清仓")))))))))</x:f>
        <x:v>断货</x:v>
      </x:c>
      <x:c r="F737" s="11" t="n">
        <x:f>IF(AND(ISNUMBER(H737),ISNUMBER(G737),G737&gt;0),H737/G737,"")</x:f>
        <x:v>0</x:v>
      </x:c>
      <x:c r="G737" s="12" t="n">
        <x:f>IF(AND(COUNT(P737:R737)=3,MIN(P737:R737)&gt;=0,P737&lt;=Q737,Q737&lt;=R737),P737/7*0.5+Q737/14*0.3+R737/30*0.2,"")</x:f>
        <x:v>0.03476190476190476</x:v>
      </x:c>
      <x:c r="H737" s="10" t="n">
        <x:f>IF(ISNUMBER(U737),U737,"")</x:f>
        <x:v>0</x:v>
      </x:c>
      <x:c r="I737" s="10" t="n">
        <x:v>0</x:v>
      </x:c>
      <x:c r="J737" s="11" t="n">
        <x:f>IF(AND(Z737="共同",ISNUMBER(F737),ISNUMBER(M737)),F737-M737,"")</x:f>
        <x:v>0</x:v>
      </x:c>
      <x:c r="K737" s="13" t="str">
        <x:f>IF(AND(ISNUMBER(J737),M737&lt;&gt;0),J737/M737,"")</x:f>
      </x:c>
      <x:c r="L737" s="10" t="str">
        <x:v>断货</x:v>
      </x:c>
      <x:c r="M737" s="11" t="n">
        <x:v>0</x:v>
      </x:c>
      <x:c r="N737" s="10" t="n">
        <x:f>IF(AND(Z737="共同",COUNT(H737:I737)=2),H737-I737,"")</x:f>
        <x:v>0</x:v>
      </x:c>
      <x:c r="O737" s="10" t="n">
        <x:v>0</x:v>
      </x:c>
      <x:c r="P737" s="10" t="n">
        <x:v>0</x:v>
      </x:c>
      <x:c r="Q737" s="10" t="n">
        <x:v>1</x:v>
      </x:c>
      <x:c r="R737" s="10" t="n">
        <x:v>2</x:v>
      </x:c>
      <x:c r="S737" s="10" t="n">
        <x:v>0</x:v>
      </x:c>
      <x:c r="T737" s="10" t="n">
        <x:v>0</x:v>
      </x:c>
      <x:c r="U737" s="10" t="n">
        <x:f>IF(AND(ISNUMBER(X737),X737&gt;=0,Y737&lt;&gt;1),X737,"")</x:f>
        <x:v>0</x:v>
      </x:c>
      <x:c r="V737" s="10" t="n">
        <x:v>0</x:v>
      </x:c>
      <x:c r="W737" s="10" t="n">
        <x:v>0</x:v>
      </x:c>
      <x:c r="X737" s="10" t="n">
        <x:v>0</x:v>
      </x:c>
      <x:c r="Y737" s="3" t="n">
        <x:v>0</x:v>
      </x:c>
      <x:c r="Z737" s="3" t="str">
        <x:v>共同</x:v>
      </x:c>
      <x:c r="AA737" s="3" t="str">
        <x:v>停售</x:v>
      </x:c>
      <x:c r="AB737" s="12" t="n">
        <x:f>IF(AND(Z737="共同",ISNUMBER(G737),ISNUMBER(AD737)),G737-AD737,"")</x:f>
        <x:v>-0.09285714285714285</x:v>
      </x:c>
      <x:c r="AC737" s="3" t="str"/>
      <x:c r="AD737" s="12" t="n">
        <x:v>0.1276190476190476</x:v>
      </x:c>
      <x:c r="AE737" s="3" t="str">
        <x:v>[13306,"B07-TNP-40-by"]</x:v>
      </x:c>
      <x:c r="AF737" t="n">
        <x:f>IF(ISNUMBER(H737),1,0)</x:f>
        <x:v>1</x:v>
      </x:c>
      <x:c r="AG737" t="n">
        <x:f>IF(ISNUMBER(I737),1,0)</x:f>
        <x:v>1</x:v>
      </x:c>
      <x:c r="AH737" t="str">
        <x:v>["B07","B07-TNP","TNP","驼色PU"]</x:v>
      </x:c>
      <x:c r="AI737" t="n">
        <x:f>IF(ISNUMBER(G737),1,0)</x:f>
        <x:v>1</x:v>
      </x:c>
      <x:c r="AJ737" t="n">
        <x:f>IF(ISNUMBER(AD737),1,0)</x:f>
        <x:v>1</x:v>
      </x:c>
    </x:row>
    <x:row r="738" ht="30" customHeight="1">
      <x:c r="A738" s="3" t="str">
        <x:v>B07-WT-37.5</x:v>
      </x:c>
      <x:c r="B738" s="3" t="str">
        <x:v>4店-彬郁-US</x:v>
      </x:c>
      <x:c r="C738" s="3" t="str">
        <x:v>艾年</x:v>
      </x:c>
      <x:c r="D738" s="3" t="str">
        <x:v>B07</x:v>
      </x:c>
      <x:c r="E738" s="3" t="str">
        <x:f>IF(Z738="移出","已移出",IF(NOT(ISNUMBER(H738)),"数据待核",IF(H738=0,"断货",IF(NOT(ISNUMBER(G738)),"数据待核",IF(G738=0,"零日销待复核",IF(F738&lt;60,"补货提醒",IF(F738&lt;=90,"正常库存",IF(F738&lt;180,"促销",IF(F738&lt;=365,"红线促销","考虑清仓")))))))))</x:f>
        <x:v>断货</x:v>
      </x:c>
      <x:c r="F738" s="11" t="n">
        <x:f>IF(AND(ISNUMBER(H738),ISNUMBER(G738),G738&gt;0),H738/G738,"")</x:f>
        <x:v>0</x:v>
      </x:c>
      <x:c r="G738" s="12" t="n">
        <x:f>IF(AND(COUNT(P738:R738)=3,MIN(P738:R738)&gt;=0,P738&lt;=Q738,Q738&lt;=R738),P738/7*0.5+Q738/14*0.3+R738/30*0.2,"")</x:f>
        <x:v>0.03476190476190476</x:v>
      </x:c>
      <x:c r="H738" s="10" t="n">
        <x:f>IF(ISNUMBER(U738),U738,"")</x:f>
        <x:v>0</x:v>
      </x:c>
      <x:c r="I738" s="10" t="n">
        <x:v>1</x:v>
      </x:c>
      <x:c r="J738" s="11" t="n">
        <x:f>IF(AND(Z738="共同",ISNUMBER(F738),ISNUMBER(M738)),F738-M738,"")</x:f>
        <x:v>-35.59322033898305</x:v>
      </x:c>
      <x:c r="K738" s="13" t="n">
        <x:f>IF(AND(ISNUMBER(J738),M738&lt;&gt;0),J738/M738,"")</x:f>
        <x:v>-1</x:v>
      </x:c>
      <x:c r="L738" s="10" t="str">
        <x:v>补货提醒</x:v>
      </x:c>
      <x:c r="M738" s="11" t="n">
        <x:v>35.59322033898305</x:v>
      </x:c>
      <x:c r="N738" s="10" t="n">
        <x:f>IF(AND(Z738="共同",COUNT(H738:I738)=2),H738-I738,"")</x:f>
        <x:v>-1</x:v>
      </x:c>
      <x:c r="O738" s="10" t="n">
        <x:v>0</x:v>
      </x:c>
      <x:c r="P738" s="10" t="n">
        <x:v>0</x:v>
      </x:c>
      <x:c r="Q738" s="10" t="n">
        <x:v>1</x:v>
      </x:c>
      <x:c r="R738" s="10" t="n">
        <x:v>2</x:v>
      </x:c>
      <x:c r="S738" s="10" t="n">
        <x:v>0</x:v>
      </x:c>
      <x:c r="T738" s="10" t="n">
        <x:v>0</x:v>
      </x:c>
      <x:c r="U738" s="10" t="n">
        <x:f>IF(AND(ISNUMBER(X738),X738&gt;=0,Y738&lt;&gt;1),X738,"")</x:f>
        <x:v>0</x:v>
      </x:c>
      <x:c r="V738" s="10" t="n">
        <x:v>0</x:v>
      </x:c>
      <x:c r="W738" s="10" t="n">
        <x:v>0</x:v>
      </x:c>
      <x:c r="X738" s="10" t="n">
        <x:v>0</x:v>
      </x:c>
      <x:c r="Y738" s="3" t="n">
        <x:v>0</x:v>
      </x:c>
      <x:c r="Z738" s="3" t="str">
        <x:v>共同</x:v>
      </x:c>
      <x:c r="AA738" s="3" t="str">
        <x:v>停售</x:v>
      </x:c>
      <x:c r="AB738" s="12" t="n">
        <x:f>IF(AND(Z738="共同",ISNUMBER(G738),ISNUMBER(AD738)),G738-AD738,"")</x:f>
        <x:v>0.006666666666666661</x:v>
      </x:c>
      <x:c r="AC738" s="3" t="str"/>
      <x:c r="AD738" s="12" t="n">
        <x:v>0.028095238095238097</x:v>
      </x:c>
      <x:c r="AE738" s="3" t="str">
        <x:v>[13306,"B07-WT-37.5"]</x:v>
      </x:c>
      <x:c r="AF738" t="n">
        <x:f>IF(ISNUMBER(H738),1,0)</x:f>
        <x:v>1</x:v>
      </x:c>
      <x:c r="AG738" t="n">
        <x:f>IF(ISNUMBER(I738),1,0)</x:f>
        <x:v>1</x:v>
      </x:c>
      <x:c r="AH738" t="str">
        <x:v>["B07","B07-WT","WT","白色PU"]</x:v>
      </x:c>
      <x:c r="AI738" t="n">
        <x:f>IF(ISNUMBER(G738),1,0)</x:f>
        <x:v>1</x:v>
      </x:c>
      <x:c r="AJ738" t="n">
        <x:f>IF(ISNUMBER(AD738),1,0)</x:f>
        <x:v>1</x:v>
      </x:c>
    </x:row>
    <x:row r="739" ht="30" customHeight="1">
      <x:c r="A739" s="3" t="str">
        <x:v>B07-WT-41-by</x:v>
      </x:c>
      <x:c r="B739" s="3" t="str">
        <x:v>4店-彬郁-US</x:v>
      </x:c>
      <x:c r="C739" s="3" t="str">
        <x:v>艾年</x:v>
      </x:c>
      <x:c r="D739" s="3" t="str">
        <x:v>B07</x:v>
      </x:c>
      <x:c r="E739" s="3" t="str">
        <x:f>IF(Z739="移出","已移出",IF(NOT(ISNUMBER(H739)),"数据待核",IF(H739=0,"断货",IF(NOT(ISNUMBER(G739)),"数据待核",IF(G739=0,"零日销待复核",IF(F739&lt;60,"补货提醒",IF(F739&lt;=90,"正常库存",IF(F739&lt;180,"促销",IF(F739&lt;=365,"红线促销","考虑清仓")))))))))</x:f>
        <x:v>断货</x:v>
      </x:c>
      <x:c r="F739" s="11" t="str">
        <x:f>IF(AND(ISNUMBER(H739),ISNUMBER(G739),G739&gt;0),H739/G739,"")</x:f>
      </x:c>
      <x:c r="G739" s="12" t="n">
        <x:f>IF(AND(COUNT(P739:R739)=3,MIN(P739:R739)&gt;=0,P739&lt;=Q739,Q739&lt;=R739),P739/7*0.5+Q739/14*0.3+R739/30*0.2,"")</x:f>
        <x:v>0</x:v>
      </x:c>
      <x:c r="H739" s="10" t="n">
        <x:f>IF(ISNUMBER(U739),U739,"")</x:f>
        <x:v>0</x:v>
      </x:c>
      <x:c r="I739" s="10" t="n">
        <x:v>0</x:v>
      </x:c>
      <x:c r="J739" s="11" t="str">
        <x:f>IF(AND(Z739="共同",ISNUMBER(F739),ISNUMBER(M739)),F739-M739,"")</x:f>
      </x:c>
      <x:c r="K739" s="13" t="str">
        <x:f>IF(AND(ISNUMBER(J739),M739&lt;&gt;0),J739/M739,"")</x:f>
      </x:c>
      <x:c r="L739" s="10" t="str">
        <x:v>断货</x:v>
      </x:c>
      <x:c r="M739" s="11"/>
      <x:c r="N739" s="10" t="n">
        <x:f>IF(AND(Z739="共同",COUNT(H739:I739)=2),H739-I739,"")</x:f>
        <x:v>0</x:v>
      </x:c>
      <x:c r="O739" s="10" t="n">
        <x:v>0</x:v>
      </x:c>
      <x:c r="P739" s="10" t="n">
        <x:v>0</x:v>
      </x:c>
      <x:c r="Q739" s="10" t="n">
        <x:v>0</x:v>
      </x:c>
      <x:c r="R739" s="10" t="n">
        <x:v>0</x:v>
      </x:c>
      <x:c r="S739" s="10" t="n">
        <x:v>0</x:v>
      </x:c>
      <x:c r="T739" s="10" t="n">
        <x:v>0</x:v>
      </x:c>
      <x:c r="U739" s="10" t="n">
        <x:f>IF(AND(ISNUMBER(X739),X739&gt;=0,Y739&lt;&gt;1),X739,"")</x:f>
        <x:v>0</x:v>
      </x:c>
      <x:c r="V739" s="10" t="n">
        <x:v>0</x:v>
      </x:c>
      <x:c r="W739" s="10" t="n">
        <x:v>0</x:v>
      </x:c>
      <x:c r="X739" s="10" t="n">
        <x:v>0</x:v>
      </x:c>
      <x:c r="Y739" s="3" t="n">
        <x:v>0</x:v>
      </x:c>
      <x:c r="Z739" s="3" t="str">
        <x:v>共同</x:v>
      </x:c>
      <x:c r="AA739" s="3" t="str">
        <x:v>停售</x:v>
      </x:c>
      <x:c r="AB739" s="12" t="n">
        <x:f>IF(AND(Z739="共同",ISNUMBER(G739),ISNUMBER(AD739)),G739-AD739,"")</x:f>
        <x:v>0</x:v>
      </x:c>
      <x:c r="AC739" s="3" t="str"/>
      <x:c r="AD739" s="12" t="n">
        <x:v>0</x:v>
      </x:c>
      <x:c r="AE739" s="3" t="str">
        <x:v>[13306,"B07-WT-41-by"]</x:v>
      </x:c>
      <x:c r="AF739" t="n">
        <x:f>IF(ISNUMBER(H739),1,0)</x:f>
        <x:v>1</x:v>
      </x:c>
      <x:c r="AG739" t="n">
        <x:f>IF(ISNUMBER(I739),1,0)</x:f>
        <x:v>1</x:v>
      </x:c>
      <x:c r="AH739" t="str">
        <x:v>["B07","B07-WT","WT","白色PU"]</x:v>
      </x:c>
      <x:c r="AI739" t="n">
        <x:f>IF(ISNUMBER(G739),1,0)</x:f>
        <x:v>1</x:v>
      </x:c>
      <x:c r="AJ739" t="n">
        <x:f>IF(ISNUMBER(AD739),1,0)</x:f>
        <x:v>1</x:v>
      </x:c>
    </x:row>
    <x:row r="740" ht="30" customHeight="1">
      <x:c r="A740" s="3" t="str">
        <x:v>B07-WT-41.5</x:v>
      </x:c>
      <x:c r="B740" s="3" t="str">
        <x:v>4店-彬郁-US</x:v>
      </x:c>
      <x:c r="C740" s="3" t="str">
        <x:v>艾年</x:v>
      </x:c>
      <x:c r="D740" s="3" t="str">
        <x:v>B07</x:v>
      </x:c>
      <x:c r="E740" s="3" t="str">
        <x:f>IF(Z740="移出","已移出",IF(NOT(ISNUMBER(H740)),"数据待核",IF(H740=0,"断货",IF(NOT(ISNUMBER(G740)),"数据待核",IF(G740=0,"零日销待复核",IF(F740&lt;60,"补货提醒",IF(F740&lt;=90,"正常库存",IF(F740&lt;180,"促销",IF(F740&lt;=365,"红线促销","考虑清仓")))))))))</x:f>
        <x:v>断货</x:v>
      </x:c>
      <x:c r="F740" s="11" t="str">
        <x:f>IF(AND(ISNUMBER(H740),ISNUMBER(G740),G740&gt;0),H740/G740,"")</x:f>
      </x:c>
      <x:c r="G740" s="12" t="n">
        <x:f>IF(AND(COUNT(P740:R740)=3,MIN(P740:R740)&gt;=0,P740&lt;=Q740,Q740&lt;=R740),P740/7*0.5+Q740/14*0.3+R740/30*0.2,"")</x:f>
        <x:v>0</x:v>
      </x:c>
      <x:c r="H740" s="10" t="n">
        <x:f>IF(ISNUMBER(U740),U740,"")</x:f>
        <x:v>0</x:v>
      </x:c>
      <x:c r="I740" s="10" t="n">
        <x:v>0</x:v>
      </x:c>
      <x:c r="J740" s="11" t="str">
        <x:f>IF(AND(Z740="共同",ISNUMBER(F740),ISNUMBER(M740)),F740-M740,"")</x:f>
      </x:c>
      <x:c r="K740" s="13" t="str">
        <x:f>IF(AND(ISNUMBER(J740),M740&lt;&gt;0),J740/M740,"")</x:f>
      </x:c>
      <x:c r="L740" s="10" t="str">
        <x:v>断货</x:v>
      </x:c>
      <x:c r="M740" s="11"/>
      <x:c r="N740" s="10" t="n">
        <x:f>IF(AND(Z740="共同",COUNT(H740:I740)=2),H740-I740,"")</x:f>
        <x:v>0</x:v>
      </x:c>
      <x:c r="O740" s="10" t="n">
        <x:v>31</x:v>
      </x:c>
      <x:c r="P740" s="10" t="n">
        <x:v>0</x:v>
      </x:c>
      <x:c r="Q740" s="10" t="n">
        <x:v>0</x:v>
      </x:c>
      <x:c r="R740" s="10" t="n">
        <x:v>0</x:v>
      </x:c>
      <x:c r="S740" s="10" t="n">
        <x:v>0</x:v>
      </x:c>
      <x:c r="T740" s="10" t="n">
        <x:v>0</x:v>
      </x:c>
      <x:c r="U740" s="10" t="n">
        <x:f>IF(AND(ISNUMBER(X740),X740&gt;=0,Y740&lt;&gt;1),X740,"")</x:f>
        <x:v>0</x:v>
      </x:c>
      <x:c r="V740" s="10" t="n">
        <x:v>0</x:v>
      </x:c>
      <x:c r="W740" s="10" t="n">
        <x:v>20</x:v>
      </x:c>
      <x:c r="X740" s="10" t="n">
        <x:v>0</x:v>
      </x:c>
      <x:c r="Y740" s="3" t="n">
        <x:v>0</x:v>
      </x:c>
      <x:c r="Z740" s="3" t="str">
        <x:v>共同</x:v>
      </x:c>
      <x:c r="AA740" s="3" t="str">
        <x:v>在售</x:v>
      </x:c>
      <x:c r="AB740" s="12" t="str">
        <x:f>IF(AND(Z740="共同",ISNUMBER(G740),ISNUMBER(AD740)),G740-AD740,"")</x:f>
      </x:c>
      <x:c r="AC740" s="3" t="str">
        <x:v>近90天SKU销量未匹配，未按0处理</x:v>
      </x:c>
      <x:c r="AD740" s="12"/>
      <x:c r="AE740" s="3" t="str">
        <x:v>[13306,"B07-WT-41.5"]</x:v>
      </x:c>
      <x:c r="AF740" t="n">
        <x:f>IF(ISNUMBER(H740),1,0)</x:f>
        <x:v>1</x:v>
      </x:c>
      <x:c r="AG740" t="n">
        <x:f>IF(ISNUMBER(I740),1,0)</x:f>
        <x:v>1</x:v>
      </x:c>
      <x:c r="AH740" t="str">
        <x:v>["B07","B07-WT","WT","白色PU"]</x:v>
      </x:c>
      <x:c r="AI740" t="n">
        <x:f>IF(ISNUMBER(G740),1,0)</x:f>
        <x:v>1</x:v>
      </x:c>
      <x:c r="AJ740" t="n">
        <x:f>IF(ISNUMBER(AD740),1,0)</x:f>
        <x:v>0</x:v>
      </x:c>
    </x:row>
    <x:row r="741" ht="30" customHeight="1">
      <x:c r="A741" s="3" t="str">
        <x:v>S02-BG-37</x:v>
      </x:c>
      <x:c r="B741" s="3" t="str">
        <x:v>3店-SANDIEX-US</x:v>
      </x:c>
      <x:c r="C741" s="3" t="str">
        <x:v>陈晨</x:v>
      </x:c>
      <x:c r="D741" s="3" t="str">
        <x:v>S02</x:v>
      </x:c>
      <x:c r="E741" s="3" t="str">
        <x:f>IF(Z741="移出","已移出",IF(NOT(ISNUMBER(H741)),"数据待核",IF(H741=0,"断货",IF(NOT(ISNUMBER(G741)),"数据待核",IF(G741=0,"零日销待复核",IF(F741&lt;60,"补货提醒",IF(F741&lt;=90,"正常库存",IF(F741&lt;180,"促销",IF(F741&lt;=365,"红线促销","考虑清仓")))))))))</x:f>
        <x:v>断货</x:v>
      </x:c>
      <x:c r="F741" s="11" t="n">
        <x:f>IF(AND(ISNUMBER(H741),ISNUMBER(G741),G741&gt;0),H741/G741,"")</x:f>
        <x:v>0</x:v>
      </x:c>
      <x:c r="G741" s="12" t="n">
        <x:f>IF(AND(COUNT(P741:R741)=3,MIN(P741:R741)&gt;=0,P741&lt;=Q741,Q741&lt;=R741),P741/7*0.5+Q741/14*0.3+R741/30*0.2,"")</x:f>
        <x:v>0.08142857142857142</x:v>
      </x:c>
      <x:c r="H741" s="10" t="n">
        <x:f>IF(ISNUMBER(U741),U741,"")</x:f>
        <x:v>0</x:v>
      </x:c>
      <x:c r="I741" s="10" t="n">
        <x:v>0</x:v>
      </x:c>
      <x:c r="J741" s="11" t="n">
        <x:f>IF(AND(Z741="共同",ISNUMBER(F741),ISNUMBER(M741)),F741-M741,"")</x:f>
        <x:v>0</x:v>
      </x:c>
      <x:c r="K741" s="13" t="str">
        <x:f>IF(AND(ISNUMBER(J741),M741&lt;&gt;0),J741/M741,"")</x:f>
      </x:c>
      <x:c r="L741" s="10" t="str">
        <x:v>断货</x:v>
      </x:c>
      <x:c r="M741" s="11" t="n">
        <x:v>0</x:v>
      </x:c>
      <x:c r="N741" s="10" t="n">
        <x:f>IF(AND(Z741="共同",COUNT(H741:I741)=2),H741-I741,"")</x:f>
        <x:v>0</x:v>
      </x:c>
      <x:c r="O741" s="10" t="n">
        <x:v>71</x:v>
      </x:c>
      <x:c r="P741" s="10" t="n">
        <x:v>0</x:v>
      </x:c>
      <x:c r="Q741" s="10" t="n">
        <x:v>1</x:v>
      </x:c>
      <x:c r="R741" s="10" t="n">
        <x:v>9</x:v>
      </x:c>
      <x:c r="S741" s="10" t="n">
        <x:v>1</x:v>
      </x:c>
      <x:c r="T741" s="10" t="n">
        <x:v>1</x:v>
      </x:c>
      <x:c r="U741" s="10" t="n">
        <x:f>IF(AND(ISNUMBER(X741),X741&gt;=0,Y741&lt;&gt;1),X741,"")</x:f>
        <x:v>0</x:v>
      </x:c>
      <x:c r="V741" s="10" t="n">
        <x:v>0</x:v>
      </x:c>
      <x:c r="W741" s="10" t="n">
        <x:v>40</x:v>
      </x:c>
      <x:c r="X741" s="10" t="n">
        <x:v>0</x:v>
      </x:c>
      <x:c r="Y741" s="3" t="n">
        <x:v>0</x:v>
      </x:c>
      <x:c r="Z741" s="3" t="str">
        <x:v>共同</x:v>
      </x:c>
      <x:c r="AA741" s="3" t="str">
        <x:v>在售</x:v>
      </x:c>
      <x:c r="AB741" s="12" t="n">
        <x:f>IF(AND(Z741="共同",ISNUMBER(G741),ISNUMBER(AD741)),G741-AD741,"")</x:f>
        <x:v>-0.3495238095238095</x:v>
      </x:c>
      <x:c r="AC741" s="3" t="str"/>
      <x:c r="AD741" s="12" t="n">
        <x:v>0.4309523809523809</x:v>
      </x:c>
      <x:c r="AE741" s="3" t="str">
        <x:v>[6574,"S02-BG-37"]</x:v>
      </x:c>
      <x:c r="AF741" t="n">
        <x:f>IF(ISNUMBER(H741),1,0)</x:f>
        <x:v>1</x:v>
      </x:c>
      <x:c r="AG741" t="n">
        <x:f>IF(ISNUMBER(I741),1,0)</x:f>
        <x:v>1</x:v>
      </x:c>
      <x:c r="AH741" t="str">
        <x:v>["S02","S02-BG","BG","裸色"]</x:v>
      </x:c>
      <x:c r="AI741" t="n">
        <x:f>IF(ISNUMBER(G741),1,0)</x:f>
        <x:v>1</x:v>
      </x:c>
      <x:c r="AJ741" t="n">
        <x:f>IF(ISNUMBER(AD741),1,0)</x:f>
        <x:v>1</x:v>
      </x:c>
    </x:row>
    <x:row r="742" ht="30" customHeight="1">
      <x:c r="A742" s="3" t="str">
        <x:v>S02-BG-38</x:v>
      </x:c>
      <x:c r="B742" s="3" t="str">
        <x:v>3店-SANDIEX-US</x:v>
      </x:c>
      <x:c r="C742" s="3" t="str">
        <x:v>陈晨</x:v>
      </x:c>
      <x:c r="D742" s="3" t="str">
        <x:v>S02</x:v>
      </x:c>
      <x:c r="E742" s="3" t="str">
        <x:f>IF(Z742="移出","已移出",IF(NOT(ISNUMBER(H742)),"数据待核",IF(H742=0,"断货",IF(NOT(ISNUMBER(G742)),"数据待核",IF(G742=0,"零日销待复核",IF(F742&lt;60,"补货提醒",IF(F742&lt;=90,"正常库存",IF(F742&lt;180,"促销",IF(F742&lt;=365,"红线促销","考虑清仓")))))))))</x:f>
        <x:v>断货</x:v>
      </x:c>
      <x:c r="F742" s="11" t="n">
        <x:f>IF(AND(ISNUMBER(H742),ISNUMBER(G742),G742&gt;0),H742/G742,"")</x:f>
        <x:v>0</x:v>
      </x:c>
      <x:c r="G742" s="12" t="n">
        <x:f>IF(AND(COUNT(P742:R742)=3,MIN(P742:R742)&gt;=0,P742&lt;=Q742,Q742&lt;=R742),P742/7*0.5+Q742/14*0.3+R742/30*0.2,"")</x:f>
        <x:v>1.2885714285714287</x:v>
      </x:c>
      <x:c r="H742" s="10" t="n">
        <x:f>IF(ISNUMBER(U742),U742,"")</x:f>
        <x:v>0</x:v>
      </x:c>
      <x:c r="I742" s="10" t="n">
        <x:v>13</x:v>
      </x:c>
      <x:c r="J742" s="11" t="n">
        <x:f>IF(AND(Z742="共同",ISNUMBER(F742),ISNUMBER(M742)),F742-M742,"")</x:f>
        <x:v>-11.156518185533306</x:v>
      </x:c>
      <x:c r="K742" s="13" t="n">
        <x:f>IF(AND(ISNUMBER(J742),M742&lt;&gt;0),J742/M742,"")</x:f>
        <x:v>-1</x:v>
      </x:c>
      <x:c r="L742" s="10" t="str">
        <x:v>补货提醒</x:v>
      </x:c>
      <x:c r="M742" s="11" t="n">
        <x:v>11.156518185533306</x:v>
      </x:c>
      <x:c r="N742" s="10" t="n">
        <x:f>IF(AND(Z742="共同",COUNT(H742:I742)=2),H742-I742,"")</x:f>
        <x:v>-13</x:v>
      </x:c>
      <x:c r="O742" s="10" t="n">
        <x:v>519</x:v>
      </x:c>
      <x:c r="P742" s="10" t="n">
        <x:v>9</x:v>
      </x:c>
      <x:c r="Q742" s="10" t="n">
        <x:v>18</x:v>
      </x:c>
      <x:c r="R742" s="10" t="n">
        <x:v>39</x:v>
      </x:c>
      <x:c r="S742" s="10" t="n">
        <x:v>12</x:v>
      </x:c>
      <x:c r="T742" s="10" t="n">
        <x:v>1</x:v>
      </x:c>
      <x:c r="U742" s="10" t="n">
        <x:f>IF(AND(ISNUMBER(X742),X742&gt;=0,Y742&lt;&gt;1),X742,"")</x:f>
        <x:v>0</x:v>
      </x:c>
      <x:c r="V742" s="10" t="n">
        <x:v>0</x:v>
      </x:c>
      <x:c r="W742" s="10" t="n">
        <x:v>76</x:v>
      </x:c>
      <x:c r="X742" s="10" t="n">
        <x:v>0</x:v>
      </x:c>
      <x:c r="Y742" s="3" t="n">
        <x:v>0</x:v>
      </x:c>
      <x:c r="Z742" s="3" t="str">
        <x:v>共同</x:v>
      </x:c>
      <x:c r="AA742" s="3" t="str">
        <x:v>在售</x:v>
      </x:c>
      <x:c r="AB742" s="12" t="n">
        <x:f>IF(AND(Z742="共同",ISNUMBER(G742),ISNUMBER(AD742)),G742-AD742,"")</x:f>
        <x:v>0.12333333333333352</x:v>
      </x:c>
      <x:c r="AC742" s="3" t="str"/>
      <x:c r="AD742" s="12" t="n">
        <x:v>1.1652380952380952</x:v>
      </x:c>
      <x:c r="AE742" s="3" t="str">
        <x:v>[6574,"S02-BG-38"]</x:v>
      </x:c>
      <x:c r="AF742" t="n">
        <x:f>IF(ISNUMBER(H742),1,0)</x:f>
        <x:v>1</x:v>
      </x:c>
      <x:c r="AG742" t="n">
        <x:f>IF(ISNUMBER(I742),1,0)</x:f>
        <x:v>1</x:v>
      </x:c>
      <x:c r="AH742" t="str">
        <x:v>["S02","S02-BG","BG","裸色"]</x:v>
      </x:c>
      <x:c r="AI742" t="n">
        <x:f>IF(ISNUMBER(G742),1,0)</x:f>
        <x:v>1</x:v>
      </x:c>
      <x:c r="AJ742" t="n">
        <x:f>IF(ISNUMBER(AD742),1,0)</x:f>
        <x:v>1</x:v>
      </x:c>
    </x:row>
    <x:row r="743" ht="30" customHeight="1">
      <x:c r="A743" s="3" t="str">
        <x:v>S02-BG1-38</x:v>
      </x:c>
      <x:c r="B743" s="3" t="str">
        <x:v>3店-SANDIEX-US</x:v>
      </x:c>
      <x:c r="C743" s="3" t="str">
        <x:v>陈晨</x:v>
      </x:c>
      <x:c r="D743" s="3" t="str">
        <x:v>S02</x:v>
      </x:c>
      <x:c r="E743" s="3" t="str">
        <x:f>IF(Z743="移出","已移出",IF(NOT(ISNUMBER(H743)),"数据待核",IF(H743=0,"断货",IF(NOT(ISNUMBER(G743)),"数据待核",IF(G743=0,"零日销待复核",IF(F743&lt;60,"补货提醒",IF(F743&lt;=90,"正常库存",IF(F743&lt;180,"促销",IF(F743&lt;=365,"红线促销","考虑清仓")))))))))</x:f>
        <x:v>断货</x:v>
      </x:c>
      <x:c r="F743" s="11" t="n">
        <x:f>IF(AND(ISNUMBER(H743),ISNUMBER(G743),G743&gt;0),H743/G743,"")</x:f>
        <x:v>0</x:v>
      </x:c>
      <x:c r="G743" s="12" t="n">
        <x:f>IF(AND(COUNT(P743:R743)=3,MIN(P743:R743)&gt;=0,P743&lt;=Q743,Q743&lt;=R743),P743/7*0.5+Q743/14*0.3+R743/30*0.2,"")</x:f>
        <x:v>1.4285714285714286</x:v>
      </x:c>
      <x:c r="H743" s="10" t="n">
        <x:f>IF(ISNUMBER(U743),U743,"")</x:f>
        <x:v>0</x:v>
      </x:c>
      <x:c r="I743" s="10" t="n">
        <x:v>11</x:v>
      </x:c>
      <x:c r="J743" s="11" t="n">
        <x:f>IF(AND(Z743="共同",ISNUMBER(F743),ISNUMBER(M743)),F743-M743,"")</x:f>
        <x:v>-6.3444108761329305</x:v>
      </x:c>
      <x:c r="K743" s="13" t="n">
        <x:f>IF(AND(ISNUMBER(J743),M743&lt;&gt;0),J743/M743,"")</x:f>
        <x:v>-1</x:v>
      </x:c>
      <x:c r="L743" s="10" t="str">
        <x:v>补货提醒</x:v>
      </x:c>
      <x:c r="M743" s="11" t="n">
        <x:v>6.3444108761329305</x:v>
      </x:c>
      <x:c r="N743" s="10" t="n">
        <x:f>IF(AND(Z743="共同",COUNT(H743:I743)=2),H743-I743,"")</x:f>
        <x:v>-11</x:v>
      </x:c>
      <x:c r="O743" s="10" t="n">
        <x:v>0</x:v>
      </x:c>
      <x:c r="P743" s="10" t="n">
        <x:v>11</x:v>
      </x:c>
      <x:c r="Q743" s="10" t="n">
        <x:v>16</x:v>
      </x:c>
      <x:c r="R743" s="10" t="n">
        <x:v>45</x:v>
      </x:c>
      <x:c r="S743" s="10" t="n">
        <x:v>1</x:v>
      </x:c>
      <x:c r="T743" s="10" t="n">
        <x:v>1</x:v>
      </x:c>
      <x:c r="U743" s="10" t="n">
        <x:f>IF(AND(ISNUMBER(X743),X743&gt;=0,Y743&lt;&gt;1),X743,"")</x:f>
        <x:v>0</x:v>
      </x:c>
      <x:c r="V743" s="10" t="n">
        <x:v>0</x:v>
      </x:c>
      <x:c r="W743" s="10" t="n">
        <x:v>0</x:v>
      </x:c>
      <x:c r="X743" s="10" t="n">
        <x:v>0</x:v>
      </x:c>
      <x:c r="Y743" s="3" t="n">
        <x:v>0</x:v>
      </x:c>
      <x:c r="Z743" s="3" t="str">
        <x:v>共同</x:v>
      </x:c>
      <x:c r="AA743" s="3" t="str">
        <x:v>在售</x:v>
      </x:c>
      <x:c r="AB743" s="12" t="n">
        <x:f>IF(AND(Z743="共同",ISNUMBER(G743),ISNUMBER(AD743)),G743-AD743,"")</x:f>
        <x:v>-0.3052380952380953</x:v>
      </x:c>
      <x:c r="AC743" s="3" t="str"/>
      <x:c r="AD743" s="12" t="n">
        <x:v>1.733809523809524</x:v>
      </x:c>
      <x:c r="AE743" s="3" t="str">
        <x:v>[6574,"S02-BG1-38"]</x:v>
      </x:c>
      <x:c r="AF743" t="n">
        <x:f>IF(ISNUMBER(H743),1,0)</x:f>
        <x:v>1</x:v>
      </x:c>
      <x:c r="AG743" t="n">
        <x:f>IF(ISNUMBER(I743),1,0)</x:f>
        <x:v>1</x:v>
      </x:c>
      <x:c r="AH743" t="str">
        <x:v>["S02","S02-BG1","BG1","裸色"]</x:v>
      </x:c>
      <x:c r="AI743" t="n">
        <x:f>IF(ISNUMBER(G743),1,0)</x:f>
        <x:v>1</x:v>
      </x:c>
      <x:c r="AJ743" t="n">
        <x:f>IF(ISNUMBER(AD743),1,0)</x:f>
        <x:v>1</x:v>
      </x:c>
    </x:row>
    <x:row r="744" ht="30" customHeight="1">
      <x:c r="A744" s="3" t="str">
        <x:v>S02-BK-42</x:v>
      </x:c>
      <x:c r="B744" s="3" t="str">
        <x:v>3店-SANDIEX-US</x:v>
      </x:c>
      <x:c r="C744" s="3" t="str">
        <x:v>陈晨</x:v>
      </x:c>
      <x:c r="D744" s="3" t="str">
        <x:v>S02</x:v>
      </x:c>
      <x:c r="E744" s="3" t="str">
        <x:f>IF(Z744="移出","已移出",IF(NOT(ISNUMBER(H744)),"数据待核",IF(H744=0,"断货",IF(NOT(ISNUMBER(G744)),"数据待核",IF(G744=0,"零日销待复核",IF(F744&lt;60,"补货提醒",IF(F744&lt;=90,"正常库存",IF(F744&lt;180,"促销",IF(F744&lt;=365,"红线促销","考虑清仓")))))))))</x:f>
        <x:v>断货</x:v>
      </x:c>
      <x:c r="F744" s="11" t="n">
        <x:f>IF(AND(ISNUMBER(H744),ISNUMBER(G744),G744&gt;0),H744/G744,"")</x:f>
        <x:v>0</x:v>
      </x:c>
      <x:c r="G744" s="12" t="n">
        <x:f>IF(AND(COUNT(P744:R744)=3,MIN(P744:R744)&gt;=0,P744&lt;=Q744,Q744&lt;=R744),P744/7*0.5+Q744/14*0.3+R744/30*0.2,"")</x:f>
        <x:v>0.4419047619047619</x:v>
      </x:c>
      <x:c r="H744" s="10" t="n">
        <x:f>IF(ISNUMBER(U744),U744,"")</x:f>
        <x:v>0</x:v>
      </x:c>
      <x:c r="I744" s="10" t="n">
        <x:v>0</x:v>
      </x:c>
      <x:c r="J744" s="11" t="n">
        <x:f>IF(AND(Z744="共同",ISNUMBER(F744),ISNUMBER(M744)),F744-M744,"")</x:f>
        <x:v>0</x:v>
      </x:c>
      <x:c r="K744" s="13" t="str">
        <x:f>IF(AND(ISNUMBER(J744),M744&lt;&gt;0),J744/M744,"")</x:f>
      </x:c>
      <x:c r="L744" s="10" t="str">
        <x:v>断货</x:v>
      </x:c>
      <x:c r="M744" s="11" t="n">
        <x:v>0</x:v>
      </x:c>
      <x:c r="N744" s="10" t="n">
        <x:f>IF(AND(Z744="共同",COUNT(H744:I744)=2),H744-I744,"")</x:f>
        <x:v>0</x:v>
      </x:c>
      <x:c r="O744" s="10" t="n">
        <x:v>139</x:v>
      </x:c>
      <x:c r="P744" s="10" t="n">
        <x:v>2</x:v>
      </x:c>
      <x:c r="Q744" s="10" t="n">
        <x:v>4</x:v>
      </x:c>
      <x:c r="R744" s="10" t="n">
        <x:v>32</x:v>
      </x:c>
      <x:c r="S744" s="10" t="n">
        <x:v>7</x:v>
      </x:c>
      <x:c r="T744" s="10" t="n">
        <x:v>2</x:v>
      </x:c>
      <x:c r="U744" s="10" t="n">
        <x:f>IF(AND(ISNUMBER(X744),X744&gt;=0,Y744&lt;&gt;1),X744,"")</x:f>
        <x:v>0</x:v>
      </x:c>
      <x:c r="V744" s="10" t="n">
        <x:v>0</x:v>
      </x:c>
      <x:c r="W744" s="10" t="n">
        <x:v>0</x:v>
      </x:c>
      <x:c r="X744" s="10" t="n">
        <x:v>0</x:v>
      </x:c>
      <x:c r="Y744" s="3" t="n">
        <x:v>0</x:v>
      </x:c>
      <x:c r="Z744" s="3" t="str">
        <x:v>共同</x:v>
      </x:c>
      <x:c r="AA744" s="3" t="str">
        <x:v>在售</x:v>
      </x:c>
      <x:c r="AB744" s="12" t="n">
        <x:f>IF(AND(Z744="共同",ISNUMBER(G744),ISNUMBER(AD744)),G744-AD744,"")</x:f>
        <x:v>-1.2604761904761905</x:v>
      </x:c>
      <x:c r="AC744" s="3" t="str"/>
      <x:c r="AD744" s="12" t="n">
        <x:v>1.7023809523809526</x:v>
      </x:c>
      <x:c r="AE744" s="3" t="str">
        <x:v>[6574,"S02-BK-42"]</x:v>
      </x:c>
      <x:c r="AF744" t="n">
        <x:f>IF(ISNUMBER(H744),1,0)</x:f>
        <x:v>1</x:v>
      </x:c>
      <x:c r="AG744" t="n">
        <x:f>IF(ISNUMBER(I744),1,0)</x:f>
        <x:v>1</x:v>
      </x:c>
      <x:c r="AH744" t="str">
        <x:v>["S02","S02-BK","BK","黑色"]</x:v>
      </x:c>
      <x:c r="AI744" t="n">
        <x:f>IF(ISNUMBER(G744),1,0)</x:f>
        <x:v>1</x:v>
      </x:c>
      <x:c r="AJ744" t="n">
        <x:f>IF(ISNUMBER(AD744),1,0)</x:f>
        <x:v>1</x:v>
      </x:c>
    </x:row>
    <x:row r="745" ht="30" customHeight="1">
      <x:c r="A745" s="3" t="str">
        <x:v>S02-LP-42</x:v>
      </x:c>
      <x:c r="B745" s="3" t="str">
        <x:v>3店-SANDIEX-US</x:v>
      </x:c>
      <x:c r="C745" s="3" t="str">
        <x:v>陈晨</x:v>
      </x:c>
      <x:c r="D745" s="3" t="str">
        <x:v>S02</x:v>
      </x:c>
      <x:c r="E745" s="3" t="str">
        <x:f>IF(Z745="移出","已移出",IF(NOT(ISNUMBER(H745)),"数据待核",IF(H745=0,"断货",IF(NOT(ISNUMBER(G745)),"数据待核",IF(G745=0,"零日销待复核",IF(F745&lt;60,"补货提醒",IF(F745&lt;=90,"正常库存",IF(F745&lt;180,"促销",IF(F745&lt;=365,"红线促销","考虑清仓")))))))))</x:f>
        <x:v>断货</x:v>
      </x:c>
      <x:c r="F745" s="11" t="n">
        <x:f>IF(AND(ISNUMBER(H745),ISNUMBER(G745),G745&gt;0),H745/G745,"")</x:f>
        <x:v>0</x:v>
      </x:c>
      <x:c r="G745" s="12" t="n">
        <x:f>IF(AND(COUNT(P745:R745)=3,MIN(P745:R745)&gt;=0,P745&lt;=Q745,Q745&lt;=R745),P745/7*0.5+Q745/14*0.3+R745/30*0.2,"")</x:f>
        <x:v>0.2438095238095238</x:v>
      </x:c>
      <x:c r="H745" s="10" t="n">
        <x:f>IF(ISNUMBER(U745),U745,"")</x:f>
        <x:v>0</x:v>
      </x:c>
      <x:c r="I745" s="10" t="n">
        <x:v>0</x:v>
      </x:c>
      <x:c r="J745" s="11" t="n">
        <x:f>IF(AND(Z745="共同",ISNUMBER(F745),ISNUMBER(M745)),F745-M745,"")</x:f>
        <x:v>0</x:v>
      </x:c>
      <x:c r="K745" s="13" t="str">
        <x:f>IF(AND(ISNUMBER(J745),M745&lt;&gt;0),J745/M745,"")</x:f>
      </x:c>
      <x:c r="L745" s="10" t="str">
        <x:v>断货</x:v>
      </x:c>
      <x:c r="M745" s="11" t="n">
        <x:v>0</x:v>
      </x:c>
      <x:c r="N745" s="10" t="n">
        <x:f>IF(AND(Z745="共同",COUNT(H745:I745)=2),H745-I745,"")</x:f>
        <x:v>0</x:v>
      </x:c>
      <x:c r="O745" s="10" t="n">
        <x:v>50</x:v>
      </x:c>
      <x:c r="P745" s="10" t="n">
        <x:v>1</x:v>
      </x:c>
      <x:c r="Q745" s="10" t="n">
        <x:v>4</x:v>
      </x:c>
      <x:c r="R745" s="10" t="n">
        <x:v>13</x:v>
      </x:c>
      <x:c r="S745" s="10" t="n">
        <x:v>1</x:v>
      </x:c>
      <x:c r="T745" s="10" t="n">
        <x:v>1</x:v>
      </x:c>
      <x:c r="U745" s="10" t="n">
        <x:f>IF(AND(ISNUMBER(X745),X745&gt;=0,Y745&lt;&gt;1),X745,"")</x:f>
        <x:v>0</x:v>
      </x:c>
      <x:c r="V745" s="10" t="n">
        <x:v>0</x:v>
      </x:c>
      <x:c r="W745" s="10" t="n">
        <x:v>50</x:v>
      </x:c>
      <x:c r="X745" s="10" t="n">
        <x:v>0</x:v>
      </x:c>
      <x:c r="Y745" s="3" t="n">
        <x:v>0</x:v>
      </x:c>
      <x:c r="Z745" s="3" t="str">
        <x:v>共同</x:v>
      </x:c>
      <x:c r="AA745" s="3" t="str">
        <x:v>在售</x:v>
      </x:c>
      <x:c r="AB745" s="12" t="n">
        <x:f>IF(AND(Z745="共同",ISNUMBER(G745),ISNUMBER(AD745)),G745-AD745,"")</x:f>
        <x:v>-0.840952380952381</x:v>
      </x:c>
      <x:c r="AC745" s="3" t="str"/>
      <x:c r="AD745" s="12" t="n">
        <x:v>1.0847619047619048</x:v>
      </x:c>
      <x:c r="AE745" s="3" t="str">
        <x:v>[6574,"S02-LP-42"]</x:v>
      </x:c>
      <x:c r="AF745" t="n">
        <x:f>IF(ISNUMBER(H745),1,0)</x:f>
        <x:v>1</x:v>
      </x:c>
      <x:c r="AG745" t="n">
        <x:f>IF(ISNUMBER(I745),1,0)</x:f>
        <x:v>1</x:v>
      </x:c>
      <x:c r="AH745" t="str">
        <x:v>["S02","S02-LP","LP","豹纹"]</x:v>
      </x:c>
      <x:c r="AI745" t="n">
        <x:f>IF(ISNUMBER(G745),1,0)</x:f>
        <x:v>1</x:v>
      </x:c>
      <x:c r="AJ745" t="n">
        <x:f>IF(ISNUMBER(AD745),1,0)</x:f>
        <x:v>1</x:v>
      </x:c>
    </x:row>
    <x:row r="746" ht="30" customHeight="1">
      <x:c r="A746" s="3" t="str">
        <x:v>S02-NY-40</x:v>
      </x:c>
      <x:c r="B746" s="3" t="str">
        <x:v>3店-SANDIEX-US</x:v>
      </x:c>
      <x:c r="C746" s="3" t="str">
        <x:v>陈晨</x:v>
      </x:c>
      <x:c r="D746" s="3" t="str">
        <x:v>S02</x:v>
      </x:c>
      <x:c r="E746" s="3" t="str">
        <x:f>IF(Z746="移出","已移出",IF(NOT(ISNUMBER(H746)),"数据待核",IF(H746=0,"断货",IF(NOT(ISNUMBER(G746)),"数据待核",IF(G746=0,"零日销待复核",IF(F746&lt;60,"补货提醒",IF(F746&lt;=90,"正常库存",IF(F746&lt;180,"促销",IF(F746&lt;=365,"红线促销","考虑清仓")))))))))</x:f>
        <x:v>断货</x:v>
      </x:c>
      <x:c r="F746" s="11" t="n">
        <x:f>IF(AND(ISNUMBER(H746),ISNUMBER(G746),G746&gt;0),H746/G746,"")</x:f>
        <x:v>0</x:v>
      </x:c>
      <x:c r="G746" s="12" t="n">
        <x:f>IF(AND(COUNT(P746:R746)=3,MIN(P746:R746)&gt;=0,P746&lt;=Q746,Q746&lt;=R746),P746/7*0.5+Q746/14*0.3+R746/30*0.2,"")</x:f>
        <x:v>0.28</x:v>
      </x:c>
      <x:c r="H746" s="10" t="n">
        <x:f>IF(ISNUMBER(U746),U746,"")</x:f>
        <x:v>0</x:v>
      </x:c>
      <x:c r="I746" s="10" t="n">
        <x:v>5</x:v>
      </x:c>
      <x:c r="J746" s="11" t="n">
        <x:f>IF(AND(Z746="共同",ISNUMBER(F746),ISNUMBER(M746)),F746-M746,"")</x:f>
        <x:v>-9.275618374558302</x:v>
      </x:c>
      <x:c r="K746" s="13" t="n">
        <x:f>IF(AND(ISNUMBER(J746),M746&lt;&gt;0),J746/M746,"")</x:f>
        <x:v>-1</x:v>
      </x:c>
      <x:c r="L746" s="10" t="str">
        <x:v>补货提醒</x:v>
      </x:c>
      <x:c r="M746" s="11" t="n">
        <x:v>9.275618374558302</x:v>
      </x:c>
      <x:c r="N746" s="10" t="n">
        <x:f>IF(AND(Z746="共同",COUNT(H746:I746)=2),H746-I746,"")</x:f>
        <x:v>-5</x:v>
      </x:c>
      <x:c r="O746" s="10" t="n">
        <x:v>108</x:v>
      </x:c>
      <x:c r="P746" s="10" t="n">
        <x:v>1</x:v>
      </x:c>
      <x:c r="Q746" s="10" t="n">
        <x:v>6</x:v>
      </x:c>
      <x:c r="R746" s="10" t="n">
        <x:v>12</x:v>
      </x:c>
      <x:c r="S746" s="10" t="n">
        <x:v>2</x:v>
      </x:c>
      <x:c r="T746" s="10" t="n">
        <x:v>1</x:v>
      </x:c>
      <x:c r="U746" s="10" t="n">
        <x:f>IF(AND(ISNUMBER(X746),X746&gt;=0,Y746&lt;&gt;1),X746,"")</x:f>
        <x:v>0</x:v>
      </x:c>
      <x:c r="V746" s="10" t="n">
        <x:v>0</x:v>
      </x:c>
      <x:c r="W746" s="10" t="n">
        <x:v>0</x:v>
      </x:c>
      <x:c r="X746" s="10" t="n">
        <x:v>0</x:v>
      </x:c>
      <x:c r="Y746" s="3" t="n">
        <x:v>0</x:v>
      </x:c>
      <x:c r="Z746" s="3" t="str">
        <x:v>共同</x:v>
      </x:c>
      <x:c r="AA746" s="3" t="str">
        <x:v>在售</x:v>
      </x:c>
      <x:c r="AB746" s="12" t="n">
        <x:f>IF(AND(Z746="共同",ISNUMBER(G746),ISNUMBER(AD746)),G746-AD746,"")</x:f>
        <x:v>-0.2590476190476191</x:v>
      </x:c>
      <x:c r="AC746" s="3" t="str"/>
      <x:c r="AD746" s="12" t="n">
        <x:v>0.5390476190476191</x:v>
      </x:c>
      <x:c r="AE746" s="3" t="str">
        <x:v>[6574,"S02-NY-40"]</x:v>
      </x:c>
      <x:c r="AF746" t="n">
        <x:f>IF(ISNUMBER(H746),1,0)</x:f>
        <x:v>1</x:v>
      </x:c>
      <x:c r="AG746" t="n">
        <x:f>IF(ISNUMBER(I746),1,0)</x:f>
        <x:v>1</x:v>
      </x:c>
      <x:c r="AH746" t="str">
        <x:v>["S02","S02-NY","NY","藏青色"]</x:v>
      </x:c>
      <x:c r="AI746" t="n">
        <x:f>IF(ISNUMBER(G746),1,0)</x:f>
        <x:v>1</x:v>
      </x:c>
      <x:c r="AJ746" t="n">
        <x:f>IF(ISNUMBER(AD746),1,0)</x:f>
        <x:v>1</x:v>
      </x:c>
    </x:row>
    <x:row r="747" ht="30" customHeight="1">
      <x:c r="A747" s="3" t="str">
        <x:v>S02-SP-37</x:v>
      </x:c>
      <x:c r="B747" s="3" t="str">
        <x:v>3店-SANDIEX-US</x:v>
      </x:c>
      <x:c r="C747" s="3" t="str">
        <x:v>陈晨</x:v>
      </x:c>
      <x:c r="D747" s="3" t="str">
        <x:v>S02</x:v>
      </x:c>
      <x:c r="E747" s="3" t="str">
        <x:f>IF(Z747="移出","已移出",IF(NOT(ISNUMBER(H747)),"数据待核",IF(H747=0,"断货",IF(NOT(ISNUMBER(G747)),"数据待核",IF(G747=0,"零日销待复核",IF(F747&lt;60,"补货提醒",IF(F747&lt;=90,"正常库存",IF(F747&lt;180,"促销",IF(F747&lt;=365,"红线促销","考虑清仓")))))))))</x:f>
        <x:v>断货</x:v>
      </x:c>
      <x:c r="F747" s="11" t="n">
        <x:f>IF(AND(ISNUMBER(H747),ISNUMBER(G747),G747&gt;0),H747/G747,"")</x:f>
        <x:v>0</x:v>
      </x:c>
      <x:c r="G747" s="12" t="n">
        <x:f>IF(AND(COUNT(P747:R747)=3,MIN(P747:R747)&gt;=0,P747&lt;=Q747,Q747&lt;=R747),P747/7*0.5+Q747/14*0.3+R747/30*0.2,"")</x:f>
        <x:v>0.013333333333333334</x:v>
      </x:c>
      <x:c r="H747" s="10" t="n">
        <x:f>IF(ISNUMBER(U747),U747,"")</x:f>
        <x:v>0</x:v>
      </x:c>
      <x:c r="I747" s="10" t="n">
        <x:v>0</x:v>
      </x:c>
      <x:c r="J747" s="11" t="n">
        <x:f>IF(AND(Z747="共同",ISNUMBER(F747),ISNUMBER(M747)),F747-M747,"")</x:f>
        <x:v>0</x:v>
      </x:c>
      <x:c r="K747" s="13" t="str">
        <x:f>IF(AND(ISNUMBER(J747),M747&lt;&gt;0),J747/M747,"")</x:f>
      </x:c>
      <x:c r="L747" s="10" t="str">
        <x:v>断货</x:v>
      </x:c>
      <x:c r="M747" s="11" t="n">
        <x:v>0</x:v>
      </x:c>
      <x:c r="N747" s="10" t="n">
        <x:f>IF(AND(Z747="共同",COUNT(H747:I747)=2),H747-I747,"")</x:f>
        <x:v>0</x:v>
      </x:c>
      <x:c r="O747" s="10" t="n">
        <x:v>40</x:v>
      </x:c>
      <x:c r="P747" s="10" t="n">
        <x:v>0</x:v>
      </x:c>
      <x:c r="Q747" s="10" t="n">
        <x:v>0</x:v>
      </x:c>
      <x:c r="R747" s="10" t="n">
        <x:v>2</x:v>
      </x:c>
      <x:c r="S747" s="10" t="n">
        <x:v>3</x:v>
      </x:c>
      <x:c r="T747" s="10" t="n">
        <x:v>1</x:v>
      </x:c>
      <x:c r="U747" s="10" t="n">
        <x:f>IF(AND(ISNUMBER(X747),X747&gt;=0,Y747&lt;&gt;1),X747,"")</x:f>
        <x:v>0</x:v>
      </x:c>
      <x:c r="V747" s="10" t="n">
        <x:v>0</x:v>
      </x:c>
      <x:c r="W747" s="10" t="n">
        <x:v>26</x:v>
      </x:c>
      <x:c r="X747" s="10" t="n">
        <x:v>0</x:v>
      </x:c>
      <x:c r="Y747" s="3" t="n">
        <x:v>0</x:v>
      </x:c>
      <x:c r="Z747" s="3" t="str">
        <x:v>共同</x:v>
      </x:c>
      <x:c r="AA747" s="3" t="str">
        <x:v>在售</x:v>
      </x:c>
      <x:c r="AB747" s="12" t="n">
        <x:f>IF(AND(Z747="共同",ISNUMBER(G747),ISNUMBER(AD747)),G747-AD747,"")</x:f>
        <x:v>-0.04285714285714286</x:v>
      </x:c>
      <x:c r="AC747" s="3" t="str"/>
      <x:c r="AD747" s="12" t="n">
        <x:v>0.05619047619047619</x:v>
      </x:c>
      <x:c r="AE747" s="3" t="str">
        <x:v>[6574,"S02-SP-37"]</x:v>
      </x:c>
      <x:c r="AF747" t="n">
        <x:f>IF(ISNUMBER(H747),1,0)</x:f>
        <x:v>1</x:v>
      </x:c>
      <x:c r="AG747" t="n">
        <x:f>IF(ISNUMBER(I747),1,0)</x:f>
        <x:v>1</x:v>
      </x:c>
      <x:c r="AH747" t="str">
        <x:v>["S02","S02-SP","SP","黑白蛇纹"]</x:v>
      </x:c>
      <x:c r="AI747" t="n">
        <x:f>IF(ISNUMBER(G747),1,0)</x:f>
        <x:v>1</x:v>
      </x:c>
      <x:c r="AJ747" t="n">
        <x:f>IF(ISNUMBER(AD747),1,0)</x:f>
        <x:v>1</x:v>
      </x:c>
    </x:row>
    <x:row r="748" ht="30" customHeight="1">
      <x:c r="A748" s="3" t="str">
        <x:v>S02-SP-38</x:v>
      </x:c>
      <x:c r="B748" s="3" t="str">
        <x:v>3店-SANDIEX-US</x:v>
      </x:c>
      <x:c r="C748" s="3" t="str">
        <x:v>陈晨</x:v>
      </x:c>
      <x:c r="D748" s="3" t="str">
        <x:v>S02</x:v>
      </x:c>
      <x:c r="E748" s="3" t="str">
        <x:f>IF(Z748="移出","已移出",IF(NOT(ISNUMBER(H748)),"数据待核",IF(H748=0,"断货",IF(NOT(ISNUMBER(G748)),"数据待核",IF(G748=0,"零日销待复核",IF(F748&lt;60,"补货提醒",IF(F748&lt;=90,"正常库存",IF(F748&lt;180,"促销",IF(F748&lt;=365,"红线促销","考虑清仓")))))))))</x:f>
        <x:v>断货</x:v>
      </x:c>
      <x:c r="F748" s="11" t="n">
        <x:f>IF(AND(ISNUMBER(H748),ISNUMBER(G748),G748&gt;0),H748/G748,"")</x:f>
        <x:v>0</x:v>
      </x:c>
      <x:c r="G748" s="12" t="n">
        <x:f>IF(AND(COUNT(P748:R748)=3,MIN(P748:R748)&gt;=0,P748&lt;=Q748,Q748&lt;=R748),P748/7*0.5+Q748/14*0.3+R748/30*0.2,"")</x:f>
        <x:v>0.02666666666666667</x:v>
      </x:c>
      <x:c r="H748" s="10" t="n">
        <x:f>IF(ISNUMBER(U748),U748,"")</x:f>
        <x:v>0</x:v>
      </x:c>
      <x:c r="I748" s="10" t="n">
        <x:v>0</x:v>
      </x:c>
      <x:c r="J748" s="11" t="n">
        <x:f>IF(AND(Z748="共同",ISNUMBER(F748),ISNUMBER(M748)),F748-M748,"")</x:f>
        <x:v>0</x:v>
      </x:c>
      <x:c r="K748" s="13" t="str">
        <x:f>IF(AND(ISNUMBER(J748),M748&lt;&gt;0),J748/M748,"")</x:f>
      </x:c>
      <x:c r="L748" s="10" t="str">
        <x:v>断货</x:v>
      </x:c>
      <x:c r="M748" s="11" t="n">
        <x:v>0</x:v>
      </x:c>
      <x:c r="N748" s="10" t="n">
        <x:f>IF(AND(Z748="共同",COUNT(H748:I748)=2),H748-I748,"")</x:f>
        <x:v>0</x:v>
      </x:c>
      <x:c r="O748" s="10" t="n">
        <x:v>99</x:v>
      </x:c>
      <x:c r="P748" s="10" t="n">
        <x:v>0</x:v>
      </x:c>
      <x:c r="Q748" s="10" t="n">
        <x:v>0</x:v>
      </x:c>
      <x:c r="R748" s="10" t="n">
        <x:v>4</x:v>
      </x:c>
      <x:c r="S748" s="10" t="n">
        <x:v>4</x:v>
      </x:c>
      <x:c r="T748" s="10" t="n">
        <x:v>4</x:v>
      </x:c>
      <x:c r="U748" s="10" t="n">
        <x:f>IF(AND(ISNUMBER(X748),X748&gt;=0,Y748&lt;&gt;1),X748,"")</x:f>
        <x:v>0</x:v>
      </x:c>
      <x:c r="V748" s="10" t="n">
        <x:v>0</x:v>
      </x:c>
      <x:c r="W748" s="10" t="n">
        <x:v>47</x:v>
      </x:c>
      <x:c r="X748" s="10" t="n">
        <x:v>0</x:v>
      </x:c>
      <x:c r="Y748" s="3" t="n">
        <x:v>0</x:v>
      </x:c>
      <x:c r="Z748" s="3" t="str">
        <x:v>共同</x:v>
      </x:c>
      <x:c r="AA748" s="3" t="str">
        <x:v>在售</x:v>
      </x:c>
      <x:c r="AB748" s="12" t="n">
        <x:f>IF(AND(Z748="共同",ISNUMBER(G748),ISNUMBER(AD748)),G748-AD748,"")</x:f>
        <x:v>-0.3780952380952381</x:v>
      </x:c>
      <x:c r="AC748" s="3" t="str"/>
      <x:c r="AD748" s="12" t="n">
        <x:v>0.40476190476190477</x:v>
      </x:c>
      <x:c r="AE748" s="3" t="str">
        <x:v>[6574,"S02-SP-38"]</x:v>
      </x:c>
      <x:c r="AF748" t="n">
        <x:f>IF(ISNUMBER(H748),1,0)</x:f>
        <x:v>1</x:v>
      </x:c>
      <x:c r="AG748" t="n">
        <x:f>IF(ISNUMBER(I748),1,0)</x:f>
        <x:v>1</x:v>
      </x:c>
      <x:c r="AH748" t="str">
        <x:v>["S02","S02-SP","SP","黑白蛇纹"]</x:v>
      </x:c>
      <x:c r="AI748" t="n">
        <x:f>IF(ISNUMBER(G748),1,0)</x:f>
        <x:v>1</x:v>
      </x:c>
      <x:c r="AJ748" t="n">
        <x:f>IF(ISNUMBER(AD748),1,0)</x:f>
        <x:v>1</x:v>
      </x:c>
    </x:row>
    <x:row r="749" ht="30" customHeight="1">
      <x:c r="A749" s="3" t="str">
        <x:v>S02-SP-39</x:v>
      </x:c>
      <x:c r="B749" s="3" t="str">
        <x:v>3店-SANDIEX-US</x:v>
      </x:c>
      <x:c r="C749" s="3" t="str">
        <x:v>陈晨</x:v>
      </x:c>
      <x:c r="D749" s="3" t="str">
        <x:v>S02</x:v>
      </x:c>
      <x:c r="E749" s="3" t="str">
        <x:f>IF(Z749="移出","已移出",IF(NOT(ISNUMBER(H749)),"数据待核",IF(H749=0,"断货",IF(NOT(ISNUMBER(G749)),"数据待核",IF(G749=0,"零日销待复核",IF(F749&lt;60,"补货提醒",IF(F749&lt;=90,"正常库存",IF(F749&lt;180,"促销",IF(F749&lt;=365,"红线促销","考虑清仓")))))))))</x:f>
        <x:v>断货</x:v>
      </x:c>
      <x:c r="F749" s="11" t="n">
        <x:f>IF(AND(ISNUMBER(H749),ISNUMBER(G749),G749&gt;0),H749/G749,"")</x:f>
        <x:v>0</x:v>
      </x:c>
      <x:c r="G749" s="12" t="n">
        <x:f>IF(AND(COUNT(P749:R749)=3,MIN(P749:R749)&gt;=0,P749&lt;=Q749,Q749&lt;=R749),P749/7*0.5+Q749/14*0.3+R749/30*0.2,"")</x:f>
        <x:v>0.8342857142857143</x:v>
      </x:c>
      <x:c r="H749" s="10" t="n">
        <x:f>IF(ISNUMBER(U749),U749,"")</x:f>
        <x:v>0</x:v>
      </x:c>
      <x:c r="I749" s="10" t="n">
        <x:v>0</x:v>
      </x:c>
      <x:c r="J749" s="11" t="n">
        <x:f>IF(AND(Z749="共同",ISNUMBER(F749),ISNUMBER(M749)),F749-M749,"")</x:f>
        <x:v>0</x:v>
      </x:c>
      <x:c r="K749" s="13" t="str">
        <x:f>IF(AND(ISNUMBER(J749),M749&lt;&gt;0),J749/M749,"")</x:f>
      </x:c>
      <x:c r="L749" s="10" t="str">
        <x:v>断货</x:v>
      </x:c>
      <x:c r="M749" s="11" t="n">
        <x:v>0</x:v>
      </x:c>
      <x:c r="N749" s="10" t="n">
        <x:f>IF(AND(Z749="共同",COUNT(H749:I749)=2),H749-I749,"")</x:f>
        <x:v>0</x:v>
      </x:c>
      <x:c r="O749" s="10" t="n">
        <x:v>116</x:v>
      </x:c>
      <x:c r="P749" s="10" t="n">
        <x:v>7</x:v>
      </x:c>
      <x:c r="Q749" s="10" t="n">
        <x:v>10</x:v>
      </x:c>
      <x:c r="R749" s="10" t="n">
        <x:v>18</x:v>
      </x:c>
      <x:c r="S749" s="10" t="n">
        <x:v>14</x:v>
      </x:c>
      <x:c r="T749" s="10" t="n">
        <x:v>13</x:v>
      </x:c>
      <x:c r="U749" s="10" t="n">
        <x:f>IF(AND(ISNUMBER(X749),X749&gt;=0,Y749&lt;&gt;1),X749,"")</x:f>
        <x:v>0</x:v>
      </x:c>
      <x:c r="V749" s="10" t="n">
        <x:v>0</x:v>
      </x:c>
      <x:c r="W749" s="10" t="n">
        <x:v>64</x:v>
      </x:c>
      <x:c r="X749" s="10" t="n">
        <x:v>0</x:v>
      </x:c>
      <x:c r="Y749" s="3" t="n">
        <x:v>0</x:v>
      </x:c>
      <x:c r="Z749" s="3" t="str">
        <x:v>共同</x:v>
      </x:c>
      <x:c r="AA749" s="3" t="str">
        <x:v>在售</x:v>
      </x:c>
      <x:c r="AB749" s="12" t="n">
        <x:f>IF(AND(Z749="共同",ISNUMBER(G749),ISNUMBER(AD749)),G749-AD749,"")</x:f>
        <x:v>0.23238095238095235</x:v>
      </x:c>
      <x:c r="AC749" s="3" t="str"/>
      <x:c r="AD749" s="12" t="n">
        <x:v>0.6019047619047619</x:v>
      </x:c>
      <x:c r="AE749" s="3" t="str">
        <x:v>[6574,"S02-SP-39"]</x:v>
      </x:c>
      <x:c r="AF749" t="n">
        <x:f>IF(ISNUMBER(H749),1,0)</x:f>
        <x:v>1</x:v>
      </x:c>
      <x:c r="AG749" t="n">
        <x:f>IF(ISNUMBER(I749),1,0)</x:f>
        <x:v>1</x:v>
      </x:c>
      <x:c r="AH749" t="str">
        <x:v>["S02","S02-SP","SP","黑白蛇纹"]</x:v>
      </x:c>
      <x:c r="AI749" t="n">
        <x:f>IF(ISNUMBER(G749),1,0)</x:f>
        <x:v>1</x:v>
      </x:c>
      <x:c r="AJ749" t="n">
        <x:f>IF(ISNUMBER(AD749),1,0)</x:f>
        <x:v>1</x:v>
      </x:c>
    </x:row>
    <x:row r="750" ht="30" customHeight="1">
      <x:c r="A750" s="3" t="str">
        <x:v>S02-SP-40</x:v>
      </x:c>
      <x:c r="B750" s="3" t="str">
        <x:v>3店-SANDIEX-US</x:v>
      </x:c>
      <x:c r="C750" s="3" t="str">
        <x:v>陈晨</x:v>
      </x:c>
      <x:c r="D750" s="3" t="str">
        <x:v>S02</x:v>
      </x:c>
      <x:c r="E750" s="3" t="str">
        <x:f>IF(Z750="移出","已移出",IF(NOT(ISNUMBER(H750)),"数据待核",IF(H750=0,"断货",IF(NOT(ISNUMBER(G750)),"数据待核",IF(G750=0,"零日销待复核",IF(F750&lt;60,"补货提醒",IF(F750&lt;=90,"正常库存",IF(F750&lt;180,"促销",IF(F750&lt;=365,"红线促销","考虑清仓")))))))))</x:f>
        <x:v>断货</x:v>
      </x:c>
      <x:c r="F750" s="11" t="str">
        <x:f>IF(AND(ISNUMBER(H750),ISNUMBER(G750),G750&gt;0),H750/G750,"")</x:f>
      </x:c>
      <x:c r="G750" s="12" t="n">
        <x:f>IF(AND(COUNT(P750:R750)=3,MIN(P750:R750)&gt;=0,P750&lt;=Q750,Q750&lt;=R750),P750/7*0.5+Q750/14*0.3+R750/30*0.2,"")</x:f>
        <x:v>0</x:v>
      </x:c>
      <x:c r="H750" s="10" t="n">
        <x:f>IF(ISNUMBER(U750),U750,"")</x:f>
        <x:v>0</x:v>
      </x:c>
      <x:c r="I750" s="10" t="n">
        <x:v>0</x:v>
      </x:c>
      <x:c r="J750" s="11" t="str">
        <x:f>IF(AND(Z750="共同",ISNUMBER(F750),ISNUMBER(M750)),F750-M750,"")</x:f>
      </x:c>
      <x:c r="K750" s="13" t="str">
        <x:f>IF(AND(ISNUMBER(J750),M750&lt;&gt;0),J750/M750,"")</x:f>
      </x:c>
      <x:c r="L750" s="10" t="str">
        <x:v>断货</x:v>
      </x:c>
      <x:c r="M750" s="11"/>
      <x:c r="N750" s="10" t="n">
        <x:f>IF(AND(Z750="共同",COUNT(H750:I750)=2),H750-I750,"")</x:f>
        <x:v>0</x:v>
      </x:c>
      <x:c r="O750" s="10" t="n">
        <x:v>138</x:v>
      </x:c>
      <x:c r="P750" s="10" t="n">
        <x:v>0</x:v>
      </x:c>
      <x:c r="Q750" s="10" t="n">
        <x:v>0</x:v>
      </x:c>
      <x:c r="R750" s="10" t="n">
        <x:v>0</x:v>
      </x:c>
      <x:c r="S750" s="10" t="n">
        <x:v>0</x:v>
      </x:c>
      <x:c r="T750" s="10" t="n">
        <x:v>0</x:v>
      </x:c>
      <x:c r="U750" s="10" t="n">
        <x:f>IF(AND(ISNUMBER(X750),X750&gt;=0,Y750&lt;&gt;1),X750,"")</x:f>
        <x:v>0</x:v>
      </x:c>
      <x:c r="V750" s="10" t="n">
        <x:v>0</x:v>
      </x:c>
      <x:c r="W750" s="10" t="n">
        <x:v>40</x:v>
      </x:c>
      <x:c r="X750" s="10" t="n">
        <x:v>0</x:v>
      </x:c>
      <x:c r="Y750" s="3" t="n">
        <x:v>0</x:v>
      </x:c>
      <x:c r="Z750" s="3" t="str">
        <x:v>共同</x:v>
      </x:c>
      <x:c r="AA750" s="3" t="str">
        <x:v>停售</x:v>
      </x:c>
      <x:c r="AB750" s="12" t="n">
        <x:f>IF(AND(Z750="共同",ISNUMBER(G750),ISNUMBER(AD750)),G750-AD750,"")</x:f>
        <x:v>0</x:v>
      </x:c>
      <x:c r="AC750" s="3" t="str"/>
      <x:c r="AD750" s="12" t="n">
        <x:v>0</x:v>
      </x:c>
      <x:c r="AE750" s="3" t="str">
        <x:v>[6574,"S02-SP-40"]</x:v>
      </x:c>
      <x:c r="AF750" t="n">
        <x:f>IF(ISNUMBER(H750),1,0)</x:f>
        <x:v>1</x:v>
      </x:c>
      <x:c r="AG750" t="n">
        <x:f>IF(ISNUMBER(I750),1,0)</x:f>
        <x:v>1</x:v>
      </x:c>
      <x:c r="AH750" t="str">
        <x:v>["S02","S02-SP","SP","黑白蛇纹"]</x:v>
      </x:c>
      <x:c r="AI750" t="n">
        <x:f>IF(ISNUMBER(G750),1,0)</x:f>
        <x:v>1</x:v>
      </x:c>
      <x:c r="AJ750" t="n">
        <x:f>IF(ISNUMBER(AD750),1,0)</x:f>
        <x:v>1</x:v>
      </x:c>
    </x:row>
    <x:row r="751" ht="30" customHeight="1">
      <x:c r="A751" s="3" t="str">
        <x:v>S02-TN-40</x:v>
      </x:c>
      <x:c r="B751" s="3" t="str">
        <x:v>3店-SANDIEX-US</x:v>
      </x:c>
      <x:c r="C751" s="3" t="str">
        <x:v>陈晨</x:v>
      </x:c>
      <x:c r="D751" s="3" t="str">
        <x:v>S02</x:v>
      </x:c>
      <x:c r="E751" s="3" t="str">
        <x:f>IF(Z751="移出","已移出",IF(NOT(ISNUMBER(H751)),"数据待核",IF(H751=0,"断货",IF(NOT(ISNUMBER(G751)),"数据待核",IF(G751=0,"零日销待复核",IF(F751&lt;60,"补货提醒",IF(F751&lt;=90,"正常库存",IF(F751&lt;180,"促销",IF(F751&lt;=365,"红线促销","考虑清仓")))))))))</x:f>
        <x:v>断货</x:v>
      </x:c>
      <x:c r="F751" s="11" t="n">
        <x:f>IF(AND(ISNUMBER(H751),ISNUMBER(G751),G751&gt;0),H751/G751,"")</x:f>
        <x:v>0</x:v>
      </x:c>
      <x:c r="G751" s="12" t="n">
        <x:f>IF(AND(COUNT(P751:R751)=3,MIN(P751:R751)&gt;=0,P751&lt;=Q751,Q751&lt;=R751),P751/7*0.5+Q751/14*0.3+R751/30*0.2,"")</x:f>
        <x:v>0.013333333333333334</x:v>
      </x:c>
      <x:c r="H751" s="10" t="n">
        <x:f>IF(ISNUMBER(U751),U751,"")</x:f>
        <x:v>0</x:v>
      </x:c>
      <x:c r="I751" s="10" t="n">
        <x:v>0</x:v>
      </x:c>
      <x:c r="J751" s="11" t="n">
        <x:f>IF(AND(Z751="共同",ISNUMBER(F751),ISNUMBER(M751)),F751-M751,"")</x:f>
        <x:v>0</x:v>
      </x:c>
      <x:c r="K751" s="13" t="str">
        <x:f>IF(AND(ISNUMBER(J751),M751&lt;&gt;0),J751/M751,"")</x:f>
      </x:c>
      <x:c r="L751" s="10" t="str">
        <x:v>断货</x:v>
      </x:c>
      <x:c r="M751" s="11" t="n">
        <x:v>0</x:v>
      </x:c>
      <x:c r="N751" s="10" t="n">
        <x:f>IF(AND(Z751="共同",COUNT(H751:I751)=2),H751-I751,"")</x:f>
        <x:v>0</x:v>
      </x:c>
      <x:c r="O751" s="10" t="n">
        <x:v>2</x:v>
      </x:c>
      <x:c r="P751" s="10" t="n">
        <x:v>0</x:v>
      </x:c>
      <x:c r="Q751" s="10" t="n">
        <x:v>0</x:v>
      </x:c>
      <x:c r="R751" s="10" t="n">
        <x:v>2</x:v>
      </x:c>
      <x:c r="S751" s="10" t="n">
        <x:v>1</x:v>
      </x:c>
      <x:c r="T751" s="10" t="n">
        <x:v>0</x:v>
      </x:c>
      <x:c r="U751" s="10" t="n">
        <x:f>IF(AND(ISNUMBER(X751),X751&gt;=0,Y751&lt;&gt;1),X751,"")</x:f>
        <x:v>0</x:v>
      </x:c>
      <x:c r="V751" s="10" t="n">
        <x:v>0</x:v>
      </x:c>
      <x:c r="W751" s="10" t="n">
        <x:v>0</x:v>
      </x:c>
      <x:c r="X751" s="10" t="n">
        <x:v>0</x:v>
      </x:c>
      <x:c r="Y751" s="3" t="n">
        <x:v>0</x:v>
      </x:c>
      <x:c r="Z751" s="3" t="str">
        <x:v>共同</x:v>
      </x:c>
      <x:c r="AA751" s="3" t="str">
        <x:v>在售</x:v>
      </x:c>
      <x:c r="AB751" s="12" t="n">
        <x:f>IF(AND(Z751="共同",ISNUMBER(G751),ISNUMBER(AD751)),G751-AD751,"")</x:f>
        <x:v>-0.19238095238095235</x:v>
      </x:c>
      <x:c r="AC751" s="3" t="str"/>
      <x:c r="AD751" s="12" t="n">
        <x:v>0.20571428571428568</x:v>
      </x:c>
      <x:c r="AE751" s="3" t="str">
        <x:v>[6574,"S02-TN-40"]</x:v>
      </x:c>
      <x:c r="AF751" t="n">
        <x:f>IF(ISNUMBER(H751),1,0)</x:f>
        <x:v>1</x:v>
      </x:c>
      <x:c r="AG751" t="n">
        <x:f>IF(ISNUMBER(I751),1,0)</x:f>
        <x:v>1</x:v>
      </x:c>
      <x:c r="AH751" t="str">
        <x:v>["S02","S02-TN","TN","驼色"]</x:v>
      </x:c>
      <x:c r="AI751" t="n">
        <x:f>IF(ISNUMBER(G751),1,0)</x:f>
        <x:v>1</x:v>
      </x:c>
      <x:c r="AJ751" t="n">
        <x:f>IF(ISNUMBER(AD751),1,0)</x:f>
        <x:v>1</x:v>
      </x:c>
    </x:row>
    <x:row r="752" ht="30" customHeight="1">
      <x:c r="A752" s="3" t="str">
        <x:v>S02-TN-41</x:v>
      </x:c>
      <x:c r="B752" s="3" t="str">
        <x:v>3店-SANDIEX-US</x:v>
      </x:c>
      <x:c r="C752" s="3" t="str">
        <x:v>陈晨</x:v>
      </x:c>
      <x:c r="D752" s="3" t="str">
        <x:v>S02</x:v>
      </x:c>
      <x:c r="E752" s="3" t="str">
        <x:f>IF(Z752="移出","已移出",IF(NOT(ISNUMBER(H752)),"数据待核",IF(H752=0,"断货",IF(NOT(ISNUMBER(G752)),"数据待核",IF(G752=0,"零日销待复核",IF(F752&lt;60,"补货提醒",IF(F752&lt;=90,"正常库存",IF(F752&lt;180,"促销",IF(F752&lt;=365,"红线促销","考虑清仓")))))))))</x:f>
        <x:v>断货</x:v>
      </x:c>
      <x:c r="F752" s="11" t="n">
        <x:f>IF(AND(ISNUMBER(H752),ISNUMBER(G752),G752&gt;0),H752/G752,"")</x:f>
        <x:v>0</x:v>
      </x:c>
      <x:c r="G752" s="12" t="n">
        <x:f>IF(AND(COUNT(P752:R752)=3,MIN(P752:R752)&gt;=0,P752&lt;=Q752,Q752&lt;=R752),P752/7*0.5+Q752/14*0.3+R752/30*0.2,"")</x:f>
        <x:v>0.3119047619047619</x:v>
      </x:c>
      <x:c r="H752" s="10" t="n">
        <x:f>IF(ISNUMBER(U752),U752,"")</x:f>
        <x:v>0</x:v>
      </x:c>
      <x:c r="I752" s="10" t="n">
        <x:v>2</x:v>
      </x:c>
      <x:c r="J752" s="11" t="n">
        <x:f>IF(AND(Z752="共同",ISNUMBER(F752),ISNUMBER(M752)),F752-M752,"")</x:f>
        <x:v>-9.417040358744394</x:v>
      </x:c>
      <x:c r="K752" s="13" t="n">
        <x:f>IF(AND(ISNUMBER(J752),M752&lt;&gt;0),J752/M752,"")</x:f>
        <x:v>-1</x:v>
      </x:c>
      <x:c r="L752" s="10" t="str">
        <x:v>补货提醒</x:v>
      </x:c>
      <x:c r="M752" s="11" t="n">
        <x:v>9.417040358744394</x:v>
      </x:c>
      <x:c r="N752" s="10" t="n">
        <x:f>IF(AND(Z752="共同",COUNT(H752:I752)=2),H752-I752,"")</x:f>
        <x:v>-2</x:v>
      </x:c>
      <x:c r="O752" s="10" t="n">
        <x:v>2</x:v>
      </x:c>
      <x:c r="P752" s="10" t="n">
        <x:v>3</x:v>
      </x:c>
      <x:c r="Q752" s="10" t="n">
        <x:v>3</x:v>
      </x:c>
      <x:c r="R752" s="10" t="n">
        <x:v>5</x:v>
      </x:c>
      <x:c r="S752" s="10" t="n">
        <x:v>1</x:v>
      </x:c>
      <x:c r="T752" s="10" t="n">
        <x:v>0</x:v>
      </x:c>
      <x:c r="U752" s="10" t="n">
        <x:f>IF(AND(ISNUMBER(X752),X752&gt;=0,Y752&lt;&gt;1),X752,"")</x:f>
        <x:v>0</x:v>
      </x:c>
      <x:c r="V752" s="10" t="n">
        <x:v>0</x:v>
      </x:c>
      <x:c r="W752" s="10" t="n">
        <x:v>0</x:v>
      </x:c>
      <x:c r="X752" s="10" t="n">
        <x:v>0</x:v>
      </x:c>
      <x:c r="Y752" s="3" t="n">
        <x:v>0</x:v>
      </x:c>
      <x:c r="Z752" s="3" t="str">
        <x:v>共同</x:v>
      </x:c>
      <x:c r="AA752" s="3" t="str">
        <x:v>在售</x:v>
      </x:c>
      <x:c r="AB752" s="12" t="n">
        <x:f>IF(AND(Z752="共同",ISNUMBER(G752),ISNUMBER(AD752)),G752-AD752,"")</x:f>
        <x:v>0.09952380952380951</x:v>
      </x:c>
      <x:c r="AC752" s="3" t="str"/>
      <x:c r="AD752" s="12" t="n">
        <x:v>0.2123809523809524</x:v>
      </x:c>
      <x:c r="AE752" s="3" t="str">
        <x:v>[6574,"S02-TN-41"]</x:v>
      </x:c>
      <x:c r="AF752" t="n">
        <x:f>IF(ISNUMBER(H752),1,0)</x:f>
        <x:v>1</x:v>
      </x:c>
      <x:c r="AG752" t="n">
        <x:f>IF(ISNUMBER(I752),1,0)</x:f>
        <x:v>1</x:v>
      </x:c>
      <x:c r="AH752" t="str">
        <x:v>["S02","S02-TN","TN","驼色"]</x:v>
      </x:c>
      <x:c r="AI752" t="n">
        <x:f>IF(ISNUMBER(G752),1,0)</x:f>
        <x:v>1</x:v>
      </x:c>
      <x:c r="AJ752" t="n">
        <x:f>IF(ISNUMBER(AD752),1,0)</x:f>
        <x:v>1</x:v>
      </x:c>
    </x:row>
    <x:row r="753" ht="30" customHeight="1">
      <x:c r="A753" s="3" t="str">
        <x:v>S02-TNP1-41</x:v>
      </x:c>
      <x:c r="B753" s="3" t="str">
        <x:v>3店-SANDIEX-US</x:v>
      </x:c>
      <x:c r="C753" s="3" t="str">
        <x:v>陈晨</x:v>
      </x:c>
      <x:c r="D753" s="3" t="str">
        <x:v>S02</x:v>
      </x:c>
      <x:c r="E753" s="3" t="str">
        <x:f>IF(Z753="移出","已移出",IF(NOT(ISNUMBER(H753)),"数据待核",IF(H753=0,"断货",IF(NOT(ISNUMBER(G753)),"数据待核",IF(G753=0,"零日销待复核",IF(F753&lt;60,"补货提醒",IF(F753&lt;=90,"正常库存",IF(F753&lt;180,"促销",IF(F753&lt;=365,"红线促销","考虑清仓")))))))))</x:f>
        <x:v>断货</x:v>
      </x:c>
      <x:c r="F753" s="11" t="n">
        <x:f>IF(AND(ISNUMBER(H753),ISNUMBER(G753),G753&gt;0),H753/G753,"")</x:f>
        <x:v>0</x:v>
      </x:c>
      <x:c r="G753" s="12" t="n">
        <x:f>IF(AND(COUNT(P753:R753)=3,MIN(P753:R753)&gt;=0,P753&lt;=Q753,Q753&lt;=R753),P753/7*0.5+Q753/14*0.3+R753/30*0.2,"")</x:f>
        <x:v>0.3733333333333333</x:v>
      </x:c>
      <x:c r="H753" s="10" t="n">
        <x:f>IF(ISNUMBER(U753),U753,"")</x:f>
        <x:v>0</x:v>
      </x:c>
      <x:c r="I753" s="10" t="n">
        <x:v>3</x:v>
      </x:c>
      <x:c r="J753" s="11" t="n">
        <x:f>IF(AND(Z753="共同",ISNUMBER(F753),ISNUMBER(M753)),F753-M753,"")</x:f>
        <x:v>-6.237623762376238</x:v>
      </x:c>
      <x:c r="K753" s="13" t="n">
        <x:f>IF(AND(ISNUMBER(J753),M753&lt;&gt;0),J753/M753,"")</x:f>
        <x:v>-1</x:v>
      </x:c>
      <x:c r="L753" s="10" t="str">
        <x:v>补货提醒</x:v>
      </x:c>
      <x:c r="M753" s="11" t="n">
        <x:v>6.237623762376238</x:v>
      </x:c>
      <x:c r="N753" s="10" t="n">
        <x:f>IF(AND(Z753="共同",COUNT(H753:I753)=2),H753-I753,"")</x:f>
        <x:v>-3</x:v>
      </x:c>
      <x:c r="O753" s="10" t="n">
        <x:v>0</x:v>
      </x:c>
      <x:c r="P753" s="10" t="n">
        <x:v>3</x:v>
      </x:c>
      <x:c r="Q753" s="10" t="n">
        <x:v>4</x:v>
      </x:c>
      <x:c r="R753" s="10" t="n">
        <x:v>11</x:v>
      </x:c>
      <x:c r="S753" s="10" t="n">
        <x:v>1</x:v>
      </x:c>
      <x:c r="T753" s="10" t="n">
        <x:v>1</x:v>
      </x:c>
      <x:c r="U753" s="10" t="n">
        <x:f>IF(AND(ISNUMBER(X753),X753&gt;=0,Y753&lt;&gt;1),X753,"")</x:f>
        <x:v>0</x:v>
      </x:c>
      <x:c r="V753" s="10" t="n">
        <x:v>0</x:v>
      </x:c>
      <x:c r="W753" s="10" t="n">
        <x:v>0</x:v>
      </x:c>
      <x:c r="X753" s="10" t="n">
        <x:v>0</x:v>
      </x:c>
      <x:c r="Y753" s="3" t="n">
        <x:v>0</x:v>
      </x:c>
      <x:c r="Z753" s="3" t="str">
        <x:v>共同</x:v>
      </x:c>
      <x:c r="AA753" s="3" t="str">
        <x:v>在售</x:v>
      </x:c>
      <x:c r="AB753" s="12" t="n">
        <x:f>IF(AND(Z753="共同",ISNUMBER(G753),ISNUMBER(AD753)),G753-AD753,"")</x:f>
        <x:v>-0.10761904761904761</x:v>
      </x:c>
      <x:c r="AC753" s="3" t="str"/>
      <x:c r="AD753" s="12" t="n">
        <x:v>0.4809523809523809</x:v>
      </x:c>
      <x:c r="AE753" s="3" t="str">
        <x:v>[6574,"S02-TNP1-41"]</x:v>
      </x:c>
      <x:c r="AF753" t="n">
        <x:f>IF(ISNUMBER(H753),1,0)</x:f>
        <x:v>1</x:v>
      </x:c>
      <x:c r="AG753" t="n">
        <x:f>IF(ISNUMBER(I753),1,0)</x:f>
        <x:v>1</x:v>
      </x:c>
      <x:c r="AH753" t="str">
        <x:v>["S02","S02-TNP1","TNP1","驼色PU"]</x:v>
      </x:c>
      <x:c r="AI753" t="n">
        <x:f>IF(ISNUMBER(G753),1,0)</x:f>
        <x:v>1</x:v>
      </x:c>
      <x:c r="AJ753" t="n">
        <x:f>IF(ISNUMBER(AD753),1,0)</x:f>
        <x:v>1</x:v>
      </x:c>
    </x:row>
    <x:row r="754" ht="30" customHeight="1">
      <x:c r="A754" s="3" t="str">
        <x:v>S02a-BK-41</x:v>
      </x:c>
      <x:c r="B754" s="3" t="str">
        <x:v>3店-SANDIEX-US</x:v>
      </x:c>
      <x:c r="C754" s="3" t="str">
        <x:v>陈晨</x:v>
      </x:c>
      <x:c r="D754" s="3" t="str">
        <x:v>S02a</x:v>
      </x:c>
      <x:c r="E754" s="3" t="str">
        <x:f>IF(Z754="移出","已移出",IF(NOT(ISNUMBER(H754)),"数据待核",IF(H754=0,"断货",IF(NOT(ISNUMBER(G754)),"数据待核",IF(G754=0,"零日销待复核",IF(F754&lt;60,"补货提醒",IF(F754&lt;=90,"正常库存",IF(F754&lt;180,"促销",IF(F754&lt;=365,"红线促销","考虑清仓")))))))))</x:f>
        <x:v>断货</x:v>
      </x:c>
      <x:c r="F754" s="11" t="n">
        <x:f>IF(AND(ISNUMBER(H754),ISNUMBER(G754),G754&gt;0),H754/G754,"")</x:f>
        <x:v>0</x:v>
      </x:c>
      <x:c r="G754" s="12" t="n">
        <x:f>IF(AND(COUNT(P754:R754)=3,MIN(P754:R754)&gt;=0,P754&lt;=Q754,Q754&lt;=R754),P754/7*0.5+Q754/14*0.3+R754/30*0.2,"")</x:f>
        <x:v>0.048095238095238094</x:v>
      </x:c>
      <x:c r="H754" s="10" t="n">
        <x:f>IF(ISNUMBER(U754),U754,"")</x:f>
        <x:v>0</x:v>
      </x:c>
      <x:c r="I754" s="10" t="n">
        <x:v>1</x:v>
      </x:c>
      <x:c r="J754" s="11" t="n">
        <x:f>IF(AND(Z754="共同",ISNUMBER(F754),ISNUMBER(M754)),F754-M754,"")</x:f>
        <x:v>-9.589041095890412</x:v>
      </x:c>
      <x:c r="K754" s="13" t="n">
        <x:f>IF(AND(ISNUMBER(J754),M754&lt;&gt;0),J754/M754,"")</x:f>
        <x:v>-1</x:v>
      </x:c>
      <x:c r="L754" s="10" t="str">
        <x:v>补货提醒</x:v>
      </x:c>
      <x:c r="M754" s="11" t="n">
        <x:v>9.589041095890412</x:v>
      </x:c>
      <x:c r="N754" s="10" t="n">
        <x:f>IF(AND(Z754="共同",COUNT(H754:I754)=2),H754-I754,"")</x:f>
        <x:v>-1</x:v>
      </x:c>
      <x:c r="O754" s="10" t="n">
        <x:v>0</x:v>
      </x:c>
      <x:c r="P754" s="10" t="n">
        <x:v>0</x:v>
      </x:c>
      <x:c r="Q754" s="10" t="n">
        <x:v>1</x:v>
      </x:c>
      <x:c r="R754" s="10" t="n">
        <x:v>4</x:v>
      </x:c>
      <x:c r="S754" s="10" t="n">
        <x:v>0</x:v>
      </x:c>
      <x:c r="T754" s="10" t="n">
        <x:v>0</x:v>
      </x:c>
      <x:c r="U754" s="10" t="n">
        <x:f>IF(AND(ISNUMBER(X754),X754&gt;=0,Y754&lt;&gt;1),X754,"")</x:f>
        <x:v>0</x:v>
      </x:c>
      <x:c r="V754" s="10" t="n">
        <x:v>0</x:v>
      </x:c>
      <x:c r="W754" s="10" t="n">
        <x:v>0</x:v>
      </x:c>
      <x:c r="X754" s="10" t="n">
        <x:v>0</x:v>
      </x:c>
      <x:c r="Y754" s="3" t="n">
        <x:v>0</x:v>
      </x:c>
      <x:c r="Z754" s="3" t="str">
        <x:v>共同</x:v>
      </x:c>
      <x:c r="AA754" s="3" t="str">
        <x:v>停售</x:v>
      </x:c>
      <x:c r="AB754" s="12" t="n">
        <x:f>IF(AND(Z754="共同",ISNUMBER(G754),ISNUMBER(AD754)),G754-AD754,"")</x:f>
        <x:v>-0.05619047619047618</x:v>
      </x:c>
      <x:c r="AC754" s="3" t="str"/>
      <x:c r="AD754" s="12" t="n">
        <x:v>0.10428571428571427</x:v>
      </x:c>
      <x:c r="AE754" s="3" t="str">
        <x:v>[6574,"S02a-BK-41"]</x:v>
      </x:c>
      <x:c r="AF754" t="n">
        <x:f>IF(ISNUMBER(H754),1,0)</x:f>
        <x:v>1</x:v>
      </x:c>
      <x:c r="AG754" t="n">
        <x:f>IF(ISNUMBER(I754),1,0)</x:f>
        <x:v>1</x:v>
      </x:c>
      <x:c r="AH754" t="str">
        <x:v>["S02a","S02a-BK","BK","黑色"]</x:v>
      </x:c>
      <x:c r="AI754" t="n">
        <x:f>IF(ISNUMBER(G754),1,0)</x:f>
        <x:v>1</x:v>
      </x:c>
      <x:c r="AJ754" t="n">
        <x:f>IF(ISNUMBER(AD754),1,0)</x:f>
        <x:v>1</x:v>
      </x:c>
    </x:row>
    <x:row r="755" ht="30" customHeight="1">
      <x:c r="A755" s="3" t="str">
        <x:v>S02a-BK-42</x:v>
      </x:c>
      <x:c r="B755" s="3" t="str">
        <x:v>3店-SANDIEX-US</x:v>
      </x:c>
      <x:c r="C755" s="3" t="str">
        <x:v>陈晨</x:v>
      </x:c>
      <x:c r="D755" s="3" t="str">
        <x:v>S02a</x:v>
      </x:c>
      <x:c r="E755" s="3" t="str">
        <x:f>IF(Z755="移出","已移出",IF(NOT(ISNUMBER(H755)),"数据待核",IF(H755=0,"断货",IF(NOT(ISNUMBER(G755)),"数据待核",IF(G755=0,"零日销待复核",IF(F755&lt;60,"补货提醒",IF(F755&lt;=90,"正常库存",IF(F755&lt;180,"促销",IF(F755&lt;=365,"红线促销","考虑清仓")))))))))</x:f>
        <x:v>断货</x:v>
      </x:c>
      <x:c r="F755" s="11" t="n">
        <x:f>IF(AND(ISNUMBER(H755),ISNUMBER(G755),G755&gt;0),H755/G755,"")</x:f>
        <x:v>0</x:v>
      </x:c>
      <x:c r="G755" s="12" t="n">
        <x:f>IF(AND(COUNT(P755:R755)=3,MIN(P755:R755)&gt;=0,P755&lt;=Q755,Q755&lt;=R755),P755/7*0.5+Q755/14*0.3+R755/30*0.2,"")</x:f>
        <x:v>0.14095238095238094</x:v>
      </x:c>
      <x:c r="H755" s="10" t="n">
        <x:f>IF(ISNUMBER(U755),U755,"")</x:f>
        <x:v>0</x:v>
      </x:c>
      <x:c r="I755" s="10" t="n">
        <x:v>0</x:v>
      </x:c>
      <x:c r="J755" s="11" t="n">
        <x:f>IF(AND(Z755="共同",ISNUMBER(F755),ISNUMBER(M755)),F755-M755,"")</x:f>
        <x:v>0</x:v>
      </x:c>
      <x:c r="K755" s="13" t="str">
        <x:f>IF(AND(ISNUMBER(J755),M755&lt;&gt;0),J755/M755,"")</x:f>
      </x:c>
      <x:c r="L755" s="10" t="str">
        <x:v>断货</x:v>
      </x:c>
      <x:c r="M755" s="11" t="n">
        <x:v>0</x:v>
      </x:c>
      <x:c r="N755" s="10" t="n">
        <x:f>IF(AND(Z755="共同",COUNT(H755:I755)=2),H755-I755,"")</x:f>
        <x:v>0</x:v>
      </x:c>
      <x:c r="O755" s="10" t="n">
        <x:v>1</x:v>
      </x:c>
      <x:c r="P755" s="10" t="n">
        <x:v>1</x:v>
      </x:c>
      <x:c r="Q755" s="10" t="n">
        <x:v>2</x:v>
      </x:c>
      <x:c r="R755" s="10" t="n">
        <x:v>4</x:v>
      </x:c>
      <x:c r="S755" s="10" t="n">
        <x:v>0</x:v>
      </x:c>
      <x:c r="T755" s="10" t="n">
        <x:v>0</x:v>
      </x:c>
      <x:c r="U755" s="10" t="n">
        <x:f>IF(AND(ISNUMBER(X755),X755&gt;=0,Y755&lt;&gt;1),X755,"")</x:f>
        <x:v>0</x:v>
      </x:c>
      <x:c r="V755" s="10" t="n">
        <x:v>0</x:v>
      </x:c>
      <x:c r="W755" s="10" t="n">
        <x:v>12</x:v>
      </x:c>
      <x:c r="X755" s="10" t="n">
        <x:v>0</x:v>
      </x:c>
      <x:c r="Y755" s="3" t="n">
        <x:v>0</x:v>
      </x:c>
      <x:c r="Z755" s="3" t="str">
        <x:v>共同</x:v>
      </x:c>
      <x:c r="AA755" s="3" t="str">
        <x:v>在售</x:v>
      </x:c>
      <x:c r="AB755" s="12" t="n">
        <x:f>IF(AND(Z755="共同",ISNUMBER(G755),ISNUMBER(AD755)),G755-AD755,"")</x:f>
        <x:v>0.09285714285714285</x:v>
      </x:c>
      <x:c r="AC755" s="3" t="str"/>
      <x:c r="AD755" s="12" t="n">
        <x:v>0.048095238095238094</x:v>
      </x:c>
      <x:c r="AE755" s="3" t="str">
        <x:v>[6574,"S02a-BK-42"]</x:v>
      </x:c>
      <x:c r="AF755" t="n">
        <x:f>IF(ISNUMBER(H755),1,0)</x:f>
        <x:v>1</x:v>
      </x:c>
      <x:c r="AG755" t="n">
        <x:f>IF(ISNUMBER(I755),1,0)</x:f>
        <x:v>1</x:v>
      </x:c>
      <x:c r="AH755" t="str">
        <x:v>["S02a","S02a-BK","BK","黑色"]</x:v>
      </x:c>
      <x:c r="AI755" t="n">
        <x:f>IF(ISNUMBER(G755),1,0)</x:f>
        <x:v>1</x:v>
      </x:c>
      <x:c r="AJ755" t="n">
        <x:f>IF(ISNUMBER(AD755),1,0)</x:f>
        <x:v>1</x:v>
      </x:c>
    </x:row>
    <x:row r="756" ht="30" customHeight="1">
      <x:c r="A756" s="3" t="str">
        <x:v>S02a-ND1-41</x:v>
      </x:c>
      <x:c r="B756" s="3" t="str">
        <x:v>3店-SANDIEX-US</x:v>
      </x:c>
      <x:c r="C756" s="3" t="str">
        <x:v>陈晨</x:v>
      </x:c>
      <x:c r="D756" s="3" t="str">
        <x:v>S02a</x:v>
      </x:c>
      <x:c r="E756" s="3" t="str">
        <x:f>IF(Z756="移出","已移出",IF(NOT(ISNUMBER(H756)),"数据待核",IF(H756=0,"断货",IF(NOT(ISNUMBER(G756)),"数据待核",IF(G756=0,"零日销待复核",IF(F756&lt;60,"补货提醒",IF(F756&lt;=90,"正常库存",IF(F756&lt;180,"促销",IF(F756&lt;=365,"红线促销","考虑清仓")))))))))</x:f>
        <x:v>断货</x:v>
      </x:c>
      <x:c r="F756" s="11" t="n">
        <x:f>IF(AND(ISNUMBER(H756),ISNUMBER(G756),G756&gt;0),H756/G756,"")</x:f>
        <x:v>0</x:v>
      </x:c>
      <x:c r="G756" s="12" t="n">
        <x:f>IF(AND(COUNT(P756:R756)=3,MIN(P756:R756)&gt;=0,P756&lt;=Q756,Q756&lt;=R756),P756/7*0.5+Q756/14*0.3+R756/30*0.2,"")</x:f>
        <x:v>0.06952380952380952</x:v>
      </x:c>
      <x:c r="H756" s="10" t="n">
        <x:f>IF(ISNUMBER(U756),U756,"")</x:f>
        <x:v>0</x:v>
      </x:c>
      <x:c r="I756" s="10"/>
      <x:c r="J756" s="11" t="str">
        <x:f>IF(AND(Z756="共同",ISNUMBER(F756),ISNUMBER(M756)),F756-M756,"")</x:f>
      </x:c>
      <x:c r="K756" s="13" t="str">
        <x:f>IF(AND(ISNUMBER(J756),M756&lt;&gt;0),J756/M756,"")</x:f>
      </x:c>
      <x:c r="L756" s="10"/>
      <x:c r="M756" s="11"/>
      <x:c r="N756" s="10" t="str">
        <x:f>IF(AND(Z756="共同",COUNT(H756:I756)=2),H756-I756,"")</x:f>
      </x:c>
      <x:c r="O756" s="10" t="n">
        <x:v>0</x:v>
      </x:c>
      <x:c r="P756" s="10" t="n">
        <x:v>0</x:v>
      </x:c>
      <x:c r="Q756" s="10" t="n">
        <x:v>2</x:v>
      </x:c>
      <x:c r="R756" s="10" t="n">
        <x:v>4</x:v>
      </x:c>
      <x:c r="S756" s="10" t="n">
        <x:v>0</x:v>
      </x:c>
      <x:c r="T756" s="10" t="n">
        <x:v>0</x:v>
      </x:c>
      <x:c r="U756" s="10" t="n">
        <x:f>IF(AND(ISNUMBER(X756),X756&gt;=0,Y756&lt;&gt;1),X756,"")</x:f>
        <x:v>0</x:v>
      </x:c>
      <x:c r="V756" s="10" t="n">
        <x:v>0</x:v>
      </x:c>
      <x:c r="W756" s="10" t="n">
        <x:v>0</x:v>
      </x:c>
      <x:c r="X756" s="10" t="n">
        <x:v>0</x:v>
      </x:c>
      <x:c r="Y756" s="3" t="n">
        <x:v>0</x:v>
      </x:c>
      <x:c r="Z756" s="3" t="str">
        <x:v>新增</x:v>
      </x:c>
      <x:c r="AA756" s="3" t="str">
        <x:v>停售</x:v>
      </x:c>
      <x:c r="AB756" s="12" t="str">
        <x:f>IF(AND(Z756="共同",ISNUMBER(G756),ISNUMBER(AD756)),G756-AD756,"")</x:f>
      </x:c>
      <x:c r="AC756" s="3" t="str"/>
      <x:c r="AD756" s="12"/>
      <x:c r="AE756" s="3" t="str">
        <x:v>[6574,"S02a-ND1-41"]</x:v>
      </x:c>
      <x:c r="AF756" t="n">
        <x:f>IF(ISNUMBER(H756),1,0)</x:f>
        <x:v>1</x:v>
      </x:c>
      <x:c r="AG756" t="n">
        <x:f>IF(ISNUMBER(I756),1,0)</x:f>
        <x:v>0</x:v>
      </x:c>
      <x:c r="AH756" t="str">
        <x:v>["S02a","S02a-ND1","ND1","裸色"]</x:v>
      </x:c>
      <x:c r="AI756" t="n">
        <x:f>IF(ISNUMBER(G756),1,0)</x:f>
        <x:v>1</x:v>
      </x:c>
      <x:c r="AJ756" t="n">
        <x:f>IF(ISNUMBER(AD756),1,0)</x:f>
        <x:v>0</x:v>
      </x:c>
    </x:row>
    <x:row r="757" ht="30" customHeight="1">
      <x:c r="A757" s="3" t="str">
        <x:v>S02a-WT1-37</x:v>
      </x:c>
      <x:c r="B757" s="3" t="str">
        <x:v>3店-SANDIEX-US</x:v>
      </x:c>
      <x:c r="C757" s="3" t="str">
        <x:v>陈晨</x:v>
      </x:c>
      <x:c r="D757" s="3" t="str">
        <x:v>S02a</x:v>
      </x:c>
      <x:c r="E757" s="3" t="str">
        <x:f>IF(Z757="移出","已移出",IF(NOT(ISNUMBER(H757)),"数据待核",IF(H757=0,"断货",IF(NOT(ISNUMBER(G757)),"数据待核",IF(G757=0,"零日销待复核",IF(F757&lt;60,"补货提醒",IF(F757&lt;=90,"正常库存",IF(F757&lt;180,"促销",IF(F757&lt;=365,"红线促销","考虑清仓")))))))))</x:f>
        <x:v>断货</x:v>
      </x:c>
      <x:c r="F757" s="11" t="str">
        <x:f>IF(AND(ISNUMBER(H757),ISNUMBER(G757),G757&gt;0),H757/G757,"")</x:f>
      </x:c>
      <x:c r="G757" s="12" t="n">
        <x:f>IF(AND(COUNT(P757:R757)=3,MIN(P757:R757)&gt;=0,P757&lt;=Q757,Q757&lt;=R757),P757/7*0.5+Q757/14*0.3+R757/30*0.2,"")</x:f>
        <x:v>0</x:v>
      </x:c>
      <x:c r="H757" s="10" t="n">
        <x:f>IF(ISNUMBER(U757),U757,"")</x:f>
        <x:v>0</x:v>
      </x:c>
      <x:c r="I757" s="10"/>
      <x:c r="J757" s="11" t="str">
        <x:f>IF(AND(Z757="共同",ISNUMBER(F757),ISNUMBER(M757)),F757-M757,"")</x:f>
      </x:c>
      <x:c r="K757" s="13" t="str">
        <x:f>IF(AND(ISNUMBER(J757),M757&lt;&gt;0),J757/M757,"")</x:f>
      </x:c>
      <x:c r="L757" s="10"/>
      <x:c r="M757" s="11"/>
      <x:c r="N757" s="10" t="str">
        <x:f>IF(AND(Z757="共同",COUNT(H757:I757)=2),H757-I757,"")</x:f>
      </x:c>
      <x:c r="O757" s="10" t="n">
        <x:v>30</x:v>
      </x:c>
      <x:c r="P757" s="10" t="n">
        <x:v>0</x:v>
      </x:c>
      <x:c r="Q757" s="10" t="n">
        <x:v>0</x:v>
      </x:c>
      <x:c r="R757" s="10" t="n">
        <x:v>0</x:v>
      </x:c>
      <x:c r="S757" s="10" t="n">
        <x:v>0</x:v>
      </x:c>
      <x:c r="T757" s="10" t="n">
        <x:v>0</x:v>
      </x:c>
      <x:c r="U757" s="10" t="n">
        <x:f>IF(AND(ISNUMBER(X757),X757&gt;=0,Y757&lt;&gt;1),X757,"")</x:f>
        <x:v>0</x:v>
      </x:c>
      <x:c r="V757" s="10" t="n">
        <x:v>0</x:v>
      </x:c>
      <x:c r="W757" s="10" t="n">
        <x:v>0</x:v>
      </x:c>
      <x:c r="X757" s="10" t="n">
        <x:v>0</x:v>
      </x:c>
      <x:c r="Y757" s="3" t="n">
        <x:v>0</x:v>
      </x:c>
      <x:c r="Z757" s="3" t="str">
        <x:v>新增</x:v>
      </x:c>
      <x:c r="AA757" s="3" t="str">
        <x:v>在售</x:v>
      </x:c>
      <x:c r="AB757" s="12" t="str">
        <x:f>IF(AND(Z757="共同",ISNUMBER(G757),ISNUMBER(AD757)),G757-AD757,"")</x:f>
      </x:c>
      <x:c r="AC757" s="3" t="str">
        <x:v>近90天SKU销量未匹配，未按0处理</x:v>
      </x:c>
      <x:c r="AD757" s="12"/>
      <x:c r="AE757" s="3" t="str">
        <x:v>[6574,"S02a-WT1-37"]</x:v>
      </x:c>
      <x:c r="AF757" t="n">
        <x:f>IF(ISNUMBER(H757),1,0)</x:f>
        <x:v>1</x:v>
      </x:c>
      <x:c r="AG757" t="n">
        <x:f>IF(ISNUMBER(I757),1,0)</x:f>
        <x:v>0</x:v>
      </x:c>
      <x:c r="AH757" t="str">
        <x:v>["S02a","S02a-WT1","WT1","白色PU"]</x:v>
      </x:c>
      <x:c r="AI757" t="n">
        <x:f>IF(ISNUMBER(G757),1,0)</x:f>
        <x:v>1</x:v>
      </x:c>
      <x:c r="AJ757" t="n">
        <x:f>IF(ISNUMBER(AD757),1,0)</x:f>
        <x:v>0</x:v>
      </x:c>
    </x:row>
    <x:row r="758" ht="30" customHeight="1">
      <x:c r="A758" s="3" t="str">
        <x:v>S02b-BK-41</x:v>
      </x:c>
      <x:c r="B758" s="3" t="str">
        <x:v>3店-SANDIEX-US</x:v>
      </x:c>
      <x:c r="C758" s="3" t="str">
        <x:v>陈晨</x:v>
      </x:c>
      <x:c r="D758" s="3" t="str">
        <x:v>S02b</x:v>
      </x:c>
      <x:c r="E758" s="3" t="str">
        <x:f>IF(Z758="移出","已移出",IF(NOT(ISNUMBER(H758)),"数据待核",IF(H758=0,"断货",IF(NOT(ISNUMBER(G758)),"数据待核",IF(G758=0,"零日销待复核",IF(F758&lt;60,"补货提醒",IF(F758&lt;=90,"正常库存",IF(F758&lt;180,"促销",IF(F758&lt;=365,"红线促销","考虑清仓")))))))))</x:f>
        <x:v>断货</x:v>
      </x:c>
      <x:c r="F758" s="11" t="n">
        <x:f>IF(AND(ISNUMBER(H758),ISNUMBER(G758),G758&gt;0),H758/G758,"")</x:f>
        <x:v>0</x:v>
      </x:c>
      <x:c r="G758" s="12" t="n">
        <x:f>IF(AND(COUNT(P758:R758)=3,MIN(P758:R758)&gt;=0,P758&lt;=Q758,Q758&lt;=R758),P758/7*0.5+Q758/14*0.3+R758/30*0.2,"")</x:f>
        <x:v>0.09095238095238095</x:v>
      </x:c>
      <x:c r="H758" s="10" t="n">
        <x:f>IF(ISNUMBER(U758),U758,"")</x:f>
        <x:v>0</x:v>
      </x:c>
      <x:c r="I758" s="10" t="n">
        <x:v>2</x:v>
      </x:c>
      <x:c r="J758" s="11" t="n">
        <x:f>IF(AND(Z758="共同",ISNUMBER(F758),ISNUMBER(M758)),F758-M758,"")</x:f>
        <x:v>-16.733067729083665</x:v>
      </x:c>
      <x:c r="K758" s="13" t="n">
        <x:f>IF(AND(ISNUMBER(J758),M758&lt;&gt;0),J758/M758,"")</x:f>
        <x:v>-1</x:v>
      </x:c>
      <x:c r="L758" s="10" t="str">
        <x:v>补货提醒</x:v>
      </x:c>
      <x:c r="M758" s="11" t="n">
        <x:v>16.733067729083665</x:v>
      </x:c>
      <x:c r="N758" s="10" t="n">
        <x:f>IF(AND(Z758="共同",COUNT(H758:I758)=2),H758-I758,"")</x:f>
        <x:v>-2</x:v>
      </x:c>
      <x:c r="O758" s="10" t="n">
        <x:v>110</x:v>
      </x:c>
      <x:c r="P758" s="10" t="n">
        <x:v>0</x:v>
      </x:c>
      <x:c r="Q758" s="10" t="n">
        <x:v>3</x:v>
      </x:c>
      <x:c r="R758" s="10" t="n">
        <x:v>4</x:v>
      </x:c>
      <x:c r="S758" s="10" t="n">
        <x:v>42</x:v>
      </x:c>
      <x:c r="T758" s="10" t="n">
        <x:v>0</x:v>
      </x:c>
      <x:c r="U758" s="10" t="n">
        <x:f>IF(AND(ISNUMBER(X758),X758&gt;=0,Y758&lt;&gt;1),X758,"")</x:f>
        <x:v>0</x:v>
      </x:c>
      <x:c r="V758" s="10" t="n">
        <x:v>0</x:v>
      </x:c>
      <x:c r="W758" s="10" t="n">
        <x:v>0</x:v>
      </x:c>
      <x:c r="X758" s="10" t="n">
        <x:v>0</x:v>
      </x:c>
      <x:c r="Y758" s="3" t="n">
        <x:v>0</x:v>
      </x:c>
      <x:c r="Z758" s="3" t="str">
        <x:v>共同</x:v>
      </x:c>
      <x:c r="AA758" s="3" t="str">
        <x:v>在售</x:v>
      </x:c>
      <x:c r="AB758" s="12" t="n">
        <x:f>IF(AND(Z758="共同",ISNUMBER(G758),ISNUMBER(AD758)),G758-AD758,"")</x:f>
        <x:v>-0.028571428571428567</x:v>
      </x:c>
      <x:c r="AC758" s="3" t="str"/>
      <x:c r="AD758" s="12" t="n">
        <x:v>0.11952380952380952</x:v>
      </x:c>
      <x:c r="AE758" s="3" t="str">
        <x:v>[6574,"S02b-BK-41"]</x:v>
      </x:c>
      <x:c r="AF758" t="n">
        <x:f>IF(ISNUMBER(H758),1,0)</x:f>
        <x:v>1</x:v>
      </x:c>
      <x:c r="AG758" t="n">
        <x:f>IF(ISNUMBER(I758),1,0)</x:f>
        <x:v>1</x:v>
      </x:c>
      <x:c r="AH758" t="str">
        <x:v>["S02b","S02b-BK","BK","黑色"]</x:v>
      </x:c>
      <x:c r="AI758" t="n">
        <x:f>IF(ISNUMBER(G758),1,0)</x:f>
        <x:v>1</x:v>
      </x:c>
      <x:c r="AJ758" t="n">
        <x:f>IF(ISNUMBER(AD758),1,0)</x:f>
        <x:v>1</x:v>
      </x:c>
    </x:row>
    <x:row r="759" ht="30" customHeight="1">
      <x:c r="A759" s="3" t="str">
        <x:v>S02b-BK1-40</x:v>
      </x:c>
      <x:c r="B759" s="3" t="str">
        <x:v>3店-SANDIEX-US</x:v>
      </x:c>
      <x:c r="C759" s="3" t="str">
        <x:v>陈晨</x:v>
      </x:c>
      <x:c r="D759" s="3" t="str">
        <x:v>S02b</x:v>
      </x:c>
      <x:c r="E759" s="3" t="str">
        <x:f>IF(Z759="移出","已移出",IF(NOT(ISNUMBER(H759)),"数据待核",IF(H759=0,"断货",IF(NOT(ISNUMBER(G759)),"数据待核",IF(G759=0,"零日销待复核",IF(F759&lt;60,"补货提醒",IF(F759&lt;=90,"正常库存",IF(F759&lt;180,"促销",IF(F759&lt;=365,"红线促销","考虑清仓")))))))))</x:f>
        <x:v>断货</x:v>
      </x:c>
      <x:c r="F759" s="11" t="n">
        <x:f>IF(AND(ISNUMBER(H759),ISNUMBER(G759),G759&gt;0),H759/G759,"")</x:f>
        <x:v>0</x:v>
      </x:c>
      <x:c r="G759" s="12" t="n">
        <x:f>IF(AND(COUNT(P759:R759)=3,MIN(P759:R759)&gt;=0,P759&lt;=Q759,Q759&lt;=R759),P759/7*0.5+Q759/14*0.3+R759/30*0.2,"")</x:f>
        <x:v>0.1276190476190476</x:v>
      </x:c>
      <x:c r="H759" s="10" t="n">
        <x:f>IF(ISNUMBER(U759),U759,"")</x:f>
        <x:v>0</x:v>
      </x:c>
      <x:c r="I759" s="10"/>
      <x:c r="J759" s="11" t="str">
        <x:f>IF(AND(Z759="共同",ISNUMBER(F759),ISNUMBER(M759)),F759-M759,"")</x:f>
      </x:c>
      <x:c r="K759" s="13" t="str">
        <x:f>IF(AND(ISNUMBER(J759),M759&lt;&gt;0),J759/M759,"")</x:f>
      </x:c>
      <x:c r="L759" s="10"/>
      <x:c r="M759" s="11"/>
      <x:c r="N759" s="10" t="str">
        <x:f>IF(AND(Z759="共同",COUNT(H759:I759)=2),H759-I759,"")</x:f>
      </x:c>
      <x:c r="O759" s="10" t="n">
        <x:v>0</x:v>
      </x:c>
      <x:c r="P759" s="10" t="n">
        <x:v>1</x:v>
      </x:c>
      <x:c r="Q759" s="10" t="n">
        <x:v>2</x:v>
      </x:c>
      <x:c r="R759" s="10" t="n">
        <x:v>2</x:v>
      </x:c>
      <x:c r="S759" s="10" t="n">
        <x:v>0</x:v>
      </x:c>
      <x:c r="T759" s="10" t="n">
        <x:v>0</x:v>
      </x:c>
      <x:c r="U759" s="10" t="n">
        <x:f>IF(AND(ISNUMBER(X759),X759&gt;=0,Y759&lt;&gt;1),X759,"")</x:f>
        <x:v>0</x:v>
      </x:c>
      <x:c r="V759" s="10" t="n">
        <x:v>0</x:v>
      </x:c>
      <x:c r="W759" s="10" t="n">
        <x:v>0</x:v>
      </x:c>
      <x:c r="X759" s="10" t="n">
        <x:v>0</x:v>
      </x:c>
      <x:c r="Y759" s="3" t="n">
        <x:v>0</x:v>
      </x:c>
      <x:c r="Z759" s="3" t="str">
        <x:v>新增</x:v>
      </x:c>
      <x:c r="AA759" s="3" t="str">
        <x:v>停售</x:v>
      </x:c>
      <x:c r="AB759" s="12" t="str">
        <x:f>IF(AND(Z759="共同",ISNUMBER(G759),ISNUMBER(AD759)),G759-AD759,"")</x:f>
      </x:c>
      <x:c r="AC759" s="3" t="str"/>
      <x:c r="AD759" s="12"/>
      <x:c r="AE759" s="3" t="str">
        <x:v>[6574,"S02b-BK1-40"]</x:v>
      </x:c>
      <x:c r="AF759" t="n">
        <x:f>IF(ISNUMBER(H759),1,0)</x:f>
        <x:v>1</x:v>
      </x:c>
      <x:c r="AG759" t="n">
        <x:f>IF(ISNUMBER(I759),1,0)</x:f>
        <x:v>0</x:v>
      </x:c>
      <x:c r="AH759" t="str">
        <x:v>["S02b","S02b-BK1","BK1","黑色"]</x:v>
      </x:c>
      <x:c r="AI759" t="n">
        <x:f>IF(ISNUMBER(G759),1,0)</x:f>
        <x:v>1</x:v>
      </x:c>
      <x:c r="AJ759" t="n">
        <x:f>IF(ISNUMBER(AD759),1,0)</x:f>
        <x:v>0</x:v>
      </x:c>
    </x:row>
    <x:row r="760" ht="30" customHeight="1">
      <x:c r="A760" s="3" t="str">
        <x:v>S02b-LP1-41</x:v>
      </x:c>
      <x:c r="B760" s="3" t="str">
        <x:v>3店-SANDIEX-US</x:v>
      </x:c>
      <x:c r="C760" s="3" t="str">
        <x:v>陈晨</x:v>
      </x:c>
      <x:c r="D760" s="3" t="str">
        <x:v>S02b</x:v>
      </x:c>
      <x:c r="E760" s="3" t="str">
        <x:f>IF(Z760="移出","已移出",IF(NOT(ISNUMBER(H760)),"数据待核",IF(H760=0,"断货",IF(NOT(ISNUMBER(G760)),"数据待核",IF(G760=0,"零日销待复核",IF(F760&lt;60,"补货提醒",IF(F760&lt;=90,"正常库存",IF(F760&lt;180,"促销",IF(F760&lt;=365,"红线促销","考虑清仓")))))))))</x:f>
        <x:v>断货</x:v>
      </x:c>
      <x:c r="F760" s="11" t="n">
        <x:f>IF(AND(ISNUMBER(H760),ISNUMBER(G760),G760&gt;0),H760/G760,"")</x:f>
        <x:v>0</x:v>
      </x:c>
      <x:c r="G760" s="12" t="n">
        <x:f>IF(AND(COUNT(P760:R760)=3,MIN(P760:R760)&gt;=0,P760&lt;=Q760,Q760&lt;=R760),P760/7*0.5+Q760/14*0.3+R760/30*0.2,"")</x:f>
        <x:v>0.760952380952381</x:v>
      </x:c>
      <x:c r="H760" s="10" t="n">
        <x:f>IF(ISNUMBER(U760),U760,"")</x:f>
        <x:v>0</x:v>
      </x:c>
      <x:c r="I760" s="10"/>
      <x:c r="J760" s="11" t="str">
        <x:f>IF(AND(Z760="共同",ISNUMBER(F760),ISNUMBER(M760)),F760-M760,"")</x:f>
      </x:c>
      <x:c r="K760" s="13" t="str">
        <x:f>IF(AND(ISNUMBER(J760),M760&lt;&gt;0),J760/M760,"")</x:f>
      </x:c>
      <x:c r="L760" s="10"/>
      <x:c r="M760" s="11"/>
      <x:c r="N760" s="10" t="str">
        <x:f>IF(AND(Z760="共同",COUNT(H760:I760)=2),H760-I760,"")</x:f>
      </x:c>
      <x:c r="O760" s="10" t="n">
        <x:v>0</x:v>
      </x:c>
      <x:c r="P760" s="10" t="n">
        <x:v>5</x:v>
      </x:c>
      <x:c r="Q760" s="10" t="n">
        <x:v>12</x:v>
      </x:c>
      <x:c r="R760" s="10" t="n">
        <x:v>22</x:v>
      </x:c>
      <x:c r="S760" s="10" t="n">
        <x:v>2</x:v>
      </x:c>
      <x:c r="T760" s="10" t="n">
        <x:v>1</x:v>
      </x:c>
      <x:c r="U760" s="10" t="n">
        <x:f>IF(AND(ISNUMBER(X760),X760&gt;=0,Y760&lt;&gt;1),X760,"")</x:f>
        <x:v>0</x:v>
      </x:c>
      <x:c r="V760" s="10" t="n">
        <x:v>0</x:v>
      </x:c>
      <x:c r="W760" s="10" t="n">
        <x:v>0</x:v>
      </x:c>
      <x:c r="X760" s="10" t="n">
        <x:v>0</x:v>
      </x:c>
      <x:c r="Y760" s="3" t="n">
        <x:v>0</x:v>
      </x:c>
      <x:c r="Z760" s="3" t="str">
        <x:v>新增</x:v>
      </x:c>
      <x:c r="AA760" s="3" t="str">
        <x:v>在售</x:v>
      </x:c>
      <x:c r="AB760" s="12" t="str">
        <x:f>IF(AND(Z760="共同",ISNUMBER(G760),ISNUMBER(AD760)),G760-AD760,"")</x:f>
      </x:c>
      <x:c r="AC760" s="3" t="str"/>
      <x:c r="AD760" s="12"/>
      <x:c r="AE760" s="3" t="str">
        <x:v>[6574,"S02b-LP1-41"]</x:v>
      </x:c>
      <x:c r="AF760" t="n">
        <x:f>IF(ISNUMBER(H760),1,0)</x:f>
        <x:v>1</x:v>
      </x:c>
      <x:c r="AG760" t="n">
        <x:f>IF(ISNUMBER(I760),1,0)</x:f>
        <x:v>0</x:v>
      </x:c>
      <x:c r="AH760" t="str">
        <x:v>["S02b","S02b-LP1","LP1","豹纹"]</x:v>
      </x:c>
      <x:c r="AI760" t="n">
        <x:f>IF(ISNUMBER(G760),1,0)</x:f>
        <x:v>1</x:v>
      </x:c>
      <x:c r="AJ760" t="n">
        <x:f>IF(ISNUMBER(AD760),1,0)</x:f>
        <x:v>0</x:v>
      </x:c>
    </x:row>
    <x:row r="761" ht="30" customHeight="1">
      <x:c r="A761" s="3" t="str">
        <x:v>S02b-ND-42</x:v>
      </x:c>
      <x:c r="B761" s="3" t="str">
        <x:v>3店-SANDIEX-US</x:v>
      </x:c>
      <x:c r="C761" s="3" t="str">
        <x:v>陈晨</x:v>
      </x:c>
      <x:c r="D761" s="3" t="str">
        <x:v>S02b</x:v>
      </x:c>
      <x:c r="E761" s="3" t="str">
        <x:f>IF(Z761="移出","已移出",IF(NOT(ISNUMBER(H761)),"数据待核",IF(H761=0,"断货",IF(NOT(ISNUMBER(G761)),"数据待核",IF(G761=0,"零日销待复核",IF(F761&lt;60,"补货提醒",IF(F761&lt;=90,"正常库存",IF(F761&lt;180,"促销",IF(F761&lt;=365,"红线促销","考虑清仓")))))))))</x:f>
        <x:v>断货</x:v>
      </x:c>
      <x:c r="F761" s="11" t="n">
        <x:f>IF(AND(ISNUMBER(H761),ISNUMBER(G761),G761&gt;0),H761/G761,"")</x:f>
        <x:v>0</x:v>
      </x:c>
      <x:c r="G761" s="12" t="n">
        <x:f>IF(AND(COUNT(P761:R761)=3,MIN(P761:R761)&gt;=0,P761&lt;=Q761,Q761&lt;=R761),P761/7*0.5+Q761/14*0.3+R761/30*0.2,"")</x:f>
        <x:v>0.09952380952380951</x:v>
      </x:c>
      <x:c r="H761" s="10" t="n">
        <x:f>IF(ISNUMBER(U761),U761,"")</x:f>
        <x:v>0</x:v>
      </x:c>
      <x:c r="I761" s="10" t="n">
        <x:v>0</x:v>
      </x:c>
      <x:c r="J761" s="11" t="str">
        <x:f>IF(AND(Z761="共同",ISNUMBER(F761),ISNUMBER(M761)),F761-M761,"")</x:f>
      </x:c>
      <x:c r="K761" s="13" t="str">
        <x:f>IF(AND(ISNUMBER(J761),M761&lt;&gt;0),J761/M761,"")</x:f>
      </x:c>
      <x:c r="L761" s="10" t="str">
        <x:v>断货</x:v>
      </x:c>
      <x:c r="M761" s="11"/>
      <x:c r="N761" s="10" t="n">
        <x:f>IF(AND(Z761="共同",COUNT(H761:I761)=2),H761-I761,"")</x:f>
        <x:v>0</x:v>
      </x:c>
      <x:c r="O761" s="10" t="n">
        <x:v>35</x:v>
      </x:c>
      <x:c r="P761" s="10" t="n">
        <x:v>1</x:v>
      </x:c>
      <x:c r="Q761" s="10" t="n">
        <x:v>1</x:v>
      </x:c>
      <x:c r="R761" s="10" t="n">
        <x:v>1</x:v>
      </x:c>
      <x:c r="S761" s="10" t="n">
        <x:v>20</x:v>
      </x:c>
      <x:c r="T761" s="10" t="n">
        <x:v>1</x:v>
      </x:c>
      <x:c r="U761" s="10" t="n">
        <x:f>IF(AND(ISNUMBER(X761),X761&gt;=0,Y761&lt;&gt;1),X761,"")</x:f>
        <x:v>0</x:v>
      </x:c>
      <x:c r="V761" s="10" t="n">
        <x:v>0</x:v>
      </x:c>
      <x:c r="W761" s="10" t="n">
        <x:v>0</x:v>
      </x:c>
      <x:c r="X761" s="10" t="n">
        <x:v>0</x:v>
      </x:c>
      <x:c r="Y761" s="3" t="n">
        <x:v>0</x:v>
      </x:c>
      <x:c r="Z761" s="3" t="str">
        <x:v>共同</x:v>
      </x:c>
      <x:c r="AA761" s="3" t="str">
        <x:v>在售</x:v>
      </x:c>
      <x:c r="AB761" s="12" t="n">
        <x:f>IF(AND(Z761="共同",ISNUMBER(G761),ISNUMBER(AD761)),G761-AD761,"")</x:f>
        <x:v>0.09952380952380951</x:v>
      </x:c>
      <x:c r="AC761" s="3" t="str"/>
      <x:c r="AD761" s="12" t="n">
        <x:v>0</x:v>
      </x:c>
      <x:c r="AE761" s="3" t="str">
        <x:v>[6574,"S02b-ND-42"]</x:v>
      </x:c>
      <x:c r="AF761" t="n">
        <x:f>IF(ISNUMBER(H761),1,0)</x:f>
        <x:v>1</x:v>
      </x:c>
      <x:c r="AG761" t="n">
        <x:f>IF(ISNUMBER(I761),1,0)</x:f>
        <x:v>1</x:v>
      </x:c>
      <x:c r="AH761" t="str">
        <x:v>["S02b","S02b-ND","ND","裸色"]</x:v>
      </x:c>
      <x:c r="AI761" t="n">
        <x:f>IF(ISNUMBER(G761),1,0)</x:f>
        <x:v>1</x:v>
      </x:c>
      <x:c r="AJ761" t="n">
        <x:f>IF(ISNUMBER(AD761),1,0)</x:f>
        <x:v>1</x:v>
      </x:c>
    </x:row>
    <x:row r="762" ht="30" customHeight="1">
      <x:c r="A762" s="3" t="str">
        <x:v>S02b-NY-41</x:v>
      </x:c>
      <x:c r="B762" s="3" t="str">
        <x:v>3店-SANDIEX-US</x:v>
      </x:c>
      <x:c r="C762" s="3" t="str">
        <x:v>陈晨</x:v>
      </x:c>
      <x:c r="D762" s="3" t="str">
        <x:v>S02b</x:v>
      </x:c>
      <x:c r="E762" s="3" t="str">
        <x:f>IF(Z762="移出","已移出",IF(NOT(ISNUMBER(H762)),"数据待核",IF(H762=0,"断货",IF(NOT(ISNUMBER(G762)),"数据待核",IF(G762=0,"零日销待复核",IF(F762&lt;60,"补货提醒",IF(F762&lt;=90,"正常库存",IF(F762&lt;180,"促销",IF(F762&lt;=365,"红线促销","考虑清仓")))))))))</x:f>
        <x:v>断货</x:v>
      </x:c>
      <x:c r="F762" s="11" t="n">
        <x:f>IF(AND(ISNUMBER(H762),ISNUMBER(G762),G762&gt;0),H762/G762,"")</x:f>
        <x:v>0</x:v>
      </x:c>
      <x:c r="G762" s="12" t="n">
        <x:f>IF(AND(COUNT(P762:R762)=3,MIN(P762:R762)&gt;=0,P762&lt;=Q762,Q762&lt;=R762),P762/7*0.5+Q762/14*0.3+R762/30*0.2,"")</x:f>
        <x:v>0.39476190476190476</x:v>
      </x:c>
      <x:c r="H762" s="10" t="n">
        <x:f>IF(ISNUMBER(U762),U762,"")</x:f>
        <x:v>0</x:v>
      </x:c>
      <x:c r="I762" s="10" t="n">
        <x:v>5</x:v>
      </x:c>
      <x:c r="J762" s="11" t="n">
        <x:f>IF(AND(Z762="共同",ISNUMBER(F762),ISNUMBER(M762)),F762-M762,"")</x:f>
        <x:v>-9.051724137931034</x:v>
      </x:c>
      <x:c r="K762" s="13" t="n">
        <x:f>IF(AND(ISNUMBER(J762),M762&lt;&gt;0),J762/M762,"")</x:f>
        <x:v>-1</x:v>
      </x:c>
      <x:c r="L762" s="10" t="str">
        <x:v>补货提醒</x:v>
      </x:c>
      <x:c r="M762" s="11" t="n">
        <x:v>9.051724137931034</x:v>
      </x:c>
      <x:c r="N762" s="10" t="n">
        <x:f>IF(AND(Z762="共同",COUNT(H762:I762)=2),H762-I762,"")</x:f>
        <x:v>-5</x:v>
      </x:c>
      <x:c r="O762" s="10" t="n">
        <x:v>5</x:v>
      </x:c>
      <x:c r="P762" s="10" t="n">
        <x:v>3</x:v>
      </x:c>
      <x:c r="Q762" s="10" t="n">
        <x:v>5</x:v>
      </x:c>
      <x:c r="R762" s="10" t="n">
        <x:v>11</x:v>
      </x:c>
      <x:c r="S762" s="10" t="n">
        <x:v>45</x:v>
      </x:c>
      <x:c r="T762" s="10" t="n">
        <x:v>1</x:v>
      </x:c>
      <x:c r="U762" s="10" t="n">
        <x:f>IF(AND(ISNUMBER(X762),X762&gt;=0,Y762&lt;&gt;1),X762,"")</x:f>
        <x:v>0</x:v>
      </x:c>
      <x:c r="V762" s="10" t="n">
        <x:v>0</x:v>
      </x:c>
      <x:c r="W762" s="10" t="n">
        <x:v>5</x:v>
      </x:c>
      <x:c r="X762" s="10" t="n">
        <x:v>0</x:v>
      </x:c>
      <x:c r="Y762" s="3" t="n">
        <x:v>0</x:v>
      </x:c>
      <x:c r="Z762" s="3" t="str">
        <x:v>共同</x:v>
      </x:c>
      <x:c r="AA762" s="3" t="str">
        <x:v>在售</x:v>
      </x:c>
      <x:c r="AB762" s="12" t="n">
        <x:f>IF(AND(Z762="共同",ISNUMBER(G762),ISNUMBER(AD762)),G762-AD762,"")</x:f>
        <x:v>-0.15761904761904766</x:v>
      </x:c>
      <x:c r="AC762" s="3" t="str"/>
      <x:c r="AD762" s="12" t="n">
        <x:v>0.5523809523809524</x:v>
      </x:c>
      <x:c r="AE762" s="3" t="str">
        <x:v>[6574,"S02b-NY-41"]</x:v>
      </x:c>
      <x:c r="AF762" t="n">
        <x:f>IF(ISNUMBER(H762),1,0)</x:f>
        <x:v>1</x:v>
      </x:c>
      <x:c r="AG762" t="n">
        <x:f>IF(ISNUMBER(I762),1,0)</x:f>
        <x:v>1</x:v>
      </x:c>
      <x:c r="AH762" t="str">
        <x:v>["S02b","S02b-NY","NY","藏青色"]</x:v>
      </x:c>
      <x:c r="AI762" t="n">
        <x:f>IF(ISNUMBER(G762),1,0)</x:f>
        <x:v>1</x:v>
      </x:c>
      <x:c r="AJ762" t="n">
        <x:f>IF(ISNUMBER(AD762),1,0)</x:f>
        <x:v>1</x:v>
      </x:c>
    </x:row>
    <x:row r="763" ht="30" customHeight="1">
      <x:c r="A763" s="3" t="str">
        <x:v>S02b-NY-42</x:v>
      </x:c>
      <x:c r="B763" s="3" t="str">
        <x:v>3店-SANDIEX-US</x:v>
      </x:c>
      <x:c r="C763" s="3" t="str">
        <x:v>陈晨</x:v>
      </x:c>
      <x:c r="D763" s="3" t="str">
        <x:v>S02b</x:v>
      </x:c>
      <x:c r="E763" s="3" t="str">
        <x:f>IF(Z763="移出","已移出",IF(NOT(ISNUMBER(H763)),"数据待核",IF(H763=0,"断货",IF(NOT(ISNUMBER(G763)),"数据待核",IF(G763=0,"零日销待复核",IF(F763&lt;60,"补货提醒",IF(F763&lt;=90,"正常库存",IF(F763&lt;180,"促销",IF(F763&lt;=365,"红线促销","考虑清仓")))))))))</x:f>
        <x:v>断货</x:v>
      </x:c>
      <x:c r="F763" s="11" t="n">
        <x:f>IF(AND(ISNUMBER(H763),ISNUMBER(G763),G763&gt;0),H763/G763,"")</x:f>
        <x:v>0</x:v>
      </x:c>
      <x:c r="G763" s="12" t="n">
        <x:f>IF(AND(COUNT(P763:R763)=3,MIN(P763:R763)&gt;=0,P763&lt;=Q763,Q763&lt;=R763),P763/7*0.5+Q763/14*0.3+R763/30*0.2,"")</x:f>
        <x:v>0.20571428571428568</x:v>
      </x:c>
      <x:c r="H763" s="10" t="n">
        <x:f>IF(ISNUMBER(U763),U763,"")</x:f>
        <x:v>0</x:v>
      </x:c>
      <x:c r="I763" s="10" t="n">
        <x:v>0</x:v>
      </x:c>
      <x:c r="J763" s="11" t="n">
        <x:f>IF(AND(Z763="共同",ISNUMBER(F763),ISNUMBER(M763)),F763-M763,"")</x:f>
        <x:v>0</x:v>
      </x:c>
      <x:c r="K763" s="13" t="str">
        <x:f>IF(AND(ISNUMBER(J763),M763&lt;&gt;0),J763/M763,"")</x:f>
      </x:c>
      <x:c r="L763" s="10" t="str">
        <x:v>断货</x:v>
      </x:c>
      <x:c r="M763" s="11" t="n">
        <x:v>0</x:v>
      </x:c>
      <x:c r="N763" s="10" t="n">
        <x:f>IF(AND(Z763="共同",COUNT(H763:I763)=2),H763-I763,"")</x:f>
        <x:v>0</x:v>
      </x:c>
      <x:c r="O763" s="10" t="n">
        <x:v>1</x:v>
      </x:c>
      <x:c r="P763" s="10" t="n">
        <x:v>2</x:v>
      </x:c>
      <x:c r="Q763" s="10" t="n">
        <x:v>2</x:v>
      </x:c>
      <x:c r="R763" s="10" t="n">
        <x:v>3</x:v>
      </x:c>
      <x:c r="S763" s="10" t="n">
        <x:v>40</x:v>
      </x:c>
      <x:c r="T763" s="10" t="n">
        <x:v>3</x:v>
      </x:c>
      <x:c r="U763" s="10" t="n">
        <x:f>IF(AND(ISNUMBER(X763),X763&gt;=0,Y763&lt;&gt;1),X763,"")</x:f>
        <x:v>0</x:v>
      </x:c>
      <x:c r="V763" s="10" t="n">
        <x:v>0</x:v>
      </x:c>
      <x:c r="W763" s="10" t="n">
        <x:v>10</x:v>
      </x:c>
      <x:c r="X763" s="10" t="n">
        <x:v>0</x:v>
      </x:c>
      <x:c r="Y763" s="3" t="n">
        <x:v>0</x:v>
      </x:c>
      <x:c r="Z763" s="3" t="str">
        <x:v>共同</x:v>
      </x:c>
      <x:c r="AA763" s="3" t="str">
        <x:v>在售</x:v>
      </x:c>
      <x:c r="AB763" s="12" t="n">
        <x:f>IF(AND(Z763="共同",ISNUMBER(G763),ISNUMBER(AD763)),G763-AD763,"")</x:f>
        <x:v>0.10619047619047617</x:v>
      </x:c>
      <x:c r="AC763" s="3" t="str"/>
      <x:c r="AD763" s="12" t="n">
        <x:v>0.09952380952380951</x:v>
      </x:c>
      <x:c r="AE763" s="3" t="str">
        <x:v>[6574,"S02b-NY-42"]</x:v>
      </x:c>
      <x:c r="AF763" t="n">
        <x:f>IF(ISNUMBER(H763),1,0)</x:f>
        <x:v>1</x:v>
      </x:c>
      <x:c r="AG763" t="n">
        <x:f>IF(ISNUMBER(I763),1,0)</x:f>
        <x:v>1</x:v>
      </x:c>
      <x:c r="AH763" t="str">
        <x:v>["S02b","S02b-NY","NY","藏青色"]</x:v>
      </x:c>
      <x:c r="AI763" t="n">
        <x:f>IF(ISNUMBER(G763),1,0)</x:f>
        <x:v>1</x:v>
      </x:c>
      <x:c r="AJ763" t="n">
        <x:f>IF(ISNUMBER(AD763),1,0)</x:f>
        <x:v>1</x:v>
      </x:c>
    </x:row>
    <x:row r="764" ht="30" customHeight="1">
      <x:c r="A764" s="3" t="str">
        <x:v>1S01-LP-39.5</x:v>
      </x:c>
      <x:c r="B764" s="3" t="str">
        <x:v>3店-SANDIEX-US</x:v>
      </x:c>
      <x:c r="C764" s="3" t="str">
        <x:v>徐新怡</x:v>
      </x:c>
      <x:c r="D764" s="3" t="str">
        <x:v>1S01</x:v>
      </x:c>
      <x:c r="E764" s="3" t="str">
        <x:f>IF(Z764="移出","已移出",IF(NOT(ISNUMBER(H764)),"数据待核",IF(H764=0,"断货",IF(NOT(ISNUMBER(G764)),"数据待核",IF(G764=0,"零日销待复核",IF(F764&lt;60,"补货提醒",IF(F764&lt;=90,"正常库存",IF(F764&lt;180,"促销",IF(F764&lt;=365,"红线促销","考虑清仓")))))))))</x:f>
        <x:v>零日销待复核</x:v>
      </x:c>
      <x:c r="F764" s="11" t="str">
        <x:f>IF(AND(ISNUMBER(H764),ISNUMBER(G764),G764&gt;0),H764/G764,"")</x:f>
      </x:c>
      <x:c r="G764" s="12" t="n">
        <x:f>IF(AND(COUNT(P764:R764)=3,MIN(P764:R764)&gt;=0,P764&lt;=Q764,Q764&lt;=R764),P764/7*0.5+Q764/14*0.3+R764/30*0.2,"")</x:f>
        <x:v>0</x:v>
      </x:c>
      <x:c r="H764" s="10" t="n">
        <x:f>IF(ISNUMBER(U764),U764,"")</x:f>
        <x:v>9</x:v>
      </x:c>
      <x:c r="I764" s="10" t="n">
        <x:v>9</x:v>
      </x:c>
      <x:c r="J764" s="11" t="str">
        <x:f>IF(AND(Z764="共同",ISNUMBER(F764),ISNUMBER(M764)),F764-M764,"")</x:f>
      </x:c>
      <x:c r="K764" s="13" t="str">
        <x:f>IF(AND(ISNUMBER(J764),M764&lt;&gt;0),J764/M764,"")</x:f>
      </x:c>
      <x:c r="L764" s="10" t="str">
        <x:v>数据待核</x:v>
      </x:c>
      <x:c r="M764" s="11"/>
      <x:c r="N764" s="10" t="n">
        <x:f>IF(AND(Z764="共同",COUNT(H764:I764)=2),H764-I764,"")</x:f>
        <x:v>0</x:v>
      </x:c>
      <x:c r="O764" s="10" t="n">
        <x:v>0</x:v>
      </x:c>
      <x:c r="P764" s="10" t="n">
        <x:v>0</x:v>
      </x:c>
      <x:c r="Q764" s="10" t="n">
        <x:v>0</x:v>
      </x:c>
      <x:c r="R764" s="10" t="n">
        <x:v>0</x:v>
      </x:c>
      <x:c r="S764" s="10" t="n">
        <x:v>9</x:v>
      </x:c>
      <x:c r="T764" s="10" t="n">
        <x:v>0</x:v>
      </x:c>
      <x:c r="U764" s="10" t="n">
        <x:f>IF(AND(ISNUMBER(X764),X764&gt;=0,Y764&lt;&gt;1),X764,"")</x:f>
        <x:v>9</x:v>
      </x:c>
      <x:c r="V764" s="10" t="n">
        <x:v>0</x:v>
      </x:c>
      <x:c r="W764" s="10" t="n">
        <x:v>0</x:v>
      </x:c>
      <x:c r="X764" s="10" t="n">
        <x:v>9</x:v>
      </x:c>
      <x:c r="Y764" s="3" t="n">
        <x:v>0</x:v>
      </x:c>
      <x:c r="Z764" s="3" t="str">
        <x:v>共同</x:v>
      </x:c>
      <x:c r="AA764" s="3" t="str">
        <x:v>在售</x:v>
      </x:c>
      <x:c r="AB764" s="12" t="str">
        <x:f>IF(AND(Z764="共同",ISNUMBER(G764),ISNUMBER(AD764)),G764-AD764,"")</x:f>
      </x:c>
      <x:c r="AC764" s="3" t="str">
        <x:v>近90天SKU销量未匹配，未按0处理</x:v>
      </x:c>
      <x:c r="AD764" s="12"/>
      <x:c r="AE764" s="3" t="str">
        <x:v>[6574,"1S01-LP-39.5"]</x:v>
      </x:c>
      <x:c r="AF764" t="n">
        <x:f>IF(ISNUMBER(H764),1,0)</x:f>
        <x:v>1</x:v>
      </x:c>
      <x:c r="AG764" t="n">
        <x:f>IF(ISNUMBER(I764),1,0)</x:f>
        <x:v>1</x:v>
      </x:c>
      <x:c r="AH764" t="str">
        <x:v>["1S01","1S01-LP","LP","香芋紫"]</x:v>
      </x:c>
      <x:c r="AI764" t="n">
        <x:f>IF(ISNUMBER(G764),1,0)</x:f>
        <x:v>1</x:v>
      </x:c>
      <x:c r="AJ764" t="n">
        <x:f>IF(ISNUMBER(AD764),1,0)</x:f>
        <x:v>0</x:v>
      </x:c>
    </x:row>
    <x:row r="765" ht="30" customHeight="1">
      <x:c r="A765" s="3" t="str">
        <x:v>1S01-LP-41</x:v>
      </x:c>
      <x:c r="B765" s="3" t="str">
        <x:v>3店-SANDIEX-US</x:v>
      </x:c>
      <x:c r="C765" s="3" t="str">
        <x:v>徐新怡</x:v>
      </x:c>
      <x:c r="D765" s="3" t="str">
        <x:v>1S01</x:v>
      </x:c>
      <x:c r="E765" s="3" t="str">
        <x:f>IF(Z765="移出","已移出",IF(NOT(ISNUMBER(H765)),"数据待核",IF(H765=0,"断货",IF(NOT(ISNUMBER(G765)),"数据待核",IF(G765=0,"零日销待复核",IF(F765&lt;60,"补货提醒",IF(F765&lt;=90,"正常库存",IF(F765&lt;180,"促销",IF(F765&lt;=365,"红线促销","考虑清仓")))))))))</x:f>
        <x:v>零日销待复核</x:v>
      </x:c>
      <x:c r="F765" s="11" t="str">
        <x:f>IF(AND(ISNUMBER(H765),ISNUMBER(G765),G765&gt;0),H765/G765,"")</x:f>
      </x:c>
      <x:c r="G765" s="12" t="n">
        <x:f>IF(AND(COUNT(P765:R765)=3,MIN(P765:R765)&gt;=0,P765&lt;=Q765,Q765&lt;=R765),P765/7*0.5+Q765/14*0.3+R765/30*0.2,"")</x:f>
        <x:v>0</x:v>
      </x:c>
      <x:c r="H765" s="10" t="n">
        <x:f>IF(ISNUMBER(U765),U765,"")</x:f>
        <x:v>12</x:v>
      </x:c>
      <x:c r="I765" s="10" t="n">
        <x:v>12</x:v>
      </x:c>
      <x:c r="J765" s="11" t="str">
        <x:f>IF(AND(Z765="共同",ISNUMBER(F765),ISNUMBER(M765)),F765-M765,"")</x:f>
      </x:c>
      <x:c r="K765" s="13" t="str">
        <x:f>IF(AND(ISNUMBER(J765),M765&lt;&gt;0),J765/M765,"")</x:f>
      </x:c>
      <x:c r="L765" s="10" t="str">
        <x:v>零日销待复核</x:v>
      </x:c>
      <x:c r="M765" s="11"/>
      <x:c r="N765" s="10" t="n">
        <x:f>IF(AND(Z765="共同",COUNT(H765:I765)=2),H765-I765,"")</x:f>
        <x:v>0</x:v>
      </x:c>
      <x:c r="O765" s="10" t="n">
        <x:v>0</x:v>
      </x:c>
      <x:c r="P765" s="10" t="n">
        <x:v>0</x:v>
      </x:c>
      <x:c r="Q765" s="10" t="n">
        <x:v>0</x:v>
      </x:c>
      <x:c r="R765" s="10" t="n">
        <x:v>0</x:v>
      </x:c>
      <x:c r="S765" s="10" t="n">
        <x:v>12</x:v>
      </x:c>
      <x:c r="T765" s="10" t="n">
        <x:v>0</x:v>
      </x:c>
      <x:c r="U765" s="10" t="n">
        <x:f>IF(AND(ISNUMBER(X765),X765&gt;=0,Y765&lt;&gt;1),X765,"")</x:f>
        <x:v>12</x:v>
      </x:c>
      <x:c r="V765" s="10" t="n">
        <x:v>0</x:v>
      </x:c>
      <x:c r="W765" s="10" t="n">
        <x:v>0</x:v>
      </x:c>
      <x:c r="X765" s="10" t="n">
        <x:v>12</x:v>
      </x:c>
      <x:c r="Y765" s="3" t="n">
        <x:v>0</x:v>
      </x:c>
      <x:c r="Z765" s="3" t="str">
        <x:v>共同</x:v>
      </x:c>
      <x:c r="AA765" s="3" t="str">
        <x:v>在售</x:v>
      </x:c>
      <x:c r="AB765" s="12" t="n">
        <x:f>IF(AND(Z765="共同",ISNUMBER(G765),ISNUMBER(AD765)),G765-AD765,"")</x:f>
        <x:v>0</x:v>
      </x:c>
      <x:c r="AC765" s="3" t="str"/>
      <x:c r="AD765" s="12" t="n">
        <x:v>0</x:v>
      </x:c>
      <x:c r="AE765" s="3" t="str">
        <x:v>[6574,"1S01-LP-41"]</x:v>
      </x:c>
      <x:c r="AF765" t="n">
        <x:f>IF(ISNUMBER(H765),1,0)</x:f>
        <x:v>1</x:v>
      </x:c>
      <x:c r="AG765" t="n">
        <x:f>IF(ISNUMBER(I765),1,0)</x:f>
        <x:v>1</x:v>
      </x:c>
      <x:c r="AH765" t="str">
        <x:v>["1S01","1S01-LP","LP","香芋紫"]</x:v>
      </x:c>
      <x:c r="AI765" t="n">
        <x:f>IF(ISNUMBER(G765),1,0)</x:f>
        <x:v>1</x:v>
      </x:c>
      <x:c r="AJ765" t="n">
        <x:f>IF(ISNUMBER(AD765),1,0)</x:f>
        <x:v>1</x:v>
      </x:c>
    </x:row>
    <x:row r="766" ht="30" customHeight="1">
      <x:c r="A766" s="3" t="str">
        <x:v>32582-NY-38</x:v>
      </x:c>
      <x:c r="B766" s="3" t="str">
        <x:v>3店-SANDIEX-US</x:v>
      </x:c>
      <x:c r="C766" s="3" t="str">
        <x:v>徐新怡</x:v>
      </x:c>
      <x:c r="D766" s="3" t="str">
        <x:v>32582</x:v>
      </x:c>
      <x:c r="E766" s="3" t="str">
        <x:f>IF(Z766="移出","已移出",IF(NOT(ISNUMBER(H766)),"数据待核",IF(H766=0,"断货",IF(NOT(ISNUMBER(G766)),"数据待核",IF(G766=0,"零日销待复核",IF(F766&lt;60,"补货提醒",IF(F766&lt;=90,"正常库存",IF(F766&lt;180,"促销",IF(F766&lt;=365,"红线促销","考虑清仓")))))))))</x:f>
        <x:v>零日销待复核</x:v>
      </x:c>
      <x:c r="F766" s="11" t="str">
        <x:f>IF(AND(ISNUMBER(H766),ISNUMBER(G766),G766&gt;0),H766/G766,"")</x:f>
      </x:c>
      <x:c r="G766" s="12" t="n">
        <x:f>IF(AND(COUNT(P766:R766)=3,MIN(P766:R766)&gt;=0,P766&lt;=Q766,Q766&lt;=R766),P766/7*0.5+Q766/14*0.3+R766/30*0.2,"")</x:f>
        <x:v>0</x:v>
      </x:c>
      <x:c r="H766" s="10" t="n">
        <x:f>IF(ISNUMBER(U766),U766,"")</x:f>
        <x:v>13</x:v>
      </x:c>
      <x:c r="I766" s="10" t="n">
        <x:v>13</x:v>
      </x:c>
      <x:c r="J766" s="11" t="str">
        <x:f>IF(AND(Z766="共同",ISNUMBER(F766),ISNUMBER(M766)),F766-M766,"")</x:f>
      </x:c>
      <x:c r="K766" s="13" t="str">
        <x:f>IF(AND(ISNUMBER(J766),M766&lt;&gt;0),J766/M766,"")</x:f>
      </x:c>
      <x:c r="L766" s="10" t="str">
        <x:v>数据待核</x:v>
      </x:c>
      <x:c r="M766" s="11"/>
      <x:c r="N766" s="10" t="n">
        <x:f>IF(AND(Z766="共同",COUNT(H766:I766)=2),H766-I766,"")</x:f>
        <x:v>0</x:v>
      </x:c>
      <x:c r="O766" s="10" t="n">
        <x:v>0</x:v>
      </x:c>
      <x:c r="P766" s="10" t="n">
        <x:v>0</x:v>
      </x:c>
      <x:c r="Q766" s="10" t="n">
        <x:v>0</x:v>
      </x:c>
      <x:c r="R766" s="10" t="n">
        <x:v>0</x:v>
      </x:c>
      <x:c r="S766" s="10" t="n">
        <x:v>13</x:v>
      </x:c>
      <x:c r="T766" s="10" t="n">
        <x:v>0</x:v>
      </x:c>
      <x:c r="U766" s="10" t="n">
        <x:f>IF(AND(ISNUMBER(X766),X766&gt;=0,Y766&lt;&gt;1),X766,"")</x:f>
        <x:v>13</x:v>
      </x:c>
      <x:c r="V766" s="10" t="n">
        <x:v>0</x:v>
      </x:c>
      <x:c r="W766" s="10" t="n">
        <x:v>0</x:v>
      </x:c>
      <x:c r="X766" s="10" t="n">
        <x:v>13</x:v>
      </x:c>
      <x:c r="Y766" s="3" t="n">
        <x:v>0</x:v>
      </x:c>
      <x:c r="Z766" s="3" t="str">
        <x:v>共同</x:v>
      </x:c>
      <x:c r="AA766" s="3" t="str">
        <x:v>在售</x:v>
      </x:c>
      <x:c r="AB766" s="12" t="str">
        <x:f>IF(AND(Z766="共同",ISNUMBER(G766),ISNUMBER(AD766)),G766-AD766,"")</x:f>
      </x:c>
      <x:c r="AC766" s="3" t="str">
        <x:v>近90天SKU销量未匹配，未按0处理</x:v>
      </x:c>
      <x:c r="AD766" s="12"/>
      <x:c r="AE766" s="3" t="str">
        <x:v>[6574,"32582-NY-38"]</x:v>
      </x:c>
      <x:c r="AF766" t="n">
        <x:f>IF(ISNUMBER(H766),1,0)</x:f>
        <x:v>1</x:v>
      </x:c>
      <x:c r="AG766" t="n">
        <x:f>IF(ISNUMBER(I766),1,0)</x:f>
        <x:v>1</x:v>
      </x:c>
      <x:c r="AH766" t="str">
        <x:v>["32582","32582-NY","NY","藏青色"]</x:v>
      </x:c>
      <x:c r="AI766" t="n">
        <x:f>IF(ISNUMBER(G766),1,0)</x:f>
        <x:v>1</x:v>
      </x:c>
      <x:c r="AJ766" t="n">
        <x:f>IF(ISNUMBER(AD766),1,0)</x:f>
        <x:v>0</x:v>
      </x:c>
    </x:row>
    <x:row r="767" ht="30" customHeight="1">
      <x:c r="A767" s="3" t="str">
        <x:v>32582-WT0P-37</x:v>
      </x:c>
      <x:c r="B767" s="3" t="str">
        <x:v>3店-SANDIEX-US</x:v>
      </x:c>
      <x:c r="C767" s="3" t="str">
        <x:v>徐新怡</x:v>
      </x:c>
      <x:c r="D767" s="3" t="str">
        <x:v>32582</x:v>
      </x:c>
      <x:c r="E767" s="3" t="str">
        <x:f>IF(Z767="移出","已移出",IF(NOT(ISNUMBER(H767)),"数据待核",IF(H767=0,"断货",IF(NOT(ISNUMBER(G767)),"数据待核",IF(G767=0,"零日销待复核",IF(F767&lt;60,"补货提醒",IF(F767&lt;=90,"正常库存",IF(F767&lt;180,"促销",IF(F767&lt;=365,"红线促销","考虑清仓")))))))))</x:f>
        <x:v>零日销待复核</x:v>
      </x:c>
      <x:c r="F767" s="11" t="str">
        <x:f>IF(AND(ISNUMBER(H767),ISNUMBER(G767),G767&gt;0),H767/G767,"")</x:f>
      </x:c>
      <x:c r="G767" s="12" t="n">
        <x:f>IF(AND(COUNT(P767:R767)=3,MIN(P767:R767)&gt;=0,P767&lt;=Q767,Q767&lt;=R767),P767/7*0.5+Q767/14*0.3+R767/30*0.2,"")</x:f>
        <x:v>0</x:v>
      </x:c>
      <x:c r="H767" s="10" t="n">
        <x:f>IF(ISNUMBER(U767),U767,"")</x:f>
        <x:v>18</x:v>
      </x:c>
      <x:c r="I767" s="10" t="n">
        <x:v>18</x:v>
      </x:c>
      <x:c r="J767" s="11" t="str">
        <x:f>IF(AND(Z767="共同",ISNUMBER(F767),ISNUMBER(M767)),F767-M767,"")</x:f>
      </x:c>
      <x:c r="K767" s="13" t="str">
        <x:f>IF(AND(ISNUMBER(J767),M767&lt;&gt;0),J767/M767,"")</x:f>
      </x:c>
      <x:c r="L767" s="10" t="str">
        <x:v>零日销待复核</x:v>
      </x:c>
      <x:c r="M767" s="11"/>
      <x:c r="N767" s="10" t="n">
        <x:f>IF(AND(Z767="共同",COUNT(H767:I767)=2),H767-I767,"")</x:f>
        <x:v>0</x:v>
      </x:c>
      <x:c r="O767" s="10" t="n">
        <x:v>0</x:v>
      </x:c>
      <x:c r="P767" s="10" t="n">
        <x:v>0</x:v>
      </x:c>
      <x:c r="Q767" s="10" t="n">
        <x:v>0</x:v>
      </x:c>
      <x:c r="R767" s="10" t="n">
        <x:v>0</x:v>
      </x:c>
      <x:c r="S767" s="10" t="n">
        <x:v>18</x:v>
      </x:c>
      <x:c r="T767" s="10" t="n">
        <x:v>0</x:v>
      </x:c>
      <x:c r="U767" s="10" t="n">
        <x:f>IF(AND(ISNUMBER(X767),X767&gt;=0,Y767&lt;&gt;1),X767,"")</x:f>
        <x:v>18</x:v>
      </x:c>
      <x:c r="V767" s="10" t="n">
        <x:v>0</x:v>
      </x:c>
      <x:c r="W767" s="10" t="n">
        <x:v>0</x:v>
      </x:c>
      <x:c r="X767" s="10" t="n">
        <x:v>18</x:v>
      </x:c>
      <x:c r="Y767" s="3" t="n">
        <x:v>0</x:v>
      </x:c>
      <x:c r="Z767" s="3" t="str">
        <x:v>共同</x:v>
      </x:c>
      <x:c r="AA767" s="3" t="str">
        <x:v>在售</x:v>
      </x:c>
      <x:c r="AB767" s="12" t="n">
        <x:f>IF(AND(Z767="共同",ISNUMBER(G767),ISNUMBER(AD767)),G767-AD767,"")</x:f>
        <x:v>0</x:v>
      </x:c>
      <x:c r="AC767" s="3" t="str"/>
      <x:c r="AD767" s="12" t="n">
        <x:v>0</x:v>
      </x:c>
      <x:c r="AE767" s="3" t="str">
        <x:v>[6574,"32582-WT0P-37"]</x:v>
      </x:c>
      <x:c r="AF767" t="n">
        <x:f>IF(ISNUMBER(H767),1,0)</x:f>
        <x:v>1</x:v>
      </x:c>
      <x:c r="AG767" t="n">
        <x:f>IF(ISNUMBER(I767),1,0)</x:f>
        <x:v>1</x:v>
      </x:c>
      <x:c r="AH767" t="str">
        <x:v>["32582","32582-WT0P","WT0P","白色"]</x:v>
      </x:c>
      <x:c r="AI767" t="n">
        <x:f>IF(ISNUMBER(G767),1,0)</x:f>
        <x:v>1</x:v>
      </x:c>
      <x:c r="AJ767" t="n">
        <x:f>IF(ISNUMBER(AD767),1,0)</x:f>
        <x:v>1</x:v>
      </x:c>
    </x:row>
    <x:row r="768" ht="30" customHeight="1">
      <x:c r="A768" s="3" t="str">
        <x:v>32582-WT0P-37.5</x:v>
      </x:c>
      <x:c r="B768" s="3" t="str">
        <x:v>3店-SANDIEX-US</x:v>
      </x:c>
      <x:c r="C768" s="3" t="str">
        <x:v>徐新怡</x:v>
      </x:c>
      <x:c r="D768" s="3" t="str">
        <x:v>32582</x:v>
      </x:c>
      <x:c r="E768" s="3" t="str">
        <x:f>IF(Z768="移出","已移出",IF(NOT(ISNUMBER(H768)),"数据待核",IF(H768=0,"断货",IF(NOT(ISNUMBER(G768)),"数据待核",IF(G768=0,"零日销待复核",IF(F768&lt;60,"补货提醒",IF(F768&lt;=90,"正常库存",IF(F768&lt;180,"促销",IF(F768&lt;=365,"红线促销","考虑清仓")))))))))</x:f>
        <x:v>零日销待复核</x:v>
      </x:c>
      <x:c r="F768" s="11" t="str">
        <x:f>IF(AND(ISNUMBER(H768),ISNUMBER(G768),G768&gt;0),H768/G768,"")</x:f>
      </x:c>
      <x:c r="G768" s="12" t="n">
        <x:f>IF(AND(COUNT(P768:R768)=3,MIN(P768:R768)&gt;=0,P768&lt;=Q768,Q768&lt;=R768),P768/7*0.5+Q768/14*0.3+R768/30*0.2,"")</x:f>
        <x:v>0</x:v>
      </x:c>
      <x:c r="H768" s="10" t="n">
        <x:f>IF(ISNUMBER(U768),U768,"")</x:f>
        <x:v>16</x:v>
      </x:c>
      <x:c r="I768" s="10" t="n">
        <x:v>16</x:v>
      </x:c>
      <x:c r="J768" s="11" t="str">
        <x:f>IF(AND(Z768="共同",ISNUMBER(F768),ISNUMBER(M768)),F768-M768,"")</x:f>
      </x:c>
      <x:c r="K768" s="13" t="str">
        <x:f>IF(AND(ISNUMBER(J768),M768&lt;&gt;0),J768/M768,"")</x:f>
      </x:c>
      <x:c r="L768" s="10" t="str">
        <x:v>零日销待复核</x:v>
      </x:c>
      <x:c r="M768" s="11"/>
      <x:c r="N768" s="10" t="n">
        <x:f>IF(AND(Z768="共同",COUNT(H768:I768)=2),H768-I768,"")</x:f>
        <x:v>0</x:v>
      </x:c>
      <x:c r="O768" s="10" t="n">
        <x:v>0</x:v>
      </x:c>
      <x:c r="P768" s="10" t="n">
        <x:v>0</x:v>
      </x:c>
      <x:c r="Q768" s="10" t="n">
        <x:v>0</x:v>
      </x:c>
      <x:c r="R768" s="10" t="n">
        <x:v>0</x:v>
      </x:c>
      <x:c r="S768" s="10" t="n">
        <x:v>16</x:v>
      </x:c>
      <x:c r="T768" s="10" t="n">
        <x:v>0</x:v>
      </x:c>
      <x:c r="U768" s="10" t="n">
        <x:f>IF(AND(ISNUMBER(X768),X768&gt;=0,Y768&lt;&gt;1),X768,"")</x:f>
        <x:v>16</x:v>
      </x:c>
      <x:c r="V768" s="10" t="n">
        <x:v>0</x:v>
      </x:c>
      <x:c r="W768" s="10" t="n">
        <x:v>0</x:v>
      </x:c>
      <x:c r="X768" s="10" t="n">
        <x:v>16</x:v>
      </x:c>
      <x:c r="Y768" s="3" t="n">
        <x:v>0</x:v>
      </x:c>
      <x:c r="Z768" s="3" t="str">
        <x:v>共同</x:v>
      </x:c>
      <x:c r="AA768" s="3" t="str">
        <x:v>在售</x:v>
      </x:c>
      <x:c r="AB768" s="12" t="n">
        <x:f>IF(AND(Z768="共同",ISNUMBER(G768),ISNUMBER(AD768)),G768-AD768,"")</x:f>
        <x:v>0</x:v>
      </x:c>
      <x:c r="AC768" s="3" t="str"/>
      <x:c r="AD768" s="12" t="n">
        <x:v>0</x:v>
      </x:c>
      <x:c r="AE768" s="3" t="str">
        <x:v>[6574,"32582-WT0P-37.5"]</x:v>
      </x:c>
      <x:c r="AF768" t="n">
        <x:f>IF(ISNUMBER(H768),1,0)</x:f>
        <x:v>1</x:v>
      </x:c>
      <x:c r="AG768" t="n">
        <x:f>IF(ISNUMBER(I768),1,0)</x:f>
        <x:v>1</x:v>
      </x:c>
      <x:c r="AH768" t="str">
        <x:v>["32582","32582-WT0P","WT0P","白色"]</x:v>
      </x:c>
      <x:c r="AI768" t="n">
        <x:f>IF(ISNUMBER(G768),1,0)</x:f>
        <x:v>1</x:v>
      </x:c>
      <x:c r="AJ768" t="n">
        <x:f>IF(ISNUMBER(AD768),1,0)</x:f>
        <x:v>1</x:v>
      </x:c>
    </x:row>
    <x:row r="769" ht="30" customHeight="1">
      <x:c r="A769" s="3" t="str">
        <x:v>32582-WT0P-38</x:v>
      </x:c>
      <x:c r="B769" s="3" t="str">
        <x:v>3店-SANDIEX-US</x:v>
      </x:c>
      <x:c r="C769" s="3" t="str">
        <x:v>徐新怡</x:v>
      </x:c>
      <x:c r="D769" s="3" t="str">
        <x:v>32582</x:v>
      </x:c>
      <x:c r="E769" s="3" t="str">
        <x:f>IF(Z769="移出","已移出",IF(NOT(ISNUMBER(H769)),"数据待核",IF(H769=0,"断货",IF(NOT(ISNUMBER(G769)),"数据待核",IF(G769=0,"零日销待复核",IF(F769&lt;60,"补货提醒",IF(F769&lt;=90,"正常库存",IF(F769&lt;180,"促销",IF(F769&lt;=365,"红线促销","考虑清仓")))))))))</x:f>
        <x:v>零日销待复核</x:v>
      </x:c>
      <x:c r="F769" s="11" t="str">
        <x:f>IF(AND(ISNUMBER(H769),ISNUMBER(G769),G769&gt;0),H769/G769,"")</x:f>
      </x:c>
      <x:c r="G769" s="12" t="n">
        <x:f>IF(AND(COUNT(P769:R769)=3,MIN(P769:R769)&gt;=0,P769&lt;=Q769,Q769&lt;=R769),P769/7*0.5+Q769/14*0.3+R769/30*0.2,"")</x:f>
        <x:v>0</x:v>
      </x:c>
      <x:c r="H769" s="10" t="n">
        <x:f>IF(ISNUMBER(U769),U769,"")</x:f>
        <x:v>16</x:v>
      </x:c>
      <x:c r="I769" s="10" t="n">
        <x:v>16</x:v>
      </x:c>
      <x:c r="J769" s="11" t="str">
        <x:f>IF(AND(Z769="共同",ISNUMBER(F769),ISNUMBER(M769)),F769-M769,"")</x:f>
      </x:c>
      <x:c r="K769" s="13" t="str">
        <x:f>IF(AND(ISNUMBER(J769),M769&lt;&gt;0),J769/M769,"")</x:f>
      </x:c>
      <x:c r="L769" s="10" t="str">
        <x:v>考虑清仓</x:v>
      </x:c>
      <x:c r="M769" s="11" t="n">
        <x:v>2400</x:v>
      </x:c>
      <x:c r="N769" s="10" t="n">
        <x:f>IF(AND(Z769="共同",COUNT(H769:I769)=2),H769-I769,"")</x:f>
        <x:v>0</x:v>
      </x:c>
      <x:c r="O769" s="10" t="n">
        <x:v>15</x:v>
      </x:c>
      <x:c r="P769" s="10" t="n">
        <x:v>0</x:v>
      </x:c>
      <x:c r="Q769" s="10" t="n">
        <x:v>0</x:v>
      </x:c>
      <x:c r="R769" s="10" t="n">
        <x:v>0</x:v>
      </x:c>
      <x:c r="S769" s="10" t="n">
        <x:v>16</x:v>
      </x:c>
      <x:c r="T769" s="10" t="n">
        <x:v>0</x:v>
      </x:c>
      <x:c r="U769" s="10" t="n">
        <x:f>IF(AND(ISNUMBER(X769),X769&gt;=0,Y769&lt;&gt;1),X769,"")</x:f>
        <x:v>16</x:v>
      </x:c>
      <x:c r="V769" s="10" t="n">
        <x:v>0</x:v>
      </x:c>
      <x:c r="W769" s="10" t="n">
        <x:v>0</x:v>
      </x:c>
      <x:c r="X769" s="10" t="n">
        <x:v>16</x:v>
      </x:c>
      <x:c r="Y769" s="3" t="n">
        <x:v>0</x:v>
      </x:c>
      <x:c r="Z769" s="3" t="str">
        <x:v>共同</x:v>
      </x:c>
      <x:c r="AA769" s="3" t="str">
        <x:v>在售</x:v>
      </x:c>
      <x:c r="AB769" s="12" t="n">
        <x:f>IF(AND(Z769="共同",ISNUMBER(G769),ISNUMBER(AD769)),G769-AD769,"")</x:f>
        <x:v>-0.006666666666666666</x:v>
      </x:c>
      <x:c r="AC769" s="3" t="str"/>
      <x:c r="AD769" s="12" t="n">
        <x:v>0.006666666666666666</x:v>
      </x:c>
      <x:c r="AE769" s="3" t="str">
        <x:v>[6574,"32582-WT0P-38"]</x:v>
      </x:c>
      <x:c r="AF769" t="n">
        <x:f>IF(ISNUMBER(H769),1,0)</x:f>
        <x:v>1</x:v>
      </x:c>
      <x:c r="AG769" t="n">
        <x:f>IF(ISNUMBER(I769),1,0)</x:f>
        <x:v>1</x:v>
      </x:c>
      <x:c r="AH769" t="str">
        <x:v>["32582","32582-WT0P","WT0P","白色"]</x:v>
      </x:c>
      <x:c r="AI769" t="n">
        <x:f>IF(ISNUMBER(G769),1,0)</x:f>
        <x:v>1</x:v>
      </x:c>
      <x:c r="AJ769" t="n">
        <x:f>IF(ISNUMBER(AD769),1,0)</x:f>
        <x:v>1</x:v>
      </x:c>
    </x:row>
    <x:row r="770" ht="30" customHeight="1">
      <x:c r="A770" s="3" t="str">
        <x:v>9967-BK-37</x:v>
      </x:c>
      <x:c r="B770" s="3" t="str">
        <x:v>1店-MUSSHOE-US</x:v>
      </x:c>
      <x:c r="C770" s="3" t="str">
        <x:v>徐新怡</x:v>
      </x:c>
      <x:c r="D770" s="3" t="str">
        <x:v>9967</x:v>
      </x:c>
      <x:c r="E770" s="3" t="str">
        <x:f>IF(Z770="移出","已移出",IF(NOT(ISNUMBER(H770)),"数据待核",IF(H770=0,"断货",IF(NOT(ISNUMBER(G770)),"数据待核",IF(G770=0,"零日销待复核",IF(F770&lt;60,"补货提醒",IF(F770&lt;=90,"正常库存",IF(F770&lt;180,"促销",IF(F770&lt;=365,"红线促销","考虑清仓")))))))))</x:f>
        <x:v>零日销待复核</x:v>
      </x:c>
      <x:c r="F770" s="11" t="str">
        <x:f>IF(AND(ISNUMBER(H770),ISNUMBER(G770),G770&gt;0),H770/G770,"")</x:f>
      </x:c>
      <x:c r="G770" s="12" t="n">
        <x:f>IF(AND(COUNT(P770:R770)=3,MIN(P770:R770)&gt;=0,P770&lt;=Q770,Q770&lt;=R770),P770/7*0.5+Q770/14*0.3+R770/30*0.2,"")</x:f>
        <x:v>0</x:v>
      </x:c>
      <x:c r="H770" s="10" t="n">
        <x:f>IF(ISNUMBER(U770),U770,"")</x:f>
        <x:v>5</x:v>
      </x:c>
      <x:c r="I770" s="10"/>
      <x:c r="J770" s="11" t="str">
        <x:f>IF(AND(Z770="共同",ISNUMBER(F770),ISNUMBER(M770)),F770-M770,"")</x:f>
      </x:c>
      <x:c r="K770" s="13" t="str">
        <x:f>IF(AND(ISNUMBER(J770),M770&lt;&gt;0),J770/M770,"")</x:f>
      </x:c>
      <x:c r="L770" s="10"/>
      <x:c r="M770" s="11"/>
      <x:c r="N770" s="10" t="str">
        <x:f>IF(AND(Z770="共同",COUNT(H770:I770)=2),H770-I770,"")</x:f>
      </x:c>
      <x:c r="O770" s="10" t="n">
        <x:v>0</x:v>
      </x:c>
      <x:c r="P770" s="10" t="n">
        <x:v>0</x:v>
      </x:c>
      <x:c r="Q770" s="10" t="n">
        <x:v>0</x:v>
      </x:c>
      <x:c r="R770" s="10" t="n">
        <x:v>0</x:v>
      </x:c>
      <x:c r="S770" s="10" t="n">
        <x:v>17</x:v>
      </x:c>
      <x:c r="T770" s="10" t="n">
        <x:v>0</x:v>
      </x:c>
      <x:c r="U770" s="10" t="n">
        <x:f>IF(AND(ISNUMBER(X770),X770&gt;=0,Y770&lt;&gt;1),X770,"")</x:f>
        <x:v>5</x:v>
      </x:c>
      <x:c r="V770" s="10" t="n">
        <x:v>0</x:v>
      </x:c>
      <x:c r="W770" s="10" t="n">
        <x:v>85</x:v>
      </x:c>
      <x:c r="X770" s="10" t="n">
        <x:v>5</x:v>
      </x:c>
      <x:c r="Y770" s="3" t="n">
        <x:v>0</x:v>
      </x:c>
      <x:c r="Z770" s="3" t="str">
        <x:v>新增</x:v>
      </x:c>
      <x:c r="AA770" s="3" t="str">
        <x:v>在售</x:v>
      </x:c>
      <x:c r="AB770" s="12" t="str">
        <x:f>IF(AND(Z770="共同",ISNUMBER(G770),ISNUMBER(AD770)),G770-AD770,"")</x:f>
      </x:c>
      <x:c r="AC770" s="3" t="str">
        <x:v>近90天SKU销量未匹配，未按0处理</x:v>
      </x:c>
      <x:c r="AD770" s="12"/>
      <x:c r="AE770" s="3" t="str">
        <x:v>[13120,"9967-BK-37"]</x:v>
      </x:c>
      <x:c r="AF770" t="n">
        <x:f>IF(ISNUMBER(H770),1,0)</x:f>
        <x:v>1</x:v>
      </x:c>
      <x:c r="AG770" t="n">
        <x:f>IF(ISNUMBER(I770),1,0)</x:f>
        <x:v>0</x:v>
      </x:c>
      <x:c r="AH770" t="str">
        <x:v>["9967","9967-BK","BK","黑色"]</x:v>
      </x:c>
      <x:c r="AI770" t="n">
        <x:f>IF(ISNUMBER(G770),1,0)</x:f>
        <x:v>1</x:v>
      </x:c>
      <x:c r="AJ770" t="n">
        <x:f>IF(ISNUMBER(AD770),1,0)</x:f>
        <x:v>0</x:v>
      </x:c>
    </x:row>
    <x:row r="771" ht="30" customHeight="1">
      <x:c r="A771" s="3" t="str">
        <x:v>9967-BK-38B</x:v>
      </x:c>
      <x:c r="B771" s="3" t="str">
        <x:v>1店-MUSSHOE-US</x:v>
      </x:c>
      <x:c r="C771" s="3" t="str">
        <x:v>徐新怡</x:v>
      </x:c>
      <x:c r="D771" s="3" t="str">
        <x:v>9967</x:v>
      </x:c>
      <x:c r="E771" s="3" t="str">
        <x:f>IF(Z771="移出","已移出",IF(NOT(ISNUMBER(H771)),"数据待核",IF(H771=0,"断货",IF(NOT(ISNUMBER(G771)),"数据待核",IF(G771=0,"零日销待复核",IF(F771&lt;60,"补货提醒",IF(F771&lt;=90,"正常库存",IF(F771&lt;180,"促销",IF(F771&lt;=365,"红线促销","考虑清仓")))))))))</x:f>
        <x:v>零日销待复核</x:v>
      </x:c>
      <x:c r="F771" s="11" t="str">
        <x:f>IF(AND(ISNUMBER(H771),ISNUMBER(G771),G771&gt;0),H771/G771,"")</x:f>
      </x:c>
      <x:c r="G771" s="12" t="n">
        <x:f>IF(AND(COUNT(P771:R771)=3,MIN(P771:R771)&gt;=0,P771&lt;=Q771,Q771&lt;=R771),P771/7*0.5+Q771/14*0.3+R771/30*0.2,"")</x:f>
        <x:v>0</x:v>
      </x:c>
      <x:c r="H771" s="10" t="n">
        <x:f>IF(ISNUMBER(U771),U771,"")</x:f>
        <x:v>10</x:v>
      </x:c>
      <x:c r="I771" s="10"/>
      <x:c r="J771" s="11" t="str">
        <x:f>IF(AND(Z771="共同",ISNUMBER(F771),ISNUMBER(M771)),F771-M771,"")</x:f>
      </x:c>
      <x:c r="K771" s="13" t="str">
        <x:f>IF(AND(ISNUMBER(J771),M771&lt;&gt;0),J771/M771,"")</x:f>
      </x:c>
      <x:c r="L771" s="10"/>
      <x:c r="M771" s="11"/>
      <x:c r="N771" s="10" t="str">
        <x:f>IF(AND(Z771="共同",COUNT(H771:I771)=2),H771-I771,"")</x:f>
      </x:c>
      <x:c r="O771" s="10" t="n">
        <x:v>0</x:v>
      </x:c>
      <x:c r="P771" s="10" t="n">
        <x:v>0</x:v>
      </x:c>
      <x:c r="Q771" s="10" t="n">
        <x:v>0</x:v>
      </x:c>
      <x:c r="R771" s="10" t="n">
        <x:v>0</x:v>
      </x:c>
      <x:c r="S771" s="10" t="n">
        <x:v>32</x:v>
      </x:c>
      <x:c r="T771" s="10" t="n">
        <x:v>0</x:v>
      </x:c>
      <x:c r="U771" s="10" t="n">
        <x:f>IF(AND(ISNUMBER(X771),X771&gt;=0,Y771&lt;&gt;1),X771,"")</x:f>
        <x:v>10</x:v>
      </x:c>
      <x:c r="V771" s="10" t="n">
        <x:v>0</x:v>
      </x:c>
      <x:c r="W771" s="10" t="n">
        <x:v>188</x:v>
      </x:c>
      <x:c r="X771" s="10" t="n">
        <x:v>10</x:v>
      </x:c>
      <x:c r="Y771" s="3" t="n">
        <x:v>0</x:v>
      </x:c>
      <x:c r="Z771" s="3" t="str">
        <x:v>新增</x:v>
      </x:c>
      <x:c r="AA771" s="3" t="str">
        <x:v>在售</x:v>
      </x:c>
      <x:c r="AB771" s="12" t="str">
        <x:f>IF(AND(Z771="共同",ISNUMBER(G771),ISNUMBER(AD771)),G771-AD771,"")</x:f>
      </x:c>
      <x:c r="AC771" s="3" t="str">
        <x:v>近90天SKU销量未匹配，未按0处理</x:v>
      </x:c>
      <x:c r="AD771" s="12"/>
      <x:c r="AE771" s="3" t="str">
        <x:v>[13120,"9967-BK-38B"]</x:v>
      </x:c>
      <x:c r="AF771" t="n">
        <x:f>IF(ISNUMBER(H771),1,0)</x:f>
        <x:v>1</x:v>
      </x:c>
      <x:c r="AG771" t="n">
        <x:f>IF(ISNUMBER(I771),1,0)</x:f>
        <x:v>0</x:v>
      </x:c>
      <x:c r="AH771" t="str">
        <x:v>["9967","9967-BK-38B","BK-38B","黑色"]</x:v>
      </x:c>
      <x:c r="AI771" t="n">
        <x:f>IF(ISNUMBER(G771),1,0)</x:f>
        <x:v>1</x:v>
      </x:c>
      <x:c r="AJ771" t="n">
        <x:f>IF(ISNUMBER(AD771),1,0)</x:f>
        <x:v>0</x:v>
      </x:c>
    </x:row>
    <x:row r="772" ht="30" customHeight="1">
      <x:c r="A772" s="3" t="str">
        <x:v>9967-BK-41</x:v>
      </x:c>
      <x:c r="B772" s="3" t="str">
        <x:v>1店-MUSSHOE-US</x:v>
      </x:c>
      <x:c r="C772" s="3" t="str">
        <x:v>徐新怡</x:v>
      </x:c>
      <x:c r="D772" s="3" t="str">
        <x:v>9967</x:v>
      </x:c>
      <x:c r="E772" s="3" t="str">
        <x:f>IF(Z772="移出","已移出",IF(NOT(ISNUMBER(H772)),"数据待核",IF(H772=0,"断货",IF(NOT(ISNUMBER(G772)),"数据待核",IF(G772=0,"零日销待复核",IF(F772&lt;60,"补货提醒",IF(F772&lt;=90,"正常库存",IF(F772&lt;180,"促销",IF(F772&lt;=365,"红线促销","考虑清仓")))))))))</x:f>
        <x:v>零日销待复核</x:v>
      </x:c>
      <x:c r="F772" s="11" t="str">
        <x:f>IF(AND(ISNUMBER(H772),ISNUMBER(G772),G772&gt;0),H772/G772,"")</x:f>
      </x:c>
      <x:c r="G772" s="12" t="n">
        <x:f>IF(AND(COUNT(P772:R772)=3,MIN(P772:R772)&gt;=0,P772&lt;=Q772,Q772&lt;=R772),P772/7*0.5+Q772/14*0.3+R772/30*0.2,"")</x:f>
        <x:v>0</x:v>
      </x:c>
      <x:c r="H772" s="10" t="n">
        <x:f>IF(ISNUMBER(U772),U772,"")</x:f>
        <x:v>11</x:v>
      </x:c>
      <x:c r="I772" s="10"/>
      <x:c r="J772" s="11" t="str">
        <x:f>IF(AND(Z772="共同",ISNUMBER(F772),ISNUMBER(M772)),F772-M772,"")</x:f>
      </x:c>
      <x:c r="K772" s="13" t="str">
        <x:f>IF(AND(ISNUMBER(J772),M772&lt;&gt;0),J772/M772,"")</x:f>
      </x:c>
      <x:c r="L772" s="10"/>
      <x:c r="M772" s="11"/>
      <x:c r="N772" s="10" t="str">
        <x:f>IF(AND(Z772="共同",COUNT(H772:I772)=2),H772-I772,"")</x:f>
      </x:c>
      <x:c r="O772" s="10" t="n">
        <x:v>5</x:v>
      </x:c>
      <x:c r="P772" s="10" t="n">
        <x:v>0</x:v>
      </x:c>
      <x:c r="Q772" s="10" t="n">
        <x:v>0</x:v>
      </x:c>
      <x:c r="R772" s="10" t="n">
        <x:v>0</x:v>
      </x:c>
      <x:c r="S772" s="10" t="n">
        <x:v>16</x:v>
      </x:c>
      <x:c r="T772" s="10" t="n">
        <x:v>0</x:v>
      </x:c>
      <x:c r="U772" s="10" t="n">
        <x:f>IF(AND(ISNUMBER(X772),X772&gt;=0,Y772&lt;&gt;1),X772,"")</x:f>
        <x:v>11</x:v>
      </x:c>
      <x:c r="V772" s="10" t="n">
        <x:v>0</x:v>
      </x:c>
      <x:c r="W772" s="10" t="n">
        <x:v>78</x:v>
      </x:c>
      <x:c r="X772" s="10" t="n">
        <x:v>11</x:v>
      </x:c>
      <x:c r="Y772" s="3" t="n">
        <x:v>0</x:v>
      </x:c>
      <x:c r="Z772" s="3" t="str">
        <x:v>新增</x:v>
      </x:c>
      <x:c r="AA772" s="3" t="str">
        <x:v>在售</x:v>
      </x:c>
      <x:c r="AB772" s="12" t="str">
        <x:f>IF(AND(Z772="共同",ISNUMBER(G772),ISNUMBER(AD772)),G772-AD772,"")</x:f>
      </x:c>
      <x:c r="AC772" s="3" t="str">
        <x:v>近90天SKU销量未匹配，未按0处理</x:v>
      </x:c>
      <x:c r="AD772" s="12"/>
      <x:c r="AE772" s="3" t="str">
        <x:v>[13120,"9967-BK-41"]</x:v>
      </x:c>
      <x:c r="AF772" t="n">
        <x:f>IF(ISNUMBER(H772),1,0)</x:f>
        <x:v>1</x:v>
      </x:c>
      <x:c r="AG772" t="n">
        <x:f>IF(ISNUMBER(I772),1,0)</x:f>
        <x:v>0</x:v>
      </x:c>
      <x:c r="AH772" t="str">
        <x:v>["9967","9967-BK","BK","黑色"]</x:v>
      </x:c>
      <x:c r="AI772" t="n">
        <x:f>IF(ISNUMBER(G772),1,0)</x:f>
        <x:v>1</x:v>
      </x:c>
      <x:c r="AJ772" t="n">
        <x:f>IF(ISNUMBER(AD772),1,0)</x:f>
        <x:v>0</x:v>
      </x:c>
    </x:row>
    <x:row r="773" ht="30" customHeight="1">
      <x:c r="A773" s="3" t="str">
        <x:v>9967-BK-42</x:v>
      </x:c>
      <x:c r="B773" s="3" t="str">
        <x:v>1店-MUSSHOE-US</x:v>
      </x:c>
      <x:c r="C773" s="3" t="str">
        <x:v>徐新怡</x:v>
      </x:c>
      <x:c r="D773" s="3" t="str">
        <x:v>9967</x:v>
      </x:c>
      <x:c r="E773" s="3" t="str">
        <x:f>IF(Z773="移出","已移出",IF(NOT(ISNUMBER(H773)),"数据待核",IF(H773=0,"断货",IF(NOT(ISNUMBER(G773)),"数据待核",IF(G773=0,"零日销待复核",IF(F773&lt;60,"补货提醒",IF(F773&lt;=90,"正常库存",IF(F773&lt;180,"促销",IF(F773&lt;=365,"红线促销","考虑清仓")))))))))</x:f>
        <x:v>零日销待复核</x:v>
      </x:c>
      <x:c r="F773" s="11" t="str">
        <x:f>IF(AND(ISNUMBER(H773),ISNUMBER(G773),G773&gt;0),H773/G773,"")</x:f>
      </x:c>
      <x:c r="G773" s="12" t="n">
        <x:f>IF(AND(COUNT(P773:R773)=3,MIN(P773:R773)&gt;=0,P773&lt;=Q773,Q773&lt;=R773),P773/7*0.5+Q773/14*0.3+R773/30*0.2,"")</x:f>
        <x:v>0</x:v>
      </x:c>
      <x:c r="H773" s="10" t="n">
        <x:f>IF(ISNUMBER(U773),U773,"")</x:f>
        <x:v>8</x:v>
      </x:c>
      <x:c r="I773" s="10"/>
      <x:c r="J773" s="11" t="str">
        <x:f>IF(AND(Z773="共同",ISNUMBER(F773),ISNUMBER(M773)),F773-M773,"")</x:f>
      </x:c>
      <x:c r="K773" s="13" t="str">
        <x:f>IF(AND(ISNUMBER(J773),M773&lt;&gt;0),J773/M773,"")</x:f>
      </x:c>
      <x:c r="L773" s="10"/>
      <x:c r="M773" s="11"/>
      <x:c r="N773" s="10" t="str">
        <x:f>IF(AND(Z773="共同",COUNT(H773:I773)=2),H773-I773,"")</x:f>
      </x:c>
      <x:c r="O773" s="10" t="n">
        <x:v>0</x:v>
      </x:c>
      <x:c r="P773" s="10" t="n">
        <x:v>0</x:v>
      </x:c>
      <x:c r="Q773" s="10" t="n">
        <x:v>0</x:v>
      </x:c>
      <x:c r="R773" s="10" t="n">
        <x:v>0</x:v>
      </x:c>
      <x:c r="S773" s="10" t="n">
        <x:v>12</x:v>
      </x:c>
      <x:c r="T773" s="10" t="n">
        <x:v>0</x:v>
      </x:c>
      <x:c r="U773" s="10" t="n">
        <x:f>IF(AND(ISNUMBER(X773),X773&gt;=0,Y773&lt;&gt;1),X773,"")</x:f>
        <x:v>8</x:v>
      </x:c>
      <x:c r="V773" s="10" t="n">
        <x:v>0</x:v>
      </x:c>
      <x:c r="W773" s="10" t="n">
        <x:v>58</x:v>
      </x:c>
      <x:c r="X773" s="10" t="n">
        <x:v>8</x:v>
      </x:c>
      <x:c r="Y773" s="3" t="n">
        <x:v>0</x:v>
      </x:c>
      <x:c r="Z773" s="3" t="str">
        <x:v>新增</x:v>
      </x:c>
      <x:c r="AA773" s="3" t="str">
        <x:v>在售</x:v>
      </x:c>
      <x:c r="AB773" s="12" t="str">
        <x:f>IF(AND(Z773="共同",ISNUMBER(G773),ISNUMBER(AD773)),G773-AD773,"")</x:f>
      </x:c>
      <x:c r="AC773" s="3" t="str">
        <x:v>近90天SKU销量未匹配，未按0处理</x:v>
      </x:c>
      <x:c r="AD773" s="12"/>
      <x:c r="AE773" s="3" t="str">
        <x:v>[13120,"9967-BK-42"]</x:v>
      </x:c>
      <x:c r="AF773" t="n">
        <x:f>IF(ISNUMBER(H773),1,0)</x:f>
        <x:v>1</x:v>
      </x:c>
      <x:c r="AG773" t="n">
        <x:f>IF(ISNUMBER(I773),1,0)</x:f>
        <x:v>0</x:v>
      </x:c>
      <x:c r="AH773" t="str">
        <x:v>["9967","9967-BK","BK","黑色"]</x:v>
      </x:c>
      <x:c r="AI773" t="n">
        <x:f>IF(ISNUMBER(G773),1,0)</x:f>
        <x:v>1</x:v>
      </x:c>
      <x:c r="AJ773" t="n">
        <x:f>IF(ISNUMBER(AD773),1,0)</x:f>
        <x:v>0</x:v>
      </x:c>
    </x:row>
    <x:row r="774" ht="30" customHeight="1">
      <x:c r="A774" s="3" t="str">
        <x:v>9967-CT-39B</x:v>
      </x:c>
      <x:c r="B774" s="3" t="str">
        <x:v>1店-MUSSHOE-US</x:v>
      </x:c>
      <x:c r="C774" s="3" t="str">
        <x:v>徐新怡</x:v>
      </x:c>
      <x:c r="D774" s="3" t="str">
        <x:v>9967</x:v>
      </x:c>
      <x:c r="E774" s="3" t="str">
        <x:f>IF(Z774="移出","已移出",IF(NOT(ISNUMBER(H774)),"数据待核",IF(H774=0,"断货",IF(NOT(ISNUMBER(G774)),"数据待核",IF(G774=0,"零日销待复核",IF(F774&lt;60,"补货提醒",IF(F774&lt;=90,"正常库存",IF(F774&lt;180,"促销",IF(F774&lt;=365,"红线促销","考虑清仓")))))))))</x:f>
        <x:v>零日销待复核</x:v>
      </x:c>
      <x:c r="F774" s="11" t="str">
        <x:f>IF(AND(ISNUMBER(H774),ISNUMBER(G774),G774&gt;0),H774/G774,"")</x:f>
      </x:c>
      <x:c r="G774" s="12" t="n">
        <x:f>IF(AND(COUNT(P774:R774)=3,MIN(P774:R774)&gt;=0,P774&lt;=Q774,Q774&lt;=R774),P774/7*0.5+Q774/14*0.3+R774/30*0.2,"")</x:f>
        <x:v>0</x:v>
      </x:c>
      <x:c r="H774" s="10" t="n">
        <x:f>IF(ISNUMBER(U774),U774,"")</x:f>
        <x:v>12</x:v>
      </x:c>
      <x:c r="I774" s="10"/>
      <x:c r="J774" s="11" t="str">
        <x:f>IF(AND(Z774="共同",ISNUMBER(F774),ISNUMBER(M774)),F774-M774,"")</x:f>
      </x:c>
      <x:c r="K774" s="13" t="str">
        <x:f>IF(AND(ISNUMBER(J774),M774&lt;&gt;0),J774/M774,"")</x:f>
      </x:c>
      <x:c r="L774" s="10"/>
      <x:c r="M774" s="11"/>
      <x:c r="N774" s="10" t="str">
        <x:f>IF(AND(Z774="共同",COUNT(H774:I774)=2),H774-I774,"")</x:f>
      </x:c>
      <x:c r="O774" s="10" t="n">
        <x:v>9</x:v>
      </x:c>
      <x:c r="P774" s="10" t="n">
        <x:v>0</x:v>
      </x:c>
      <x:c r="Q774" s="10" t="n">
        <x:v>0</x:v>
      </x:c>
      <x:c r="R774" s="10" t="n">
        <x:v>0</x:v>
      </x:c>
      <x:c r="S774" s="10" t="n">
        <x:v>15</x:v>
      </x:c>
      <x:c r="T774" s="10" t="n">
        <x:v>0</x:v>
      </x:c>
      <x:c r="U774" s="10" t="n">
        <x:f>IF(AND(ISNUMBER(X774),X774&gt;=0,Y774&lt;&gt;1),X774,"")</x:f>
        <x:v>12</x:v>
      </x:c>
      <x:c r="V774" s="10" t="n">
        <x:v>0</x:v>
      </x:c>
      <x:c r="W774" s="10" t="n">
        <x:v>89</x:v>
      </x:c>
      <x:c r="X774" s="10" t="n">
        <x:v>12</x:v>
      </x:c>
      <x:c r="Y774" s="3" t="n">
        <x:v>0</x:v>
      </x:c>
      <x:c r="Z774" s="3" t="str">
        <x:v>新增</x:v>
      </x:c>
      <x:c r="AA774" s="3" t="str">
        <x:v>在售</x:v>
      </x:c>
      <x:c r="AB774" s="12" t="str">
        <x:f>IF(AND(Z774="共同",ISNUMBER(G774),ISNUMBER(AD774)),G774-AD774,"")</x:f>
      </x:c>
      <x:c r="AC774" s="3" t="str">
        <x:v>近90天SKU销量未匹配，未按0处理</x:v>
      </x:c>
      <x:c r="AD774" s="12"/>
      <x:c r="AE774" s="3" t="str">
        <x:v>[13120,"9967-CT-39B"]</x:v>
      </x:c>
      <x:c r="AF774" t="n">
        <x:f>IF(ISNUMBER(H774),1,0)</x:f>
        <x:v>1</x:v>
      </x:c>
      <x:c r="AG774" t="n">
        <x:f>IF(ISNUMBER(I774),1,0)</x:f>
        <x:v>0</x:v>
      </x:c>
      <x:c r="AH774" t="str">
        <x:v>["9967","9967-CT-39B","CT-39B","棕色"]</x:v>
      </x:c>
      <x:c r="AI774" t="n">
        <x:f>IF(ISNUMBER(G774),1,0)</x:f>
        <x:v>1</x:v>
      </x:c>
      <x:c r="AJ774" t="n">
        <x:f>IF(ISNUMBER(AD774),1,0)</x:f>
        <x:v>0</x:v>
      </x:c>
    </x:row>
    <x:row r="775" ht="30" customHeight="1">
      <x:c r="A775" s="3" t="str">
        <x:v>9967-CT-40B</x:v>
      </x:c>
      <x:c r="B775" s="3" t="str">
        <x:v>1店-MUSSHOE-US</x:v>
      </x:c>
      <x:c r="C775" s="3" t="str">
        <x:v>徐新怡</x:v>
      </x:c>
      <x:c r="D775" s="3" t="str">
        <x:v>9967</x:v>
      </x:c>
      <x:c r="E775" s="3" t="str">
        <x:f>IF(Z775="移出","已移出",IF(NOT(ISNUMBER(H775)),"数据待核",IF(H775=0,"断货",IF(NOT(ISNUMBER(G775)),"数据待核",IF(G775=0,"零日销待复核",IF(F775&lt;60,"补货提醒",IF(F775&lt;=90,"正常库存",IF(F775&lt;180,"促销",IF(F775&lt;=365,"红线促销","考虑清仓")))))))))</x:f>
        <x:v>零日销待复核</x:v>
      </x:c>
      <x:c r="F775" s="11" t="str">
        <x:f>IF(AND(ISNUMBER(H775),ISNUMBER(G775),G775&gt;0),H775/G775,"")</x:f>
      </x:c>
      <x:c r="G775" s="12" t="n">
        <x:f>IF(AND(COUNT(P775:R775)=3,MIN(P775:R775)&gt;=0,P775&lt;=Q775,Q775&lt;=R775),P775/7*0.5+Q775/14*0.3+R775/30*0.2,"")</x:f>
        <x:v>0</x:v>
      </x:c>
      <x:c r="H775" s="10" t="n">
        <x:f>IF(ISNUMBER(U775),U775,"")</x:f>
        <x:v>6</x:v>
      </x:c>
      <x:c r="I775" s="10"/>
      <x:c r="J775" s="11" t="str">
        <x:f>IF(AND(Z775="共同",ISNUMBER(F775),ISNUMBER(M775)),F775-M775,"")</x:f>
      </x:c>
      <x:c r="K775" s="13" t="str">
        <x:f>IF(AND(ISNUMBER(J775),M775&lt;&gt;0),J775/M775,"")</x:f>
      </x:c>
      <x:c r="L775" s="10"/>
      <x:c r="M775" s="11"/>
      <x:c r="N775" s="10" t="str">
        <x:f>IF(AND(Z775="共同",COUNT(H775:I775)=2),H775-I775,"")</x:f>
      </x:c>
      <x:c r="O775" s="10" t="n">
        <x:v>13</x:v>
      </x:c>
      <x:c r="P775" s="10" t="n">
        <x:v>0</x:v>
      </x:c>
      <x:c r="Q775" s="10" t="n">
        <x:v>0</x:v>
      </x:c>
      <x:c r="R775" s="10" t="n">
        <x:v>0</x:v>
      </x:c>
      <x:c r="S775" s="10" t="n">
        <x:v>12</x:v>
      </x:c>
      <x:c r="T775" s="10" t="n">
        <x:v>0</x:v>
      </x:c>
      <x:c r="U775" s="10" t="n">
        <x:f>IF(AND(ISNUMBER(X775),X775&gt;=0,Y775&lt;&gt;1),X775,"")</x:f>
        <x:v>6</x:v>
      </x:c>
      <x:c r="V775" s="10" t="n">
        <x:v>0</x:v>
      </x:c>
      <x:c r="W775" s="10" t="n">
        <x:v>77</x:v>
      </x:c>
      <x:c r="X775" s="10" t="n">
        <x:v>6</x:v>
      </x:c>
      <x:c r="Y775" s="3" t="n">
        <x:v>0</x:v>
      </x:c>
      <x:c r="Z775" s="3" t="str">
        <x:v>新增</x:v>
      </x:c>
      <x:c r="AA775" s="3" t="str">
        <x:v>在售</x:v>
      </x:c>
      <x:c r="AB775" s="12" t="str">
        <x:f>IF(AND(Z775="共同",ISNUMBER(G775),ISNUMBER(AD775)),G775-AD775,"")</x:f>
      </x:c>
      <x:c r="AC775" s="3" t="str">
        <x:v>近90天SKU销量未匹配，未按0处理</x:v>
      </x:c>
      <x:c r="AD775" s="12"/>
      <x:c r="AE775" s="3" t="str">
        <x:v>[13120,"9967-CT-40B"]</x:v>
      </x:c>
      <x:c r="AF775" t="n">
        <x:f>IF(ISNUMBER(H775),1,0)</x:f>
        <x:v>1</x:v>
      </x:c>
      <x:c r="AG775" t="n">
        <x:f>IF(ISNUMBER(I775),1,0)</x:f>
        <x:v>0</x:v>
      </x:c>
      <x:c r="AH775" t="str">
        <x:v>["9967","9967-CT-40B","CT-40B","棕色"]</x:v>
      </x:c>
      <x:c r="AI775" t="n">
        <x:f>IF(ISNUMBER(G775),1,0)</x:f>
        <x:v>1</x:v>
      </x:c>
      <x:c r="AJ775" t="n">
        <x:f>IF(ISNUMBER(AD775),1,0)</x:f>
        <x:v>0</x:v>
      </x:c>
    </x:row>
    <x:row r="776" ht="30" customHeight="1">
      <x:c r="A776" s="3" t="str">
        <x:v>9967-CT-41</x:v>
      </x:c>
      <x:c r="B776" s="3" t="str">
        <x:v>1店-MUSSHOE-US</x:v>
      </x:c>
      <x:c r="C776" s="3" t="str">
        <x:v>徐新怡</x:v>
      </x:c>
      <x:c r="D776" s="3" t="str">
        <x:v>9967</x:v>
      </x:c>
      <x:c r="E776" s="3" t="str">
        <x:f>IF(Z776="移出","已移出",IF(NOT(ISNUMBER(H776)),"数据待核",IF(H776=0,"断货",IF(NOT(ISNUMBER(G776)),"数据待核",IF(G776=0,"零日销待复核",IF(F776&lt;60,"补货提醒",IF(F776&lt;=90,"正常库存",IF(F776&lt;180,"促销",IF(F776&lt;=365,"红线促销","考虑清仓")))))))))</x:f>
        <x:v>零日销待复核</x:v>
      </x:c>
      <x:c r="F776" s="11" t="str">
        <x:f>IF(AND(ISNUMBER(H776),ISNUMBER(G776),G776&gt;0),H776/G776,"")</x:f>
      </x:c>
      <x:c r="G776" s="12" t="n">
        <x:f>IF(AND(COUNT(P776:R776)=3,MIN(P776:R776)&gt;=0,P776&lt;=Q776,Q776&lt;=R776),P776/7*0.5+Q776/14*0.3+R776/30*0.2,"")</x:f>
        <x:v>0</x:v>
      </x:c>
      <x:c r="H776" s="10" t="n">
        <x:f>IF(ISNUMBER(U776),U776,"")</x:f>
        <x:v>3</x:v>
      </x:c>
      <x:c r="I776" s="10"/>
      <x:c r="J776" s="11" t="str">
        <x:f>IF(AND(Z776="共同",ISNUMBER(F776),ISNUMBER(M776)),F776-M776,"")</x:f>
      </x:c>
      <x:c r="K776" s="13" t="str">
        <x:f>IF(AND(ISNUMBER(J776),M776&lt;&gt;0),J776/M776,"")</x:f>
      </x:c>
      <x:c r="L776" s="10"/>
      <x:c r="M776" s="11"/>
      <x:c r="N776" s="10" t="str">
        <x:f>IF(AND(Z776="共同",COUNT(H776:I776)=2),H776-I776,"")</x:f>
      </x:c>
      <x:c r="O776" s="10" t="n">
        <x:v>0</x:v>
      </x:c>
      <x:c r="P776" s="10" t="n">
        <x:v>0</x:v>
      </x:c>
      <x:c r="Q776" s="10" t="n">
        <x:v>0</x:v>
      </x:c>
      <x:c r="R776" s="10" t="n">
        <x:v>0</x:v>
      </x:c>
      <x:c r="S776" s="10" t="n">
        <x:v>5</x:v>
      </x:c>
      <x:c r="T776" s="10" t="n">
        <x:v>0</x:v>
      </x:c>
      <x:c r="U776" s="10" t="n">
        <x:f>IF(AND(ISNUMBER(X776),X776&gt;=0,Y776&lt;&gt;1),X776,"")</x:f>
        <x:v>3</x:v>
      </x:c>
      <x:c r="V776" s="10" t="n">
        <x:v>0</x:v>
      </x:c>
      <x:c r="W776" s="10" t="n">
        <x:v>14</x:v>
      </x:c>
      <x:c r="X776" s="10" t="n">
        <x:v>3</x:v>
      </x:c>
      <x:c r="Y776" s="3" t="n">
        <x:v>0</x:v>
      </x:c>
      <x:c r="Z776" s="3" t="str">
        <x:v>新增</x:v>
      </x:c>
      <x:c r="AA776" s="3" t="str">
        <x:v>在售</x:v>
      </x:c>
      <x:c r="AB776" s="12" t="str">
        <x:f>IF(AND(Z776="共同",ISNUMBER(G776),ISNUMBER(AD776)),G776-AD776,"")</x:f>
      </x:c>
      <x:c r="AC776" s="3" t="str">
        <x:v>近90天SKU销量未匹配，未按0处理</x:v>
      </x:c>
      <x:c r="AD776" s="12"/>
      <x:c r="AE776" s="3" t="str">
        <x:v>[13120,"9967-CT-41"]</x:v>
      </x:c>
      <x:c r="AF776" t="n">
        <x:f>IF(ISNUMBER(H776),1,0)</x:f>
        <x:v>1</x:v>
      </x:c>
      <x:c r="AG776" t="n">
        <x:f>IF(ISNUMBER(I776),1,0)</x:f>
        <x:v>0</x:v>
      </x:c>
      <x:c r="AH776" t="str">
        <x:v>["9967","9967-CT","CT","棕色"]</x:v>
      </x:c>
      <x:c r="AI776" t="n">
        <x:f>IF(ISNUMBER(G776),1,0)</x:f>
        <x:v>1</x:v>
      </x:c>
      <x:c r="AJ776" t="n">
        <x:f>IF(ISNUMBER(AD776),1,0)</x:f>
        <x:v>0</x:v>
      </x:c>
    </x:row>
    <x:row r="777" ht="30" customHeight="1">
      <x:c r="A777" s="3" t="str">
        <x:v>9967-CT-42</x:v>
      </x:c>
      <x:c r="B777" s="3" t="str">
        <x:v>1店-MUSSHOE-US</x:v>
      </x:c>
      <x:c r="C777" s="3" t="str">
        <x:v>徐新怡</x:v>
      </x:c>
      <x:c r="D777" s="3" t="str">
        <x:v>9967</x:v>
      </x:c>
      <x:c r="E777" s="3" t="str">
        <x:f>IF(Z777="移出","已移出",IF(NOT(ISNUMBER(H777)),"数据待核",IF(H777=0,"断货",IF(NOT(ISNUMBER(G777)),"数据待核",IF(G777=0,"零日销待复核",IF(F777&lt;60,"补货提醒",IF(F777&lt;=90,"正常库存",IF(F777&lt;180,"促销",IF(F777&lt;=365,"红线促销","考虑清仓")))))))))</x:f>
        <x:v>零日销待复核</x:v>
      </x:c>
      <x:c r="F777" s="11" t="str">
        <x:f>IF(AND(ISNUMBER(H777),ISNUMBER(G777),G777&gt;0),H777/G777,"")</x:f>
      </x:c>
      <x:c r="G777" s="12" t="n">
        <x:f>IF(AND(COUNT(P777:R777)=3,MIN(P777:R777)&gt;=0,P777&lt;=Q777,Q777&lt;=R777),P777/7*0.5+Q777/14*0.3+R777/30*0.2,"")</x:f>
        <x:v>0</x:v>
      </x:c>
      <x:c r="H777" s="10" t="n">
        <x:f>IF(ISNUMBER(U777),U777,"")</x:f>
        <x:v>1</x:v>
      </x:c>
      <x:c r="I777" s="10"/>
      <x:c r="J777" s="11" t="str">
        <x:f>IF(AND(Z777="共同",ISNUMBER(F777),ISNUMBER(M777)),F777-M777,"")</x:f>
      </x:c>
      <x:c r="K777" s="13" t="str">
        <x:f>IF(AND(ISNUMBER(J777),M777&lt;&gt;0),J777/M777,"")</x:f>
      </x:c>
      <x:c r="L777" s="10"/>
      <x:c r="M777" s="11"/>
      <x:c r="N777" s="10" t="str">
        <x:f>IF(AND(Z777="共同",COUNT(H777:I777)=2),H777-I777,"")</x:f>
      </x:c>
      <x:c r="O777" s="10" t="n">
        <x:v>0</x:v>
      </x:c>
      <x:c r="P777" s="10" t="n">
        <x:v>0</x:v>
      </x:c>
      <x:c r="Q777" s="10" t="n">
        <x:v>0</x:v>
      </x:c>
      <x:c r="R777" s="10" t="n">
        <x:v>0</x:v>
      </x:c>
      <x:c r="S777" s="10" t="n">
        <x:v>1</x:v>
      </x:c>
      <x:c r="T777" s="10" t="n">
        <x:v>0</x:v>
      </x:c>
      <x:c r="U777" s="10" t="n">
        <x:f>IF(AND(ISNUMBER(X777),X777&gt;=0,Y777&lt;&gt;1),X777,"")</x:f>
        <x:v>1</x:v>
      </x:c>
      <x:c r="V777" s="10" t="n">
        <x:v>0</x:v>
      </x:c>
      <x:c r="W777" s="10" t="n">
        <x:v>12</x:v>
      </x:c>
      <x:c r="X777" s="10" t="n">
        <x:v>1</x:v>
      </x:c>
      <x:c r="Y777" s="3" t="n">
        <x:v>0</x:v>
      </x:c>
      <x:c r="Z777" s="3" t="str">
        <x:v>新增</x:v>
      </x:c>
      <x:c r="AA777" s="3" t="str">
        <x:v>在售</x:v>
      </x:c>
      <x:c r="AB777" s="12" t="str">
        <x:f>IF(AND(Z777="共同",ISNUMBER(G777),ISNUMBER(AD777)),G777-AD777,"")</x:f>
      </x:c>
      <x:c r="AC777" s="3" t="str">
        <x:v>近90天SKU销量未匹配，未按0处理</x:v>
      </x:c>
      <x:c r="AD777" s="12"/>
      <x:c r="AE777" s="3" t="str">
        <x:v>[13120,"9967-CT-42"]</x:v>
      </x:c>
      <x:c r="AF777" t="n">
        <x:f>IF(ISNUMBER(H777),1,0)</x:f>
        <x:v>1</x:v>
      </x:c>
      <x:c r="AG777" t="n">
        <x:f>IF(ISNUMBER(I777),1,0)</x:f>
        <x:v>0</x:v>
      </x:c>
      <x:c r="AH777" t="str">
        <x:v>["9967","9967-CT","CT","棕色"]</x:v>
      </x:c>
      <x:c r="AI777" t="n">
        <x:f>IF(ISNUMBER(G777),1,0)</x:f>
        <x:v>1</x:v>
      </x:c>
      <x:c r="AJ777" t="n">
        <x:f>IF(ISNUMBER(AD777),1,0)</x:f>
        <x:v>0</x:v>
      </x:c>
    </x:row>
    <x:row r="778" ht="30" customHeight="1">
      <x:c r="A778" s="3" t="str">
        <x:v>9967-GY-37</x:v>
      </x:c>
      <x:c r="B778" s="3" t="str">
        <x:v>1店-MUSSHOE-US</x:v>
      </x:c>
      <x:c r="C778" s="3" t="str">
        <x:v>徐新怡</x:v>
      </x:c>
      <x:c r="D778" s="3" t="str">
        <x:v>9967</x:v>
      </x:c>
      <x:c r="E778" s="3" t="str">
        <x:f>IF(Z778="移出","已移出",IF(NOT(ISNUMBER(H778)),"数据待核",IF(H778=0,"断货",IF(NOT(ISNUMBER(G778)),"数据待核",IF(G778=0,"零日销待复核",IF(F778&lt;60,"补货提醒",IF(F778&lt;=90,"正常库存",IF(F778&lt;180,"促销",IF(F778&lt;=365,"红线促销","考虑清仓")))))))))</x:f>
        <x:v>零日销待复核</x:v>
      </x:c>
      <x:c r="F778" s="11" t="str">
        <x:f>IF(AND(ISNUMBER(H778),ISNUMBER(G778),G778&gt;0),H778/G778,"")</x:f>
      </x:c>
      <x:c r="G778" s="12" t="n">
        <x:f>IF(AND(COUNT(P778:R778)=3,MIN(P778:R778)&gt;=0,P778&lt;=Q778,Q778&lt;=R778),P778/7*0.5+Q778/14*0.3+R778/30*0.2,"")</x:f>
        <x:v>0</x:v>
      </x:c>
      <x:c r="H778" s="10" t="n">
        <x:f>IF(ISNUMBER(U778),U778,"")</x:f>
        <x:v>1</x:v>
      </x:c>
      <x:c r="I778" s="10"/>
      <x:c r="J778" s="11" t="str">
        <x:f>IF(AND(Z778="共同",ISNUMBER(F778),ISNUMBER(M778)),F778-M778,"")</x:f>
      </x:c>
      <x:c r="K778" s="13" t="str">
        <x:f>IF(AND(ISNUMBER(J778),M778&lt;&gt;0),J778/M778,"")</x:f>
      </x:c>
      <x:c r="L778" s="10"/>
      <x:c r="M778" s="11"/>
      <x:c r="N778" s="10" t="str">
        <x:f>IF(AND(Z778="共同",COUNT(H778:I778)=2),H778-I778,"")</x:f>
      </x:c>
      <x:c r="O778" s="10" t="n">
        <x:v>3</x:v>
      </x:c>
      <x:c r="P778" s="10" t="n">
        <x:v>0</x:v>
      </x:c>
      <x:c r="Q778" s="10" t="n">
        <x:v>0</x:v>
      </x:c>
      <x:c r="R778" s="10" t="n">
        <x:v>0</x:v>
      </x:c>
      <x:c r="S778" s="10" t="n">
        <x:v>1</x:v>
      </x:c>
      <x:c r="T778" s="10" t="n">
        <x:v>0</x:v>
      </x:c>
      <x:c r="U778" s="10" t="n">
        <x:f>IF(AND(ISNUMBER(X778),X778&gt;=0,Y778&lt;&gt;1),X778,"")</x:f>
        <x:v>1</x:v>
      </x:c>
      <x:c r="V778" s="10" t="n">
        <x:v>0</x:v>
      </x:c>
      <x:c r="W778" s="10" t="n">
        <x:v>0</x:v>
      </x:c>
      <x:c r="X778" s="10" t="n">
        <x:v>1</x:v>
      </x:c>
      <x:c r="Y778" s="3" t="n">
        <x:v>0</x:v>
      </x:c>
      <x:c r="Z778" s="3" t="str">
        <x:v>新增</x:v>
      </x:c>
      <x:c r="AA778" s="3" t="str">
        <x:v>在售</x:v>
      </x:c>
      <x:c r="AB778" s="12" t="str">
        <x:f>IF(AND(Z778="共同",ISNUMBER(G778),ISNUMBER(AD778)),G778-AD778,"")</x:f>
      </x:c>
      <x:c r="AC778" s="3" t="str">
        <x:v>近90天SKU销量未匹配，未按0处理</x:v>
      </x:c>
      <x:c r="AD778" s="12"/>
      <x:c r="AE778" s="3" t="str">
        <x:v>[13120,"9967-GY-37"]</x:v>
      </x:c>
      <x:c r="AF778" t="n">
        <x:f>IF(ISNUMBER(H778),1,0)</x:f>
        <x:v>1</x:v>
      </x:c>
      <x:c r="AG778" t="n">
        <x:f>IF(ISNUMBER(I778),1,0)</x:f>
        <x:v>0</x:v>
      </x:c>
      <x:c r="AH778" t="str">
        <x:v>["9967","9967-GY","GY","灰色"]</x:v>
      </x:c>
      <x:c r="AI778" t="n">
        <x:f>IF(ISNUMBER(G778),1,0)</x:f>
        <x:v>1</x:v>
      </x:c>
      <x:c r="AJ778" t="n">
        <x:f>IF(ISNUMBER(AD778),1,0)</x:f>
        <x:v>0</x:v>
      </x:c>
    </x:row>
    <x:row r="779" ht="30" customHeight="1">
      <x:c r="A779" s="3" t="str">
        <x:v>B06-CPG-41.5</x:v>
      </x:c>
      <x:c r="B779" s="3" t="str">
        <x:v>1店-MUSSHOE-US</x:v>
      </x:c>
      <x:c r="C779" s="3" t="str">
        <x:v>艾年</x:v>
      </x:c>
      <x:c r="D779" s="3" t="str">
        <x:v>B06</x:v>
      </x:c>
      <x:c r="E779" s="3" t="str">
        <x:f>IF(Z779="移出","已移出",IF(NOT(ISNUMBER(H779)),"数据待核",IF(H779=0,"断货",IF(NOT(ISNUMBER(G779)),"数据待核",IF(G779=0,"零日销待复核",IF(F779&lt;60,"补货提醒",IF(F779&lt;=90,"正常库存",IF(F779&lt;180,"促销",IF(F779&lt;=365,"红线促销","考虑清仓")))))))))</x:f>
        <x:v>零日销待复核</x:v>
      </x:c>
      <x:c r="F779" s="11" t="str">
        <x:f>IF(AND(ISNUMBER(H779),ISNUMBER(G779),G779&gt;0),H779/G779,"")</x:f>
      </x:c>
      <x:c r="G779" s="12" t="n">
        <x:f>IF(AND(COUNT(P779:R779)=3,MIN(P779:R779)&gt;=0,P779&lt;=Q779,Q779&lt;=R779),P779/7*0.5+Q779/14*0.3+R779/30*0.2,"")</x:f>
        <x:v>0</x:v>
      </x:c>
      <x:c r="H779" s="10" t="n">
        <x:f>IF(ISNUMBER(U779),U779,"")</x:f>
        <x:v>1</x:v>
      </x:c>
      <x:c r="I779" s="10"/>
      <x:c r="J779" s="11" t="str">
        <x:f>IF(AND(Z779="共同",ISNUMBER(F779),ISNUMBER(M779)),F779-M779,"")</x:f>
      </x:c>
      <x:c r="K779" s="13" t="str">
        <x:f>IF(AND(ISNUMBER(J779),M779&lt;&gt;0),J779/M779,"")</x:f>
      </x:c>
      <x:c r="L779" s="10"/>
      <x:c r="M779" s="11"/>
      <x:c r="N779" s="10" t="str">
        <x:f>IF(AND(Z779="共同",COUNT(H779:I779)=2),H779-I779,"")</x:f>
      </x:c>
      <x:c r="O779" s="10"/>
      <x:c r="P779" s="10" t="n">
        <x:v>0</x:v>
      </x:c>
      <x:c r="Q779" s="10" t="n">
        <x:v>0</x:v>
      </x:c>
      <x:c r="R779" s="10" t="n">
        <x:v>0</x:v>
      </x:c>
      <x:c r="S779" s="10" t="n">
        <x:v>1</x:v>
      </x:c>
      <x:c r="T779" s="10" t="n">
        <x:v>0</x:v>
      </x:c>
      <x:c r="U779" s="10" t="n">
        <x:f>IF(AND(ISNUMBER(X779),X779&gt;=0,Y779&lt;&gt;1),X779,"")</x:f>
        <x:v>1</x:v>
      </x:c>
      <x:c r="V779" s="10" t="n">
        <x:v>0</x:v>
      </x:c>
      <x:c r="W779" s="10" t="n">
        <x:v>0</x:v>
      </x:c>
      <x:c r="X779" s="10" t="n">
        <x:v>1</x:v>
      </x:c>
      <x:c r="Y779" s="3" t="n">
        <x:v>0</x:v>
      </x:c>
      <x:c r="Z779" s="3" t="str">
        <x:v>新增</x:v>
      </x:c>
      <x:c r="AA779" s="3" t="str">
        <x:v>在售</x:v>
      </x:c>
      <x:c r="AB779" s="12" t="str">
        <x:f>IF(AND(Z779="共同",ISNUMBER(G779),ISNUMBER(AD779)),G779-AD779,"")</x:f>
      </x:c>
      <x:c r="AC779" s="3" t="str">
        <x:v>近90天SKU销量未匹配，未按0处理</x:v>
      </x:c>
      <x:c r="AD779" s="12"/>
      <x:c r="AE779" s="3" t="str">
        <x:v>[13120,"B06-CPG-41.5"]</x:v>
      </x:c>
      <x:c r="AF779" t="n">
        <x:f>IF(ISNUMBER(H779),1,0)</x:f>
        <x:v>1</x:v>
      </x:c>
      <x:c r="AG779" t="n">
        <x:f>IF(ISNUMBER(I779),1,0)</x:f>
        <x:v>0</x:v>
      </x:c>
      <x:c r="AH779" t="str">
        <x:v>["B06","B06-CPG","CPG","香槟金PU"]</x:v>
      </x:c>
      <x:c r="AI779" t="n">
        <x:f>IF(ISNUMBER(G779),1,0)</x:f>
        <x:v>1</x:v>
      </x:c>
      <x:c r="AJ779" t="n">
        <x:f>IF(ISNUMBER(AD779),1,0)</x:f>
        <x:v>0</x:v>
      </x:c>
    </x:row>
    <x:row r="780" ht="30" customHeight="1">
      <x:c r="A780" s="3" t="str">
        <x:v>B06-IV-P-0-37</x:v>
      </x:c>
      <x:c r="B780" s="3" t="str">
        <x:v>1店-MUSSHOE-US</x:v>
      </x:c>
      <x:c r="C780" s="3" t="str">
        <x:v>艾年</x:v>
      </x:c>
      <x:c r="D780" s="3" t="str">
        <x:v>B06</x:v>
      </x:c>
      <x:c r="E780" s="3" t="str">
        <x:f>IF(Z780="移出","已移出",IF(NOT(ISNUMBER(H780)),"数据待核",IF(H780=0,"断货",IF(NOT(ISNUMBER(G780)),"数据待核",IF(G780=0,"零日销待复核",IF(F780&lt;60,"补货提醒",IF(F780&lt;=90,"正常库存",IF(F780&lt;180,"促销",IF(F780&lt;=365,"红线促销","考虑清仓")))))))))</x:f>
        <x:v>零日销待复核</x:v>
      </x:c>
      <x:c r="F780" s="11" t="str">
        <x:f>IF(AND(ISNUMBER(H780),ISNUMBER(G780),G780&gt;0),H780/G780,"")</x:f>
      </x:c>
      <x:c r="G780" s="12" t="n">
        <x:f>IF(AND(COUNT(P780:R780)=3,MIN(P780:R780)&gt;=0,P780&lt;=Q780,Q780&lt;=R780),P780/7*0.5+Q780/14*0.3+R780/30*0.2,"")</x:f>
        <x:v>0</x:v>
      </x:c>
      <x:c r="H780" s="10" t="n">
        <x:f>IF(ISNUMBER(U780),U780,"")</x:f>
        <x:v>1</x:v>
      </x:c>
      <x:c r="I780" s="10" t="n">
        <x:v>1</x:v>
      </x:c>
      <x:c r="J780" s="11" t="str">
        <x:f>IF(AND(Z780="共同",ISNUMBER(F780),ISNUMBER(M780)),F780-M780,"")</x:f>
      </x:c>
      <x:c r="K780" s="13" t="str">
        <x:f>IF(AND(ISNUMBER(J780),M780&lt;&gt;0),J780/M780,"")</x:f>
      </x:c>
      <x:c r="L780" s="10" t="str">
        <x:v>零日销待复核</x:v>
      </x:c>
      <x:c r="M780" s="11"/>
      <x:c r="N780" s="10" t="n">
        <x:f>IF(AND(Z780="共同",COUNT(H780:I780)=2),H780-I780,"")</x:f>
        <x:v>0</x:v>
      </x:c>
      <x:c r="O780" s="10" t="n">
        <x:v>0</x:v>
      </x:c>
      <x:c r="P780" s="10" t="n">
        <x:v>0</x:v>
      </x:c>
      <x:c r="Q780" s="10" t="n">
        <x:v>0</x:v>
      </x:c>
      <x:c r="R780" s="10" t="n">
        <x:v>0</x:v>
      </x:c>
      <x:c r="S780" s="10" t="n">
        <x:v>1</x:v>
      </x:c>
      <x:c r="T780" s="10" t="n">
        <x:v>0</x:v>
      </x:c>
      <x:c r="U780" s="10" t="n">
        <x:f>IF(AND(ISNUMBER(X780),X780&gt;=0,Y780&lt;&gt;1),X780,"")</x:f>
        <x:v>1</x:v>
      </x:c>
      <x:c r="V780" s="10" t="n">
        <x:v>0</x:v>
      </x:c>
      <x:c r="W780" s="10" t="n">
        <x:v>0</x:v>
      </x:c>
      <x:c r="X780" s="10" t="n">
        <x:v>1</x:v>
      </x:c>
      <x:c r="Y780" s="3" t="n">
        <x:v>0</x:v>
      </x:c>
      <x:c r="Z780" s="3" t="str">
        <x:v>共同</x:v>
      </x:c>
      <x:c r="AA780" s="3" t="str">
        <x:v>在售</x:v>
      </x:c>
      <x:c r="AB780" s="12" t="n">
        <x:f>IF(AND(Z780="共同",ISNUMBER(G780),ISNUMBER(AD780)),G780-AD780,"")</x:f>
        <x:v>0</x:v>
      </x:c>
      <x:c r="AC780" s="3" t="str"/>
      <x:c r="AD780" s="12" t="n">
        <x:v>0</x:v>
      </x:c>
      <x:c r="AE780" s="3" t="str">
        <x:v>[13120,"B06-IV-P-0-37"]</x:v>
      </x:c>
      <x:c r="AF780" t="n">
        <x:f>IF(ISNUMBER(H780),1,0)</x:f>
        <x:v>1</x:v>
      </x:c>
      <x:c r="AG780" t="n">
        <x:f>IF(ISNUMBER(I780),1,0)</x:f>
        <x:v>1</x:v>
      </x:c>
      <x:c r="AH780" t="str">
        <x:v>["B06","B06-IV-P-0","IV-P","米白色PU"]</x:v>
      </x:c>
      <x:c r="AI780" t="n">
        <x:f>IF(ISNUMBER(G780),1,0)</x:f>
        <x:v>1</x:v>
      </x:c>
      <x:c r="AJ780" t="n">
        <x:f>IF(ISNUMBER(AD780),1,0)</x:f>
        <x:v>1</x:v>
      </x:c>
    </x:row>
    <x:row r="781" ht="30" customHeight="1">
      <x:c r="A781" s="3" t="str">
        <x:v>B06-IV-P-0-39.5</x:v>
      </x:c>
      <x:c r="B781" s="3" t="str">
        <x:v>1店-MUSSHOE-US</x:v>
      </x:c>
      <x:c r="C781" s="3" t="str">
        <x:v>艾年</x:v>
      </x:c>
      <x:c r="D781" s="3" t="str">
        <x:v>B06</x:v>
      </x:c>
      <x:c r="E781" s="3" t="str">
        <x:f>IF(Z781="移出","已移出",IF(NOT(ISNUMBER(H781)),"数据待核",IF(H781=0,"断货",IF(NOT(ISNUMBER(G781)),"数据待核",IF(G781=0,"零日销待复核",IF(F781&lt;60,"补货提醒",IF(F781&lt;=90,"正常库存",IF(F781&lt;180,"促销",IF(F781&lt;=365,"红线促销","考虑清仓")))))))))</x:f>
        <x:v>零日销待复核</x:v>
      </x:c>
      <x:c r="F781" s="11" t="str">
        <x:f>IF(AND(ISNUMBER(H781),ISNUMBER(G781),G781&gt;0),H781/G781,"")</x:f>
      </x:c>
      <x:c r="G781" s="12" t="n">
        <x:f>IF(AND(COUNT(P781:R781)=3,MIN(P781:R781)&gt;=0,P781&lt;=Q781,Q781&lt;=R781),P781/7*0.5+Q781/14*0.3+R781/30*0.2,"")</x:f>
        <x:v>0</x:v>
      </x:c>
      <x:c r="H781" s="10" t="n">
        <x:f>IF(ISNUMBER(U781),U781,"")</x:f>
        <x:v>1</x:v>
      </x:c>
      <x:c r="I781" s="10" t="n">
        <x:v>1</x:v>
      </x:c>
      <x:c r="J781" s="11" t="str">
        <x:f>IF(AND(Z781="共同",ISNUMBER(F781),ISNUMBER(M781)),F781-M781,"")</x:f>
      </x:c>
      <x:c r="K781" s="13" t="str">
        <x:f>IF(AND(ISNUMBER(J781),M781&lt;&gt;0),J781/M781,"")</x:f>
      </x:c>
      <x:c r="L781" s="10" t="str">
        <x:v>数据待核</x:v>
      </x:c>
      <x:c r="M781" s="11"/>
      <x:c r="N781" s="10" t="n">
        <x:f>IF(AND(Z781="共同",COUNT(H781:I781)=2),H781-I781,"")</x:f>
        <x:v>0</x:v>
      </x:c>
      <x:c r="O781" s="10" t="n">
        <x:v>39</x:v>
      </x:c>
      <x:c r="P781" s="10" t="n">
        <x:v>0</x:v>
      </x:c>
      <x:c r="Q781" s="10" t="n">
        <x:v>0</x:v>
      </x:c>
      <x:c r="R781" s="10" t="n">
        <x:v>0</x:v>
      </x:c>
      <x:c r="S781" s="10" t="n">
        <x:v>1</x:v>
      </x:c>
      <x:c r="T781" s="10" t="n">
        <x:v>0</x:v>
      </x:c>
      <x:c r="U781" s="10" t="n">
        <x:f>IF(AND(ISNUMBER(X781),X781&gt;=0,Y781&lt;&gt;1),X781,"")</x:f>
        <x:v>1</x:v>
      </x:c>
      <x:c r="V781" s="10" t="n">
        <x:v>0</x:v>
      </x:c>
      <x:c r="W781" s="10" t="n">
        <x:v>0</x:v>
      </x:c>
      <x:c r="X781" s="10" t="n">
        <x:v>1</x:v>
      </x:c>
      <x:c r="Y781" s="3" t="n">
        <x:v>0</x:v>
      </x:c>
      <x:c r="Z781" s="3" t="str">
        <x:v>共同</x:v>
      </x:c>
      <x:c r="AA781" s="3" t="str">
        <x:v>在售</x:v>
      </x:c>
      <x:c r="AB781" s="12" t="str">
        <x:f>IF(AND(Z781="共同",ISNUMBER(G781),ISNUMBER(AD781)),G781-AD781,"")</x:f>
      </x:c>
      <x:c r="AC781" s="3" t="str">
        <x:v>近90天SKU销量未匹配，未按0处理</x:v>
      </x:c>
      <x:c r="AD781" s="12"/>
      <x:c r="AE781" s="3" t="str">
        <x:v>[13120,"B06-IV-P-0-39.5"]</x:v>
      </x:c>
      <x:c r="AF781" t="n">
        <x:f>IF(ISNUMBER(H781),1,0)</x:f>
        <x:v>1</x:v>
      </x:c>
      <x:c r="AG781" t="n">
        <x:f>IF(ISNUMBER(I781),1,0)</x:f>
        <x:v>1</x:v>
      </x:c>
      <x:c r="AH781" t="str">
        <x:v>["B06","B06-IV-P-0","IV-P","米白色PU"]</x:v>
      </x:c>
      <x:c r="AI781" t="n">
        <x:f>IF(ISNUMBER(G781),1,0)</x:f>
        <x:v>1</x:v>
      </x:c>
      <x:c r="AJ781" t="n">
        <x:f>IF(ISNUMBER(AD781),1,0)</x:f>
        <x:v>0</x:v>
      </x:c>
    </x:row>
    <x:row r="782" ht="30" customHeight="1">
      <x:c r="A782" s="3" t="str">
        <x:v>B06-IV-P-0-42</x:v>
      </x:c>
      <x:c r="B782" s="3" t="str">
        <x:v>1店-MUSSHOE-US</x:v>
      </x:c>
      <x:c r="C782" s="3" t="str">
        <x:v>艾年</x:v>
      </x:c>
      <x:c r="D782" s="3" t="str">
        <x:v>B06</x:v>
      </x:c>
      <x:c r="E782" s="3" t="str">
        <x:f>IF(Z782="移出","已移出",IF(NOT(ISNUMBER(H782)),"数据待核",IF(H782=0,"断货",IF(NOT(ISNUMBER(G782)),"数据待核",IF(G782=0,"零日销待复核",IF(F782&lt;60,"补货提醒",IF(F782&lt;=90,"正常库存",IF(F782&lt;180,"促销",IF(F782&lt;=365,"红线促销","考虑清仓")))))))))</x:f>
        <x:v>零日销待复核</x:v>
      </x:c>
      <x:c r="F782" s="11" t="str">
        <x:f>IF(AND(ISNUMBER(H782),ISNUMBER(G782),G782&gt;0),H782/G782,"")</x:f>
      </x:c>
      <x:c r="G782" s="12" t="n">
        <x:f>IF(AND(COUNT(P782:R782)=3,MIN(P782:R782)&gt;=0,P782&lt;=Q782,Q782&lt;=R782),P782/7*0.5+Q782/14*0.3+R782/30*0.2,"")</x:f>
        <x:v>0</x:v>
      </x:c>
      <x:c r="H782" s="10" t="n">
        <x:f>IF(ISNUMBER(U782),U782,"")</x:f>
        <x:v>5</x:v>
      </x:c>
      <x:c r="I782" s="10" t="n">
        <x:v>5</x:v>
      </x:c>
      <x:c r="J782" s="11" t="str">
        <x:f>IF(AND(Z782="共同",ISNUMBER(F782),ISNUMBER(M782)),F782-M782,"")</x:f>
      </x:c>
      <x:c r="K782" s="13" t="str">
        <x:f>IF(AND(ISNUMBER(J782),M782&lt;&gt;0),J782/M782,"")</x:f>
      </x:c>
      <x:c r="L782" s="10" t="str">
        <x:v>考虑清仓</x:v>
      </x:c>
      <x:c r="M782" s="11" t="n">
        <x:v>750</x:v>
      </x:c>
      <x:c r="N782" s="10" t="n">
        <x:f>IF(AND(Z782="共同",COUNT(H782:I782)=2),H782-I782,"")</x:f>
        <x:v>0</x:v>
      </x:c>
      <x:c r="O782" s="10" t="n">
        <x:v>0</x:v>
      </x:c>
      <x:c r="P782" s="10" t="n">
        <x:v>0</x:v>
      </x:c>
      <x:c r="Q782" s="10" t="n">
        <x:v>0</x:v>
      </x:c>
      <x:c r="R782" s="10" t="n">
        <x:v>0</x:v>
      </x:c>
      <x:c r="S782" s="10" t="n">
        <x:v>5</x:v>
      </x:c>
      <x:c r="T782" s="10" t="n">
        <x:v>0</x:v>
      </x:c>
      <x:c r="U782" s="10" t="n">
        <x:f>IF(AND(ISNUMBER(X782),X782&gt;=0,Y782&lt;&gt;1),X782,"")</x:f>
        <x:v>5</x:v>
      </x:c>
      <x:c r="V782" s="10" t="n">
        <x:v>0</x:v>
      </x:c>
      <x:c r="W782" s="10" t="n">
        <x:v>0</x:v>
      </x:c>
      <x:c r="X782" s="10" t="n">
        <x:v>5</x:v>
      </x:c>
      <x:c r="Y782" s="3" t="n">
        <x:v>0</x:v>
      </x:c>
      <x:c r="Z782" s="3" t="str">
        <x:v>共同</x:v>
      </x:c>
      <x:c r="AA782" s="3" t="str">
        <x:v>在售</x:v>
      </x:c>
      <x:c r="AB782" s="12" t="n">
        <x:f>IF(AND(Z782="共同",ISNUMBER(G782),ISNUMBER(AD782)),G782-AD782,"")</x:f>
        <x:v>-0.006666666666666666</x:v>
      </x:c>
      <x:c r="AC782" s="3" t="str"/>
      <x:c r="AD782" s="12" t="n">
        <x:v>0.006666666666666666</x:v>
      </x:c>
      <x:c r="AE782" s="3" t="str">
        <x:v>[13120,"B06-IV-P-0-42"]</x:v>
      </x:c>
      <x:c r="AF782" t="n">
        <x:f>IF(ISNUMBER(H782),1,0)</x:f>
        <x:v>1</x:v>
      </x:c>
      <x:c r="AG782" t="n">
        <x:f>IF(ISNUMBER(I782),1,0)</x:f>
        <x:v>1</x:v>
      </x:c>
      <x:c r="AH782" t="str">
        <x:v>["B06","B06-IV-P-0","IV-P","米白色PU"]</x:v>
      </x:c>
      <x:c r="AI782" t="n">
        <x:f>IF(ISNUMBER(G782),1,0)</x:f>
        <x:v>1</x:v>
      </x:c>
      <x:c r="AJ782" t="n">
        <x:f>IF(ISNUMBER(AD782),1,0)</x:f>
        <x:v>1</x:v>
      </x:c>
    </x:row>
    <x:row r="783" ht="30" customHeight="1">
      <x:c r="A783" s="3" t="str">
        <x:v>B06-PK-37.5</x:v>
      </x:c>
      <x:c r="B783" s="3" t="str">
        <x:v>1店-MUSSHOE-US</x:v>
      </x:c>
      <x:c r="C783" s="3" t="str">
        <x:v>艾年</x:v>
      </x:c>
      <x:c r="D783" s="3" t="str">
        <x:v>B06</x:v>
      </x:c>
      <x:c r="E783" s="3" t="str">
        <x:f>IF(Z783="移出","已移出",IF(NOT(ISNUMBER(H783)),"数据待核",IF(H783=0,"断货",IF(NOT(ISNUMBER(G783)),"数据待核",IF(G783=0,"零日销待复核",IF(F783&lt;60,"补货提醒",IF(F783&lt;=90,"正常库存",IF(F783&lt;180,"促销",IF(F783&lt;=365,"红线促销","考虑清仓")))))))))</x:f>
        <x:v>零日销待复核</x:v>
      </x:c>
      <x:c r="F783" s="11" t="str">
        <x:f>IF(AND(ISNUMBER(H783),ISNUMBER(G783),G783&gt;0),H783/G783,"")</x:f>
      </x:c>
      <x:c r="G783" s="12" t="n">
        <x:f>IF(AND(COUNT(P783:R783)=3,MIN(P783:R783)&gt;=0,P783&lt;=Q783,Q783&lt;=R783),P783/7*0.5+Q783/14*0.3+R783/30*0.2,"")</x:f>
        <x:v>0</x:v>
      </x:c>
      <x:c r="H783" s="10" t="n">
        <x:f>IF(ISNUMBER(U783),U783,"")</x:f>
        <x:v>2</x:v>
      </x:c>
      <x:c r="I783" s="10" t="n">
        <x:v>3</x:v>
      </x:c>
      <x:c r="J783" s="11" t="str">
        <x:f>IF(AND(Z783="共同",ISNUMBER(F783),ISNUMBER(M783)),F783-M783,"")</x:f>
      </x:c>
      <x:c r="K783" s="13" t="str">
        <x:f>IF(AND(ISNUMBER(J783),M783&lt;&gt;0),J783/M783,"")</x:f>
      </x:c>
      <x:c r="L783" s="10" t="str">
        <x:v>考虑清仓</x:v>
      </x:c>
      <x:c r="M783" s="11" t="n">
        <x:v>450.00000000000006</x:v>
      </x:c>
      <x:c r="N783" s="10" t="n">
        <x:f>IF(AND(Z783="共同",COUNT(H783:I783)=2),H783-I783,"")</x:f>
        <x:v>-1</x:v>
      </x:c>
      <x:c r="O783" s="10" t="n">
        <x:v>0</x:v>
      </x:c>
      <x:c r="P783" s="10" t="n">
        <x:v>0</x:v>
      </x:c>
      <x:c r="Q783" s="10" t="n">
        <x:v>0</x:v>
      </x:c>
      <x:c r="R783" s="10" t="n">
        <x:v>0</x:v>
      </x:c>
      <x:c r="S783" s="10" t="n">
        <x:v>2</x:v>
      </x:c>
      <x:c r="T783" s="10" t="n">
        <x:v>0</x:v>
      </x:c>
      <x:c r="U783" s="10" t="n">
        <x:f>IF(AND(ISNUMBER(X783),X783&gt;=0,Y783&lt;&gt;1),X783,"")</x:f>
        <x:v>2</x:v>
      </x:c>
      <x:c r="V783" s="10" t="n">
        <x:v>0</x:v>
      </x:c>
      <x:c r="W783" s="10" t="n">
        <x:v>0</x:v>
      </x:c>
      <x:c r="X783" s="10" t="n">
        <x:v>2</x:v>
      </x:c>
      <x:c r="Y783" s="3" t="n">
        <x:v>0</x:v>
      </x:c>
      <x:c r="Z783" s="3" t="str">
        <x:v>共同</x:v>
      </x:c>
      <x:c r="AA783" s="3" t="str">
        <x:v>在售</x:v>
      </x:c>
      <x:c r="AB783" s="12" t="n">
        <x:f>IF(AND(Z783="共同",ISNUMBER(G783),ISNUMBER(AD783)),G783-AD783,"")</x:f>
        <x:v>-0.006666666666666666</x:v>
      </x:c>
      <x:c r="AC783" s="3" t="str"/>
      <x:c r="AD783" s="12" t="n">
        <x:v>0.006666666666666666</x:v>
      </x:c>
      <x:c r="AE783" s="3" t="str">
        <x:v>[13120,"B06-PK-37.5"]</x:v>
      </x:c>
      <x:c r="AF783" t="n">
        <x:f>IF(ISNUMBER(H783),1,0)</x:f>
        <x:v>1</x:v>
      </x:c>
      <x:c r="AG783" t="n">
        <x:f>IF(ISNUMBER(I783),1,0)</x:f>
        <x:v>1</x:v>
      </x:c>
      <x:c r="AH783" t="str">
        <x:v>["B06","B06-PK","PK","粉色羊京绒"]</x:v>
      </x:c>
      <x:c r="AI783" t="n">
        <x:f>IF(ISNUMBER(G783),1,0)</x:f>
        <x:v>1</x:v>
      </x:c>
      <x:c r="AJ783" t="n">
        <x:f>IF(ISNUMBER(AD783),1,0)</x:f>
        <x:v>1</x:v>
      </x:c>
    </x:row>
    <x:row r="784" ht="30" customHeight="1">
      <x:c r="A784" s="3" t="str">
        <x:v>B06-RD-I-0-40.5</x:v>
      </x:c>
      <x:c r="B784" s="3" t="str">
        <x:v>1店-MUSSHOE-US</x:v>
      </x:c>
      <x:c r="C784" s="3" t="str">
        <x:v>艾年</x:v>
      </x:c>
      <x:c r="D784" s="3" t="str">
        <x:v>B06</x:v>
      </x:c>
      <x:c r="E784" s="3" t="str">
        <x:f>IF(Z784="移出","已移出",IF(NOT(ISNUMBER(H784)),"数据待核",IF(H784=0,"断货",IF(NOT(ISNUMBER(G784)),"数据待核",IF(G784=0,"零日销待复核",IF(F784&lt;60,"补货提醒",IF(F784&lt;=90,"正常库存",IF(F784&lt;180,"促销",IF(F784&lt;=365,"红线促销","考虑清仓")))))))))</x:f>
        <x:v>零日销待复核</x:v>
      </x:c>
      <x:c r="F784" s="11" t="str">
        <x:f>IF(AND(ISNUMBER(H784),ISNUMBER(G784),G784&gt;0),H784/G784,"")</x:f>
      </x:c>
      <x:c r="G784" s="12" t="n">
        <x:f>IF(AND(COUNT(P784:R784)=3,MIN(P784:R784)&gt;=0,P784&lt;=Q784,Q784&lt;=R784),P784/7*0.5+Q784/14*0.3+R784/30*0.2,"")</x:f>
        <x:v>0</x:v>
      </x:c>
      <x:c r="H784" s="10" t="n">
        <x:f>IF(ISNUMBER(U784),U784,"")</x:f>
        <x:v>1</x:v>
      </x:c>
      <x:c r="I784" s="10" t="n">
        <x:v>1</x:v>
      </x:c>
      <x:c r="J784" s="11" t="str">
        <x:f>IF(AND(Z784="共同",ISNUMBER(F784),ISNUMBER(M784)),F784-M784,"")</x:f>
      </x:c>
      <x:c r="K784" s="13" t="str">
        <x:f>IF(AND(ISNUMBER(J784),M784&lt;&gt;0),J784/M784,"")</x:f>
      </x:c>
      <x:c r="L784" s="10" t="str">
        <x:v>数据待核</x:v>
      </x:c>
      <x:c r="M784" s="11"/>
      <x:c r="N784" s="10" t="n">
        <x:f>IF(AND(Z784="共同",COUNT(H784:I784)=2),H784-I784,"")</x:f>
        <x:v>0</x:v>
      </x:c>
      <x:c r="O784" s="10"/>
      <x:c r="P784" s="10" t="n">
        <x:v>0</x:v>
      </x:c>
      <x:c r="Q784" s="10" t="n">
        <x:v>0</x:v>
      </x:c>
      <x:c r="R784" s="10" t="n">
        <x:v>0</x:v>
      </x:c>
      <x:c r="S784" s="10" t="n">
        <x:v>1</x:v>
      </x:c>
      <x:c r="T784" s="10" t="n">
        <x:v>0</x:v>
      </x:c>
      <x:c r="U784" s="10" t="n">
        <x:f>IF(AND(ISNUMBER(X784),X784&gt;=0,Y784&lt;&gt;1),X784,"")</x:f>
        <x:v>1</x:v>
      </x:c>
      <x:c r="V784" s="10" t="n">
        <x:v>0</x:v>
      </x:c>
      <x:c r="W784" s="10" t="n">
        <x:v>0</x:v>
      </x:c>
      <x:c r="X784" s="10" t="n">
        <x:v>1</x:v>
      </x:c>
      <x:c r="Y784" s="3" t="n">
        <x:v>0</x:v>
      </x:c>
      <x:c r="Z784" s="3" t="str">
        <x:v>共同</x:v>
      </x:c>
      <x:c r="AA784" s="3" t="str">
        <x:v>在售</x:v>
      </x:c>
      <x:c r="AB784" s="12" t="str">
        <x:f>IF(AND(Z784="共同",ISNUMBER(G784),ISNUMBER(AD784)),G784-AD784,"")</x:f>
      </x:c>
      <x:c r="AC784" s="3" t="str">
        <x:v>近90天SKU销量未匹配，未按0处理</x:v>
      </x:c>
      <x:c r="AD784" s="12"/>
      <x:c r="AE784" s="3" t="str">
        <x:v>[13120,"B06-RD-I-0-40.5"]</x:v>
      </x:c>
      <x:c r="AF784" t="n">
        <x:f>IF(ISNUMBER(H784),1,0)</x:f>
        <x:v>1</x:v>
      </x:c>
      <x:c r="AG784" t="n">
        <x:f>IF(ISNUMBER(I784),1,0)</x:f>
        <x:v>1</x:v>
      </x:c>
      <x:c r="AH784" t="str">
        <x:v>["B06","B06-RD-I-0","RD-I","红色色织提花"]</x:v>
      </x:c>
      <x:c r="AI784" t="n">
        <x:f>IF(ISNUMBER(G784),1,0)</x:f>
        <x:v>1</x:v>
      </x:c>
      <x:c r="AJ784" t="n">
        <x:f>IF(ISNUMBER(AD784),1,0)</x:f>
        <x:v>0</x:v>
      </x:c>
    </x:row>
    <x:row r="785" ht="30" customHeight="1">
      <x:c r="A785" s="3" t="str">
        <x:v>B06-RD-Z-0-37.5</x:v>
      </x:c>
      <x:c r="B785" s="3" t="str">
        <x:v>1店-MUSSHOE-US</x:v>
      </x:c>
      <x:c r="C785" s="3" t="str">
        <x:v>艾年</x:v>
      </x:c>
      <x:c r="D785" s="3" t="str">
        <x:v>B06</x:v>
      </x:c>
      <x:c r="E785" s="3" t="str">
        <x:f>IF(Z785="移出","已移出",IF(NOT(ISNUMBER(H785)),"数据待核",IF(H785=0,"断货",IF(NOT(ISNUMBER(G785)),"数据待核",IF(G785=0,"零日销待复核",IF(F785&lt;60,"补货提醒",IF(F785&lt;=90,"正常库存",IF(F785&lt;180,"促销",IF(F785&lt;=365,"红线促销","考虑清仓")))))))))</x:f>
        <x:v>零日销待复核</x:v>
      </x:c>
      <x:c r="F785" s="11" t="str">
        <x:f>IF(AND(ISNUMBER(H785),ISNUMBER(G785),G785&gt;0),H785/G785,"")</x:f>
      </x:c>
      <x:c r="G785" s="12" t="n">
        <x:f>IF(AND(COUNT(P785:R785)=3,MIN(P785:R785)&gt;=0,P785&lt;=Q785,Q785&lt;=R785),P785/7*0.5+Q785/14*0.3+R785/30*0.2,"")</x:f>
        <x:v>0</x:v>
      </x:c>
      <x:c r="H785" s="10" t="n">
        <x:f>IF(ISNUMBER(U785),U785,"")</x:f>
        <x:v>18</x:v>
      </x:c>
      <x:c r="I785" s="10" t="n">
        <x:v>16</x:v>
      </x:c>
      <x:c r="J785" s="11" t="str">
        <x:f>IF(AND(Z785="共同",ISNUMBER(F785),ISNUMBER(M785)),F785-M785,"")</x:f>
      </x:c>
      <x:c r="K785" s="13" t="str">
        <x:f>IF(AND(ISNUMBER(J785),M785&lt;&gt;0),J785/M785,"")</x:f>
      </x:c>
      <x:c r="L785" s="10" t="str">
        <x:v>零日销待复核</x:v>
      </x:c>
      <x:c r="M785" s="11"/>
      <x:c r="N785" s="10" t="n">
        <x:f>IF(AND(Z785="共同",COUNT(H785:I785)=2),H785-I785,"")</x:f>
        <x:v>2</x:v>
      </x:c>
      <x:c r="O785" s="10" t="n">
        <x:v>11</x:v>
      </x:c>
      <x:c r="P785" s="10" t="n">
        <x:v>0</x:v>
      </x:c>
      <x:c r="Q785" s="10" t="n">
        <x:v>0</x:v>
      </x:c>
      <x:c r="R785" s="10" t="n">
        <x:v>0</x:v>
      </x:c>
      <x:c r="S785" s="10" t="n">
        <x:v>18</x:v>
      </x:c>
      <x:c r="T785" s="10" t="n">
        <x:v>0</x:v>
      </x:c>
      <x:c r="U785" s="10" t="n">
        <x:f>IF(AND(ISNUMBER(X785),X785&gt;=0,Y785&lt;&gt;1),X785,"")</x:f>
        <x:v>18</x:v>
      </x:c>
      <x:c r="V785" s="10" t="n">
        <x:v>1</x:v>
      </x:c>
      <x:c r="W785" s="10" t="n">
        <x:v>1</x:v>
      </x:c>
      <x:c r="X785" s="10" t="n">
        <x:v>18</x:v>
      </x:c>
      <x:c r="Y785" s="3" t="n">
        <x:v>0</x:v>
      </x:c>
      <x:c r="Z785" s="3" t="str">
        <x:v>共同</x:v>
      </x:c>
      <x:c r="AA785" s="3" t="str">
        <x:v>在售</x:v>
      </x:c>
      <x:c r="AB785" s="12" t="n">
        <x:f>IF(AND(Z785="共同",ISNUMBER(G785),ISNUMBER(AD785)),G785-AD785,"")</x:f>
        <x:v>0</x:v>
      </x:c>
      <x:c r="AC785" s="3" t="str"/>
      <x:c r="AD785" s="12" t="n">
        <x:v>0</x:v>
      </x:c>
      <x:c r="AE785" s="3" t="str">
        <x:v>[13120,"B06-RD-Z-0-37.5"]</x:v>
      </x:c>
      <x:c r="AF785" t="n">
        <x:f>IF(ISNUMBER(H785),1,0)</x:f>
        <x:v>1</x:v>
      </x:c>
      <x:c r="AG785" t="n">
        <x:f>IF(ISNUMBER(I785),1,0)</x:f>
        <x:v>1</x:v>
      </x:c>
      <x:c r="AH785" t="str">
        <x:v>["B06","B06-RD-Z-0","RD-Z","红色镜面PU"]</x:v>
      </x:c>
      <x:c r="AI785" t="n">
        <x:f>IF(ISNUMBER(G785),1,0)</x:f>
        <x:v>1</x:v>
      </x:c>
      <x:c r="AJ785" t="n">
        <x:f>IF(ISNUMBER(AD785),1,0)</x:f>
        <x:v>1</x:v>
      </x:c>
    </x:row>
    <x:row r="786" ht="30" customHeight="1">
      <x:c r="A786" s="3" t="str">
        <x:v>B06-RG-39.5</x:v>
      </x:c>
      <x:c r="B786" s="3" t="str">
        <x:v>1店-MUSSHOE-US</x:v>
      </x:c>
      <x:c r="C786" s="3" t="str">
        <x:v>艾年</x:v>
      </x:c>
      <x:c r="D786" s="3" t="str">
        <x:v>B06</x:v>
      </x:c>
      <x:c r="E786" s="3" t="str">
        <x:f>IF(Z786="移出","已移出",IF(NOT(ISNUMBER(H786)),"数据待核",IF(H786=0,"断货",IF(NOT(ISNUMBER(G786)),"数据待核",IF(G786=0,"零日销待复核",IF(F786&lt;60,"补货提醒",IF(F786&lt;=90,"正常库存",IF(F786&lt;180,"促销",IF(F786&lt;=365,"红线促销","考虑清仓")))))))))</x:f>
        <x:v>零日销待复核</x:v>
      </x:c>
      <x:c r="F786" s="11" t="str">
        <x:f>IF(AND(ISNUMBER(H786),ISNUMBER(G786),G786&gt;0),H786/G786,"")</x:f>
      </x:c>
      <x:c r="G786" s="12" t="n">
        <x:f>IF(AND(COUNT(P786:R786)=3,MIN(P786:R786)&gt;=0,P786&lt;=Q786,Q786&lt;=R786),P786/7*0.5+Q786/14*0.3+R786/30*0.2,"")</x:f>
        <x:v>0</x:v>
      </x:c>
      <x:c r="H786" s="10" t="n">
        <x:f>IF(ISNUMBER(U786),U786,"")</x:f>
        <x:v>1</x:v>
      </x:c>
      <x:c r="I786" s="10" t="n">
        <x:v>1</x:v>
      </x:c>
      <x:c r="J786" s="11" t="str">
        <x:f>IF(AND(Z786="共同",ISNUMBER(F786),ISNUMBER(M786)),F786-M786,"")</x:f>
      </x:c>
      <x:c r="K786" s="13" t="str">
        <x:f>IF(AND(ISNUMBER(J786),M786&lt;&gt;0),J786/M786,"")</x:f>
      </x:c>
      <x:c r="L786" s="10" t="str">
        <x:v>促销</x:v>
      </x:c>
      <x:c r="M786" s="11" t="n">
        <x:v>150</x:v>
      </x:c>
      <x:c r="N786" s="10" t="n">
        <x:f>IF(AND(Z786="共同",COUNT(H786:I786)=2),H786-I786,"")</x:f>
        <x:v>0</x:v>
      </x:c>
      <x:c r="O786" s="10"/>
      <x:c r="P786" s="10" t="n">
        <x:v>0</x:v>
      </x:c>
      <x:c r="Q786" s="10" t="n">
        <x:v>0</x:v>
      </x:c>
      <x:c r="R786" s="10" t="n">
        <x:v>0</x:v>
      </x:c>
      <x:c r="S786" s="10" t="n">
        <x:v>1</x:v>
      </x:c>
      <x:c r="T786" s="10" t="n">
        <x:v>0</x:v>
      </x:c>
      <x:c r="U786" s="10" t="n">
        <x:f>IF(AND(ISNUMBER(X786),X786&gt;=0,Y786&lt;&gt;1),X786,"")</x:f>
        <x:v>1</x:v>
      </x:c>
      <x:c r="V786" s="10" t="n">
        <x:v>0</x:v>
      </x:c>
      <x:c r="W786" s="10" t="n">
        <x:v>0</x:v>
      </x:c>
      <x:c r="X786" s="10" t="n">
        <x:v>1</x:v>
      </x:c>
      <x:c r="Y786" s="3" t="n">
        <x:v>0</x:v>
      </x:c>
      <x:c r="Z786" s="3" t="str">
        <x:v>共同</x:v>
      </x:c>
      <x:c r="AA786" s="3" t="str">
        <x:v>在售</x:v>
      </x:c>
      <x:c r="AB786" s="12" t="n">
        <x:f>IF(AND(Z786="共同",ISNUMBER(G786),ISNUMBER(AD786)),G786-AD786,"")</x:f>
        <x:v>-0.006666666666666666</x:v>
      </x:c>
      <x:c r="AC786" s="3" t="str"/>
      <x:c r="AD786" s="12" t="n">
        <x:v>0.006666666666666666</x:v>
      </x:c>
      <x:c r="AE786" s="3" t="str">
        <x:v>[13120,"B06-RG-39.5"]</x:v>
      </x:c>
      <x:c r="AF786" t="n">
        <x:f>IF(ISNUMBER(H786),1,0)</x:f>
        <x:v>1</x:v>
      </x:c>
      <x:c r="AG786" t="n">
        <x:f>IF(ISNUMBER(I786),1,0)</x:f>
        <x:v>1</x:v>
      </x:c>
      <x:c r="AH786" t="str">
        <x:v>["B06","B06-RG","RG","玫瑰金PU"]</x:v>
      </x:c>
      <x:c r="AI786" t="n">
        <x:f>IF(ISNUMBER(G786),1,0)</x:f>
        <x:v>1</x:v>
      </x:c>
      <x:c r="AJ786" t="n">
        <x:f>IF(ISNUMBER(AD786),1,0)</x:f>
        <x:v>1</x:v>
      </x:c>
    </x:row>
    <x:row r="787" ht="30" customHeight="1">
      <x:c r="A787" s="3" t="str">
        <x:v>B06b-RD-37</x:v>
      </x:c>
      <x:c r="B787" s="3" t="str">
        <x:v>1店-MUSSHOE-US</x:v>
      </x:c>
      <x:c r="C787" s="3" t="str">
        <x:v>艾年</x:v>
      </x:c>
      <x:c r="D787" s="3" t="str">
        <x:v>B06b</x:v>
      </x:c>
      <x:c r="E787" s="3" t="str">
        <x:f>IF(Z787="移出","已移出",IF(NOT(ISNUMBER(H787)),"数据待核",IF(H787=0,"断货",IF(NOT(ISNUMBER(G787)),"数据待核",IF(G787=0,"零日销待复核",IF(F787&lt;60,"补货提醒",IF(F787&lt;=90,"正常库存",IF(F787&lt;180,"促销",IF(F787&lt;=365,"红线促销","考虑清仓")))))))))</x:f>
        <x:v>零日销待复核</x:v>
      </x:c>
      <x:c r="F787" s="11" t="str">
        <x:f>IF(AND(ISNUMBER(H787),ISNUMBER(G787),G787&gt;0),H787/G787,"")</x:f>
      </x:c>
      <x:c r="G787" s="12" t="n">
        <x:f>IF(AND(COUNT(P787:R787)=3,MIN(P787:R787)&gt;=0,P787&lt;=Q787,Q787&lt;=R787),P787/7*0.5+Q787/14*0.3+R787/30*0.2,"")</x:f>
        <x:v>0</x:v>
      </x:c>
      <x:c r="H787" s="10" t="n">
        <x:f>IF(ISNUMBER(U787),U787,"")</x:f>
        <x:v>16</x:v>
      </x:c>
      <x:c r="I787" s="10" t="n">
        <x:v>16</x:v>
      </x:c>
      <x:c r="J787" s="11" t="str">
        <x:f>IF(AND(Z787="共同",ISNUMBER(F787),ISNUMBER(M787)),F787-M787,"")</x:f>
      </x:c>
      <x:c r="K787" s="13" t="str">
        <x:f>IF(AND(ISNUMBER(J787),M787&lt;&gt;0),J787/M787,"")</x:f>
      </x:c>
      <x:c r="L787" s="10" t="str">
        <x:v>零日销待复核</x:v>
      </x:c>
      <x:c r="M787" s="11"/>
      <x:c r="N787" s="10" t="n">
        <x:f>IF(AND(Z787="共同",COUNT(H787:I787)=2),H787-I787,"")</x:f>
        <x:v>0</x:v>
      </x:c>
      <x:c r="O787" s="10" t="n">
        <x:v>0</x:v>
      </x:c>
      <x:c r="P787" s="10" t="n">
        <x:v>0</x:v>
      </x:c>
      <x:c r="Q787" s="10" t="n">
        <x:v>0</x:v>
      </x:c>
      <x:c r="R787" s="10" t="n">
        <x:v>0</x:v>
      </x:c>
      <x:c r="S787" s="10" t="n">
        <x:v>16</x:v>
      </x:c>
      <x:c r="T787" s="10" t="n">
        <x:v>0</x:v>
      </x:c>
      <x:c r="U787" s="10" t="n">
        <x:f>IF(AND(ISNUMBER(X787),X787&gt;=0,Y787&lt;&gt;1),X787,"")</x:f>
        <x:v>16</x:v>
      </x:c>
      <x:c r="V787" s="10" t="n">
        <x:v>0</x:v>
      </x:c>
      <x:c r="W787" s="10" t="n">
        <x:v>0</x:v>
      </x:c>
      <x:c r="X787" s="10" t="n">
        <x:v>16</x:v>
      </x:c>
      <x:c r="Y787" s="3" t="n">
        <x:v>0</x:v>
      </x:c>
      <x:c r="Z787" s="3" t="str">
        <x:v>共同</x:v>
      </x:c>
      <x:c r="AA787" s="3" t="str">
        <x:v>在售</x:v>
      </x:c>
      <x:c r="AB787" s="12" t="n">
        <x:f>IF(AND(Z787="共同",ISNUMBER(G787),ISNUMBER(AD787)),G787-AD787,"")</x:f>
        <x:v>0</x:v>
      </x:c>
      <x:c r="AC787" s="3" t="str"/>
      <x:c r="AD787" s="12" t="n">
        <x:v>0</x:v>
      </x:c>
      <x:c r="AE787" s="3" t="str">
        <x:v>[13120,"B06b-RD-37"]</x:v>
      </x:c>
      <x:c r="AF787" t="n">
        <x:f>IF(ISNUMBER(H787),1,0)</x:f>
        <x:v>1</x:v>
      </x:c>
      <x:c r="AG787" t="n">
        <x:f>IF(ISNUMBER(I787),1,0)</x:f>
        <x:v>1</x:v>
      </x:c>
      <x:c r="AH787" t="str">
        <x:v>["B06b","B06b-RD","RD","大红色羊京绒"]</x:v>
      </x:c>
      <x:c r="AI787" t="n">
        <x:f>IF(ISNUMBER(G787),1,0)</x:f>
        <x:v>1</x:v>
      </x:c>
      <x:c r="AJ787" t="n">
        <x:f>IF(ISNUMBER(AD787),1,0)</x:f>
        <x:v>1</x:v>
      </x:c>
    </x:row>
    <x:row r="788" ht="30" customHeight="1">
      <x:c r="A788" s="3" t="str">
        <x:v>B06b-TN-40-N</x:v>
      </x:c>
      <x:c r="B788" s="3" t="str">
        <x:v>1店-MUSSHOE-US</x:v>
      </x:c>
      <x:c r="C788" s="3" t="str">
        <x:v>艾年</x:v>
      </x:c>
      <x:c r="D788" s="3" t="str">
        <x:v>B06b</x:v>
      </x:c>
      <x:c r="E788" s="3" t="str">
        <x:f>IF(Z788="移出","已移出",IF(NOT(ISNUMBER(H788)),"数据待核",IF(H788=0,"断货",IF(NOT(ISNUMBER(G788)),"数据待核",IF(G788=0,"零日销待复核",IF(F788&lt;60,"补货提醒",IF(F788&lt;=90,"正常库存",IF(F788&lt;180,"促销",IF(F788&lt;=365,"红线促销","考虑清仓")))))))))</x:f>
        <x:v>零日销待复核</x:v>
      </x:c>
      <x:c r="F788" s="11" t="str">
        <x:f>IF(AND(ISNUMBER(H788),ISNUMBER(G788),G788&gt;0),H788/G788,"")</x:f>
      </x:c>
      <x:c r="G788" s="12" t="n">
        <x:f>IF(AND(COUNT(P788:R788)=3,MIN(P788:R788)&gt;=0,P788&lt;=Q788,Q788&lt;=R788),P788/7*0.5+Q788/14*0.3+R788/30*0.2,"")</x:f>
        <x:v>0</x:v>
      </x:c>
      <x:c r="H788" s="10" t="n">
        <x:f>IF(ISNUMBER(U788),U788,"")</x:f>
        <x:v>4</x:v>
      </x:c>
      <x:c r="I788" s="10" t="n">
        <x:v>4</x:v>
      </x:c>
      <x:c r="J788" s="11" t="str">
        <x:f>IF(AND(Z788="共同",ISNUMBER(F788),ISNUMBER(M788)),F788-M788,"")</x:f>
      </x:c>
      <x:c r="K788" s="13" t="str">
        <x:f>IF(AND(ISNUMBER(J788),M788&lt;&gt;0),J788/M788,"")</x:f>
      </x:c>
      <x:c r="L788" s="10" t="str">
        <x:v>零日销待复核</x:v>
      </x:c>
      <x:c r="M788" s="11"/>
      <x:c r="N788" s="10" t="n">
        <x:f>IF(AND(Z788="共同",COUNT(H788:I788)=2),H788-I788,"")</x:f>
        <x:v>0</x:v>
      </x:c>
      <x:c r="O788" s="10" t="n">
        <x:v>0</x:v>
      </x:c>
      <x:c r="P788" s="10" t="n">
        <x:v>0</x:v>
      </x:c>
      <x:c r="Q788" s="10" t="n">
        <x:v>0</x:v>
      </x:c>
      <x:c r="R788" s="10" t="n">
        <x:v>0</x:v>
      </x:c>
      <x:c r="S788" s="10" t="n">
        <x:v>5</x:v>
      </x:c>
      <x:c r="T788" s="10" t="n">
        <x:v>0</x:v>
      </x:c>
      <x:c r="U788" s="10" t="n">
        <x:f>IF(AND(ISNUMBER(X788),X788&gt;=0,Y788&lt;&gt;1),X788,"")</x:f>
        <x:v>4</x:v>
      </x:c>
      <x:c r="V788" s="10" t="n">
        <x:v>0</x:v>
      </x:c>
      <x:c r="W788" s="10" t="n">
        <x:v>0</x:v>
      </x:c>
      <x:c r="X788" s="10" t="n">
        <x:v>4</x:v>
      </x:c>
      <x:c r="Y788" s="3" t="n">
        <x:v>0</x:v>
      </x:c>
      <x:c r="Z788" s="3" t="str">
        <x:v>共同</x:v>
      </x:c>
      <x:c r="AA788" s="3" t="str">
        <x:v>在售</x:v>
      </x:c>
      <x:c r="AB788" s="12" t="n">
        <x:f>IF(AND(Z788="共同",ISNUMBER(G788),ISNUMBER(AD788)),G788-AD788,"")</x:f>
        <x:v>0</x:v>
      </x:c>
      <x:c r="AC788" s="3" t="str"/>
      <x:c r="AD788" s="12" t="n">
        <x:v>0</x:v>
      </x:c>
      <x:c r="AE788" s="3" t="str">
        <x:v>[13120,"B06b-TN-40-N"]</x:v>
      </x:c>
      <x:c r="AF788" t="n">
        <x:f>IF(ISNUMBER(H788),1,0)</x:f>
        <x:v>1</x:v>
      </x:c>
      <x:c r="AG788" t="n">
        <x:f>IF(ISNUMBER(I788),1,0)</x:f>
        <x:v>1</x:v>
      </x:c>
      <x:c r="AH788" t="str">
        <x:v>["B06b","B06b-TN","TN","驼色羊京绒"]</x:v>
      </x:c>
      <x:c r="AI788" t="n">
        <x:f>IF(ISNUMBER(G788),1,0)</x:f>
        <x:v>1</x:v>
      </x:c>
      <x:c r="AJ788" t="n">
        <x:f>IF(ISNUMBER(AD788),1,0)</x:f>
        <x:v>1</x:v>
      </x:c>
    </x:row>
    <x:row r="789" ht="30" customHeight="1">
      <x:c r="A789" s="3" t="str">
        <x:v>B07-BK-I-0-41.5</x:v>
      </x:c>
      <x:c r="B789" s="3" t="str">
        <x:v>4店-彬郁-US</x:v>
      </x:c>
      <x:c r="C789" s="3" t="str">
        <x:v>艾年</x:v>
      </x:c>
      <x:c r="D789" s="3" t="str">
        <x:v>B07</x:v>
      </x:c>
      <x:c r="E789" s="3" t="str">
        <x:f>IF(Z789="移出","已移出",IF(NOT(ISNUMBER(H789)),"数据待核",IF(H789=0,"断货",IF(NOT(ISNUMBER(G789)),"数据待核",IF(G789=0,"零日销待复核",IF(F789&lt;60,"补货提醒",IF(F789&lt;=90,"正常库存",IF(F789&lt;180,"促销",IF(F789&lt;=365,"红线促销","考虑清仓")))))))))</x:f>
        <x:v>零日销待复核</x:v>
      </x:c>
      <x:c r="F789" s="11" t="str">
        <x:f>IF(AND(ISNUMBER(H789),ISNUMBER(G789),G789&gt;0),H789/G789,"")</x:f>
      </x:c>
      <x:c r="G789" s="12" t="n">
        <x:f>IF(AND(COUNT(P789:R789)=3,MIN(P789:R789)&gt;=0,P789&lt;=Q789,Q789&lt;=R789),P789/7*0.5+Q789/14*0.3+R789/30*0.2,"")</x:f>
        <x:v>0</x:v>
      </x:c>
      <x:c r="H789" s="10" t="n">
        <x:f>IF(ISNUMBER(U789),U789,"")</x:f>
        <x:v>8</x:v>
      </x:c>
      <x:c r="I789" s="10" t="n">
        <x:v>8</x:v>
      </x:c>
      <x:c r="J789" s="11" t="str">
        <x:f>IF(AND(Z789="共同",ISNUMBER(F789),ISNUMBER(M789)),F789-M789,"")</x:f>
      </x:c>
      <x:c r="K789" s="13" t="str">
        <x:f>IF(AND(ISNUMBER(J789),M789&lt;&gt;0),J789/M789,"")</x:f>
      </x:c>
      <x:c r="L789" s="10" t="str">
        <x:v>零日销待复核</x:v>
      </x:c>
      <x:c r="M789" s="11"/>
      <x:c r="N789" s="10" t="n">
        <x:f>IF(AND(Z789="共同",COUNT(H789:I789)=2),H789-I789,"")</x:f>
        <x:v>0</x:v>
      </x:c>
      <x:c r="O789" s="10" t="n">
        <x:v>0</x:v>
      </x:c>
      <x:c r="P789" s="10" t="n">
        <x:v>0</x:v>
      </x:c>
      <x:c r="Q789" s="10" t="n">
        <x:v>0</x:v>
      </x:c>
      <x:c r="R789" s="10" t="n">
        <x:v>0</x:v>
      </x:c>
      <x:c r="S789" s="10" t="n">
        <x:v>8</x:v>
      </x:c>
      <x:c r="T789" s="10" t="n">
        <x:v>0</x:v>
      </x:c>
      <x:c r="U789" s="10" t="n">
        <x:f>IF(AND(ISNUMBER(X789),X789&gt;=0,Y789&lt;&gt;1),X789,"")</x:f>
        <x:v>8</x:v>
      </x:c>
      <x:c r="V789" s="10" t="n">
        <x:v>0</x:v>
      </x:c>
      <x:c r="W789" s="10" t="n">
        <x:v>0</x:v>
      </x:c>
      <x:c r="X789" s="10" t="n">
        <x:v>8</x:v>
      </x:c>
      <x:c r="Y789" s="3" t="n">
        <x:v>0</x:v>
      </x:c>
      <x:c r="Z789" s="3" t="str">
        <x:v>共同</x:v>
      </x:c>
      <x:c r="AA789" s="3" t="str">
        <x:v>在售</x:v>
      </x:c>
      <x:c r="AB789" s="12" t="n">
        <x:f>IF(AND(Z789="共同",ISNUMBER(G789),ISNUMBER(AD789)),G789-AD789,"")</x:f>
        <x:v>0</x:v>
      </x:c>
      <x:c r="AC789" s="3" t="str"/>
      <x:c r="AD789" s="12" t="n">
        <x:v>0</x:v>
      </x:c>
      <x:c r="AE789" s="3" t="str">
        <x:v>[13306,"B07-BK-I-0-41.5"]</x:v>
      </x:c>
      <x:c r="AF789" t="n">
        <x:f>IF(ISNUMBER(H789),1,0)</x:f>
        <x:v>1</x:v>
      </x:c>
      <x:c r="AG789" t="n">
        <x:f>IF(ISNUMBER(I789),1,0)</x:f>
        <x:v>1</x:v>
      </x:c>
      <x:c r="AH789" t="str">
        <x:v>["B07","B07-BK-I-0","BK-I","黑色色织提花"]</x:v>
      </x:c>
      <x:c r="AI789" t="n">
        <x:f>IF(ISNUMBER(G789),1,0)</x:f>
        <x:v>1</x:v>
      </x:c>
      <x:c r="AJ789" t="n">
        <x:f>IF(ISNUMBER(AD789),1,0)</x:f>
        <x:v>1</x:v>
      </x:c>
    </x:row>
    <x:row r="790" ht="30" customHeight="1">
      <x:c r="A790" s="3" t="str">
        <x:v>B07-BK-V-0-37</x:v>
      </x:c>
      <x:c r="B790" s="3" t="str">
        <x:v>4店-彬郁-US</x:v>
      </x:c>
      <x:c r="C790" s="3" t="str">
        <x:v>艾年</x:v>
      </x:c>
      <x:c r="D790" s="3" t="str">
        <x:v>B07</x:v>
      </x:c>
      <x:c r="E790" s="3" t="str">
        <x:f>IF(Z790="移出","已移出",IF(NOT(ISNUMBER(H790)),"数据待核",IF(H790=0,"断货",IF(NOT(ISNUMBER(G790)),"数据待核",IF(G790=0,"零日销待复核",IF(F790&lt;60,"补货提醒",IF(F790&lt;=90,"正常库存",IF(F790&lt;180,"促销",IF(F790&lt;=365,"红线促销","考虑清仓")))))))))</x:f>
        <x:v>零日销待复核</x:v>
      </x:c>
      <x:c r="F790" s="11" t="str">
        <x:f>IF(AND(ISNUMBER(H790),ISNUMBER(G790),G790&gt;0),H790/G790,"")</x:f>
      </x:c>
      <x:c r="G790" s="12" t="n">
        <x:f>IF(AND(COUNT(P790:R790)=3,MIN(P790:R790)&gt;=0,P790&lt;=Q790,Q790&lt;=R790),P790/7*0.5+Q790/14*0.3+R790/30*0.2,"")</x:f>
        <x:v>0</x:v>
      </x:c>
      <x:c r="H790" s="10" t="n">
        <x:f>IF(ISNUMBER(U790),U790,"")</x:f>
        <x:v>1</x:v>
      </x:c>
      <x:c r="I790" s="10" t="n">
        <x:v>1</x:v>
      </x:c>
      <x:c r="J790" s="11" t="str">
        <x:f>IF(AND(Z790="共同",ISNUMBER(F790),ISNUMBER(M790)),F790-M790,"")</x:f>
      </x:c>
      <x:c r="K790" s="13" t="str">
        <x:f>IF(AND(ISNUMBER(J790),M790&lt;&gt;0),J790/M790,"")</x:f>
      </x:c>
      <x:c r="L790" s="10" t="str">
        <x:v>数据待核</x:v>
      </x:c>
      <x:c r="M790" s="11"/>
      <x:c r="N790" s="10" t="n">
        <x:f>IF(AND(Z790="共同",COUNT(H790:I790)=2),H790-I790,"")</x:f>
        <x:v>0</x:v>
      </x:c>
      <x:c r="O790" s="10" t="n">
        <x:v>0</x:v>
      </x:c>
      <x:c r="P790" s="10" t="n">
        <x:v>0</x:v>
      </x:c>
      <x:c r="Q790" s="10" t="n">
        <x:v>0</x:v>
      </x:c>
      <x:c r="R790" s="10" t="n">
        <x:v>0</x:v>
      </x:c>
      <x:c r="S790" s="10" t="n">
        <x:v>1</x:v>
      </x:c>
      <x:c r="T790" s="10" t="n">
        <x:v>0</x:v>
      </x:c>
      <x:c r="U790" s="10" t="n">
        <x:f>IF(AND(ISNUMBER(X790),X790&gt;=0,Y790&lt;&gt;1),X790,"")</x:f>
        <x:v>1</x:v>
      </x:c>
      <x:c r="V790" s="10" t="n">
        <x:v>0</x:v>
      </x:c>
      <x:c r="W790" s="10" t="n">
        <x:v>20</x:v>
      </x:c>
      <x:c r="X790" s="10" t="n">
        <x:v>1</x:v>
      </x:c>
      <x:c r="Y790" s="3" t="n">
        <x:v>0</x:v>
      </x:c>
      <x:c r="Z790" s="3" t="str">
        <x:v>共同</x:v>
      </x:c>
      <x:c r="AA790" s="3" t="str">
        <x:v>在售</x:v>
      </x:c>
      <x:c r="AB790" s="12" t="str">
        <x:f>IF(AND(Z790="共同",ISNUMBER(G790),ISNUMBER(AD790)),G790-AD790,"")</x:f>
      </x:c>
      <x:c r="AC790" s="3" t="str">
        <x:v>近90天SKU销量未匹配，未按0处理</x:v>
      </x:c>
      <x:c r="AD790" s="12"/>
      <x:c r="AE790" s="3" t="str">
        <x:v>[13306,"B07-BK-V-0-37"]</x:v>
      </x:c>
      <x:c r="AF790" t="n">
        <x:f>IF(ISNUMBER(H790),1,0)</x:f>
        <x:v>1</x:v>
      </x:c>
      <x:c r="AG790" t="n">
        <x:f>IF(ISNUMBER(I790),1,0)</x:f>
        <x:v>1</x:v>
      </x:c>
      <x:c r="AH790" t="str">
        <x:v>["B07","B07-BK-V-0","BK-V","黑色天鹅绒"]</x:v>
      </x:c>
      <x:c r="AI790" t="n">
        <x:f>IF(ISNUMBER(G790),1,0)</x:f>
        <x:v>1</x:v>
      </x:c>
      <x:c r="AJ790" t="n">
        <x:f>IF(ISNUMBER(AD790),1,0)</x:f>
        <x:v>0</x:v>
      </x:c>
    </x:row>
    <x:row r="791" ht="30" customHeight="1">
      <x:c r="A791" s="3" t="str">
        <x:v>B07-BK-Z-0-37</x:v>
      </x:c>
      <x:c r="B791" s="3" t="str">
        <x:v>4店-彬郁-US</x:v>
      </x:c>
      <x:c r="C791" s="3" t="str">
        <x:v>艾年</x:v>
      </x:c>
      <x:c r="D791" s="3" t="str">
        <x:v>B07</x:v>
      </x:c>
      <x:c r="E791" s="3" t="str">
        <x:f>IF(Z791="移出","已移出",IF(NOT(ISNUMBER(H791)),"数据待核",IF(H791=0,"断货",IF(NOT(ISNUMBER(G791)),"数据待核",IF(G791=0,"零日销待复核",IF(F791&lt;60,"补货提醒",IF(F791&lt;=90,"正常库存",IF(F791&lt;180,"促销",IF(F791&lt;=365,"红线促销","考虑清仓")))))))))</x:f>
        <x:v>零日销待复核</x:v>
      </x:c>
      <x:c r="F791" s="11" t="str">
        <x:f>IF(AND(ISNUMBER(H791),ISNUMBER(G791),G791&gt;0),H791/G791,"")</x:f>
      </x:c>
      <x:c r="G791" s="12" t="n">
        <x:f>IF(AND(COUNT(P791:R791)=3,MIN(P791:R791)&gt;=0,P791&lt;=Q791,Q791&lt;=R791),P791/7*0.5+Q791/14*0.3+R791/30*0.2,"")</x:f>
        <x:v>0</x:v>
      </x:c>
      <x:c r="H791" s="10" t="n">
        <x:f>IF(ISNUMBER(U791),U791,"")</x:f>
        <x:v>11</x:v>
      </x:c>
      <x:c r="I791" s="10" t="n">
        <x:v>11</x:v>
      </x:c>
      <x:c r="J791" s="11" t="str">
        <x:f>IF(AND(Z791="共同",ISNUMBER(F791),ISNUMBER(M791)),F791-M791,"")</x:f>
      </x:c>
      <x:c r="K791" s="13" t="str">
        <x:f>IF(AND(ISNUMBER(J791),M791&lt;&gt;0),J791/M791,"")</x:f>
      </x:c>
      <x:c r="L791" s="10" t="str">
        <x:v>零日销待复核</x:v>
      </x:c>
      <x:c r="M791" s="11"/>
      <x:c r="N791" s="10" t="n">
        <x:f>IF(AND(Z791="共同",COUNT(H791:I791)=2),H791-I791,"")</x:f>
        <x:v>0</x:v>
      </x:c>
      <x:c r="O791" s="10" t="n">
        <x:v>0</x:v>
      </x:c>
      <x:c r="P791" s="10" t="n">
        <x:v>0</x:v>
      </x:c>
      <x:c r="Q791" s="10" t="n">
        <x:v>0</x:v>
      </x:c>
      <x:c r="R791" s="10" t="n">
        <x:v>0</x:v>
      </x:c>
      <x:c r="S791" s="10" t="n">
        <x:v>11</x:v>
      </x:c>
      <x:c r="T791" s="10" t="n">
        <x:v>0</x:v>
      </x:c>
      <x:c r="U791" s="10" t="n">
        <x:f>IF(AND(ISNUMBER(X791),X791&gt;=0,Y791&lt;&gt;1),X791,"")</x:f>
        <x:v>11</x:v>
      </x:c>
      <x:c r="V791" s="10" t="n">
        <x:v>0</x:v>
      </x:c>
      <x:c r="W791" s="10" t="n">
        <x:v>0</x:v>
      </x:c>
      <x:c r="X791" s="10" t="n">
        <x:v>11</x:v>
      </x:c>
      <x:c r="Y791" s="3" t="n">
        <x:v>0</x:v>
      </x:c>
      <x:c r="Z791" s="3" t="str">
        <x:v>共同</x:v>
      </x:c>
      <x:c r="AA791" s="3" t="str">
        <x:v>在售</x:v>
      </x:c>
      <x:c r="AB791" s="12" t="n">
        <x:f>IF(AND(Z791="共同",ISNUMBER(G791),ISNUMBER(AD791)),G791-AD791,"")</x:f>
        <x:v>0</x:v>
      </x:c>
      <x:c r="AC791" s="3" t="str"/>
      <x:c r="AD791" s="12" t="n">
        <x:v>0</x:v>
      </x:c>
      <x:c r="AE791" s="3" t="str">
        <x:v>[13306,"B07-BK-Z-0-37"]</x:v>
      </x:c>
      <x:c r="AF791" t="n">
        <x:f>IF(ISNUMBER(H791),1,0)</x:f>
        <x:v>1</x:v>
      </x:c>
      <x:c r="AG791" t="n">
        <x:f>IF(ISNUMBER(I791),1,0)</x:f>
        <x:v>1</x:v>
      </x:c>
      <x:c r="AH791" t="str">
        <x:v>["B07","B07-BK-Z-0","BK-Z","黑色镜面PU"]</x:v>
      </x:c>
      <x:c r="AI791" t="n">
        <x:f>IF(ISNUMBER(G791),1,0)</x:f>
        <x:v>1</x:v>
      </x:c>
      <x:c r="AJ791" t="n">
        <x:f>IF(ISNUMBER(AD791),1,0)</x:f>
        <x:v>1</x:v>
      </x:c>
    </x:row>
    <x:row r="792" ht="30" customHeight="1">
      <x:c r="A792" s="3" t="str">
        <x:v>B07-BK-Z-0-37.5</x:v>
      </x:c>
      <x:c r="B792" s="3" t="str">
        <x:v>4店-彬郁-US</x:v>
      </x:c>
      <x:c r="C792" s="3" t="str">
        <x:v>艾年</x:v>
      </x:c>
      <x:c r="D792" s="3" t="str">
        <x:v>B07</x:v>
      </x:c>
      <x:c r="E792" s="3" t="str">
        <x:f>IF(Z792="移出","已移出",IF(NOT(ISNUMBER(H792)),"数据待核",IF(H792=0,"断货",IF(NOT(ISNUMBER(G792)),"数据待核",IF(G792=0,"零日销待复核",IF(F792&lt;60,"补货提醒",IF(F792&lt;=90,"正常库存",IF(F792&lt;180,"促销",IF(F792&lt;=365,"红线促销","考虑清仓")))))))))</x:f>
        <x:v>零日销待复核</x:v>
      </x:c>
      <x:c r="F792" s="11" t="str">
        <x:f>IF(AND(ISNUMBER(H792),ISNUMBER(G792),G792&gt;0),H792/G792,"")</x:f>
      </x:c>
      <x:c r="G792" s="12" t="n">
        <x:f>IF(AND(COUNT(P792:R792)=3,MIN(P792:R792)&gt;=0,P792&lt;=Q792,Q792&lt;=R792),P792/7*0.5+Q792/14*0.3+R792/30*0.2,"")</x:f>
        <x:v>0</x:v>
      </x:c>
      <x:c r="H792" s="10" t="n">
        <x:f>IF(ISNUMBER(U792),U792,"")</x:f>
        <x:v>14</x:v>
      </x:c>
      <x:c r="I792" s="10" t="n">
        <x:v>14</x:v>
      </x:c>
      <x:c r="J792" s="11" t="str">
        <x:f>IF(AND(Z792="共同",ISNUMBER(F792),ISNUMBER(M792)),F792-M792,"")</x:f>
      </x:c>
      <x:c r="K792" s="13" t="str">
        <x:f>IF(AND(ISNUMBER(J792),M792&lt;&gt;0),J792/M792,"")</x:f>
      </x:c>
      <x:c r="L792" s="10" t="str">
        <x:v>考虑清仓</x:v>
      </x:c>
      <x:c r="M792" s="11" t="n">
        <x:v>1050</x:v>
      </x:c>
      <x:c r="N792" s="10" t="n">
        <x:f>IF(AND(Z792="共同",COUNT(H792:I792)=2),H792-I792,"")</x:f>
        <x:v>0</x:v>
      </x:c>
      <x:c r="O792" s="10" t="n">
        <x:v>10</x:v>
      </x:c>
      <x:c r="P792" s="10" t="n">
        <x:v>0</x:v>
      </x:c>
      <x:c r="Q792" s="10" t="n">
        <x:v>0</x:v>
      </x:c>
      <x:c r="R792" s="10" t="n">
        <x:v>0</x:v>
      </x:c>
      <x:c r="S792" s="10" t="n">
        <x:v>14</x:v>
      </x:c>
      <x:c r="T792" s="10" t="n">
        <x:v>0</x:v>
      </x:c>
      <x:c r="U792" s="10" t="n">
        <x:f>IF(AND(ISNUMBER(X792),X792&gt;=0,Y792&lt;&gt;1),X792,"")</x:f>
        <x:v>14</x:v>
      </x:c>
      <x:c r="V792" s="10" t="n">
        <x:v>0</x:v>
      </x:c>
      <x:c r="W792" s="10" t="n">
        <x:v>0</x:v>
      </x:c>
      <x:c r="X792" s="10" t="n">
        <x:v>14</x:v>
      </x:c>
      <x:c r="Y792" s="3" t="n">
        <x:v>0</x:v>
      </x:c>
      <x:c r="Z792" s="3" t="str">
        <x:v>共同</x:v>
      </x:c>
      <x:c r="AA792" s="3" t="str">
        <x:v>在售</x:v>
      </x:c>
      <x:c r="AB792" s="12" t="n">
        <x:f>IF(AND(Z792="共同",ISNUMBER(G792),ISNUMBER(AD792)),G792-AD792,"")</x:f>
        <x:v>-0.013333333333333332</x:v>
      </x:c>
      <x:c r="AC792" s="3" t="str"/>
      <x:c r="AD792" s="12" t="n">
        <x:v>0.013333333333333332</x:v>
      </x:c>
      <x:c r="AE792" s="3" t="str">
        <x:v>[13306,"B07-BK-Z-0-37.5"]</x:v>
      </x:c>
      <x:c r="AF792" t="n">
        <x:f>IF(ISNUMBER(H792),1,0)</x:f>
        <x:v>1</x:v>
      </x:c>
      <x:c r="AG792" t="n">
        <x:f>IF(ISNUMBER(I792),1,0)</x:f>
        <x:v>1</x:v>
      </x:c>
      <x:c r="AH792" t="str">
        <x:v>["B07","B07-BK-Z-0","BK-Z","黑色镜面PU"]</x:v>
      </x:c>
      <x:c r="AI792" t="n">
        <x:f>IF(ISNUMBER(G792),1,0)</x:f>
        <x:v>1</x:v>
      </x:c>
      <x:c r="AJ792" t="n">
        <x:f>IF(ISNUMBER(AD792),1,0)</x:f>
        <x:v>1</x:v>
      </x:c>
    </x:row>
    <x:row r="793" ht="30" customHeight="1">
      <x:c r="A793" s="3" t="str">
        <x:v>B07-CF-42</x:v>
      </x:c>
      <x:c r="B793" s="3" t="str">
        <x:v>4店-彬郁-US</x:v>
      </x:c>
      <x:c r="C793" s="3" t="str">
        <x:v>艾年</x:v>
      </x:c>
      <x:c r="D793" s="3" t="str">
        <x:v>B07</x:v>
      </x:c>
      <x:c r="E793" s="3" t="str">
        <x:f>IF(Z793="移出","已移出",IF(NOT(ISNUMBER(H793)),"数据待核",IF(H793=0,"断货",IF(NOT(ISNUMBER(G793)),"数据待核",IF(G793=0,"零日销待复核",IF(F793&lt;60,"补货提醒",IF(F793&lt;=90,"正常库存",IF(F793&lt;180,"促销",IF(F793&lt;=365,"红线促销","考虑清仓")))))))))</x:f>
        <x:v>零日销待复核</x:v>
      </x:c>
      <x:c r="F793" s="11" t="str">
        <x:f>IF(AND(ISNUMBER(H793),ISNUMBER(G793),G793&gt;0),H793/G793,"")</x:f>
      </x:c>
      <x:c r="G793" s="12" t="n">
        <x:f>IF(AND(COUNT(P793:R793)=3,MIN(P793:R793)&gt;=0,P793&lt;=Q793,Q793&lt;=R793),P793/7*0.5+Q793/14*0.3+R793/30*0.2,"")</x:f>
        <x:v>0</x:v>
      </x:c>
      <x:c r="H793" s="10" t="n">
        <x:f>IF(ISNUMBER(U793),U793,"")</x:f>
        <x:v>3</x:v>
      </x:c>
      <x:c r="I793" s="10" t="n">
        <x:v>3</x:v>
      </x:c>
      <x:c r="J793" s="11" t="str">
        <x:f>IF(AND(Z793="共同",ISNUMBER(F793),ISNUMBER(M793)),F793-M793,"")</x:f>
      </x:c>
      <x:c r="K793" s="13" t="str">
        <x:f>IF(AND(ISNUMBER(J793),M793&lt;&gt;0),J793/M793,"")</x:f>
      </x:c>
      <x:c r="L793" s="10" t="str">
        <x:v>考虑清仓</x:v>
      </x:c>
      <x:c r="M793" s="11" t="n">
        <x:v>450.00000000000006</x:v>
      </x:c>
      <x:c r="N793" s="10" t="n">
        <x:f>IF(AND(Z793="共同",COUNT(H793:I793)=2),H793-I793,"")</x:f>
        <x:v>0</x:v>
      </x:c>
      <x:c r="O793" s="10" t="n">
        <x:v>20</x:v>
      </x:c>
      <x:c r="P793" s="10" t="n">
        <x:v>0</x:v>
      </x:c>
      <x:c r="Q793" s="10" t="n">
        <x:v>0</x:v>
      </x:c>
      <x:c r="R793" s="10" t="n">
        <x:v>0</x:v>
      </x:c>
      <x:c r="S793" s="10" t="n">
        <x:v>3</x:v>
      </x:c>
      <x:c r="T793" s="10" t="n">
        <x:v>0</x:v>
      </x:c>
      <x:c r="U793" s="10" t="n">
        <x:f>IF(AND(ISNUMBER(X793),X793&gt;=0,Y793&lt;&gt;1),X793,"")</x:f>
        <x:v>3</x:v>
      </x:c>
      <x:c r="V793" s="10" t="n">
        <x:v>0</x:v>
      </x:c>
      <x:c r="W793" s="10" t="n">
        <x:v>0</x:v>
      </x:c>
      <x:c r="X793" s="10" t="n">
        <x:v>3</x:v>
      </x:c>
      <x:c r="Y793" s="3" t="n">
        <x:v>0</x:v>
      </x:c>
      <x:c r="Z793" s="3" t="str">
        <x:v>共同</x:v>
      </x:c>
      <x:c r="AA793" s="3" t="str">
        <x:v>在售</x:v>
      </x:c>
      <x:c r="AB793" s="12" t="n">
        <x:f>IF(AND(Z793="共同",ISNUMBER(G793),ISNUMBER(AD793)),G793-AD793,"")</x:f>
        <x:v>-0.006666666666666666</x:v>
      </x:c>
      <x:c r="AC793" s="3" t="str"/>
      <x:c r="AD793" s="12" t="n">
        <x:v>0.006666666666666666</x:v>
      </x:c>
      <x:c r="AE793" s="3" t="str">
        <x:v>[13306,"B07-CF-42"]</x:v>
      </x:c>
      <x:c r="AF793" t="n">
        <x:f>IF(ISNUMBER(H793),1,0)</x:f>
        <x:v>1</x:v>
      </x:c>
      <x:c r="AG793" t="n">
        <x:f>IF(ISNUMBER(I793),1,0)</x:f>
        <x:v>1</x:v>
      </x:c>
      <x:c r="AH793" t="str">
        <x:v>["B07","B07-CF","CF","咖色PU"]</x:v>
      </x:c>
      <x:c r="AI793" t="n">
        <x:f>IF(ISNUMBER(G793),1,0)</x:f>
        <x:v>1</x:v>
      </x:c>
      <x:c r="AJ793" t="n">
        <x:f>IF(ISNUMBER(AD793),1,0)</x:f>
        <x:v>1</x:v>
      </x:c>
    </x:row>
    <x:row r="794" ht="30" customHeight="1">
      <x:c r="A794" s="3" t="str">
        <x:v>B07-IV-P-37</x:v>
      </x:c>
      <x:c r="B794" s="3" t="str">
        <x:v>4店-彬郁-US</x:v>
      </x:c>
      <x:c r="C794" s="3" t="str">
        <x:v>艾年</x:v>
      </x:c>
      <x:c r="D794" s="3" t="str">
        <x:v>B07</x:v>
      </x:c>
      <x:c r="E794" s="3" t="str">
        <x:f>IF(Z794="移出","已移出",IF(NOT(ISNUMBER(H794)),"数据待核",IF(H794=0,"断货",IF(NOT(ISNUMBER(G794)),"数据待核",IF(G794=0,"零日销待复核",IF(F794&lt;60,"补货提醒",IF(F794&lt;=90,"正常库存",IF(F794&lt;180,"促销",IF(F794&lt;=365,"红线促销","考虑清仓")))))))))</x:f>
        <x:v>零日销待复核</x:v>
      </x:c>
      <x:c r="F794" s="11" t="str">
        <x:f>IF(AND(ISNUMBER(H794),ISNUMBER(G794),G794&gt;0),H794/G794,"")</x:f>
      </x:c>
      <x:c r="G794" s="12" t="n">
        <x:f>IF(AND(COUNT(P794:R794)=3,MIN(P794:R794)&gt;=0,P794&lt;=Q794,Q794&lt;=R794),P794/7*0.5+Q794/14*0.3+R794/30*0.2,"")</x:f>
        <x:v>0</x:v>
      </x:c>
      <x:c r="H794" s="10" t="n">
        <x:f>IF(ISNUMBER(U794),U794,"")</x:f>
        <x:v>15</x:v>
      </x:c>
      <x:c r="I794" s="10" t="n">
        <x:v>15</x:v>
      </x:c>
      <x:c r="J794" s="11" t="str">
        <x:f>IF(AND(Z794="共同",ISNUMBER(F794),ISNUMBER(M794)),F794-M794,"")</x:f>
      </x:c>
      <x:c r="K794" s="13" t="str">
        <x:f>IF(AND(ISNUMBER(J794),M794&lt;&gt;0),J794/M794,"")</x:f>
      </x:c>
      <x:c r="L794" s="10" t="str">
        <x:v>零日销待复核</x:v>
      </x:c>
      <x:c r="M794" s="11"/>
      <x:c r="N794" s="10" t="n">
        <x:f>IF(AND(Z794="共同",COUNT(H794:I794)=2),H794-I794,"")</x:f>
        <x:v>0</x:v>
      </x:c>
      <x:c r="O794" s="10" t="n">
        <x:v>0</x:v>
      </x:c>
      <x:c r="P794" s="10" t="n">
        <x:v>0</x:v>
      </x:c>
      <x:c r="Q794" s="10" t="n">
        <x:v>0</x:v>
      </x:c>
      <x:c r="R794" s="10" t="n">
        <x:v>0</x:v>
      </x:c>
      <x:c r="S794" s="10" t="n">
        <x:v>16</x:v>
      </x:c>
      <x:c r="T794" s="10" t="n">
        <x:v>0</x:v>
      </x:c>
      <x:c r="U794" s="10" t="n">
        <x:f>IF(AND(ISNUMBER(X794),X794&gt;=0,Y794&lt;&gt;1),X794,"")</x:f>
        <x:v>15</x:v>
      </x:c>
      <x:c r="V794" s="10" t="n">
        <x:v>0</x:v>
      </x:c>
      <x:c r="W794" s="10" t="n">
        <x:v>0</x:v>
      </x:c>
      <x:c r="X794" s="10" t="n">
        <x:v>15</x:v>
      </x:c>
      <x:c r="Y794" s="3" t="n">
        <x:v>0</x:v>
      </x:c>
      <x:c r="Z794" s="3" t="str">
        <x:v>共同</x:v>
      </x:c>
      <x:c r="AA794" s="3" t="str">
        <x:v>在售</x:v>
      </x:c>
      <x:c r="AB794" s="12" t="n">
        <x:f>IF(AND(Z794="共同",ISNUMBER(G794),ISNUMBER(AD794)),G794-AD794,"")</x:f>
        <x:v>0</x:v>
      </x:c>
      <x:c r="AC794" s="3" t="str"/>
      <x:c r="AD794" s="12" t="n">
        <x:v>0</x:v>
      </x:c>
      <x:c r="AE794" s="3" t="str">
        <x:v>[13306,"B07-IV-P-37"]</x:v>
      </x:c>
      <x:c r="AF794" t="n">
        <x:f>IF(ISNUMBER(H794),1,0)</x:f>
        <x:v>1</x:v>
      </x:c>
      <x:c r="AG794" t="n">
        <x:f>IF(ISNUMBER(I794),1,0)</x:f>
        <x:v>1</x:v>
      </x:c>
      <x:c r="AH794" t="str">
        <x:v>["B07","B07-IV-P","IV-P","米白色PU"]</x:v>
      </x:c>
      <x:c r="AI794" t="n">
        <x:f>IF(ISNUMBER(G794),1,0)</x:f>
        <x:v>1</x:v>
      </x:c>
      <x:c r="AJ794" t="n">
        <x:f>IF(ISNUMBER(AD794),1,0)</x:f>
        <x:v>1</x:v>
      </x:c>
    </x:row>
    <x:row r="795" ht="30" customHeight="1">
      <x:c r="A795" s="3" t="str">
        <x:v>B07-IV-P-37.5</x:v>
      </x:c>
      <x:c r="B795" s="3" t="str">
        <x:v>4店-彬郁-US</x:v>
      </x:c>
      <x:c r="C795" s="3" t="str">
        <x:v>艾年</x:v>
      </x:c>
      <x:c r="D795" s="3" t="str">
        <x:v>B07</x:v>
      </x:c>
      <x:c r="E795" s="3" t="str">
        <x:f>IF(Z795="移出","已移出",IF(NOT(ISNUMBER(H795)),"数据待核",IF(H795=0,"断货",IF(NOT(ISNUMBER(G795)),"数据待核",IF(G795=0,"零日销待复核",IF(F795&lt;60,"补货提醒",IF(F795&lt;=90,"正常库存",IF(F795&lt;180,"促销",IF(F795&lt;=365,"红线促销","考虑清仓")))))))))</x:f>
        <x:v>零日销待复核</x:v>
      </x:c>
      <x:c r="F795" s="11" t="str">
        <x:f>IF(AND(ISNUMBER(H795),ISNUMBER(G795),G795&gt;0),H795/G795,"")</x:f>
      </x:c>
      <x:c r="G795" s="12" t="n">
        <x:f>IF(AND(COUNT(P795:R795)=3,MIN(P795:R795)&gt;=0,P795&lt;=Q795,Q795&lt;=R795),P795/7*0.5+Q795/14*0.3+R795/30*0.2,"")</x:f>
        <x:v>0</x:v>
      </x:c>
      <x:c r="H795" s="10" t="n">
        <x:f>IF(ISNUMBER(U795),U795,"")</x:f>
        <x:v>4</x:v>
      </x:c>
      <x:c r="I795" s="10" t="n">
        <x:v>4</x:v>
      </x:c>
      <x:c r="J795" s="11" t="str">
        <x:f>IF(AND(Z795="共同",ISNUMBER(F795),ISNUMBER(M795)),F795-M795,"")</x:f>
      </x:c>
      <x:c r="K795" s="13" t="str">
        <x:f>IF(AND(ISNUMBER(J795),M795&lt;&gt;0),J795/M795,"")</x:f>
      </x:c>
      <x:c r="L795" s="10" t="str">
        <x:v>零日销待复核</x:v>
      </x:c>
      <x:c r="M795" s="11"/>
      <x:c r="N795" s="10" t="n">
        <x:f>IF(AND(Z795="共同",COUNT(H795:I795)=2),H795-I795,"")</x:f>
        <x:v>0</x:v>
      </x:c>
      <x:c r="O795" s="10" t="n">
        <x:v>0</x:v>
      </x:c>
      <x:c r="P795" s="10" t="n">
        <x:v>0</x:v>
      </x:c>
      <x:c r="Q795" s="10" t="n">
        <x:v>0</x:v>
      </x:c>
      <x:c r="R795" s="10" t="n">
        <x:v>0</x:v>
      </x:c>
      <x:c r="S795" s="10" t="n">
        <x:v>4</x:v>
      </x:c>
      <x:c r="T795" s="10" t="n">
        <x:v>0</x:v>
      </x:c>
      <x:c r="U795" s="10" t="n">
        <x:f>IF(AND(ISNUMBER(X795),X795&gt;=0,Y795&lt;&gt;1),X795,"")</x:f>
        <x:v>4</x:v>
      </x:c>
      <x:c r="V795" s="10" t="n">
        <x:v>0</x:v>
      </x:c>
      <x:c r="W795" s="10" t="n">
        <x:v>0</x:v>
      </x:c>
      <x:c r="X795" s="10" t="n">
        <x:v>4</x:v>
      </x:c>
      <x:c r="Y795" s="3" t="n">
        <x:v>0</x:v>
      </x:c>
      <x:c r="Z795" s="3" t="str">
        <x:v>共同</x:v>
      </x:c>
      <x:c r="AA795" s="3" t="str">
        <x:v>在售</x:v>
      </x:c>
      <x:c r="AB795" s="12" t="n">
        <x:f>IF(AND(Z795="共同",ISNUMBER(G795),ISNUMBER(AD795)),G795-AD795,"")</x:f>
        <x:v>0</x:v>
      </x:c>
      <x:c r="AC795" s="3" t="str"/>
      <x:c r="AD795" s="12" t="n">
        <x:v>0</x:v>
      </x:c>
      <x:c r="AE795" s="3" t="str">
        <x:v>[13306,"B07-IV-P-37.5"]</x:v>
      </x:c>
      <x:c r="AF795" t="n">
        <x:f>IF(ISNUMBER(H795),1,0)</x:f>
        <x:v>1</x:v>
      </x:c>
      <x:c r="AG795" t="n">
        <x:f>IF(ISNUMBER(I795),1,0)</x:f>
        <x:v>1</x:v>
      </x:c>
      <x:c r="AH795" t="str">
        <x:v>["B07","B07-IV-P","IV-P","米白色PU"]</x:v>
      </x:c>
      <x:c r="AI795" t="n">
        <x:f>IF(ISNUMBER(G795),1,0)</x:f>
        <x:v>1</x:v>
      </x:c>
      <x:c r="AJ795" t="n">
        <x:f>IF(ISNUMBER(AD795),1,0)</x:f>
        <x:v>1</x:v>
      </x:c>
    </x:row>
    <x:row r="796" ht="30" customHeight="1">
      <x:c r="A796" s="3" t="str">
        <x:v>B07-IV-P-41.5</x:v>
      </x:c>
      <x:c r="B796" s="3" t="str">
        <x:v>4店-彬郁-US</x:v>
      </x:c>
      <x:c r="C796" s="3" t="str">
        <x:v>艾年</x:v>
      </x:c>
      <x:c r="D796" s="3" t="str">
        <x:v>B07</x:v>
      </x:c>
      <x:c r="E796" s="3" t="str">
        <x:f>IF(Z796="移出","已移出",IF(NOT(ISNUMBER(H796)),"数据待核",IF(H796=0,"断货",IF(NOT(ISNUMBER(G796)),"数据待核",IF(G796=0,"零日销待复核",IF(F796&lt;60,"补货提醒",IF(F796&lt;=90,"正常库存",IF(F796&lt;180,"促销",IF(F796&lt;=365,"红线促销","考虑清仓")))))))))</x:f>
        <x:v>零日销待复核</x:v>
      </x:c>
      <x:c r="F796" s="11" t="str">
        <x:f>IF(AND(ISNUMBER(H796),ISNUMBER(G796),G796&gt;0),H796/G796,"")</x:f>
      </x:c>
      <x:c r="G796" s="12" t="n">
        <x:f>IF(AND(COUNT(P796:R796)=3,MIN(P796:R796)&gt;=0,P796&lt;=Q796,Q796&lt;=R796),P796/7*0.5+Q796/14*0.3+R796/30*0.2,"")</x:f>
        <x:v>0</x:v>
      </x:c>
      <x:c r="H796" s="10" t="n">
        <x:f>IF(ISNUMBER(U796),U796,"")</x:f>
        <x:v>19</x:v>
      </x:c>
      <x:c r="I796" s="10" t="n">
        <x:v>2</x:v>
      </x:c>
      <x:c r="J796" s="11" t="str">
        <x:f>IF(AND(Z796="共同",ISNUMBER(F796),ISNUMBER(M796)),F796-M796,"")</x:f>
      </x:c>
      <x:c r="K796" s="13" t="str">
        <x:f>IF(AND(ISNUMBER(J796),M796&lt;&gt;0),J796/M796,"")</x:f>
      </x:c>
      <x:c r="L796" s="10" t="str">
        <x:v>零日销待复核</x:v>
      </x:c>
      <x:c r="M796" s="11"/>
      <x:c r="N796" s="10" t="n">
        <x:f>IF(AND(Z796="共同",COUNT(H796:I796)=2),H796-I796,"")</x:f>
        <x:v>17</x:v>
      </x:c>
      <x:c r="O796" s="10" t="n">
        <x:v>0</x:v>
      </x:c>
      <x:c r="P796" s="10" t="n">
        <x:v>0</x:v>
      </x:c>
      <x:c r="Q796" s="10" t="n">
        <x:v>0</x:v>
      </x:c>
      <x:c r="R796" s="10" t="n">
        <x:v>0</x:v>
      </x:c>
      <x:c r="S796" s="10" t="n">
        <x:v>22</x:v>
      </x:c>
      <x:c r="T796" s="10" t="n">
        <x:v>0</x:v>
      </x:c>
      <x:c r="U796" s="10" t="n">
        <x:f>IF(AND(ISNUMBER(X796),X796&gt;=0,Y796&lt;&gt;1),X796,"")</x:f>
        <x:v>19</x:v>
      </x:c>
      <x:c r="V796" s="10" t="n">
        <x:v>10</x:v>
      </x:c>
      <x:c r="W796" s="10" t="n">
        <x:v>0</x:v>
      </x:c>
      <x:c r="X796" s="10" t="n">
        <x:v>19</x:v>
      </x:c>
      <x:c r="Y796" s="3" t="n">
        <x:v>0</x:v>
      </x:c>
      <x:c r="Z796" s="3" t="str">
        <x:v>共同</x:v>
      </x:c>
      <x:c r="AA796" s="3" t="str">
        <x:v>在售</x:v>
      </x:c>
      <x:c r="AB796" s="12" t="n">
        <x:f>IF(AND(Z796="共同",ISNUMBER(G796),ISNUMBER(AD796)),G796-AD796,"")</x:f>
        <x:v>0</x:v>
      </x:c>
      <x:c r="AC796" s="3" t="str"/>
      <x:c r="AD796" s="12" t="n">
        <x:v>0</x:v>
      </x:c>
      <x:c r="AE796" s="3" t="str">
        <x:v>[13306,"B07-IV-P-41.5"]</x:v>
      </x:c>
      <x:c r="AF796" t="n">
        <x:f>IF(ISNUMBER(H796),1,0)</x:f>
        <x:v>1</x:v>
      </x:c>
      <x:c r="AG796" t="n">
        <x:f>IF(ISNUMBER(I796),1,0)</x:f>
        <x:v>1</x:v>
      </x:c>
      <x:c r="AH796" t="str">
        <x:v>["B07","B07-IV-P","IV-P","米白色PU"]</x:v>
      </x:c>
      <x:c r="AI796" t="n">
        <x:f>IF(ISNUMBER(G796),1,0)</x:f>
        <x:v>1</x:v>
      </x:c>
      <x:c r="AJ796" t="n">
        <x:f>IF(ISNUMBER(AD796),1,0)</x:f>
        <x:v>1</x:v>
      </x:c>
    </x:row>
    <x:row r="797" ht="30" customHeight="1">
      <x:c r="A797" s="3" t="str">
        <x:v>B07-ND-Z-0-39.5</x:v>
      </x:c>
      <x:c r="B797" s="3" t="str">
        <x:v>4店-彬郁-US</x:v>
      </x:c>
      <x:c r="C797" s="3" t="str">
        <x:v>艾年</x:v>
      </x:c>
      <x:c r="D797" s="3" t="str">
        <x:v>B07</x:v>
      </x:c>
      <x:c r="E797" s="3" t="str">
        <x:f>IF(Z797="移出","已移出",IF(NOT(ISNUMBER(H797)),"数据待核",IF(H797=0,"断货",IF(NOT(ISNUMBER(G797)),"数据待核",IF(G797=0,"零日销待复核",IF(F797&lt;60,"补货提醒",IF(F797&lt;=90,"正常库存",IF(F797&lt;180,"促销",IF(F797&lt;=365,"红线促销","考虑清仓")))))))))</x:f>
        <x:v>零日销待复核</x:v>
      </x:c>
      <x:c r="F797" s="11" t="str">
        <x:f>IF(AND(ISNUMBER(H797),ISNUMBER(G797),G797&gt;0),H797/G797,"")</x:f>
      </x:c>
      <x:c r="G797" s="12" t="n">
        <x:f>IF(AND(COUNT(P797:R797)=3,MIN(P797:R797)&gt;=0,P797&lt;=Q797,Q797&lt;=R797),P797/7*0.5+Q797/14*0.3+R797/30*0.2,"")</x:f>
        <x:v>0</x:v>
      </x:c>
      <x:c r="H797" s="10" t="n">
        <x:f>IF(ISNUMBER(U797),U797,"")</x:f>
        <x:v>2</x:v>
      </x:c>
      <x:c r="I797" s="10" t="n">
        <x:v>2</x:v>
      </x:c>
      <x:c r="J797" s="11" t="str">
        <x:f>IF(AND(Z797="共同",ISNUMBER(F797),ISNUMBER(M797)),F797-M797,"")</x:f>
      </x:c>
      <x:c r="K797" s="13" t="str">
        <x:f>IF(AND(ISNUMBER(J797),M797&lt;&gt;0),J797/M797,"")</x:f>
      </x:c>
      <x:c r="L797" s="10" t="str">
        <x:v>零日销待复核</x:v>
      </x:c>
      <x:c r="M797" s="11"/>
      <x:c r="N797" s="10" t="n">
        <x:f>IF(AND(Z797="共同",COUNT(H797:I797)=2),H797-I797,"")</x:f>
        <x:v>0</x:v>
      </x:c>
      <x:c r="O797" s="10" t="n">
        <x:v>1</x:v>
      </x:c>
      <x:c r="P797" s="10" t="n">
        <x:v>0</x:v>
      </x:c>
      <x:c r="Q797" s="10" t="n">
        <x:v>0</x:v>
      </x:c>
      <x:c r="R797" s="10" t="n">
        <x:v>0</x:v>
      </x:c>
      <x:c r="S797" s="10" t="n">
        <x:v>2</x:v>
      </x:c>
      <x:c r="T797" s="10" t="n">
        <x:v>0</x:v>
      </x:c>
      <x:c r="U797" s="10" t="n">
        <x:f>IF(AND(ISNUMBER(X797),X797&gt;=0,Y797&lt;&gt;1),X797,"")</x:f>
        <x:v>2</x:v>
      </x:c>
      <x:c r="V797" s="10" t="n">
        <x:v>0</x:v>
      </x:c>
      <x:c r="W797" s="10" t="n">
        <x:v>0</x:v>
      </x:c>
      <x:c r="X797" s="10" t="n">
        <x:v>2</x:v>
      </x:c>
      <x:c r="Y797" s="3" t="n">
        <x:v>0</x:v>
      </x:c>
      <x:c r="Z797" s="3" t="str">
        <x:v>共同</x:v>
      </x:c>
      <x:c r="AA797" s="3" t="str">
        <x:v>在售</x:v>
      </x:c>
      <x:c r="AB797" s="12" t="n">
        <x:f>IF(AND(Z797="共同",ISNUMBER(G797),ISNUMBER(AD797)),G797-AD797,"")</x:f>
        <x:v>0</x:v>
      </x:c>
      <x:c r="AC797" s="3" t="str"/>
      <x:c r="AD797" s="12" t="n">
        <x:v>0</x:v>
      </x:c>
      <x:c r="AE797" s="3" t="str">
        <x:v>[13306,"B07-ND-Z-0-39.5"]</x:v>
      </x:c>
      <x:c r="AF797" t="n">
        <x:f>IF(ISNUMBER(H797),1,0)</x:f>
        <x:v>1</x:v>
      </x:c>
      <x:c r="AG797" t="n">
        <x:f>IF(ISNUMBER(I797),1,0)</x:f>
        <x:v>1</x:v>
      </x:c>
      <x:c r="AH797" t="str">
        <x:v>["B07","B07-ND-Z-0","ND-Z","裸色镜面PU"]</x:v>
      </x:c>
      <x:c r="AI797" t="n">
        <x:f>IF(ISNUMBER(G797),1,0)</x:f>
        <x:v>1</x:v>
      </x:c>
      <x:c r="AJ797" t="n">
        <x:f>IF(ISNUMBER(AD797),1,0)</x:f>
        <x:v>1</x:v>
      </x:c>
    </x:row>
    <x:row r="798" ht="30" customHeight="1">
      <x:c r="A798" s="3" t="str">
        <x:v>B07-NY-42-by</x:v>
      </x:c>
      <x:c r="B798" s="3" t="str">
        <x:v>4店-彬郁-US</x:v>
      </x:c>
      <x:c r="C798" s="3" t="str">
        <x:v>艾年</x:v>
      </x:c>
      <x:c r="D798" s="3" t="str">
        <x:v>B07</x:v>
      </x:c>
      <x:c r="E798" s="3" t="str">
        <x:f>IF(Z798="移出","已移出",IF(NOT(ISNUMBER(H798)),"数据待核",IF(H798=0,"断货",IF(NOT(ISNUMBER(G798)),"数据待核",IF(G798=0,"零日销待复核",IF(F798&lt;60,"补货提醒",IF(F798&lt;=90,"正常库存",IF(F798&lt;180,"促销",IF(F798&lt;=365,"红线促销","考虑清仓")))))))))</x:f>
        <x:v>零日销待复核</x:v>
      </x:c>
      <x:c r="F798" s="11" t="str">
        <x:f>IF(AND(ISNUMBER(H798),ISNUMBER(G798),G798&gt;0),H798/G798,"")</x:f>
      </x:c>
      <x:c r="G798" s="12" t="n">
        <x:f>IF(AND(COUNT(P798:R798)=3,MIN(P798:R798)&gt;=0,P798&lt;=Q798,Q798&lt;=R798),P798/7*0.5+Q798/14*0.3+R798/30*0.2,"")</x:f>
        <x:v>0</x:v>
      </x:c>
      <x:c r="H798" s="10" t="n">
        <x:f>IF(ISNUMBER(U798),U798,"")</x:f>
        <x:v>12</x:v>
      </x:c>
      <x:c r="I798" s="10" t="n">
        <x:v>11</x:v>
      </x:c>
      <x:c r="J798" s="11" t="str">
        <x:f>IF(AND(Z798="共同",ISNUMBER(F798),ISNUMBER(M798)),F798-M798,"")</x:f>
      </x:c>
      <x:c r="K798" s="13" t="str">
        <x:f>IF(AND(ISNUMBER(J798),M798&lt;&gt;0),J798/M798,"")</x:f>
      </x:c>
      <x:c r="L798" s="10" t="str">
        <x:v>考虑清仓</x:v>
      </x:c>
      <x:c r="M798" s="11" t="n">
        <x:v>825</x:v>
      </x:c>
      <x:c r="N798" s="10" t="n">
        <x:f>IF(AND(Z798="共同",COUNT(H798:I798)=2),H798-I798,"")</x:f>
        <x:v>1</x:v>
      </x:c>
      <x:c r="O798" s="10" t="n">
        <x:v>0</x:v>
      </x:c>
      <x:c r="P798" s="10" t="n">
        <x:v>0</x:v>
      </x:c>
      <x:c r="Q798" s="10" t="n">
        <x:v>0</x:v>
      </x:c>
      <x:c r="R798" s="10" t="n">
        <x:v>0</x:v>
      </x:c>
      <x:c r="S798" s="10" t="n">
        <x:v>12</x:v>
      </x:c>
      <x:c r="T798" s="10" t="n">
        <x:v>0</x:v>
      </x:c>
      <x:c r="U798" s="10" t="n">
        <x:f>IF(AND(ISNUMBER(X798),X798&gt;=0,Y798&lt;&gt;1),X798,"")</x:f>
        <x:v>12</x:v>
      </x:c>
      <x:c r="V798" s="10" t="n">
        <x:v>0</x:v>
      </x:c>
      <x:c r="W798" s="10" t="n">
        <x:v>0</x:v>
      </x:c>
      <x:c r="X798" s="10" t="n">
        <x:v>12</x:v>
      </x:c>
      <x:c r="Y798" s="3" t="n">
        <x:v>0</x:v>
      </x:c>
      <x:c r="Z798" s="3" t="str">
        <x:v>共同</x:v>
      </x:c>
      <x:c r="AA798" s="3" t="str">
        <x:v>在售</x:v>
      </x:c>
      <x:c r="AB798" s="12" t="n">
        <x:f>IF(AND(Z798="共同",ISNUMBER(G798),ISNUMBER(AD798)),G798-AD798,"")</x:f>
        <x:v>-0.013333333333333332</x:v>
      </x:c>
      <x:c r="AC798" s="3" t="str"/>
      <x:c r="AD798" s="12" t="n">
        <x:v>0.013333333333333332</x:v>
      </x:c>
      <x:c r="AE798" s="3" t="str">
        <x:v>[13306,"B07-NY-42-by"]</x:v>
      </x:c>
      <x:c r="AF798" t="n">
        <x:f>IF(ISNUMBER(H798),1,0)</x:f>
        <x:v>1</x:v>
      </x:c>
      <x:c r="AG798" t="n">
        <x:f>IF(ISNUMBER(I798),1,0)</x:f>
        <x:v>1</x:v>
      </x:c>
      <x:c r="AH798" t="str">
        <x:v>["B07","B07-NY","NY","藏青色羊京绒"]</x:v>
      </x:c>
      <x:c r="AI798" t="n">
        <x:f>IF(ISNUMBER(G798),1,0)</x:f>
        <x:v>1</x:v>
      </x:c>
      <x:c r="AJ798" t="n">
        <x:f>IF(ISNUMBER(AD798),1,0)</x:f>
        <x:v>1</x:v>
      </x:c>
    </x:row>
    <x:row r="799" ht="30" customHeight="1">
      <x:c r="A799" s="3" t="str">
        <x:v>B07-PK-38.5</x:v>
      </x:c>
      <x:c r="B799" s="3" t="str">
        <x:v>4店-彬郁-US</x:v>
      </x:c>
      <x:c r="C799" s="3" t="str">
        <x:v>艾年</x:v>
      </x:c>
      <x:c r="D799" s="3" t="str">
        <x:v>B07</x:v>
      </x:c>
      <x:c r="E799" s="3" t="str">
        <x:f>IF(Z799="移出","已移出",IF(NOT(ISNUMBER(H799)),"数据待核",IF(H799=0,"断货",IF(NOT(ISNUMBER(G799)),"数据待核",IF(G799=0,"零日销待复核",IF(F799&lt;60,"补货提醒",IF(F799&lt;=90,"正常库存",IF(F799&lt;180,"促销",IF(F799&lt;=365,"红线促销","考虑清仓")))))))))</x:f>
        <x:v>零日销待复核</x:v>
      </x:c>
      <x:c r="F799" s="11" t="str">
        <x:f>IF(AND(ISNUMBER(H799),ISNUMBER(G799),G799&gt;0),H799/G799,"")</x:f>
      </x:c>
      <x:c r="G799" s="12" t="n">
        <x:f>IF(AND(COUNT(P799:R799)=3,MIN(P799:R799)&gt;=0,P799&lt;=Q799,Q799&lt;=R799),P799/7*0.5+Q799/14*0.3+R799/30*0.2,"")</x:f>
        <x:v>0</x:v>
      </x:c>
      <x:c r="H799" s="10" t="n">
        <x:f>IF(ISNUMBER(U799),U799,"")</x:f>
        <x:v>11</x:v>
      </x:c>
      <x:c r="I799" s="10" t="n">
        <x:v>1</x:v>
      </x:c>
      <x:c r="J799" s="11" t="str">
        <x:f>IF(AND(Z799="共同",ISNUMBER(F799),ISNUMBER(M799)),F799-M799,"")</x:f>
      </x:c>
      <x:c r="K799" s="13" t="str">
        <x:f>IF(AND(ISNUMBER(J799),M799&lt;&gt;0),J799/M799,"")</x:f>
      </x:c>
      <x:c r="L799" s="10" t="str">
        <x:v>零日销待复核</x:v>
      </x:c>
      <x:c r="M799" s="11"/>
      <x:c r="N799" s="10" t="n">
        <x:f>IF(AND(Z799="共同",COUNT(H799:I799)=2),H799-I799,"")</x:f>
        <x:v>10</x:v>
      </x:c>
      <x:c r="O799" s="10" t="n">
        <x:v>0</x:v>
      </x:c>
      <x:c r="P799" s="10" t="n">
        <x:v>0</x:v>
      </x:c>
      <x:c r="Q799" s="10" t="n">
        <x:v>0</x:v>
      </x:c>
      <x:c r="R799" s="10" t="n">
        <x:v>0</x:v>
      </x:c>
      <x:c r="S799" s="10" t="n">
        <x:v>11</x:v>
      </x:c>
      <x:c r="T799" s="10" t="n">
        <x:v>0</x:v>
      </x:c>
      <x:c r="U799" s="10" t="n">
        <x:f>IF(AND(ISNUMBER(X799),X799&gt;=0,Y799&lt;&gt;1),X799,"")</x:f>
        <x:v>11</x:v>
      </x:c>
      <x:c r="V799" s="10" t="n">
        <x:v>0</x:v>
      </x:c>
      <x:c r="W799" s="10" t="n">
        <x:v>0</x:v>
      </x:c>
      <x:c r="X799" s="10" t="n">
        <x:v>11</x:v>
      </x:c>
      <x:c r="Y799" s="3" t="n">
        <x:v>0</x:v>
      </x:c>
      <x:c r="Z799" s="3" t="str">
        <x:v>共同</x:v>
      </x:c>
      <x:c r="AA799" s="3" t="str">
        <x:v>在售</x:v>
      </x:c>
      <x:c r="AB799" s="12" t="n">
        <x:f>IF(AND(Z799="共同",ISNUMBER(G799),ISNUMBER(AD799)),G799-AD799,"")</x:f>
        <x:v>0</x:v>
      </x:c>
      <x:c r="AC799" s="3" t="str"/>
      <x:c r="AD799" s="12" t="n">
        <x:v>0</x:v>
      </x:c>
      <x:c r="AE799" s="3" t="str">
        <x:v>[13306,"B07-PK-38.5"]</x:v>
      </x:c>
      <x:c r="AF799" t="n">
        <x:f>IF(ISNUMBER(H799),1,0)</x:f>
        <x:v>1</x:v>
      </x:c>
      <x:c r="AG799" t="n">
        <x:f>IF(ISNUMBER(I799),1,0)</x:f>
        <x:v>1</x:v>
      </x:c>
      <x:c r="AH799" t="str">
        <x:v>["B07","B07-PK","PK","粉色羊京绒"]</x:v>
      </x:c>
      <x:c r="AI799" t="n">
        <x:f>IF(ISNUMBER(G799),1,0)</x:f>
        <x:v>1</x:v>
      </x:c>
      <x:c r="AJ799" t="n">
        <x:f>IF(ISNUMBER(AD799),1,0)</x:f>
        <x:v>1</x:v>
      </x:c>
    </x:row>
    <x:row r="800" ht="30" customHeight="1">
      <x:c r="A800" s="3" t="str">
        <x:v>B07-PK-39.5</x:v>
      </x:c>
      <x:c r="B800" s="3" t="str">
        <x:v>4店-彬郁-US</x:v>
      </x:c>
      <x:c r="C800" s="3" t="str">
        <x:v>艾年</x:v>
      </x:c>
      <x:c r="D800" s="3" t="str">
        <x:v>B07</x:v>
      </x:c>
      <x:c r="E800" s="3" t="str">
        <x:f>IF(Z800="移出","已移出",IF(NOT(ISNUMBER(H800)),"数据待核",IF(H800=0,"断货",IF(NOT(ISNUMBER(G800)),"数据待核",IF(G800=0,"零日销待复核",IF(F800&lt;60,"补货提醒",IF(F800&lt;=90,"正常库存",IF(F800&lt;180,"促销",IF(F800&lt;=365,"红线促销","考虑清仓")))))))))</x:f>
        <x:v>零日销待复核</x:v>
      </x:c>
      <x:c r="F800" s="11" t="str">
        <x:f>IF(AND(ISNUMBER(H800),ISNUMBER(G800),G800&gt;0),H800/G800,"")</x:f>
      </x:c>
      <x:c r="G800" s="12" t="n">
        <x:f>IF(AND(COUNT(P800:R800)=3,MIN(P800:R800)&gt;=0,P800&lt;=Q800,Q800&lt;=R800),P800/7*0.5+Q800/14*0.3+R800/30*0.2,"")</x:f>
        <x:v>0</x:v>
      </x:c>
      <x:c r="H800" s="10" t="n">
        <x:f>IF(ISNUMBER(U800),U800,"")</x:f>
        <x:v>1</x:v>
      </x:c>
      <x:c r="I800" s="10" t="n">
        <x:v>1</x:v>
      </x:c>
      <x:c r="J800" s="11" t="str">
        <x:f>IF(AND(Z800="共同",ISNUMBER(F800),ISNUMBER(M800)),F800-M800,"")</x:f>
      </x:c>
      <x:c r="K800" s="13" t="str">
        <x:f>IF(AND(ISNUMBER(J800),M800&lt;&gt;0),J800/M800,"")</x:f>
      </x:c>
      <x:c r="L800" s="10" t="str">
        <x:v>促销</x:v>
      </x:c>
      <x:c r="M800" s="11" t="n">
        <x:v>150</x:v>
      </x:c>
      <x:c r="N800" s="10" t="n">
        <x:f>IF(AND(Z800="共同",COUNT(H800:I800)=2),H800-I800,"")</x:f>
        <x:v>0</x:v>
      </x:c>
      <x:c r="O800" s="10" t="n">
        <x:v>0</x:v>
      </x:c>
      <x:c r="P800" s="10" t="n">
        <x:v>0</x:v>
      </x:c>
      <x:c r="Q800" s="10" t="n">
        <x:v>0</x:v>
      </x:c>
      <x:c r="R800" s="10" t="n">
        <x:v>0</x:v>
      </x:c>
      <x:c r="S800" s="10" t="n">
        <x:v>2</x:v>
      </x:c>
      <x:c r="T800" s="10" t="n">
        <x:v>0</x:v>
      </x:c>
      <x:c r="U800" s="10" t="n">
        <x:f>IF(AND(ISNUMBER(X800),X800&gt;=0,Y800&lt;&gt;1),X800,"")</x:f>
        <x:v>1</x:v>
      </x:c>
      <x:c r="V800" s="10" t="n">
        <x:v>0</x:v>
      </x:c>
      <x:c r="W800" s="10" t="n">
        <x:v>0</x:v>
      </x:c>
      <x:c r="X800" s="10" t="n">
        <x:v>1</x:v>
      </x:c>
      <x:c r="Y800" s="3" t="n">
        <x:v>0</x:v>
      </x:c>
      <x:c r="Z800" s="3" t="str">
        <x:v>共同</x:v>
      </x:c>
      <x:c r="AA800" s="3" t="str">
        <x:v>在售</x:v>
      </x:c>
      <x:c r="AB800" s="12" t="n">
        <x:f>IF(AND(Z800="共同",ISNUMBER(G800),ISNUMBER(AD800)),G800-AD800,"")</x:f>
        <x:v>-0.006666666666666666</x:v>
      </x:c>
      <x:c r="AC800" s="3" t="str"/>
      <x:c r="AD800" s="12" t="n">
        <x:v>0.006666666666666666</x:v>
      </x:c>
      <x:c r="AE800" s="3" t="str">
        <x:v>[13306,"B07-PK-39.5"]</x:v>
      </x:c>
      <x:c r="AF800" t="n">
        <x:f>IF(ISNUMBER(H800),1,0)</x:f>
        <x:v>1</x:v>
      </x:c>
      <x:c r="AG800" t="n">
        <x:f>IF(ISNUMBER(I800),1,0)</x:f>
        <x:v>1</x:v>
      </x:c>
      <x:c r="AH800" t="str">
        <x:v>["B07","B07-PK","PK","粉色羊京绒"]</x:v>
      </x:c>
      <x:c r="AI800" t="n">
        <x:f>IF(ISNUMBER(G800),1,0)</x:f>
        <x:v>1</x:v>
      </x:c>
      <x:c r="AJ800" t="n">
        <x:f>IF(ISNUMBER(AD800),1,0)</x:f>
        <x:v>1</x:v>
      </x:c>
    </x:row>
    <x:row r="801" ht="30" customHeight="1">
      <x:c r="A801" s="3" t="str">
        <x:v>B07-PK-41-by</x:v>
      </x:c>
      <x:c r="B801" s="3" t="str">
        <x:v>4店-彬郁-US</x:v>
      </x:c>
      <x:c r="C801" s="3" t="str">
        <x:v>艾年</x:v>
      </x:c>
      <x:c r="D801" s="3" t="str">
        <x:v>B07</x:v>
      </x:c>
      <x:c r="E801" s="3" t="str">
        <x:f>IF(Z801="移出","已移出",IF(NOT(ISNUMBER(H801)),"数据待核",IF(H801=0,"断货",IF(NOT(ISNUMBER(G801)),"数据待核",IF(G801=0,"零日销待复核",IF(F801&lt;60,"补货提醒",IF(F801&lt;=90,"正常库存",IF(F801&lt;180,"促销",IF(F801&lt;=365,"红线促销","考虑清仓")))))))))</x:f>
        <x:v>零日销待复核</x:v>
      </x:c>
      <x:c r="F801" s="11" t="str">
        <x:f>IF(AND(ISNUMBER(H801),ISNUMBER(G801),G801&gt;0),H801/G801,"")</x:f>
      </x:c>
      <x:c r="G801" s="12" t="n">
        <x:f>IF(AND(COUNT(P801:R801)=3,MIN(P801:R801)&gt;=0,P801&lt;=Q801,Q801&lt;=R801),P801/7*0.5+Q801/14*0.3+R801/30*0.2,"")</x:f>
        <x:v>0</x:v>
      </x:c>
      <x:c r="H801" s="10" t="n">
        <x:f>IF(ISNUMBER(U801),U801,"")</x:f>
        <x:v>24</x:v>
      </x:c>
      <x:c r="I801" s="10" t="n">
        <x:v>7</x:v>
      </x:c>
      <x:c r="J801" s="11" t="str">
        <x:f>IF(AND(Z801="共同",ISNUMBER(F801),ISNUMBER(M801)),F801-M801,"")</x:f>
      </x:c>
      <x:c r="K801" s="13" t="str">
        <x:f>IF(AND(ISNUMBER(J801),M801&lt;&gt;0),J801/M801,"")</x:f>
      </x:c>
      <x:c r="L801" s="10" t="str">
        <x:v>考虑清仓</x:v>
      </x:c>
      <x:c r="M801" s="11" t="n">
        <x:v>1050</x:v>
      </x:c>
      <x:c r="N801" s="10" t="n">
        <x:f>IF(AND(Z801="共同",COUNT(H801:I801)=2),H801-I801,"")</x:f>
        <x:v>17</x:v>
      </x:c>
      <x:c r="O801" s="10" t="n">
        <x:v>0</x:v>
      </x:c>
      <x:c r="P801" s="10" t="n">
        <x:v>0</x:v>
      </x:c>
      <x:c r="Q801" s="10" t="n">
        <x:v>0</x:v>
      </x:c>
      <x:c r="R801" s="10" t="n">
        <x:v>0</x:v>
      </x:c>
      <x:c r="S801" s="10" t="n">
        <x:v>24</x:v>
      </x:c>
      <x:c r="T801" s="10" t="n">
        <x:v>0</x:v>
      </x:c>
      <x:c r="U801" s="10" t="n">
        <x:f>IF(AND(ISNUMBER(X801),X801&gt;=0,Y801&lt;&gt;1),X801,"")</x:f>
        <x:v>24</x:v>
      </x:c>
      <x:c r="V801" s="10" t="n">
        <x:v>0</x:v>
      </x:c>
      <x:c r="W801" s="10" t="n">
        <x:v>0</x:v>
      </x:c>
      <x:c r="X801" s="10" t="n">
        <x:v>24</x:v>
      </x:c>
      <x:c r="Y801" s="3" t="n">
        <x:v>0</x:v>
      </x:c>
      <x:c r="Z801" s="3" t="str">
        <x:v>共同</x:v>
      </x:c>
      <x:c r="AA801" s="3" t="str">
        <x:v>在售</x:v>
      </x:c>
      <x:c r="AB801" s="12" t="n">
        <x:f>IF(AND(Z801="共同",ISNUMBER(G801),ISNUMBER(AD801)),G801-AD801,"")</x:f>
        <x:v>-0.006666666666666666</x:v>
      </x:c>
      <x:c r="AC801" s="3" t="str"/>
      <x:c r="AD801" s="12" t="n">
        <x:v>0.006666666666666666</x:v>
      </x:c>
      <x:c r="AE801" s="3" t="str">
        <x:v>[13306,"B07-PK-41-by"]</x:v>
      </x:c>
      <x:c r="AF801" t="n">
        <x:f>IF(ISNUMBER(H801),1,0)</x:f>
        <x:v>1</x:v>
      </x:c>
      <x:c r="AG801" t="n">
        <x:f>IF(ISNUMBER(I801),1,0)</x:f>
        <x:v>1</x:v>
      </x:c>
      <x:c r="AH801" t="str">
        <x:v>["B07","B07-PK","PK","粉色羊京绒"]</x:v>
      </x:c>
      <x:c r="AI801" t="n">
        <x:f>IF(ISNUMBER(G801),1,0)</x:f>
        <x:v>1</x:v>
      </x:c>
      <x:c r="AJ801" t="n">
        <x:f>IF(ISNUMBER(AD801),1,0)</x:f>
        <x:v>1</x:v>
      </x:c>
    </x:row>
    <x:row r="802" ht="30" customHeight="1">
      <x:c r="A802" s="3" t="str">
        <x:v>B07-RD-I-0-40.5</x:v>
      </x:c>
      <x:c r="B802" s="3" t="str">
        <x:v>4店-彬郁-US</x:v>
      </x:c>
      <x:c r="C802" s="3" t="str">
        <x:v>艾年</x:v>
      </x:c>
      <x:c r="D802" s="3" t="str">
        <x:v>B07</x:v>
      </x:c>
      <x:c r="E802" s="3" t="str">
        <x:f>IF(Z802="移出","已移出",IF(NOT(ISNUMBER(H802)),"数据待核",IF(H802=0,"断货",IF(NOT(ISNUMBER(G802)),"数据待核",IF(G802=0,"零日销待复核",IF(F802&lt;60,"补货提醒",IF(F802&lt;=90,"正常库存",IF(F802&lt;180,"促销",IF(F802&lt;=365,"红线促销","考虑清仓")))))))))</x:f>
        <x:v>零日销待复核</x:v>
      </x:c>
      <x:c r="F802" s="11" t="str">
        <x:f>IF(AND(ISNUMBER(H802),ISNUMBER(G802),G802&gt;0),H802/G802,"")</x:f>
      </x:c>
      <x:c r="G802" s="12" t="n">
        <x:f>IF(AND(COUNT(P802:R802)=3,MIN(P802:R802)&gt;=0,P802&lt;=Q802,Q802&lt;=R802),P802/7*0.5+Q802/14*0.3+R802/30*0.2,"")</x:f>
        <x:v>0</x:v>
      </x:c>
      <x:c r="H802" s="10" t="n">
        <x:f>IF(ISNUMBER(U802),U802,"")</x:f>
        <x:v>15</x:v>
      </x:c>
      <x:c r="I802" s="10" t="n">
        <x:v>15</x:v>
      </x:c>
      <x:c r="J802" s="11" t="str">
        <x:f>IF(AND(Z802="共同",ISNUMBER(F802),ISNUMBER(M802)),F802-M802,"")</x:f>
      </x:c>
      <x:c r="K802" s="13" t="str">
        <x:f>IF(AND(ISNUMBER(J802),M802&lt;&gt;0),J802/M802,"")</x:f>
      </x:c>
      <x:c r="L802" s="10" t="str">
        <x:v>零日销待复核</x:v>
      </x:c>
      <x:c r="M802" s="11"/>
      <x:c r="N802" s="10" t="n">
        <x:f>IF(AND(Z802="共同",COUNT(H802:I802)=2),H802-I802,"")</x:f>
        <x:v>0</x:v>
      </x:c>
      <x:c r="O802" s="10"/>
      <x:c r="P802" s="10" t="n">
        <x:v>0</x:v>
      </x:c>
      <x:c r="Q802" s="10" t="n">
        <x:v>0</x:v>
      </x:c>
      <x:c r="R802" s="10" t="n">
        <x:v>0</x:v>
      </x:c>
      <x:c r="S802" s="10" t="n">
        <x:v>15</x:v>
      </x:c>
      <x:c r="T802" s="10" t="n">
        <x:v>0</x:v>
      </x:c>
      <x:c r="U802" s="10" t="n">
        <x:f>IF(AND(ISNUMBER(X802),X802&gt;=0,Y802&lt;&gt;1),X802,"")</x:f>
        <x:v>15</x:v>
      </x:c>
      <x:c r="V802" s="10" t="n">
        <x:v>0</x:v>
      </x:c>
      <x:c r="W802" s="10" t="n">
        <x:v>0</x:v>
      </x:c>
      <x:c r="X802" s="10" t="n">
        <x:v>15</x:v>
      </x:c>
      <x:c r="Y802" s="3" t="n">
        <x:v>0</x:v>
      </x:c>
      <x:c r="Z802" s="3" t="str">
        <x:v>共同</x:v>
      </x:c>
      <x:c r="AA802" s="3" t="str">
        <x:v>在售</x:v>
      </x:c>
      <x:c r="AB802" s="12" t="n">
        <x:f>IF(AND(Z802="共同",ISNUMBER(G802),ISNUMBER(AD802)),G802-AD802,"")</x:f>
        <x:v>0</x:v>
      </x:c>
      <x:c r="AC802" s="3" t="str"/>
      <x:c r="AD802" s="12" t="n">
        <x:v>0</x:v>
      </x:c>
      <x:c r="AE802" s="3" t="str">
        <x:v>[13306,"B07-RD-I-0-40.5"]</x:v>
      </x:c>
      <x:c r="AF802" t="n">
        <x:f>IF(ISNUMBER(H802),1,0)</x:f>
        <x:v>1</x:v>
      </x:c>
      <x:c r="AG802" t="n">
        <x:f>IF(ISNUMBER(I802),1,0)</x:f>
        <x:v>1</x:v>
      </x:c>
      <x:c r="AH802" t="str">
        <x:v>["B07","B07-RD-I-0","RD-I","红色色织提花"]</x:v>
      </x:c>
      <x:c r="AI802" t="n">
        <x:f>IF(ISNUMBER(G802),1,0)</x:f>
        <x:v>1</x:v>
      </x:c>
      <x:c r="AJ802" t="n">
        <x:f>IF(ISNUMBER(AD802),1,0)</x:f>
        <x:v>1</x:v>
      </x:c>
    </x:row>
    <x:row r="803" ht="30" customHeight="1">
      <x:c r="A803" s="3" t="str">
        <x:v>B07-RD-I-0-41.5</x:v>
      </x:c>
      <x:c r="B803" s="3" t="str">
        <x:v>4店-彬郁-US</x:v>
      </x:c>
      <x:c r="C803" s="3" t="str">
        <x:v>艾年</x:v>
      </x:c>
      <x:c r="D803" s="3" t="str">
        <x:v>B07</x:v>
      </x:c>
      <x:c r="E803" s="3" t="str">
        <x:f>IF(Z803="移出","已移出",IF(NOT(ISNUMBER(H803)),"数据待核",IF(H803=0,"断货",IF(NOT(ISNUMBER(G803)),"数据待核",IF(G803=0,"零日销待复核",IF(F803&lt;60,"补货提醒",IF(F803&lt;=90,"正常库存",IF(F803&lt;180,"促销",IF(F803&lt;=365,"红线促销","考虑清仓")))))))))</x:f>
        <x:v>零日销待复核</x:v>
      </x:c>
      <x:c r="F803" s="11" t="str">
        <x:f>IF(AND(ISNUMBER(H803),ISNUMBER(G803),G803&gt;0),H803/G803,"")</x:f>
      </x:c>
      <x:c r="G803" s="12" t="n">
        <x:f>IF(AND(COUNT(P803:R803)=3,MIN(P803:R803)&gt;=0,P803&lt;=Q803,Q803&lt;=R803),P803/7*0.5+Q803/14*0.3+R803/30*0.2,"")</x:f>
        <x:v>0</x:v>
      </x:c>
      <x:c r="H803" s="10" t="n">
        <x:f>IF(ISNUMBER(U803),U803,"")</x:f>
        <x:v>10</x:v>
      </x:c>
      <x:c r="I803" s="10" t="n">
        <x:v>10</x:v>
      </x:c>
      <x:c r="J803" s="11" t="str">
        <x:f>IF(AND(Z803="共同",ISNUMBER(F803),ISNUMBER(M803)),F803-M803,"")</x:f>
      </x:c>
      <x:c r="K803" s="13" t="str">
        <x:f>IF(AND(ISNUMBER(J803),M803&lt;&gt;0),J803/M803,"")</x:f>
      </x:c>
      <x:c r="L803" s="10" t="str">
        <x:v>数据待核</x:v>
      </x:c>
      <x:c r="M803" s="11"/>
      <x:c r="N803" s="10" t="n">
        <x:f>IF(AND(Z803="共同",COUNT(H803:I803)=2),H803-I803,"")</x:f>
        <x:v>0</x:v>
      </x:c>
      <x:c r="O803" s="10" t="n">
        <x:v>0</x:v>
      </x:c>
      <x:c r="P803" s="10" t="n">
        <x:v>0</x:v>
      </x:c>
      <x:c r="Q803" s="10" t="n">
        <x:v>0</x:v>
      </x:c>
      <x:c r="R803" s="10" t="n">
        <x:v>0</x:v>
      </x:c>
      <x:c r="S803" s="10" t="n">
        <x:v>10</x:v>
      </x:c>
      <x:c r="T803" s="10" t="n">
        <x:v>0</x:v>
      </x:c>
      <x:c r="U803" s="10" t="n">
        <x:f>IF(AND(ISNUMBER(X803),X803&gt;=0,Y803&lt;&gt;1),X803,"")</x:f>
        <x:v>10</x:v>
      </x:c>
      <x:c r="V803" s="10" t="n">
        <x:v>0</x:v>
      </x:c>
      <x:c r="W803" s="10" t="n">
        <x:v>0</x:v>
      </x:c>
      <x:c r="X803" s="10" t="n">
        <x:v>10</x:v>
      </x:c>
      <x:c r="Y803" s="3" t="n">
        <x:v>0</x:v>
      </x:c>
      <x:c r="Z803" s="3" t="str">
        <x:v>共同</x:v>
      </x:c>
      <x:c r="AA803" s="3" t="str">
        <x:v>在售</x:v>
      </x:c>
      <x:c r="AB803" s="12" t="str">
        <x:f>IF(AND(Z803="共同",ISNUMBER(G803),ISNUMBER(AD803)),G803-AD803,"")</x:f>
      </x:c>
      <x:c r="AC803" s="3" t="str">
        <x:v>近90天SKU销量未匹配，未按0处理</x:v>
      </x:c>
      <x:c r="AD803" s="12"/>
      <x:c r="AE803" s="3" t="str">
        <x:v>[13306,"B07-RD-I-0-41.5"]</x:v>
      </x:c>
      <x:c r="AF803" t="n">
        <x:f>IF(ISNUMBER(H803),1,0)</x:f>
        <x:v>1</x:v>
      </x:c>
      <x:c r="AG803" t="n">
        <x:f>IF(ISNUMBER(I803),1,0)</x:f>
        <x:v>1</x:v>
      </x:c>
      <x:c r="AH803" t="str">
        <x:v>["B07","B07-RD-I-0","RD-I","红色色织提花"]</x:v>
      </x:c>
      <x:c r="AI803" t="n">
        <x:f>IF(ISNUMBER(G803),1,0)</x:f>
        <x:v>1</x:v>
      </x:c>
      <x:c r="AJ803" t="n">
        <x:f>IF(ISNUMBER(AD803),1,0)</x:f>
        <x:v>0</x:v>
      </x:c>
    </x:row>
    <x:row r="804" ht="30" customHeight="1">
      <x:c r="A804" s="3" t="str">
        <x:v>B07-RD-Z-0-38</x:v>
      </x:c>
      <x:c r="B804" s="3" t="str">
        <x:v>4店-彬郁-US</x:v>
      </x:c>
      <x:c r="C804" s="3" t="str">
        <x:v>艾年</x:v>
      </x:c>
      <x:c r="D804" s="3" t="str">
        <x:v>B07</x:v>
      </x:c>
      <x:c r="E804" s="3" t="str">
        <x:f>IF(Z804="移出","已移出",IF(NOT(ISNUMBER(H804)),"数据待核",IF(H804=0,"断货",IF(NOT(ISNUMBER(G804)),"数据待核",IF(G804=0,"零日销待复核",IF(F804&lt;60,"补货提醒",IF(F804&lt;=90,"正常库存",IF(F804&lt;180,"促销",IF(F804&lt;=365,"红线促销","考虑清仓")))))))))</x:f>
        <x:v>零日销待复核</x:v>
      </x:c>
      <x:c r="F804" s="11" t="str">
        <x:f>IF(AND(ISNUMBER(H804),ISNUMBER(G804),G804&gt;0),H804/G804,"")</x:f>
      </x:c>
      <x:c r="G804" s="12" t="n">
        <x:f>IF(AND(COUNT(P804:R804)=3,MIN(P804:R804)&gt;=0,P804&lt;=Q804,Q804&lt;=R804),P804/7*0.5+Q804/14*0.3+R804/30*0.2,"")</x:f>
        <x:v>0</x:v>
      </x:c>
      <x:c r="H804" s="10" t="n">
        <x:f>IF(ISNUMBER(U804),U804,"")</x:f>
        <x:v>21</x:v>
      </x:c>
      <x:c r="I804" s="10" t="n">
        <x:v>21</x:v>
      </x:c>
      <x:c r="J804" s="11" t="str">
        <x:f>IF(AND(Z804="共同",ISNUMBER(F804),ISNUMBER(M804)),F804-M804,"")</x:f>
      </x:c>
      <x:c r="K804" s="13" t="str">
        <x:f>IF(AND(ISNUMBER(J804),M804&lt;&gt;0),J804/M804,"")</x:f>
      </x:c>
      <x:c r="L804" s="10" t="str">
        <x:v>考虑清仓</x:v>
      </x:c>
      <x:c r="M804" s="11" t="n">
        <x:v>3150</x:v>
      </x:c>
      <x:c r="N804" s="10" t="n">
        <x:f>IF(AND(Z804="共同",COUNT(H804:I804)=2),H804-I804,"")</x:f>
        <x:v>0</x:v>
      </x:c>
      <x:c r="O804" s="10"/>
      <x:c r="P804" s="10" t="n">
        <x:v>0</x:v>
      </x:c>
      <x:c r="Q804" s="10" t="n">
        <x:v>0</x:v>
      </x:c>
      <x:c r="R804" s="10" t="n">
        <x:v>0</x:v>
      </x:c>
      <x:c r="S804" s="10" t="n">
        <x:v>21</x:v>
      </x:c>
      <x:c r="T804" s="10" t="n">
        <x:v>0</x:v>
      </x:c>
      <x:c r="U804" s="10" t="n">
        <x:f>IF(AND(ISNUMBER(X804),X804&gt;=0,Y804&lt;&gt;1),X804,"")</x:f>
        <x:v>21</x:v>
      </x:c>
      <x:c r="V804" s="10" t="n">
        <x:v>0</x:v>
      </x:c>
      <x:c r="W804" s="10" t="n">
        <x:v>0</x:v>
      </x:c>
      <x:c r="X804" s="10" t="n">
        <x:v>21</x:v>
      </x:c>
      <x:c r="Y804" s="3" t="n">
        <x:v>0</x:v>
      </x:c>
      <x:c r="Z804" s="3" t="str">
        <x:v>共同</x:v>
      </x:c>
      <x:c r="AA804" s="3" t="str">
        <x:v>在售</x:v>
      </x:c>
      <x:c r="AB804" s="12" t="n">
        <x:f>IF(AND(Z804="共同",ISNUMBER(G804),ISNUMBER(AD804)),G804-AD804,"")</x:f>
        <x:v>-0.006666666666666666</x:v>
      </x:c>
      <x:c r="AC804" s="3" t="str"/>
      <x:c r="AD804" s="12" t="n">
        <x:v>0.006666666666666666</x:v>
      </x:c>
      <x:c r="AE804" s="3" t="str">
        <x:v>[13306,"B07-RD-Z-0-38"]</x:v>
      </x:c>
      <x:c r="AF804" t="n">
        <x:f>IF(ISNUMBER(H804),1,0)</x:f>
        <x:v>1</x:v>
      </x:c>
      <x:c r="AG804" t="n">
        <x:f>IF(ISNUMBER(I804),1,0)</x:f>
        <x:v>1</x:v>
      </x:c>
      <x:c r="AH804" t="str">
        <x:v>["B07","B07-RD-Z-0","RD-Z","红色镜面PU"]</x:v>
      </x:c>
      <x:c r="AI804" t="n">
        <x:f>IF(ISNUMBER(G804),1,0)</x:f>
        <x:v>1</x:v>
      </x:c>
      <x:c r="AJ804" t="n">
        <x:f>IF(ISNUMBER(AD804),1,0)</x:f>
        <x:v>1</x:v>
      </x:c>
    </x:row>
    <x:row r="805" ht="30" customHeight="1">
      <x:c r="A805" s="3" t="str">
        <x:v>B07-RG-40.5</x:v>
      </x:c>
      <x:c r="B805" s="3" t="str">
        <x:v>4店-彬郁-US</x:v>
      </x:c>
      <x:c r="C805" s="3" t="str">
        <x:v>艾年</x:v>
      </x:c>
      <x:c r="D805" s="3" t="str">
        <x:v>B07</x:v>
      </x:c>
      <x:c r="E805" s="3" t="str">
        <x:f>IF(Z805="移出","已移出",IF(NOT(ISNUMBER(H805)),"数据待核",IF(H805=0,"断货",IF(NOT(ISNUMBER(G805)),"数据待核",IF(G805=0,"零日销待复核",IF(F805&lt;60,"补货提醒",IF(F805&lt;=90,"正常库存",IF(F805&lt;180,"促销",IF(F805&lt;=365,"红线促销","考虑清仓")))))))))</x:f>
        <x:v>零日销待复核</x:v>
      </x:c>
      <x:c r="F805" s="11" t="str">
        <x:f>IF(AND(ISNUMBER(H805),ISNUMBER(G805),G805&gt;0),H805/G805,"")</x:f>
      </x:c>
      <x:c r="G805" s="12" t="n">
        <x:f>IF(AND(COUNT(P805:R805)=3,MIN(P805:R805)&gt;=0,P805&lt;=Q805,Q805&lt;=R805),P805/7*0.5+Q805/14*0.3+R805/30*0.2,"")</x:f>
        <x:v>0</x:v>
      </x:c>
      <x:c r="H805" s="10" t="n">
        <x:f>IF(ISNUMBER(U805),U805,"")</x:f>
        <x:v>18</x:v>
      </x:c>
      <x:c r="I805" s="10" t="n">
        <x:v>11</x:v>
      </x:c>
      <x:c r="J805" s="11" t="str">
        <x:f>IF(AND(Z805="共同",ISNUMBER(F805),ISNUMBER(M805)),F805-M805,"")</x:f>
      </x:c>
      <x:c r="K805" s="13" t="str">
        <x:f>IF(AND(ISNUMBER(J805),M805&lt;&gt;0),J805/M805,"")</x:f>
      </x:c>
      <x:c r="L805" s="10" t="str">
        <x:v>数据待核</x:v>
      </x:c>
      <x:c r="M805" s="11"/>
      <x:c r="N805" s="10" t="n">
        <x:f>IF(AND(Z805="共同",COUNT(H805:I805)=2),H805-I805,"")</x:f>
        <x:v>7</x:v>
      </x:c>
      <x:c r="O805" s="10" t="n">
        <x:v>0</x:v>
      </x:c>
      <x:c r="P805" s="10" t="n">
        <x:v>0</x:v>
      </x:c>
      <x:c r="Q805" s="10" t="n">
        <x:v>0</x:v>
      </x:c>
      <x:c r="R805" s="10" t="n">
        <x:v>0</x:v>
      </x:c>
      <x:c r="S805" s="10" t="n">
        <x:v>18</x:v>
      </x:c>
      <x:c r="T805" s="10" t="n">
        <x:v>0</x:v>
      </x:c>
      <x:c r="U805" s="10" t="n">
        <x:f>IF(AND(ISNUMBER(X805),X805&gt;=0,Y805&lt;&gt;1),X805,"")</x:f>
        <x:v>18</x:v>
      </x:c>
      <x:c r="V805" s="10" t="n">
        <x:v>0</x:v>
      </x:c>
      <x:c r="W805" s="10" t="n">
        <x:v>0</x:v>
      </x:c>
      <x:c r="X805" s="10" t="n">
        <x:v>18</x:v>
      </x:c>
      <x:c r="Y805" s="3" t="n">
        <x:v>0</x:v>
      </x:c>
      <x:c r="Z805" s="3" t="str">
        <x:v>共同</x:v>
      </x:c>
      <x:c r="AA805" s="3" t="str">
        <x:v>在售</x:v>
      </x:c>
      <x:c r="AB805" s="12" t="str">
        <x:f>IF(AND(Z805="共同",ISNUMBER(G805),ISNUMBER(AD805)),G805-AD805,"")</x:f>
      </x:c>
      <x:c r="AC805" s="3" t="str">
        <x:v>近90天SKU销量未匹配，未按0处理</x:v>
      </x:c>
      <x:c r="AD805" s="12"/>
      <x:c r="AE805" s="3" t="str">
        <x:v>[13306,"B07-RG-40.5"]</x:v>
      </x:c>
      <x:c r="AF805" t="n">
        <x:f>IF(ISNUMBER(H805),1,0)</x:f>
        <x:v>1</x:v>
      </x:c>
      <x:c r="AG805" t="n">
        <x:f>IF(ISNUMBER(I805),1,0)</x:f>
        <x:v>1</x:v>
      </x:c>
      <x:c r="AH805" t="str">
        <x:v>["B07","B07-RG","RG","玫瑰金PU"]</x:v>
      </x:c>
      <x:c r="AI805" t="n">
        <x:f>IF(ISNUMBER(G805),1,0)</x:f>
        <x:v>1</x:v>
      </x:c>
      <x:c r="AJ805" t="n">
        <x:f>IF(ISNUMBER(AD805),1,0)</x:f>
        <x:v>0</x:v>
      </x:c>
    </x:row>
    <x:row r="806" ht="30" customHeight="1">
      <x:c r="A806" s="3" t="str">
        <x:v>B07-RG-41-by</x:v>
      </x:c>
      <x:c r="B806" s="3" t="str">
        <x:v>4店-彬郁-US</x:v>
      </x:c>
      <x:c r="C806" s="3" t="str">
        <x:v>艾年</x:v>
      </x:c>
      <x:c r="D806" s="3" t="str">
        <x:v>B07</x:v>
      </x:c>
      <x:c r="E806" s="3" t="str">
        <x:f>IF(Z806="移出","已移出",IF(NOT(ISNUMBER(H806)),"数据待核",IF(H806=0,"断货",IF(NOT(ISNUMBER(G806)),"数据待核",IF(G806=0,"零日销待复核",IF(F806&lt;60,"补货提醒",IF(F806&lt;=90,"正常库存",IF(F806&lt;180,"促销",IF(F806&lt;=365,"红线促销","考虑清仓")))))))))</x:f>
        <x:v>零日销待复核</x:v>
      </x:c>
      <x:c r="F806" s="11" t="str">
        <x:f>IF(AND(ISNUMBER(H806),ISNUMBER(G806),G806&gt;0),H806/G806,"")</x:f>
      </x:c>
      <x:c r="G806" s="12" t="n">
        <x:f>IF(AND(COUNT(P806:R806)=3,MIN(P806:R806)&gt;=0,P806&lt;=Q806,Q806&lt;=R806),P806/7*0.5+Q806/14*0.3+R806/30*0.2,"")</x:f>
        <x:v>0</x:v>
      </x:c>
      <x:c r="H806" s="10" t="n">
        <x:f>IF(ISNUMBER(U806),U806,"")</x:f>
        <x:v>21</x:v>
      </x:c>
      <x:c r="I806" s="10" t="n">
        <x:v>16</x:v>
      </x:c>
      <x:c r="J806" s="11" t="str">
        <x:f>IF(AND(Z806="共同",ISNUMBER(F806),ISNUMBER(M806)),F806-M806,"")</x:f>
      </x:c>
      <x:c r="K806" s="13" t="str">
        <x:f>IF(AND(ISNUMBER(J806),M806&lt;&gt;0),J806/M806,"")</x:f>
      </x:c>
      <x:c r="L806" s="10" t="str">
        <x:v>数据待核</x:v>
      </x:c>
      <x:c r="M806" s="11"/>
      <x:c r="N806" s="10" t="n">
        <x:f>IF(AND(Z806="共同",COUNT(H806:I806)=2),H806-I806,"")</x:f>
        <x:v>5</x:v>
      </x:c>
      <x:c r="O806" s="10" t="n">
        <x:v>0</x:v>
      </x:c>
      <x:c r="P806" s="10" t="n">
        <x:v>0</x:v>
      </x:c>
      <x:c r="Q806" s="10" t="n">
        <x:v>0</x:v>
      </x:c>
      <x:c r="R806" s="10" t="n">
        <x:v>0</x:v>
      </x:c>
      <x:c r="S806" s="10" t="n">
        <x:v>24</x:v>
      </x:c>
      <x:c r="T806" s="10" t="n">
        <x:v>0</x:v>
      </x:c>
      <x:c r="U806" s="10" t="n">
        <x:f>IF(AND(ISNUMBER(X806),X806&gt;=0,Y806&lt;&gt;1),X806,"")</x:f>
        <x:v>21</x:v>
      </x:c>
      <x:c r="V806" s="10" t="n">
        <x:v>0</x:v>
      </x:c>
      <x:c r="W806" s="10" t="n">
        <x:v>0</x:v>
      </x:c>
      <x:c r="X806" s="10" t="n">
        <x:v>21</x:v>
      </x:c>
      <x:c r="Y806" s="3" t="n">
        <x:v>0</x:v>
      </x:c>
      <x:c r="Z806" s="3" t="str">
        <x:v>共同</x:v>
      </x:c>
      <x:c r="AA806" s="3" t="str">
        <x:v>在售</x:v>
      </x:c>
      <x:c r="AB806" s="12" t="str">
        <x:f>IF(AND(Z806="共同",ISNUMBER(G806),ISNUMBER(AD806)),G806-AD806,"")</x:f>
      </x:c>
      <x:c r="AC806" s="3" t="str">
        <x:v>近90天SKU销量未匹配，未按0处理</x:v>
      </x:c>
      <x:c r="AD806" s="12"/>
      <x:c r="AE806" s="3" t="str">
        <x:v>[13306,"B07-RG-41-by"]</x:v>
      </x:c>
      <x:c r="AF806" t="n">
        <x:f>IF(ISNUMBER(H806),1,0)</x:f>
        <x:v>1</x:v>
      </x:c>
      <x:c r="AG806" t="n">
        <x:f>IF(ISNUMBER(I806),1,0)</x:f>
        <x:v>1</x:v>
      </x:c>
      <x:c r="AH806" t="str">
        <x:v>["B07","B07-RG","RG","玫瑰金PU"]</x:v>
      </x:c>
      <x:c r="AI806" t="n">
        <x:f>IF(ISNUMBER(G806),1,0)</x:f>
        <x:v>1</x:v>
      </x:c>
      <x:c r="AJ806" t="n">
        <x:f>IF(ISNUMBER(AD806),1,0)</x:f>
        <x:v>0</x:v>
      </x:c>
    </x:row>
    <x:row r="807" ht="30" customHeight="1">
      <x:c r="A807" s="3" t="str">
        <x:v>B07-RG-42-by</x:v>
      </x:c>
      <x:c r="B807" s="3" t="str">
        <x:v>4店-彬郁-US</x:v>
      </x:c>
      <x:c r="C807" s="3" t="str">
        <x:v>艾年</x:v>
      </x:c>
      <x:c r="D807" s="3" t="str">
        <x:v>B07</x:v>
      </x:c>
      <x:c r="E807" s="3" t="str">
        <x:f>IF(Z807="移出","已移出",IF(NOT(ISNUMBER(H807)),"数据待核",IF(H807=0,"断货",IF(NOT(ISNUMBER(G807)),"数据待核",IF(G807=0,"零日销待复核",IF(F807&lt;60,"补货提醒",IF(F807&lt;=90,"正常库存",IF(F807&lt;180,"促销",IF(F807&lt;=365,"红线促销","考虑清仓")))))))))</x:f>
        <x:v>零日销待复核</x:v>
      </x:c>
      <x:c r="F807" s="11" t="str">
        <x:f>IF(AND(ISNUMBER(H807),ISNUMBER(G807),G807&gt;0),H807/G807,"")</x:f>
      </x:c>
      <x:c r="G807" s="12" t="n">
        <x:f>IF(AND(COUNT(P807:R807)=3,MIN(P807:R807)&gt;=0,P807&lt;=Q807,Q807&lt;=R807),P807/7*0.5+Q807/14*0.3+R807/30*0.2,"")</x:f>
        <x:v>0</x:v>
      </x:c>
      <x:c r="H807" s="10" t="n">
        <x:f>IF(ISNUMBER(U807),U807,"")</x:f>
        <x:v>13</x:v>
      </x:c>
      <x:c r="I807" s="10" t="n">
        <x:v>13</x:v>
      </x:c>
      <x:c r="J807" s="11" t="str">
        <x:f>IF(AND(Z807="共同",ISNUMBER(F807),ISNUMBER(M807)),F807-M807,"")</x:f>
      </x:c>
      <x:c r="K807" s="13" t="str">
        <x:f>IF(AND(ISNUMBER(J807),M807&lt;&gt;0),J807/M807,"")</x:f>
      </x:c>
      <x:c r="L807" s="10" t="str">
        <x:v>零日销待复核</x:v>
      </x:c>
      <x:c r="M807" s="11"/>
      <x:c r="N807" s="10" t="n">
        <x:f>IF(AND(Z807="共同",COUNT(H807:I807)=2),H807-I807,"")</x:f>
        <x:v>0</x:v>
      </x:c>
      <x:c r="O807" s="10"/>
      <x:c r="P807" s="10" t="n">
        <x:v>0</x:v>
      </x:c>
      <x:c r="Q807" s="10" t="n">
        <x:v>0</x:v>
      </x:c>
      <x:c r="R807" s="10" t="n">
        <x:v>0</x:v>
      </x:c>
      <x:c r="S807" s="10" t="n">
        <x:v>13</x:v>
      </x:c>
      <x:c r="T807" s="10" t="n">
        <x:v>0</x:v>
      </x:c>
      <x:c r="U807" s="10" t="n">
        <x:f>IF(AND(ISNUMBER(X807),X807&gt;=0,Y807&lt;&gt;1),X807,"")</x:f>
        <x:v>13</x:v>
      </x:c>
      <x:c r="V807" s="10" t="n">
        <x:v>0</x:v>
      </x:c>
      <x:c r="W807" s="10" t="n">
        <x:v>0</x:v>
      </x:c>
      <x:c r="X807" s="10" t="n">
        <x:v>13</x:v>
      </x:c>
      <x:c r="Y807" s="3" t="n">
        <x:v>0</x:v>
      </x:c>
      <x:c r="Z807" s="3" t="str">
        <x:v>共同</x:v>
      </x:c>
      <x:c r="AA807" s="3" t="str">
        <x:v>在售</x:v>
      </x:c>
      <x:c r="AB807" s="12" t="n">
        <x:f>IF(AND(Z807="共同",ISNUMBER(G807),ISNUMBER(AD807)),G807-AD807,"")</x:f>
        <x:v>0</x:v>
      </x:c>
      <x:c r="AC807" s="3" t="str"/>
      <x:c r="AD807" s="12" t="n">
        <x:v>0</x:v>
      </x:c>
      <x:c r="AE807" s="3" t="str">
        <x:v>[13306,"B07-RG-42-by"]</x:v>
      </x:c>
      <x:c r="AF807" t="n">
        <x:f>IF(ISNUMBER(H807),1,0)</x:f>
        <x:v>1</x:v>
      </x:c>
      <x:c r="AG807" t="n">
        <x:f>IF(ISNUMBER(I807),1,0)</x:f>
        <x:v>1</x:v>
      </x:c>
      <x:c r="AH807" t="str">
        <x:v>["B07","B07-RG","RG","玫瑰金PU"]</x:v>
      </x:c>
      <x:c r="AI807" t="n">
        <x:f>IF(ISNUMBER(G807),1,0)</x:f>
        <x:v>1</x:v>
      </x:c>
      <x:c r="AJ807" t="n">
        <x:f>IF(ISNUMBER(AD807),1,0)</x:f>
        <x:v>1</x:v>
      </x:c>
    </x:row>
    <x:row r="808" ht="30" customHeight="1">
      <x:c r="A808" s="3" t="str">
        <x:v>B07-TN1-37-by</x:v>
      </x:c>
      <x:c r="B808" s="3" t="str">
        <x:v>4店-彬郁-US</x:v>
      </x:c>
      <x:c r="C808" s="3" t="str">
        <x:v>艾年</x:v>
      </x:c>
      <x:c r="D808" s="3" t="str">
        <x:v>B07</x:v>
      </x:c>
      <x:c r="E808" s="3" t="str">
        <x:f>IF(Z808="移出","已移出",IF(NOT(ISNUMBER(H808)),"数据待核",IF(H808=0,"断货",IF(NOT(ISNUMBER(G808)),"数据待核",IF(G808=0,"零日销待复核",IF(F808&lt;60,"补货提醒",IF(F808&lt;=90,"正常库存",IF(F808&lt;180,"促销",IF(F808&lt;=365,"红线促销","考虑清仓")))))))))</x:f>
        <x:v>零日销待复核</x:v>
      </x:c>
      <x:c r="F808" s="11" t="str">
        <x:f>IF(AND(ISNUMBER(H808),ISNUMBER(G808),G808&gt;0),H808/G808,"")</x:f>
      </x:c>
      <x:c r="G808" s="12" t="n">
        <x:f>IF(AND(COUNT(P808:R808)=3,MIN(P808:R808)&gt;=0,P808&lt;=Q808,Q808&lt;=R808),P808/7*0.5+Q808/14*0.3+R808/30*0.2,"")</x:f>
        <x:v>0</x:v>
      </x:c>
      <x:c r="H808" s="10" t="n">
        <x:f>IF(ISNUMBER(U808),U808,"")</x:f>
        <x:v>7</x:v>
      </x:c>
      <x:c r="I808" s="10" t="n">
        <x:v>7</x:v>
      </x:c>
      <x:c r="J808" s="11" t="str">
        <x:f>IF(AND(Z808="共同",ISNUMBER(F808),ISNUMBER(M808)),F808-M808,"")</x:f>
      </x:c>
      <x:c r="K808" s="13" t="str">
        <x:f>IF(AND(ISNUMBER(J808),M808&lt;&gt;0),J808/M808,"")</x:f>
      </x:c>
      <x:c r="L808" s="10" t="str">
        <x:v>零日销待复核</x:v>
      </x:c>
      <x:c r="M808" s="11"/>
      <x:c r="N808" s="10" t="n">
        <x:f>IF(AND(Z808="共同",COUNT(H808:I808)=2),H808-I808,"")</x:f>
        <x:v>0</x:v>
      </x:c>
      <x:c r="O808" s="10" t="n">
        <x:v>0</x:v>
      </x:c>
      <x:c r="P808" s="10" t="n">
        <x:v>0</x:v>
      </x:c>
      <x:c r="Q808" s="10" t="n">
        <x:v>0</x:v>
      </x:c>
      <x:c r="R808" s="10" t="n">
        <x:v>0</x:v>
      </x:c>
      <x:c r="S808" s="10" t="n">
        <x:v>7</x:v>
      </x:c>
      <x:c r="T808" s="10" t="n">
        <x:v>0</x:v>
      </x:c>
      <x:c r="U808" s="10" t="n">
        <x:f>IF(AND(ISNUMBER(X808),X808&gt;=0,Y808&lt;&gt;1),X808,"")</x:f>
        <x:v>7</x:v>
      </x:c>
      <x:c r="V808" s="10" t="n">
        <x:v>0</x:v>
      </x:c>
      <x:c r="W808" s="10" t="n">
        <x:v>0</x:v>
      </x:c>
      <x:c r="X808" s="10" t="n">
        <x:v>7</x:v>
      </x:c>
      <x:c r="Y808" s="3" t="n">
        <x:v>0</x:v>
      </x:c>
      <x:c r="Z808" s="3" t="str">
        <x:v>共同</x:v>
      </x:c>
      <x:c r="AA808" s="3" t="str">
        <x:v>在售</x:v>
      </x:c>
      <x:c r="AB808" s="12" t="n">
        <x:f>IF(AND(Z808="共同",ISNUMBER(G808),ISNUMBER(AD808)),G808-AD808,"")</x:f>
        <x:v>0</x:v>
      </x:c>
      <x:c r="AC808" s="3" t="str"/>
      <x:c r="AD808" s="12" t="n">
        <x:v>0</x:v>
      </x:c>
      <x:c r="AE808" s="3" t="str">
        <x:v>[13306,"B07-TN1-37-by"]</x:v>
      </x:c>
      <x:c r="AF808" t="n">
        <x:f>IF(ISNUMBER(H808),1,0)</x:f>
        <x:v>1</x:v>
      </x:c>
      <x:c r="AG808" t="n">
        <x:f>IF(ISNUMBER(I808),1,0)</x:f>
        <x:v>1</x:v>
      </x:c>
      <x:c r="AH808" t="str">
        <x:v>["B07","B07-TN1","TN1","驼色羊京绒"]</x:v>
      </x:c>
      <x:c r="AI808" t="n">
        <x:f>IF(ISNUMBER(G808),1,0)</x:f>
        <x:v>1</x:v>
      </x:c>
      <x:c r="AJ808" t="n">
        <x:f>IF(ISNUMBER(AD808),1,0)</x:f>
        <x:v>1</x:v>
      </x:c>
    </x:row>
    <x:row r="809" ht="30" customHeight="1">
      <x:c r="A809" s="3" t="str">
        <x:v>B07-TNP-37-New</x:v>
      </x:c>
      <x:c r="B809" s="3" t="str">
        <x:v>4店-彬郁-US</x:v>
      </x:c>
      <x:c r="C809" s="3" t="str">
        <x:v>艾年</x:v>
      </x:c>
      <x:c r="D809" s="3" t="str">
        <x:v>B07</x:v>
      </x:c>
      <x:c r="E809" s="3" t="str">
        <x:f>IF(Z809="移出","已移出",IF(NOT(ISNUMBER(H809)),"数据待核",IF(H809=0,"断货",IF(NOT(ISNUMBER(G809)),"数据待核",IF(G809=0,"零日销待复核",IF(F809&lt;60,"补货提醒",IF(F809&lt;=90,"正常库存",IF(F809&lt;180,"促销",IF(F809&lt;=365,"红线促销","考虑清仓")))))))))</x:f>
        <x:v>零日销待复核</x:v>
      </x:c>
      <x:c r="F809" s="11" t="str">
        <x:f>IF(AND(ISNUMBER(H809),ISNUMBER(G809),G809&gt;0),H809/G809,"")</x:f>
      </x:c>
      <x:c r="G809" s="12" t="n">
        <x:f>IF(AND(COUNT(P809:R809)=3,MIN(P809:R809)&gt;=0,P809&lt;=Q809,Q809&lt;=R809),P809/7*0.5+Q809/14*0.3+R809/30*0.2,"")</x:f>
        <x:v>0</x:v>
      </x:c>
      <x:c r="H809" s="10" t="n">
        <x:f>IF(ISNUMBER(U809),U809,"")</x:f>
        <x:v>10</x:v>
      </x:c>
      <x:c r="I809" s="10" t="n">
        <x:v>10</x:v>
      </x:c>
      <x:c r="J809" s="11" t="str">
        <x:f>IF(AND(Z809="共同",ISNUMBER(F809),ISNUMBER(M809)),F809-M809,"")</x:f>
      </x:c>
      <x:c r="K809" s="13" t="str">
        <x:f>IF(AND(ISNUMBER(J809),M809&lt;&gt;0),J809/M809,"")</x:f>
      </x:c>
      <x:c r="L809" s="10" t="str">
        <x:v>数据待核</x:v>
      </x:c>
      <x:c r="M809" s="11"/>
      <x:c r="N809" s="10" t="n">
        <x:f>IF(AND(Z809="共同",COUNT(H809:I809)=2),H809-I809,"")</x:f>
        <x:v>0</x:v>
      </x:c>
      <x:c r="O809" s="10" t="n">
        <x:v>0</x:v>
      </x:c>
      <x:c r="P809" s="10" t="n">
        <x:v>0</x:v>
      </x:c>
      <x:c r="Q809" s="10" t="n">
        <x:v>0</x:v>
      </x:c>
      <x:c r="R809" s="10" t="n">
        <x:v>0</x:v>
      </x:c>
      <x:c r="S809" s="10" t="n">
        <x:v>10</x:v>
      </x:c>
      <x:c r="T809" s="10" t="n">
        <x:v>0</x:v>
      </x:c>
      <x:c r="U809" s="10" t="n">
        <x:f>IF(AND(ISNUMBER(X809),X809&gt;=0,Y809&lt;&gt;1),X809,"")</x:f>
        <x:v>10</x:v>
      </x:c>
      <x:c r="V809" s="10" t="n">
        <x:v>0</x:v>
      </x:c>
      <x:c r="W809" s="10" t="n">
        <x:v>0</x:v>
      </x:c>
      <x:c r="X809" s="10" t="n">
        <x:v>10</x:v>
      </x:c>
      <x:c r="Y809" s="3" t="n">
        <x:v>0</x:v>
      </x:c>
      <x:c r="Z809" s="3" t="str">
        <x:v>共同</x:v>
      </x:c>
      <x:c r="AA809" s="3" t="str">
        <x:v>在售</x:v>
      </x:c>
      <x:c r="AB809" s="12" t="str">
        <x:f>IF(AND(Z809="共同",ISNUMBER(G809),ISNUMBER(AD809)),G809-AD809,"")</x:f>
      </x:c>
      <x:c r="AC809" s="3" t="str">
        <x:v>近90天SKU销量未匹配，未按0处理</x:v>
      </x:c>
      <x:c r="AD809" s="12"/>
      <x:c r="AE809" s="3" t="str">
        <x:v>[13306,"B07-TNP-37-New"]</x:v>
      </x:c>
      <x:c r="AF809" t="n">
        <x:f>IF(ISNUMBER(H809),1,0)</x:f>
        <x:v>1</x:v>
      </x:c>
      <x:c r="AG809" t="n">
        <x:f>IF(ISNUMBER(I809),1,0)</x:f>
        <x:v>1</x:v>
      </x:c>
      <x:c r="AH809" t="str">
        <x:v>["B07","B07-TNP","TNP","驼色PU"]</x:v>
      </x:c>
      <x:c r="AI809" t="n">
        <x:f>IF(ISNUMBER(G809),1,0)</x:f>
        <x:v>1</x:v>
      </x:c>
      <x:c r="AJ809" t="n">
        <x:f>IF(ISNUMBER(AD809),1,0)</x:f>
        <x:v>0</x:v>
      </x:c>
    </x:row>
    <x:row r="810" ht="30" customHeight="1">
      <x:c r="A810" s="3" t="str">
        <x:v>B07-TNP-42-New</x:v>
      </x:c>
      <x:c r="B810" s="3" t="str">
        <x:v>4店-彬郁-US</x:v>
      </x:c>
      <x:c r="C810" s="3" t="str">
        <x:v>艾年</x:v>
      </x:c>
      <x:c r="D810" s="3" t="str">
        <x:v>B07</x:v>
      </x:c>
      <x:c r="E810" s="3" t="str">
        <x:f>IF(Z810="移出","已移出",IF(NOT(ISNUMBER(H810)),"数据待核",IF(H810=0,"断货",IF(NOT(ISNUMBER(G810)),"数据待核",IF(G810=0,"零日销待复核",IF(F810&lt;60,"补货提醒",IF(F810&lt;=90,"正常库存",IF(F810&lt;180,"促销",IF(F810&lt;=365,"红线促销","考虑清仓")))))))))</x:f>
        <x:v>零日销待复核</x:v>
      </x:c>
      <x:c r="F810" s="11" t="str">
        <x:f>IF(AND(ISNUMBER(H810),ISNUMBER(G810),G810&gt;0),H810/G810,"")</x:f>
      </x:c>
      <x:c r="G810" s="12" t="n">
        <x:f>IF(AND(COUNT(P810:R810)=3,MIN(P810:R810)&gt;=0,P810&lt;=Q810,Q810&lt;=R810),P810/7*0.5+Q810/14*0.3+R810/30*0.2,"")</x:f>
        <x:v>0</x:v>
      </x:c>
      <x:c r="H810" s="10" t="n">
        <x:f>IF(ISNUMBER(U810),U810,"")</x:f>
        <x:v>10</x:v>
      </x:c>
      <x:c r="I810" s="10" t="n">
        <x:v>10</x:v>
      </x:c>
      <x:c r="J810" s="11" t="str">
        <x:f>IF(AND(Z810="共同",ISNUMBER(F810),ISNUMBER(M810)),F810-M810,"")</x:f>
      </x:c>
      <x:c r="K810" s="13" t="str">
        <x:f>IF(AND(ISNUMBER(J810),M810&lt;&gt;0),J810/M810,"")</x:f>
      </x:c>
      <x:c r="L810" s="10" t="str">
        <x:v>数据待核</x:v>
      </x:c>
      <x:c r="M810" s="11"/>
      <x:c r="N810" s="10" t="n">
        <x:f>IF(AND(Z810="共同",COUNT(H810:I810)=2),H810-I810,"")</x:f>
        <x:v>0</x:v>
      </x:c>
      <x:c r="O810" s="10" t="n">
        <x:v>0</x:v>
      </x:c>
      <x:c r="P810" s="10" t="n">
        <x:v>0</x:v>
      </x:c>
      <x:c r="Q810" s="10" t="n">
        <x:v>0</x:v>
      </x:c>
      <x:c r="R810" s="10" t="n">
        <x:v>0</x:v>
      </x:c>
      <x:c r="S810" s="10" t="n">
        <x:v>10</x:v>
      </x:c>
      <x:c r="T810" s="10" t="n">
        <x:v>0</x:v>
      </x:c>
      <x:c r="U810" s="10" t="n">
        <x:f>IF(AND(ISNUMBER(X810),X810&gt;=0,Y810&lt;&gt;1),X810,"")</x:f>
        <x:v>10</x:v>
      </x:c>
      <x:c r="V810" s="10" t="n">
        <x:v>0</x:v>
      </x:c>
      <x:c r="W810" s="10" t="n">
        <x:v>0</x:v>
      </x:c>
      <x:c r="X810" s="10" t="n">
        <x:v>10</x:v>
      </x:c>
      <x:c r="Y810" s="3" t="n">
        <x:v>0</x:v>
      </x:c>
      <x:c r="Z810" s="3" t="str">
        <x:v>共同</x:v>
      </x:c>
      <x:c r="AA810" s="3" t="str">
        <x:v>在售</x:v>
      </x:c>
      <x:c r="AB810" s="12" t="str">
        <x:f>IF(AND(Z810="共同",ISNUMBER(G810),ISNUMBER(AD810)),G810-AD810,"")</x:f>
      </x:c>
      <x:c r="AC810" s="3" t="str">
        <x:v>近90天SKU销量未匹配，未按0处理</x:v>
      </x:c>
      <x:c r="AD810" s="12"/>
      <x:c r="AE810" s="3" t="str">
        <x:v>[13306,"B07-TNP-42-New"]</x:v>
      </x:c>
      <x:c r="AF810" t="n">
        <x:f>IF(ISNUMBER(H810),1,0)</x:f>
        <x:v>1</x:v>
      </x:c>
      <x:c r="AG810" t="n">
        <x:f>IF(ISNUMBER(I810),1,0)</x:f>
        <x:v>1</x:v>
      </x:c>
      <x:c r="AH810" t="str">
        <x:v>["B07","B07-TNP","TNP","驼色PU"]</x:v>
      </x:c>
      <x:c r="AI810" t="n">
        <x:f>IF(ISNUMBER(G810),1,0)</x:f>
        <x:v>1</x:v>
      </x:c>
      <x:c r="AJ810" t="n">
        <x:f>IF(ISNUMBER(AD810),1,0)</x:f>
        <x:v>0</x:v>
      </x:c>
    </x:row>
    <x:row r="811" ht="30" customHeight="1">
      <x:c r="A811" s="3" t="str">
        <x:v>B07-WT-42-New</x:v>
      </x:c>
      <x:c r="B811" s="3" t="str">
        <x:v>4店-彬郁-US</x:v>
      </x:c>
      <x:c r="C811" s="3" t="str">
        <x:v>艾年</x:v>
      </x:c>
      <x:c r="D811" s="3" t="str">
        <x:v>B07</x:v>
      </x:c>
      <x:c r="E811" s="3" t="str">
        <x:f>IF(Z811="移出","已移出",IF(NOT(ISNUMBER(H811)),"数据待核",IF(H811=0,"断货",IF(NOT(ISNUMBER(G811)),"数据待核",IF(G811=0,"零日销待复核",IF(F811&lt;60,"补货提醒",IF(F811&lt;=90,"正常库存",IF(F811&lt;180,"促销",IF(F811&lt;=365,"红线促销","考虑清仓")))))))))</x:f>
        <x:v>零日销待复核</x:v>
      </x:c>
      <x:c r="F811" s="11" t="str">
        <x:f>IF(AND(ISNUMBER(H811),ISNUMBER(G811),G811&gt;0),H811/G811,"")</x:f>
      </x:c>
      <x:c r="G811" s="12" t="n">
        <x:f>IF(AND(COUNT(P811:R811)=3,MIN(P811:R811)&gt;=0,P811&lt;=Q811,Q811&lt;=R811),P811/7*0.5+Q811/14*0.3+R811/30*0.2,"")</x:f>
        <x:v>0</x:v>
      </x:c>
      <x:c r="H811" s="10" t="n">
        <x:f>IF(ISNUMBER(U811),U811,"")</x:f>
        <x:v>33</x:v>
      </x:c>
      <x:c r="I811" s="10" t="n">
        <x:v>20</x:v>
      </x:c>
      <x:c r="J811" s="11" t="str">
        <x:f>IF(AND(Z811="共同",ISNUMBER(F811),ISNUMBER(M811)),F811-M811,"")</x:f>
      </x:c>
      <x:c r="K811" s="13" t="str">
        <x:f>IF(AND(ISNUMBER(J811),M811&lt;&gt;0),J811/M811,"")</x:f>
      </x:c>
      <x:c r="L811" s="10" t="str">
        <x:v>数据待核</x:v>
      </x:c>
      <x:c r="M811" s="11"/>
      <x:c r="N811" s="10" t="n">
        <x:f>IF(AND(Z811="共同",COUNT(H811:I811)=2),H811-I811,"")</x:f>
        <x:v>13</x:v>
      </x:c>
      <x:c r="O811" s="10" t="n">
        <x:v>9</x:v>
      </x:c>
      <x:c r="P811" s="10" t="n">
        <x:v>0</x:v>
      </x:c>
      <x:c r="Q811" s="10" t="n">
        <x:v>0</x:v>
      </x:c>
      <x:c r="R811" s="10" t="n">
        <x:v>0</x:v>
      </x:c>
      <x:c r="S811" s="10" t="n">
        <x:v>33</x:v>
      </x:c>
      <x:c r="T811" s="10" t="n">
        <x:v>0</x:v>
      </x:c>
      <x:c r="U811" s="10" t="n">
        <x:f>IF(AND(ISNUMBER(X811),X811&gt;=0,Y811&lt;&gt;1),X811,"")</x:f>
        <x:v>33</x:v>
      </x:c>
      <x:c r="V811" s="10" t="n">
        <x:v>0</x:v>
      </x:c>
      <x:c r="W811" s="10" t="n">
        <x:v>1</x:v>
      </x:c>
      <x:c r="X811" s="10" t="n">
        <x:v>33</x:v>
      </x:c>
      <x:c r="Y811" s="3" t="n">
        <x:v>0</x:v>
      </x:c>
      <x:c r="Z811" s="3" t="str">
        <x:v>共同</x:v>
      </x:c>
      <x:c r="AA811" s="3" t="str">
        <x:v>在售</x:v>
      </x:c>
      <x:c r="AB811" s="12" t="str">
        <x:f>IF(AND(Z811="共同",ISNUMBER(G811),ISNUMBER(AD811)),G811-AD811,"")</x:f>
      </x:c>
      <x:c r="AC811" s="3" t="str">
        <x:v>近90天SKU销量未匹配，未按0处理</x:v>
      </x:c>
      <x:c r="AD811" s="12"/>
      <x:c r="AE811" s="3" t="str">
        <x:v>[13306,"B07-WT-42-New"]</x:v>
      </x:c>
      <x:c r="AF811" t="n">
        <x:f>IF(ISNUMBER(H811),1,0)</x:f>
        <x:v>1</x:v>
      </x:c>
      <x:c r="AG811" t="n">
        <x:f>IF(ISNUMBER(I811),1,0)</x:f>
        <x:v>1</x:v>
      </x:c>
      <x:c r="AH811" t="str">
        <x:v>["B07","B07-WT","WT","白色PU"]</x:v>
      </x:c>
      <x:c r="AI811" t="n">
        <x:f>IF(ISNUMBER(G811),1,0)</x:f>
        <x:v>1</x:v>
      </x:c>
      <x:c r="AJ811" t="n">
        <x:f>IF(ISNUMBER(AD811),1,0)</x:f>
        <x:v>0</x:v>
      </x:c>
    </x:row>
    <x:row r="812" ht="30" customHeight="1">
      <x:c r="A812" s="3" t="str">
        <x:v>S02-RG-39</x:v>
      </x:c>
      <x:c r="B812" s="3" t="str">
        <x:v>3店-SANDIEX-US</x:v>
      </x:c>
      <x:c r="C812" s="3" t="str">
        <x:v>陈晨</x:v>
      </x:c>
      <x:c r="D812" s="3" t="str">
        <x:v>S02</x:v>
      </x:c>
      <x:c r="E812" s="3" t="str">
        <x:f>IF(Z812="移出","已移出",IF(NOT(ISNUMBER(H812)),"数据待核",IF(H812=0,"断货",IF(NOT(ISNUMBER(G812)),"数据待核",IF(G812=0,"零日销待复核",IF(F812&lt;60,"补货提醒",IF(F812&lt;=90,"正常库存",IF(F812&lt;180,"促销",IF(F812&lt;=365,"红线促销","考虑清仓")))))))))</x:f>
        <x:v>零日销待复核</x:v>
      </x:c>
      <x:c r="F812" s="11" t="str">
        <x:f>IF(AND(ISNUMBER(H812),ISNUMBER(G812),G812&gt;0),H812/G812,"")</x:f>
      </x:c>
      <x:c r="G812" s="12" t="n">
        <x:f>IF(AND(COUNT(P812:R812)=3,MIN(P812:R812)&gt;=0,P812&lt;=Q812,Q812&lt;=R812),P812/7*0.5+Q812/14*0.3+R812/30*0.2,"")</x:f>
        <x:v>0</x:v>
      </x:c>
      <x:c r="H812" s="10" t="n">
        <x:f>IF(ISNUMBER(U812),U812,"")</x:f>
        <x:v>6</x:v>
      </x:c>
      <x:c r="I812" s="10" t="n">
        <x:v>6</x:v>
      </x:c>
      <x:c r="J812" s="11" t="str">
        <x:f>IF(AND(Z812="共同",ISNUMBER(F812),ISNUMBER(M812)),F812-M812,"")</x:f>
      </x:c>
      <x:c r="K812" s="13" t="str">
        <x:f>IF(AND(ISNUMBER(J812),M812&lt;&gt;0),J812/M812,"")</x:f>
      </x:c>
      <x:c r="L812" s="10" t="str">
        <x:v>考虑清仓</x:v>
      </x:c>
      <x:c r="M812" s="11" t="n">
        <x:v>900.0000000000001</x:v>
      </x:c>
      <x:c r="N812" s="10" t="n">
        <x:f>IF(AND(Z812="共同",COUNT(H812:I812)=2),H812-I812,"")</x:f>
        <x:v>0</x:v>
      </x:c>
      <x:c r="O812" s="10" t="n">
        <x:v>0</x:v>
      </x:c>
      <x:c r="P812" s="10" t="n">
        <x:v>0</x:v>
      </x:c>
      <x:c r="Q812" s="10" t="n">
        <x:v>0</x:v>
      </x:c>
      <x:c r="R812" s="10" t="n">
        <x:v>0</x:v>
      </x:c>
      <x:c r="S812" s="10" t="n">
        <x:v>6</x:v>
      </x:c>
      <x:c r="T812" s="10" t="n">
        <x:v>0</x:v>
      </x:c>
      <x:c r="U812" s="10" t="n">
        <x:f>IF(AND(ISNUMBER(X812),X812&gt;=0,Y812&lt;&gt;1),X812,"")</x:f>
        <x:v>6</x:v>
      </x:c>
      <x:c r="V812" s="10" t="n">
        <x:v>0</x:v>
      </x:c>
      <x:c r="W812" s="10" t="n">
        <x:v>0</x:v>
      </x:c>
      <x:c r="X812" s="10" t="n">
        <x:v>6</x:v>
      </x:c>
      <x:c r="Y812" s="3" t="n">
        <x:v>0</x:v>
      </x:c>
      <x:c r="Z812" s="3" t="str">
        <x:v>共同</x:v>
      </x:c>
      <x:c r="AA812" s="3" t="str">
        <x:v>在售</x:v>
      </x:c>
      <x:c r="AB812" s="12" t="n">
        <x:f>IF(AND(Z812="共同",ISNUMBER(G812),ISNUMBER(AD812)),G812-AD812,"")</x:f>
        <x:v>-0.006666666666666666</x:v>
      </x:c>
      <x:c r="AC812" s="3" t="str"/>
      <x:c r="AD812" s="12" t="n">
        <x:v>0.006666666666666666</x:v>
      </x:c>
      <x:c r="AE812" s="3" t="str">
        <x:v>[6574,"S02-RG-39"]</x:v>
      </x:c>
      <x:c r="AF812" t="n">
        <x:f>IF(ISNUMBER(H812),1,0)</x:f>
        <x:v>1</x:v>
      </x:c>
      <x:c r="AG812" t="n">
        <x:f>IF(ISNUMBER(I812),1,0)</x:f>
        <x:v>1</x:v>
      </x:c>
      <x:c r="AH812" t="str">
        <x:v>["S02","S02-RG","RG","玫瑰金"]</x:v>
      </x:c>
      <x:c r="AI812" t="n">
        <x:f>IF(ISNUMBER(G812),1,0)</x:f>
        <x:v>1</x:v>
      </x:c>
      <x:c r="AJ812" t="n">
        <x:f>IF(ISNUMBER(AD812),1,0)</x:f>
        <x:v>1</x:v>
      </x:c>
    </x:row>
    <x:row r="813" ht="30" customHeight="1">
      <x:c r="A813" s="3" t="str">
        <x:v>S02-RG1-37</x:v>
      </x:c>
      <x:c r="B813" s="3" t="str">
        <x:v>3店-SANDIEX-US</x:v>
      </x:c>
      <x:c r="C813" s="3" t="str">
        <x:v>陈晨</x:v>
      </x:c>
      <x:c r="D813" s="3" t="str">
        <x:v>S02</x:v>
      </x:c>
      <x:c r="E813" s="3" t="str">
        <x:f>IF(Z813="移出","已移出",IF(NOT(ISNUMBER(H813)),"数据待核",IF(H813=0,"断货",IF(NOT(ISNUMBER(G813)),"数据待核",IF(G813=0,"零日销待复核",IF(F813&lt;60,"补货提醒",IF(F813&lt;=90,"正常库存",IF(F813&lt;180,"促销",IF(F813&lt;=365,"红线促销","考虑清仓")))))))))</x:f>
        <x:v>零日销待复核</x:v>
      </x:c>
      <x:c r="F813" s="11" t="str">
        <x:f>IF(AND(ISNUMBER(H813),ISNUMBER(G813),G813&gt;0),H813/G813,"")</x:f>
      </x:c>
      <x:c r="G813" s="12" t="n">
        <x:f>IF(AND(COUNT(P813:R813)=3,MIN(P813:R813)&gt;=0,P813&lt;=Q813,Q813&lt;=R813),P813/7*0.5+Q813/14*0.3+R813/30*0.2,"")</x:f>
        <x:v>0</x:v>
      </x:c>
      <x:c r="H813" s="10" t="n">
        <x:f>IF(ISNUMBER(U813),U813,"")</x:f>
        <x:v>14</x:v>
      </x:c>
      <x:c r="I813" s="10" t="n">
        <x:v>14</x:v>
      </x:c>
      <x:c r="J813" s="11" t="str">
        <x:f>IF(AND(Z813="共同",ISNUMBER(F813),ISNUMBER(M813)),F813-M813,"")</x:f>
      </x:c>
      <x:c r="K813" s="13" t="str">
        <x:f>IF(AND(ISNUMBER(J813),M813&lt;&gt;0),J813/M813,"")</x:f>
      </x:c>
      <x:c r="L813" s="10" t="str">
        <x:v>数据待核</x:v>
      </x:c>
      <x:c r="M813" s="11"/>
      <x:c r="N813" s="10" t="n">
        <x:f>IF(AND(Z813="共同",COUNT(H813:I813)=2),H813-I813,"")</x:f>
        <x:v>0</x:v>
      </x:c>
      <x:c r="O813" s="10" t="n">
        <x:v>0</x:v>
      </x:c>
      <x:c r="P813" s="10" t="n">
        <x:v>0</x:v>
      </x:c>
      <x:c r="Q813" s="10" t="n">
        <x:v>0</x:v>
      </x:c>
      <x:c r="R813" s="10" t="n">
        <x:v>0</x:v>
      </x:c>
      <x:c r="S813" s="10" t="n">
        <x:v>14</x:v>
      </x:c>
      <x:c r="T813" s="10" t="n">
        <x:v>0</x:v>
      </x:c>
      <x:c r="U813" s="10" t="n">
        <x:f>IF(AND(ISNUMBER(X813),X813&gt;=0,Y813&lt;&gt;1),X813,"")</x:f>
        <x:v>14</x:v>
      </x:c>
      <x:c r="V813" s="10" t="n">
        <x:v>0</x:v>
      </x:c>
      <x:c r="W813" s="10" t="n">
        <x:v>0</x:v>
      </x:c>
      <x:c r="X813" s="10" t="n">
        <x:v>14</x:v>
      </x:c>
      <x:c r="Y813" s="3" t="n">
        <x:v>0</x:v>
      </x:c>
      <x:c r="Z813" s="3" t="str">
        <x:v>共同</x:v>
      </x:c>
      <x:c r="AA813" s="3" t="str">
        <x:v>在售</x:v>
      </x:c>
      <x:c r="AB813" s="12" t="str">
        <x:f>IF(AND(Z813="共同",ISNUMBER(G813),ISNUMBER(AD813)),G813-AD813,"")</x:f>
      </x:c>
      <x:c r="AC813" s="3" t="str">
        <x:v>近90天SKU销量未匹配，未按0处理</x:v>
      </x:c>
      <x:c r="AD813" s="12"/>
      <x:c r="AE813" s="3" t="str">
        <x:v>[6574,"S02-RG1-37"]</x:v>
      </x:c>
      <x:c r="AF813" t="n">
        <x:f>IF(ISNUMBER(H813),1,0)</x:f>
        <x:v>1</x:v>
      </x:c>
      <x:c r="AG813" t="n">
        <x:f>IF(ISNUMBER(I813),1,0)</x:f>
        <x:v>1</x:v>
      </x:c>
      <x:c r="AH813" t="str">
        <x:v>["S02","S02-RG1","RG1","玫瑰金"]</x:v>
      </x:c>
      <x:c r="AI813" t="n">
        <x:f>IF(ISNUMBER(G813),1,0)</x:f>
        <x:v>1</x:v>
      </x:c>
      <x:c r="AJ813" t="n">
        <x:f>IF(ISNUMBER(AD813),1,0)</x:f>
        <x:v>0</x:v>
      </x:c>
    </x:row>
    <x:row r="814" ht="30" customHeight="1">
      <x:c r="A814" s="3" t="str">
        <x:v>S02-RG1-40</x:v>
      </x:c>
      <x:c r="B814" s="3" t="str">
        <x:v>3店-SANDIEX-US</x:v>
      </x:c>
      <x:c r="C814" s="3" t="str">
        <x:v>陈晨</x:v>
      </x:c>
      <x:c r="D814" s="3" t="str">
        <x:v>S02</x:v>
      </x:c>
      <x:c r="E814" s="3" t="str">
        <x:f>IF(Z814="移出","已移出",IF(NOT(ISNUMBER(H814)),"数据待核",IF(H814=0,"断货",IF(NOT(ISNUMBER(G814)),"数据待核",IF(G814=0,"零日销待复核",IF(F814&lt;60,"补货提醒",IF(F814&lt;=90,"正常库存",IF(F814&lt;180,"促销",IF(F814&lt;=365,"红线促销","考虑清仓")))))))))</x:f>
        <x:v>零日销待复核</x:v>
      </x:c>
      <x:c r="F814" s="11" t="str">
        <x:f>IF(AND(ISNUMBER(H814),ISNUMBER(G814),G814&gt;0),H814/G814,"")</x:f>
      </x:c>
      <x:c r="G814" s="12" t="n">
        <x:f>IF(AND(COUNT(P814:R814)=3,MIN(P814:R814)&gt;=0,P814&lt;=Q814,Q814&lt;=R814),P814/7*0.5+Q814/14*0.3+R814/30*0.2,"")</x:f>
        <x:v>0</x:v>
      </x:c>
      <x:c r="H814" s="10" t="n">
        <x:f>IF(ISNUMBER(U814),U814,"")</x:f>
        <x:v>7</x:v>
      </x:c>
      <x:c r="I814" s="10" t="n">
        <x:v>7</x:v>
      </x:c>
      <x:c r="J814" s="11" t="str">
        <x:f>IF(AND(Z814="共同",ISNUMBER(F814),ISNUMBER(M814)),F814-M814,"")</x:f>
      </x:c>
      <x:c r="K814" s="13" t="str">
        <x:f>IF(AND(ISNUMBER(J814),M814&lt;&gt;0),J814/M814,"")</x:f>
      </x:c>
      <x:c r="L814" s="10" t="str">
        <x:v>数据待核</x:v>
      </x:c>
      <x:c r="M814" s="11"/>
      <x:c r="N814" s="10" t="n">
        <x:f>IF(AND(Z814="共同",COUNT(H814:I814)=2),H814-I814,"")</x:f>
        <x:v>0</x:v>
      </x:c>
      <x:c r="O814" s="10" t="n">
        <x:v>1</x:v>
      </x:c>
      <x:c r="P814" s="10" t="n">
        <x:v>0</x:v>
      </x:c>
      <x:c r="Q814" s="10" t="n">
        <x:v>0</x:v>
      </x:c>
      <x:c r="R814" s="10" t="n">
        <x:v>0</x:v>
      </x:c>
      <x:c r="S814" s="10" t="n">
        <x:v>7</x:v>
      </x:c>
      <x:c r="T814" s="10" t="n">
        <x:v>0</x:v>
      </x:c>
      <x:c r="U814" s="10" t="n">
        <x:f>IF(AND(ISNUMBER(X814),X814&gt;=0,Y814&lt;&gt;1),X814,"")</x:f>
        <x:v>7</x:v>
      </x:c>
      <x:c r="V814" s="10" t="n">
        <x:v>0</x:v>
      </x:c>
      <x:c r="W814" s="10" t="n">
        <x:v>0</x:v>
      </x:c>
      <x:c r="X814" s="10" t="n">
        <x:v>7</x:v>
      </x:c>
      <x:c r="Y814" s="3" t="n">
        <x:v>0</x:v>
      </x:c>
      <x:c r="Z814" s="3" t="str">
        <x:v>共同</x:v>
      </x:c>
      <x:c r="AA814" s="3" t="str">
        <x:v>在售</x:v>
      </x:c>
      <x:c r="AB814" s="12" t="str">
        <x:f>IF(AND(Z814="共同",ISNUMBER(G814),ISNUMBER(AD814)),G814-AD814,"")</x:f>
      </x:c>
      <x:c r="AC814" s="3" t="str">
        <x:v>近90天SKU销量未匹配，未按0处理</x:v>
      </x:c>
      <x:c r="AD814" s="12"/>
      <x:c r="AE814" s="3" t="str">
        <x:v>[6574,"S02-RG1-40"]</x:v>
      </x:c>
      <x:c r="AF814" t="n">
        <x:f>IF(ISNUMBER(H814),1,0)</x:f>
        <x:v>1</x:v>
      </x:c>
      <x:c r="AG814" t="n">
        <x:f>IF(ISNUMBER(I814),1,0)</x:f>
        <x:v>1</x:v>
      </x:c>
      <x:c r="AH814" t="str">
        <x:v>["S02","S02-RG1","RG1","玫瑰金"]</x:v>
      </x:c>
      <x:c r="AI814" t="n">
        <x:f>IF(ISNUMBER(G814),1,0)</x:f>
        <x:v>1</x:v>
      </x:c>
      <x:c r="AJ814" t="n">
        <x:f>IF(ISNUMBER(AD814),1,0)</x:f>
        <x:v>0</x:v>
      </x:c>
    </x:row>
    <x:row r="815" ht="30" customHeight="1">
      <x:c r="A815" s="3" t="str">
        <x:v>S02a-BK1-37</x:v>
      </x:c>
      <x:c r="B815" s="3" t="str">
        <x:v>3店-SANDIEX-US</x:v>
      </x:c>
      <x:c r="C815" s="3" t="str">
        <x:v>陈晨</x:v>
      </x:c>
      <x:c r="D815" s="3" t="str">
        <x:v>S02a</x:v>
      </x:c>
      <x:c r="E815" s="3" t="str">
        <x:f>IF(Z815="移出","已移出",IF(NOT(ISNUMBER(H815)),"数据待核",IF(H815=0,"断货",IF(NOT(ISNUMBER(G815)),"数据待核",IF(G815=0,"零日销待复核",IF(F815&lt;60,"补货提醒",IF(F815&lt;=90,"正常库存",IF(F815&lt;180,"促销",IF(F815&lt;=365,"红线促销","考虑清仓")))))))))</x:f>
        <x:v>零日销待复核</x:v>
      </x:c>
      <x:c r="F815" s="11" t="str">
        <x:f>IF(AND(ISNUMBER(H815),ISNUMBER(G815),G815&gt;0),H815/G815,"")</x:f>
      </x:c>
      <x:c r="G815" s="12" t="n">
        <x:f>IF(AND(COUNT(P815:R815)=3,MIN(P815:R815)&gt;=0,P815&lt;=Q815,Q815&lt;=R815),P815/7*0.5+Q815/14*0.3+R815/30*0.2,"")</x:f>
        <x:v>0</x:v>
      </x:c>
      <x:c r="H815" s="10" t="n">
        <x:f>IF(ISNUMBER(U815),U815,"")</x:f>
        <x:v>3</x:v>
      </x:c>
      <x:c r="I815" s="10"/>
      <x:c r="J815" s="11" t="str">
        <x:f>IF(AND(Z815="共同",ISNUMBER(F815),ISNUMBER(M815)),F815-M815,"")</x:f>
      </x:c>
      <x:c r="K815" s="13" t="str">
        <x:f>IF(AND(ISNUMBER(J815),M815&lt;&gt;0),J815/M815,"")</x:f>
      </x:c>
      <x:c r="L815" s="10"/>
      <x:c r="M815" s="11"/>
      <x:c r="N815" s="10" t="str">
        <x:f>IF(AND(Z815="共同",COUNT(H815:I815)=2),H815-I815,"")</x:f>
      </x:c>
      <x:c r="O815" s="10" t="n">
        <x:v>0</x:v>
      </x:c>
      <x:c r="P815" s="10" t="n">
        <x:v>0</x:v>
      </x:c>
      <x:c r="Q815" s="10" t="n">
        <x:v>0</x:v>
      </x:c>
      <x:c r="R815" s="10" t="n">
        <x:v>0</x:v>
      </x:c>
      <x:c r="S815" s="10" t="n">
        <x:v>3</x:v>
      </x:c>
      <x:c r="T815" s="10" t="n">
        <x:v>0</x:v>
      </x:c>
      <x:c r="U815" s="10" t="n">
        <x:f>IF(AND(ISNUMBER(X815),X815&gt;=0,Y815&lt;&gt;1),X815,"")</x:f>
        <x:v>3</x:v>
      </x:c>
      <x:c r="V815" s="10" t="n">
        <x:v>0</x:v>
      </x:c>
      <x:c r="W815" s="10" t="n">
        <x:v>0</x:v>
      </x:c>
      <x:c r="X815" s="10" t="n">
        <x:v>3</x:v>
      </x:c>
      <x:c r="Y815" s="3" t="n">
        <x:v>0</x:v>
      </x:c>
      <x:c r="Z815" s="3" t="str">
        <x:v>新增</x:v>
      </x:c>
      <x:c r="AA815" s="3" t="str">
        <x:v>在售</x:v>
      </x:c>
      <x:c r="AB815" s="12" t="str">
        <x:f>IF(AND(Z815="共同",ISNUMBER(G815),ISNUMBER(AD815)),G815-AD815,"")</x:f>
      </x:c>
      <x:c r="AC815" s="3" t="str"/>
      <x:c r="AD815" s="12"/>
      <x:c r="AE815" s="3" t="str">
        <x:v>[6574,"S02a-BK1-37"]</x:v>
      </x:c>
      <x:c r="AF815" t="n">
        <x:f>IF(ISNUMBER(H815),1,0)</x:f>
        <x:v>1</x:v>
      </x:c>
      <x:c r="AG815" t="n">
        <x:f>IF(ISNUMBER(I815),1,0)</x:f>
        <x:v>0</x:v>
      </x:c>
      <x:c r="AH815" t="str">
        <x:v>["S02a","S02a-BK1","BK1","黑色"]</x:v>
      </x:c>
      <x:c r="AI815" t="n">
        <x:f>IF(ISNUMBER(G815),1,0)</x:f>
        <x:v>1</x:v>
      </x:c>
      <x:c r="AJ815" t="n">
        <x:f>IF(ISNUMBER(AD815),1,0)</x:f>
        <x:v>0</x:v>
      </x:c>
    </x:row>
    <x:row r="816" ht="30" customHeight="1">
      <x:c r="A816" s="3" t="str">
        <x:v>S02a-BKP-37</x:v>
      </x:c>
      <x:c r="B816" s="3" t="str">
        <x:v>3店-SANDIEX-US</x:v>
      </x:c>
      <x:c r="C816" s="3" t="str">
        <x:v>陈晨</x:v>
      </x:c>
      <x:c r="D816" s="3" t="str">
        <x:v>S02a</x:v>
      </x:c>
      <x:c r="E816" s="3" t="str">
        <x:f>IF(Z816="移出","已移出",IF(NOT(ISNUMBER(H816)),"数据待核",IF(H816=0,"断货",IF(NOT(ISNUMBER(G816)),"数据待核",IF(G816=0,"零日销待复核",IF(F816&lt;60,"补货提醒",IF(F816&lt;=90,"正常库存",IF(F816&lt;180,"促销",IF(F816&lt;=365,"红线促销","考虑清仓")))))))))</x:f>
        <x:v>零日销待复核</x:v>
      </x:c>
      <x:c r="F816" s="11" t="str">
        <x:f>IF(AND(ISNUMBER(H816),ISNUMBER(G816),G816&gt;0),H816/G816,"")</x:f>
      </x:c>
      <x:c r="G816" s="12" t="n">
        <x:f>IF(AND(COUNT(P816:R816)=3,MIN(P816:R816)&gt;=0,P816&lt;=Q816,Q816&lt;=R816),P816/7*0.5+Q816/14*0.3+R816/30*0.2,"")</x:f>
        <x:v>0</x:v>
      </x:c>
      <x:c r="H816" s="10" t="n">
        <x:f>IF(ISNUMBER(U816),U816,"")</x:f>
        <x:v>17</x:v>
      </x:c>
      <x:c r="I816" s="10" t="n">
        <x:v>17</x:v>
      </x:c>
      <x:c r="J816" s="11" t="str">
        <x:f>IF(AND(Z816="共同",ISNUMBER(F816),ISNUMBER(M816)),F816-M816,"")</x:f>
      </x:c>
      <x:c r="K816" s="13" t="str">
        <x:f>IF(AND(ISNUMBER(J816),M816&lt;&gt;0),J816/M816,"")</x:f>
      </x:c>
      <x:c r="L816" s="10" t="str">
        <x:v>考虑清仓</x:v>
      </x:c>
      <x:c r="M816" s="11" t="n">
        <x:v>1275</x:v>
      </x:c>
      <x:c r="N816" s="10" t="n">
        <x:f>IF(AND(Z816="共同",COUNT(H816:I816)=2),H816-I816,"")</x:f>
        <x:v>0</x:v>
      </x:c>
      <x:c r="O816" s="10" t="n">
        <x:v>0</x:v>
      </x:c>
      <x:c r="P816" s="10" t="n">
        <x:v>0</x:v>
      </x:c>
      <x:c r="Q816" s="10" t="n">
        <x:v>0</x:v>
      </x:c>
      <x:c r="R816" s="10" t="n">
        <x:v>0</x:v>
      </x:c>
      <x:c r="S816" s="10" t="n">
        <x:v>17</x:v>
      </x:c>
      <x:c r="T816" s="10" t="n">
        <x:v>0</x:v>
      </x:c>
      <x:c r="U816" s="10" t="n">
        <x:f>IF(AND(ISNUMBER(X816),X816&gt;=0,Y816&lt;&gt;1),X816,"")</x:f>
        <x:v>17</x:v>
      </x:c>
      <x:c r="V816" s="10" t="n">
        <x:v>0</x:v>
      </x:c>
      <x:c r="W816" s="10" t="n">
        <x:v>0</x:v>
      </x:c>
      <x:c r="X816" s="10" t="n">
        <x:v>17</x:v>
      </x:c>
      <x:c r="Y816" s="3" t="n">
        <x:v>0</x:v>
      </x:c>
      <x:c r="Z816" s="3" t="str">
        <x:v>共同</x:v>
      </x:c>
      <x:c r="AA816" s="3" t="str">
        <x:v>在售</x:v>
      </x:c>
      <x:c r="AB816" s="12" t="n">
        <x:f>IF(AND(Z816="共同",ISNUMBER(G816),ISNUMBER(AD816)),G816-AD816,"")</x:f>
        <x:v>-0.013333333333333332</x:v>
      </x:c>
      <x:c r="AC816" s="3" t="str"/>
      <x:c r="AD816" s="12" t="n">
        <x:v>0.013333333333333332</x:v>
      </x:c>
      <x:c r="AE816" s="3" t="str">
        <x:v>[6574,"S02a-BKP-37"]</x:v>
      </x:c>
      <x:c r="AF816" t="n">
        <x:f>IF(ISNUMBER(H816),1,0)</x:f>
        <x:v>1</x:v>
      </x:c>
      <x:c r="AG816" t="n">
        <x:f>IF(ISNUMBER(I816),1,0)</x:f>
        <x:v>1</x:v>
      </x:c>
      <x:c r="AH816" t="str">
        <x:v>["S02a","S02a-BKP","BKP","黑色PU"]</x:v>
      </x:c>
      <x:c r="AI816" t="n">
        <x:f>IF(ISNUMBER(G816),1,0)</x:f>
        <x:v>1</x:v>
      </x:c>
      <x:c r="AJ816" t="n">
        <x:f>IF(ISNUMBER(AD816),1,0)</x:f>
        <x:v>1</x:v>
      </x:c>
    </x:row>
    <x:row r="817" ht="30" customHeight="1">
      <x:c r="A817" s="3" t="str">
        <x:v>S02a-BKP-41</x:v>
      </x:c>
      <x:c r="B817" s="3" t="str">
        <x:v>3店-SANDIEX-US</x:v>
      </x:c>
      <x:c r="C817" s="3" t="str">
        <x:v>陈晨</x:v>
      </x:c>
      <x:c r="D817" s="3" t="str">
        <x:v>S02a</x:v>
      </x:c>
      <x:c r="E817" s="3" t="str">
        <x:f>IF(Z817="移出","已移出",IF(NOT(ISNUMBER(H817)),"数据待核",IF(H817=0,"断货",IF(NOT(ISNUMBER(G817)),"数据待核",IF(G817=0,"零日销待复核",IF(F817&lt;60,"补货提醒",IF(F817&lt;=90,"正常库存",IF(F817&lt;180,"促销",IF(F817&lt;=365,"红线促销","考虑清仓")))))))))</x:f>
        <x:v>零日销待复核</x:v>
      </x:c>
      <x:c r="F817" s="11" t="str">
        <x:f>IF(AND(ISNUMBER(H817),ISNUMBER(G817),G817&gt;0),H817/G817,"")</x:f>
      </x:c>
      <x:c r="G817" s="12" t="n">
        <x:f>IF(AND(COUNT(P817:R817)=3,MIN(P817:R817)&gt;=0,P817&lt;=Q817,Q817&lt;=R817),P817/7*0.5+Q817/14*0.3+R817/30*0.2,"")</x:f>
        <x:v>0</x:v>
      </x:c>
      <x:c r="H817" s="10" t="n">
        <x:f>IF(ISNUMBER(U817),U817,"")</x:f>
        <x:v>23</x:v>
      </x:c>
      <x:c r="I817" s="10" t="n">
        <x:v>23</x:v>
      </x:c>
      <x:c r="J817" s="11" t="str">
        <x:f>IF(AND(Z817="共同",ISNUMBER(F817),ISNUMBER(M817)),F817-M817,"")</x:f>
      </x:c>
      <x:c r="K817" s="13" t="str">
        <x:f>IF(AND(ISNUMBER(J817),M817&lt;&gt;0),J817/M817,"")</x:f>
      </x:c>
      <x:c r="L817" s="10" t="str">
        <x:v>数据待核</x:v>
      </x:c>
      <x:c r="M817" s="11"/>
      <x:c r="N817" s="10" t="n">
        <x:f>IF(AND(Z817="共同",COUNT(H817:I817)=2),H817-I817,"")</x:f>
        <x:v>0</x:v>
      </x:c>
      <x:c r="O817" s="10" t="n">
        <x:v>46</x:v>
      </x:c>
      <x:c r="P817" s="10" t="n">
        <x:v>0</x:v>
      </x:c>
      <x:c r="Q817" s="10" t="n">
        <x:v>0</x:v>
      </x:c>
      <x:c r="R817" s="10" t="n">
        <x:v>0</x:v>
      </x:c>
      <x:c r="S817" s="10" t="n">
        <x:v>23</x:v>
      </x:c>
      <x:c r="T817" s="10" t="n">
        <x:v>0</x:v>
      </x:c>
      <x:c r="U817" s="10" t="n">
        <x:f>IF(AND(ISNUMBER(X817),X817&gt;=0,Y817&lt;&gt;1),X817,"")</x:f>
        <x:v>23</x:v>
      </x:c>
      <x:c r="V817" s="10" t="n">
        <x:v>0</x:v>
      </x:c>
      <x:c r="W817" s="10" t="n">
        <x:v>0</x:v>
      </x:c>
      <x:c r="X817" s="10" t="n">
        <x:v>23</x:v>
      </x:c>
      <x:c r="Y817" s="3" t="n">
        <x:v>0</x:v>
      </x:c>
      <x:c r="Z817" s="3" t="str">
        <x:v>共同</x:v>
      </x:c>
      <x:c r="AA817" s="3" t="str">
        <x:v>在售</x:v>
      </x:c>
      <x:c r="AB817" s="12" t="str">
        <x:f>IF(AND(Z817="共同",ISNUMBER(G817),ISNUMBER(AD817)),G817-AD817,"")</x:f>
      </x:c>
      <x:c r="AC817" s="3" t="str">
        <x:v>近90天SKU销量未匹配，未按0处理</x:v>
      </x:c>
      <x:c r="AD817" s="12"/>
      <x:c r="AE817" s="3" t="str">
        <x:v>[6574,"S02a-BKP-41"]</x:v>
      </x:c>
      <x:c r="AF817" t="n">
        <x:f>IF(ISNUMBER(H817),1,0)</x:f>
        <x:v>1</x:v>
      </x:c>
      <x:c r="AG817" t="n">
        <x:f>IF(ISNUMBER(I817),1,0)</x:f>
        <x:v>1</x:v>
      </x:c>
      <x:c r="AH817" t="str">
        <x:v>["S02a","S02a-BKP","BKP","黑色PU"]</x:v>
      </x:c>
      <x:c r="AI817" t="n">
        <x:f>IF(ISNUMBER(G817),1,0)</x:f>
        <x:v>1</x:v>
      </x:c>
      <x:c r="AJ817" t="n">
        <x:f>IF(ISNUMBER(AD817),1,0)</x:f>
        <x:v>0</x:v>
      </x:c>
    </x:row>
    <x:row r="818" ht="30" customHeight="1">
      <x:c r="A818" s="3" t="str">
        <x:v>S02a-BKP1-37</x:v>
      </x:c>
      <x:c r="B818" s="3" t="str">
        <x:v>3店-SANDIEX-US</x:v>
      </x:c>
      <x:c r="C818" s="3" t="str">
        <x:v>陈晨</x:v>
      </x:c>
      <x:c r="D818" s="3" t="str">
        <x:v>S02a</x:v>
      </x:c>
      <x:c r="E818" s="3" t="str">
        <x:f>IF(Z818="移出","已移出",IF(NOT(ISNUMBER(H818)),"数据待核",IF(H818=0,"断货",IF(NOT(ISNUMBER(G818)),"数据待核",IF(G818=0,"零日销待复核",IF(F818&lt;60,"补货提醒",IF(F818&lt;=90,"正常库存",IF(F818&lt;180,"促销",IF(F818&lt;=365,"红线促销","考虑清仓")))))))))</x:f>
        <x:v>零日销待复核</x:v>
      </x:c>
      <x:c r="F818" s="11" t="str">
        <x:f>IF(AND(ISNUMBER(H818),ISNUMBER(G818),G818&gt;0),H818/G818,"")</x:f>
      </x:c>
      <x:c r="G818" s="12" t="n">
        <x:f>IF(AND(COUNT(P818:R818)=3,MIN(P818:R818)&gt;=0,P818&lt;=Q818,Q818&lt;=R818),P818/7*0.5+Q818/14*0.3+R818/30*0.2,"")</x:f>
        <x:v>0</x:v>
      </x:c>
      <x:c r="H818" s="10" t="n">
        <x:f>IF(ISNUMBER(U818),U818,"")</x:f>
        <x:v>10</x:v>
      </x:c>
      <x:c r="I818" s="10"/>
      <x:c r="J818" s="11" t="str">
        <x:f>IF(AND(Z818="共同",ISNUMBER(F818),ISNUMBER(M818)),F818-M818,"")</x:f>
      </x:c>
      <x:c r="K818" s="13" t="str">
        <x:f>IF(AND(ISNUMBER(J818),M818&lt;&gt;0),J818/M818,"")</x:f>
      </x:c>
      <x:c r="L818" s="10"/>
      <x:c r="M818" s="11"/>
      <x:c r="N818" s="10" t="str">
        <x:f>IF(AND(Z818="共同",COUNT(H818:I818)=2),H818-I818,"")</x:f>
      </x:c>
      <x:c r="O818" s="10" t="n">
        <x:v>0</x:v>
      </x:c>
      <x:c r="P818" s="10" t="n">
        <x:v>0</x:v>
      </x:c>
      <x:c r="Q818" s="10" t="n">
        <x:v>0</x:v>
      </x:c>
      <x:c r="R818" s="10" t="n">
        <x:v>0</x:v>
      </x:c>
      <x:c r="S818" s="10" t="n">
        <x:v>10</x:v>
      </x:c>
      <x:c r="T818" s="10" t="n">
        <x:v>0</x:v>
      </x:c>
      <x:c r="U818" s="10" t="n">
        <x:f>IF(AND(ISNUMBER(X818),X818&gt;=0,Y818&lt;&gt;1),X818,"")</x:f>
        <x:v>10</x:v>
      </x:c>
      <x:c r="V818" s="10" t="n">
        <x:v>0</x:v>
      </x:c>
      <x:c r="W818" s="10" t="n">
        <x:v>0</x:v>
      </x:c>
      <x:c r="X818" s="10" t="n">
        <x:v>10</x:v>
      </x:c>
      <x:c r="Y818" s="3" t="n">
        <x:v>0</x:v>
      </x:c>
      <x:c r="Z818" s="3" t="str">
        <x:v>新增</x:v>
      </x:c>
      <x:c r="AA818" s="3" t="str">
        <x:v>在售</x:v>
      </x:c>
      <x:c r="AB818" s="12" t="str">
        <x:f>IF(AND(Z818="共同",ISNUMBER(G818),ISNUMBER(AD818)),G818-AD818,"")</x:f>
      </x:c>
      <x:c r="AC818" s="3" t="str">
        <x:v>近90天SKU销量未匹配，未按0处理</x:v>
      </x:c>
      <x:c r="AD818" s="12"/>
      <x:c r="AE818" s="3" t="str">
        <x:v>[6574,"S02a-BKP1-37"]</x:v>
      </x:c>
      <x:c r="AF818" t="n">
        <x:f>IF(ISNUMBER(H818),1,0)</x:f>
        <x:v>1</x:v>
      </x:c>
      <x:c r="AG818" t="n">
        <x:f>IF(ISNUMBER(I818),1,0)</x:f>
        <x:v>0</x:v>
      </x:c>
      <x:c r="AH818" t="str">
        <x:v>["S02a","S02a-BKP1","BKP1","黑色PU"]</x:v>
      </x:c>
      <x:c r="AI818" t="n">
        <x:f>IF(ISNUMBER(G818),1,0)</x:f>
        <x:v>1</x:v>
      </x:c>
      <x:c r="AJ818" t="n">
        <x:f>IF(ISNUMBER(AD818),1,0)</x:f>
        <x:v>0</x:v>
      </x:c>
    </x:row>
    <x:row r="819" ht="30" customHeight="1">
      <x:c r="A819" s="3" t="str">
        <x:v>S02a-BKP1-38</x:v>
      </x:c>
      <x:c r="B819" s="3" t="str">
        <x:v>3店-SANDIEX-US</x:v>
      </x:c>
      <x:c r="C819" s="3" t="str">
        <x:v>陈晨</x:v>
      </x:c>
      <x:c r="D819" s="3" t="str">
        <x:v>S02a</x:v>
      </x:c>
      <x:c r="E819" s="3" t="str">
        <x:f>IF(Z819="移出","已移出",IF(NOT(ISNUMBER(H819)),"数据待核",IF(H819=0,"断货",IF(NOT(ISNUMBER(G819)),"数据待核",IF(G819=0,"零日销待复核",IF(F819&lt;60,"补货提醒",IF(F819&lt;=90,"正常库存",IF(F819&lt;180,"促销",IF(F819&lt;=365,"红线促销","考虑清仓")))))))))</x:f>
        <x:v>零日销待复核</x:v>
      </x:c>
      <x:c r="F819" s="11" t="str">
        <x:f>IF(AND(ISNUMBER(H819),ISNUMBER(G819),G819&gt;0),H819/G819,"")</x:f>
      </x:c>
      <x:c r="G819" s="12" t="n">
        <x:f>IF(AND(COUNT(P819:R819)=3,MIN(P819:R819)&gt;=0,P819&lt;=Q819,Q819&lt;=R819),P819/7*0.5+Q819/14*0.3+R819/30*0.2,"")</x:f>
        <x:v>0</x:v>
      </x:c>
      <x:c r="H819" s="10" t="n">
        <x:f>IF(ISNUMBER(U819),U819,"")</x:f>
        <x:v>3</x:v>
      </x:c>
      <x:c r="I819" s="10"/>
      <x:c r="J819" s="11" t="str">
        <x:f>IF(AND(Z819="共同",ISNUMBER(F819),ISNUMBER(M819)),F819-M819,"")</x:f>
      </x:c>
      <x:c r="K819" s="13" t="str">
        <x:f>IF(AND(ISNUMBER(J819),M819&lt;&gt;0),J819/M819,"")</x:f>
      </x:c>
      <x:c r="L819" s="10"/>
      <x:c r="M819" s="11"/>
      <x:c r="N819" s="10" t="str">
        <x:f>IF(AND(Z819="共同",COUNT(H819:I819)=2),H819-I819,"")</x:f>
      </x:c>
      <x:c r="O819" s="10" t="n">
        <x:v>0</x:v>
      </x:c>
      <x:c r="P819" s="10" t="n">
        <x:v>0</x:v>
      </x:c>
      <x:c r="Q819" s="10" t="n">
        <x:v>0</x:v>
      </x:c>
      <x:c r="R819" s="10" t="n">
        <x:v>0</x:v>
      </x:c>
      <x:c r="S819" s="10" t="n">
        <x:v>3</x:v>
      </x:c>
      <x:c r="T819" s="10" t="n">
        <x:v>0</x:v>
      </x:c>
      <x:c r="U819" s="10" t="n">
        <x:f>IF(AND(ISNUMBER(X819),X819&gt;=0,Y819&lt;&gt;1),X819,"")</x:f>
        <x:v>3</x:v>
      </x:c>
      <x:c r="V819" s="10" t="n">
        <x:v>0</x:v>
      </x:c>
      <x:c r="W819" s="10" t="n">
        <x:v>0</x:v>
      </x:c>
      <x:c r="X819" s="10" t="n">
        <x:v>3</x:v>
      </x:c>
      <x:c r="Y819" s="3" t="n">
        <x:v>0</x:v>
      </x:c>
      <x:c r="Z819" s="3" t="str">
        <x:v>新增</x:v>
      </x:c>
      <x:c r="AA819" s="3" t="str">
        <x:v>在售</x:v>
      </x:c>
      <x:c r="AB819" s="12" t="str">
        <x:f>IF(AND(Z819="共同",ISNUMBER(G819),ISNUMBER(AD819)),G819-AD819,"")</x:f>
      </x:c>
      <x:c r="AC819" s="3" t="str">
        <x:v>近90天SKU销量未匹配，未按0处理</x:v>
      </x:c>
      <x:c r="AD819" s="12"/>
      <x:c r="AE819" s="3" t="str">
        <x:v>[6574,"S02a-BKP1-38"]</x:v>
      </x:c>
      <x:c r="AF819" t="n">
        <x:f>IF(ISNUMBER(H819),1,0)</x:f>
        <x:v>1</x:v>
      </x:c>
      <x:c r="AG819" t="n">
        <x:f>IF(ISNUMBER(I819),1,0)</x:f>
        <x:v>0</x:v>
      </x:c>
      <x:c r="AH819" t="str">
        <x:v>["S02a","S02a-BKP1","BKP1","黑色PU"]</x:v>
      </x:c>
      <x:c r="AI819" t="n">
        <x:f>IF(ISNUMBER(G819),1,0)</x:f>
        <x:v>1</x:v>
      </x:c>
      <x:c r="AJ819" t="n">
        <x:f>IF(ISNUMBER(AD819),1,0)</x:f>
        <x:v>0</x:v>
      </x:c>
    </x:row>
    <x:row r="820" ht="30" customHeight="1">
      <x:c r="A820" s="3" t="str">
        <x:v>S02a-WT-37</x:v>
      </x:c>
      <x:c r="B820" s="3" t="str">
        <x:v>3店-SANDIEX-US</x:v>
      </x:c>
      <x:c r="C820" s="3" t="str">
        <x:v>陈晨</x:v>
      </x:c>
      <x:c r="D820" s="3" t="str">
        <x:v>S02a</x:v>
      </x:c>
      <x:c r="E820" s="3" t="str">
        <x:f>IF(Z820="移出","已移出",IF(NOT(ISNUMBER(H820)),"数据待核",IF(H820=0,"断货",IF(NOT(ISNUMBER(G820)),"数据待核",IF(G820=0,"零日销待复核",IF(F820&lt;60,"补货提醒",IF(F820&lt;=90,"正常库存",IF(F820&lt;180,"促销",IF(F820&lt;=365,"红线促销","考虑清仓")))))))))</x:f>
        <x:v>零日销待复核</x:v>
      </x:c>
      <x:c r="F820" s="11" t="str">
        <x:f>IF(AND(ISNUMBER(H820),ISNUMBER(G820),G820&gt;0),H820/G820,"")</x:f>
      </x:c>
      <x:c r="G820" s="12" t="n">
        <x:f>IF(AND(COUNT(P820:R820)=3,MIN(P820:R820)&gt;=0,P820&lt;=Q820,Q820&lt;=R820),P820/7*0.5+Q820/14*0.3+R820/30*0.2,"")</x:f>
        <x:v>0</x:v>
      </x:c>
      <x:c r="H820" s="10" t="n">
        <x:f>IF(ISNUMBER(U820),U820,"")</x:f>
        <x:v>17</x:v>
      </x:c>
      <x:c r="I820" s="10" t="n">
        <x:v>17</x:v>
      </x:c>
      <x:c r="J820" s="11" t="str">
        <x:f>IF(AND(Z820="共同",ISNUMBER(F820),ISNUMBER(M820)),F820-M820,"")</x:f>
      </x:c>
      <x:c r="K820" s="13" t="str">
        <x:f>IF(AND(ISNUMBER(J820),M820&lt;&gt;0),J820/M820,"")</x:f>
      </x:c>
      <x:c r="L820" s="10" t="str">
        <x:v>数据待核</x:v>
      </x:c>
      <x:c r="M820" s="11"/>
      <x:c r="N820" s="10" t="n">
        <x:f>IF(AND(Z820="共同",COUNT(H820:I820)=2),H820-I820,"")</x:f>
        <x:v>0</x:v>
      </x:c>
      <x:c r="O820" s="10" t="n">
        <x:v>10</x:v>
      </x:c>
      <x:c r="P820" s="10" t="n">
        <x:v>0</x:v>
      </x:c>
      <x:c r="Q820" s="10" t="n">
        <x:v>0</x:v>
      </x:c>
      <x:c r="R820" s="10" t="n">
        <x:v>0</x:v>
      </x:c>
      <x:c r="S820" s="10" t="n">
        <x:v>17</x:v>
      </x:c>
      <x:c r="T820" s="10" t="n">
        <x:v>0</x:v>
      </x:c>
      <x:c r="U820" s="10" t="n">
        <x:f>IF(AND(ISNUMBER(X820),X820&gt;=0,Y820&lt;&gt;1),X820,"")</x:f>
        <x:v>17</x:v>
      </x:c>
      <x:c r="V820" s="10" t="n">
        <x:v>0</x:v>
      </x:c>
      <x:c r="W820" s="10" t="n">
        <x:v>0</x:v>
      </x:c>
      <x:c r="X820" s="10" t="n">
        <x:v>17</x:v>
      </x:c>
      <x:c r="Y820" s="3" t="n">
        <x:v>0</x:v>
      </x:c>
      <x:c r="Z820" s="3" t="str">
        <x:v>共同</x:v>
      </x:c>
      <x:c r="AA820" s="3" t="str">
        <x:v>在售</x:v>
      </x:c>
      <x:c r="AB820" s="12" t="str">
        <x:f>IF(AND(Z820="共同",ISNUMBER(G820),ISNUMBER(AD820)),G820-AD820,"")</x:f>
      </x:c>
      <x:c r="AC820" s="3" t="str">
        <x:v>近90天SKU销量未匹配，未按0处理</x:v>
      </x:c>
      <x:c r="AD820" s="12"/>
      <x:c r="AE820" s="3" t="str">
        <x:v>[6574,"S02a-WT-37"]</x:v>
      </x:c>
      <x:c r="AF820" t="n">
        <x:f>IF(ISNUMBER(H820),1,0)</x:f>
        <x:v>1</x:v>
      </x:c>
      <x:c r="AG820" t="n">
        <x:f>IF(ISNUMBER(I820),1,0)</x:f>
        <x:v>1</x:v>
      </x:c>
      <x:c r="AH820" t="str">
        <x:v>["S02a","S02a-WT","WT","白色PU"]</x:v>
      </x:c>
      <x:c r="AI820" t="n">
        <x:f>IF(ISNUMBER(G820),1,0)</x:f>
        <x:v>1</x:v>
      </x:c>
      <x:c r="AJ820" t="n">
        <x:f>IF(ISNUMBER(AD820),1,0)</x:f>
        <x:v>0</x:v>
      </x:c>
    </x:row>
    <x:row r="821" ht="30" customHeight="1">
      <x:c r="A821" s="3" t="str">
        <x:v>S02a-WT-39</x:v>
      </x:c>
      <x:c r="B821" s="3" t="str">
        <x:v>3店-SANDIEX-US</x:v>
      </x:c>
      <x:c r="C821" s="3" t="str">
        <x:v>陈晨</x:v>
      </x:c>
      <x:c r="D821" s="3" t="str">
        <x:v>S02a</x:v>
      </x:c>
      <x:c r="E821" s="3" t="str">
        <x:f>IF(Z821="移出","已移出",IF(NOT(ISNUMBER(H821)),"数据待核",IF(H821=0,"断货",IF(NOT(ISNUMBER(G821)),"数据待核",IF(G821=0,"零日销待复核",IF(F821&lt;60,"补货提醒",IF(F821&lt;=90,"正常库存",IF(F821&lt;180,"促销",IF(F821&lt;=365,"红线促销","考虑清仓")))))))))</x:f>
        <x:v>零日销待复核</x:v>
      </x:c>
      <x:c r="F821" s="11" t="str">
        <x:f>IF(AND(ISNUMBER(H821),ISNUMBER(G821),G821&gt;0),H821/G821,"")</x:f>
      </x:c>
      <x:c r="G821" s="12" t="n">
        <x:f>IF(AND(COUNT(P821:R821)=3,MIN(P821:R821)&gt;=0,P821&lt;=Q821,Q821&lt;=R821),P821/7*0.5+Q821/14*0.3+R821/30*0.2,"")</x:f>
        <x:v>0</x:v>
      </x:c>
      <x:c r="H821" s="10" t="n">
        <x:f>IF(ISNUMBER(U821),U821,"")</x:f>
        <x:v>12</x:v>
      </x:c>
      <x:c r="I821" s="10" t="n">
        <x:v>12</x:v>
      </x:c>
      <x:c r="J821" s="11" t="str">
        <x:f>IF(AND(Z821="共同",ISNUMBER(F821),ISNUMBER(M821)),F821-M821,"")</x:f>
      </x:c>
      <x:c r="K821" s="13" t="str">
        <x:f>IF(AND(ISNUMBER(J821),M821&lt;&gt;0),J821/M821,"")</x:f>
      </x:c>
      <x:c r="L821" s="10" t="str">
        <x:v>数据待核</x:v>
      </x:c>
      <x:c r="M821" s="11"/>
      <x:c r="N821" s="10" t="n">
        <x:f>IF(AND(Z821="共同",COUNT(H821:I821)=2),H821-I821,"")</x:f>
        <x:v>0</x:v>
      </x:c>
      <x:c r="O821" s="10" t="n">
        <x:v>0</x:v>
      </x:c>
      <x:c r="P821" s="10" t="n">
        <x:v>0</x:v>
      </x:c>
      <x:c r="Q821" s="10" t="n">
        <x:v>0</x:v>
      </x:c>
      <x:c r="R821" s="10" t="n">
        <x:v>0</x:v>
      </x:c>
      <x:c r="S821" s="10" t="n">
        <x:v>12</x:v>
      </x:c>
      <x:c r="T821" s="10" t="n">
        <x:v>0</x:v>
      </x:c>
      <x:c r="U821" s="10" t="n">
        <x:f>IF(AND(ISNUMBER(X821),X821&gt;=0,Y821&lt;&gt;1),X821,"")</x:f>
        <x:v>12</x:v>
      </x:c>
      <x:c r="V821" s="10" t="n">
        <x:v>0</x:v>
      </x:c>
      <x:c r="W821" s="10" t="n">
        <x:v>0</x:v>
      </x:c>
      <x:c r="X821" s="10" t="n">
        <x:v>12</x:v>
      </x:c>
      <x:c r="Y821" s="3" t="n">
        <x:v>0</x:v>
      </x:c>
      <x:c r="Z821" s="3" t="str">
        <x:v>共同</x:v>
      </x:c>
      <x:c r="AA821" s="3" t="str">
        <x:v>在售</x:v>
      </x:c>
      <x:c r="AB821" s="12" t="str">
        <x:f>IF(AND(Z821="共同",ISNUMBER(G821),ISNUMBER(AD821)),G821-AD821,"")</x:f>
      </x:c>
      <x:c r="AC821" s="3" t="str">
        <x:v>近90天SKU销量未匹配，未按0处理</x:v>
      </x:c>
      <x:c r="AD821" s="12"/>
      <x:c r="AE821" s="3" t="str">
        <x:v>[6574,"S02a-WT-39"]</x:v>
      </x:c>
      <x:c r="AF821" t="n">
        <x:f>IF(ISNUMBER(H821),1,0)</x:f>
        <x:v>1</x:v>
      </x:c>
      <x:c r="AG821" t="n">
        <x:f>IF(ISNUMBER(I821),1,0)</x:f>
        <x:v>1</x:v>
      </x:c>
      <x:c r="AH821" t="str">
        <x:v>["S02a","S02a-WT","WT","白色PU"]</x:v>
      </x:c>
      <x:c r="AI821" t="n">
        <x:f>IF(ISNUMBER(G821),1,0)</x:f>
        <x:v>1</x:v>
      </x:c>
      <x:c r="AJ821" t="n">
        <x:f>IF(ISNUMBER(AD821),1,0)</x:f>
        <x:v>0</x:v>
      </x:c>
    </x:row>
    <x:row r="822" ht="30" customHeight="1">
      <x:c r="A822" s="3" t="str">
        <x:v>S02a-WT-40</x:v>
      </x:c>
      <x:c r="B822" s="3" t="str">
        <x:v>3店-SANDIEX-US</x:v>
      </x:c>
      <x:c r="C822" s="3" t="str">
        <x:v>陈晨</x:v>
      </x:c>
      <x:c r="D822" s="3" t="str">
        <x:v>S02a</x:v>
      </x:c>
      <x:c r="E822" s="3" t="str">
        <x:f>IF(Z822="移出","已移出",IF(NOT(ISNUMBER(H822)),"数据待核",IF(H822=0,"断货",IF(NOT(ISNUMBER(G822)),"数据待核",IF(G822=0,"零日销待复核",IF(F822&lt;60,"补货提醒",IF(F822&lt;=90,"正常库存",IF(F822&lt;180,"促销",IF(F822&lt;=365,"红线促销","考虑清仓")))))))))</x:f>
        <x:v>零日销待复核</x:v>
      </x:c>
      <x:c r="F822" s="11" t="str">
        <x:f>IF(AND(ISNUMBER(H822),ISNUMBER(G822),G822&gt;0),H822/G822,"")</x:f>
      </x:c>
      <x:c r="G822" s="12" t="n">
        <x:f>IF(AND(COUNT(P822:R822)=3,MIN(P822:R822)&gt;=0,P822&lt;=Q822,Q822&lt;=R822),P822/7*0.5+Q822/14*0.3+R822/30*0.2,"")</x:f>
        <x:v>0</x:v>
      </x:c>
      <x:c r="H822" s="10" t="n">
        <x:f>IF(ISNUMBER(U822),U822,"")</x:f>
        <x:v>16</x:v>
      </x:c>
      <x:c r="I822" s="10" t="n">
        <x:v>16</x:v>
      </x:c>
      <x:c r="J822" s="11" t="str">
        <x:f>IF(AND(Z822="共同",ISNUMBER(F822),ISNUMBER(M822)),F822-M822,"")</x:f>
      </x:c>
      <x:c r="K822" s="13" t="str">
        <x:f>IF(AND(ISNUMBER(J822),M822&lt;&gt;0),J822/M822,"")</x:f>
      </x:c>
      <x:c r="L822" s="10" t="str">
        <x:v>考虑清仓</x:v>
      </x:c>
      <x:c r="M822" s="11" t="n">
        <x:v>2400</x:v>
      </x:c>
      <x:c r="N822" s="10" t="n">
        <x:f>IF(AND(Z822="共同",COUNT(H822:I822)=2),H822-I822,"")</x:f>
        <x:v>0</x:v>
      </x:c>
      <x:c r="O822" s="10" t="n">
        <x:v>0</x:v>
      </x:c>
      <x:c r="P822" s="10" t="n">
        <x:v>0</x:v>
      </x:c>
      <x:c r="Q822" s="10" t="n">
        <x:v>0</x:v>
      </x:c>
      <x:c r="R822" s="10" t="n">
        <x:v>0</x:v>
      </x:c>
      <x:c r="S822" s="10" t="n">
        <x:v>16</x:v>
      </x:c>
      <x:c r="T822" s="10" t="n">
        <x:v>0</x:v>
      </x:c>
      <x:c r="U822" s="10" t="n">
        <x:f>IF(AND(ISNUMBER(X822),X822&gt;=0,Y822&lt;&gt;1),X822,"")</x:f>
        <x:v>16</x:v>
      </x:c>
      <x:c r="V822" s="10" t="n">
        <x:v>0</x:v>
      </x:c>
      <x:c r="W822" s="10" t="n">
        <x:v>0</x:v>
      </x:c>
      <x:c r="X822" s="10" t="n">
        <x:v>16</x:v>
      </x:c>
      <x:c r="Y822" s="3" t="n">
        <x:v>0</x:v>
      </x:c>
      <x:c r="Z822" s="3" t="str">
        <x:v>共同</x:v>
      </x:c>
      <x:c r="AA822" s="3" t="str">
        <x:v>在售</x:v>
      </x:c>
      <x:c r="AB822" s="12" t="n">
        <x:f>IF(AND(Z822="共同",ISNUMBER(G822),ISNUMBER(AD822)),G822-AD822,"")</x:f>
        <x:v>-0.006666666666666666</x:v>
      </x:c>
      <x:c r="AC822" s="3" t="str"/>
      <x:c r="AD822" s="12" t="n">
        <x:v>0.006666666666666666</x:v>
      </x:c>
      <x:c r="AE822" s="3" t="str">
        <x:v>[6574,"S02a-WT-40"]</x:v>
      </x:c>
      <x:c r="AF822" t="n">
        <x:f>IF(ISNUMBER(H822),1,0)</x:f>
        <x:v>1</x:v>
      </x:c>
      <x:c r="AG822" t="n">
        <x:f>IF(ISNUMBER(I822),1,0)</x:f>
        <x:v>1</x:v>
      </x:c>
      <x:c r="AH822" t="str">
        <x:v>["S02a","S02a-WT","WT","白色PU"]</x:v>
      </x:c>
      <x:c r="AI822" t="n">
        <x:f>IF(ISNUMBER(G822),1,0)</x:f>
        <x:v>1</x:v>
      </x:c>
      <x:c r="AJ822" t="n">
        <x:f>IF(ISNUMBER(AD822),1,0)</x:f>
        <x:v>1</x:v>
      </x:c>
    </x:row>
    <x:row r="823" ht="30" customHeight="1">
      <x:c r="A823" s="3" t="str">
        <x:v>S02a-WT-41</x:v>
      </x:c>
      <x:c r="B823" s="3" t="str">
        <x:v>3店-SANDIEX-US</x:v>
      </x:c>
      <x:c r="C823" s="3" t="str">
        <x:v>陈晨</x:v>
      </x:c>
      <x:c r="D823" s="3" t="str">
        <x:v>S02a</x:v>
      </x:c>
      <x:c r="E823" s="3" t="str">
        <x:f>IF(Z823="移出","已移出",IF(NOT(ISNUMBER(H823)),"数据待核",IF(H823=0,"断货",IF(NOT(ISNUMBER(G823)),"数据待核",IF(G823=0,"零日销待复核",IF(F823&lt;60,"补货提醒",IF(F823&lt;=90,"正常库存",IF(F823&lt;180,"促销",IF(F823&lt;=365,"红线促销","考虑清仓")))))))))</x:f>
        <x:v>零日销待复核</x:v>
      </x:c>
      <x:c r="F823" s="11" t="str">
        <x:f>IF(AND(ISNUMBER(H823),ISNUMBER(G823),G823&gt;0),H823/G823,"")</x:f>
      </x:c>
      <x:c r="G823" s="12" t="n">
        <x:f>IF(AND(COUNT(P823:R823)=3,MIN(P823:R823)&gt;=0,P823&lt;=Q823,Q823&lt;=R823),P823/7*0.5+Q823/14*0.3+R823/30*0.2,"")</x:f>
        <x:v>0</x:v>
      </x:c>
      <x:c r="H823" s="10" t="n">
        <x:f>IF(ISNUMBER(U823),U823,"")</x:f>
        <x:v>11</x:v>
      </x:c>
      <x:c r="I823" s="10" t="n">
        <x:v>11</x:v>
      </x:c>
      <x:c r="J823" s="11" t="str">
        <x:f>IF(AND(Z823="共同",ISNUMBER(F823),ISNUMBER(M823)),F823-M823,"")</x:f>
      </x:c>
      <x:c r="K823" s="13" t="str">
        <x:f>IF(AND(ISNUMBER(J823),M823&lt;&gt;0),J823/M823,"")</x:f>
      </x:c>
      <x:c r="L823" s="10" t="str">
        <x:v>零日销待复核</x:v>
      </x:c>
      <x:c r="M823" s="11"/>
      <x:c r="N823" s="10" t="n">
        <x:f>IF(AND(Z823="共同",COUNT(H823:I823)=2),H823-I823,"")</x:f>
        <x:v>0</x:v>
      </x:c>
      <x:c r="O823" s="10" t="n">
        <x:v>0</x:v>
      </x:c>
      <x:c r="P823" s="10" t="n">
        <x:v>0</x:v>
      </x:c>
      <x:c r="Q823" s="10" t="n">
        <x:v>0</x:v>
      </x:c>
      <x:c r="R823" s="10" t="n">
        <x:v>0</x:v>
      </x:c>
      <x:c r="S823" s="10" t="n">
        <x:v>11</x:v>
      </x:c>
      <x:c r="T823" s="10" t="n">
        <x:v>0</x:v>
      </x:c>
      <x:c r="U823" s="10" t="n">
        <x:f>IF(AND(ISNUMBER(X823),X823&gt;=0,Y823&lt;&gt;1),X823,"")</x:f>
        <x:v>11</x:v>
      </x:c>
      <x:c r="V823" s="10" t="n">
        <x:v>0</x:v>
      </x:c>
      <x:c r="W823" s="10" t="n">
        <x:v>0</x:v>
      </x:c>
      <x:c r="X823" s="10" t="n">
        <x:v>11</x:v>
      </x:c>
      <x:c r="Y823" s="3" t="n">
        <x:v>0</x:v>
      </x:c>
      <x:c r="Z823" s="3" t="str">
        <x:v>共同</x:v>
      </x:c>
      <x:c r="AA823" s="3" t="str">
        <x:v>在售</x:v>
      </x:c>
      <x:c r="AB823" s="12" t="n">
        <x:f>IF(AND(Z823="共同",ISNUMBER(G823),ISNUMBER(AD823)),G823-AD823,"")</x:f>
        <x:v>0</x:v>
      </x:c>
      <x:c r="AC823" s="3" t="str"/>
      <x:c r="AD823" s="12" t="n">
        <x:v>0</x:v>
      </x:c>
      <x:c r="AE823" s="3" t="str">
        <x:v>[6574,"S02a-WT-41"]</x:v>
      </x:c>
      <x:c r="AF823" t="n">
        <x:f>IF(ISNUMBER(H823),1,0)</x:f>
        <x:v>1</x:v>
      </x:c>
      <x:c r="AG823" t="n">
        <x:f>IF(ISNUMBER(I823),1,0)</x:f>
        <x:v>1</x:v>
      </x:c>
      <x:c r="AH823" t="str">
        <x:v>["S02a","S02a-WT","WT","白色PU"]</x:v>
      </x:c>
      <x:c r="AI823" t="n">
        <x:f>IF(ISNUMBER(G823),1,0)</x:f>
        <x:v>1</x:v>
      </x:c>
      <x:c r="AJ823" t="n">
        <x:f>IF(ISNUMBER(AD823),1,0)</x:f>
        <x:v>1</x:v>
      </x:c>
    </x:row>
    <x:row r="824" ht="30" customHeight="1">
      <x:c r="A824" s="3" t="str">
        <x:v>S02a-WT-42</x:v>
      </x:c>
      <x:c r="B824" s="3" t="str">
        <x:v>3店-SANDIEX-US</x:v>
      </x:c>
      <x:c r="C824" s="3" t="str">
        <x:v>陈晨</x:v>
      </x:c>
      <x:c r="D824" s="3" t="str">
        <x:v>S02a</x:v>
      </x:c>
      <x:c r="E824" s="3" t="str">
        <x:f>IF(Z824="移出","已移出",IF(NOT(ISNUMBER(H824)),"数据待核",IF(H824=0,"断货",IF(NOT(ISNUMBER(G824)),"数据待核",IF(G824=0,"零日销待复核",IF(F824&lt;60,"补货提醒",IF(F824&lt;=90,"正常库存",IF(F824&lt;180,"促销",IF(F824&lt;=365,"红线促销","考虑清仓")))))))))</x:f>
        <x:v>零日销待复核</x:v>
      </x:c>
      <x:c r="F824" s="11" t="str">
        <x:f>IF(AND(ISNUMBER(H824),ISNUMBER(G824),G824&gt;0),H824/G824,"")</x:f>
      </x:c>
      <x:c r="G824" s="12" t="n">
        <x:f>IF(AND(COUNT(P824:R824)=3,MIN(P824:R824)&gt;=0,P824&lt;=Q824,Q824&lt;=R824),P824/7*0.5+Q824/14*0.3+R824/30*0.2,"")</x:f>
        <x:v>0</x:v>
      </x:c>
      <x:c r="H824" s="10" t="n">
        <x:f>IF(ISNUMBER(U824),U824,"")</x:f>
        <x:v>2</x:v>
      </x:c>
      <x:c r="I824" s="10" t="n">
        <x:v>2</x:v>
      </x:c>
      <x:c r="J824" s="11" t="str">
        <x:f>IF(AND(Z824="共同",ISNUMBER(F824),ISNUMBER(M824)),F824-M824,"")</x:f>
      </x:c>
      <x:c r="K824" s="13" t="str">
        <x:f>IF(AND(ISNUMBER(J824),M824&lt;&gt;0),J824/M824,"")</x:f>
      </x:c>
      <x:c r="L824" s="10" t="str">
        <x:v>促销</x:v>
      </x:c>
      <x:c r="M824" s="11" t="n">
        <x:v>150</x:v>
      </x:c>
      <x:c r="N824" s="10" t="n">
        <x:f>IF(AND(Z824="共同",COUNT(H824:I824)=2),H824-I824,"")</x:f>
        <x:v>0</x:v>
      </x:c>
      <x:c r="O824" s="10" t="n">
        <x:v>0</x:v>
      </x:c>
      <x:c r="P824" s="10" t="n">
        <x:v>0</x:v>
      </x:c>
      <x:c r="Q824" s="10" t="n">
        <x:v>0</x:v>
      </x:c>
      <x:c r="R824" s="10" t="n">
        <x:v>0</x:v>
      </x:c>
      <x:c r="S824" s="10" t="n">
        <x:v>2</x:v>
      </x:c>
      <x:c r="T824" s="10" t="n">
        <x:v>0</x:v>
      </x:c>
      <x:c r="U824" s="10" t="n">
        <x:f>IF(AND(ISNUMBER(X824),X824&gt;=0,Y824&lt;&gt;1),X824,"")</x:f>
        <x:v>2</x:v>
      </x:c>
      <x:c r="V824" s="10" t="n">
        <x:v>0</x:v>
      </x:c>
      <x:c r="W824" s="10" t="n">
        <x:v>0</x:v>
      </x:c>
      <x:c r="X824" s="10" t="n">
        <x:v>2</x:v>
      </x:c>
      <x:c r="Y824" s="3" t="n">
        <x:v>0</x:v>
      </x:c>
      <x:c r="Z824" s="3" t="str">
        <x:v>共同</x:v>
      </x:c>
      <x:c r="AA824" s="3" t="str">
        <x:v>在售</x:v>
      </x:c>
      <x:c r="AB824" s="12" t="n">
        <x:f>IF(AND(Z824="共同",ISNUMBER(G824),ISNUMBER(AD824)),G824-AD824,"")</x:f>
        <x:v>-0.013333333333333332</x:v>
      </x:c>
      <x:c r="AC824" s="3" t="str"/>
      <x:c r="AD824" s="12" t="n">
        <x:v>0.013333333333333332</x:v>
      </x:c>
      <x:c r="AE824" s="3" t="str">
        <x:v>[6574,"S02a-WT-42"]</x:v>
      </x:c>
      <x:c r="AF824" t="n">
        <x:f>IF(ISNUMBER(H824),1,0)</x:f>
        <x:v>1</x:v>
      </x:c>
      <x:c r="AG824" t="n">
        <x:f>IF(ISNUMBER(I824),1,0)</x:f>
        <x:v>1</x:v>
      </x:c>
      <x:c r="AH824" t="str">
        <x:v>["S02a","S02a-WT","WT","白色PU"]</x:v>
      </x:c>
      <x:c r="AI824" t="n">
        <x:f>IF(ISNUMBER(G824),1,0)</x:f>
        <x:v>1</x:v>
      </x:c>
      <x:c r="AJ824" t="n">
        <x:f>IF(ISNUMBER(AD824),1,0)</x:f>
        <x:v>1</x:v>
      </x:c>
    </x:row>
    <x:row r="825" ht="30" customHeight="1">
      <x:c r="A825" s="3" t="str">
        <x:v>S02a-WT1-40</x:v>
      </x:c>
      <x:c r="B825" s="3" t="str">
        <x:v>3店-SANDIEX-US</x:v>
      </x:c>
      <x:c r="C825" s="3" t="str">
        <x:v>陈晨</x:v>
      </x:c>
      <x:c r="D825" s="3" t="str">
        <x:v>S02a</x:v>
      </x:c>
      <x:c r="E825" s="3" t="str">
        <x:f>IF(Z825="移出","已移出",IF(NOT(ISNUMBER(H825)),"数据待核",IF(H825=0,"断货",IF(NOT(ISNUMBER(G825)),"数据待核",IF(G825=0,"零日销待复核",IF(F825&lt;60,"补货提醒",IF(F825&lt;=90,"正常库存",IF(F825&lt;180,"促销",IF(F825&lt;=365,"红线促销","考虑清仓")))))))))</x:f>
        <x:v>零日销待复核</x:v>
      </x:c>
      <x:c r="F825" s="11" t="str">
        <x:f>IF(AND(ISNUMBER(H825),ISNUMBER(G825),G825&gt;0),H825/G825,"")</x:f>
      </x:c>
      <x:c r="G825" s="12" t="n">
        <x:f>IF(AND(COUNT(P825:R825)=3,MIN(P825:R825)&gt;=0,P825&lt;=Q825,Q825&lt;=R825),P825/7*0.5+Q825/14*0.3+R825/30*0.2,"")</x:f>
        <x:v>0</x:v>
      </x:c>
      <x:c r="H825" s="10" t="n">
        <x:f>IF(ISNUMBER(U825),U825,"")</x:f>
        <x:v>16</x:v>
      </x:c>
      <x:c r="I825" s="10"/>
      <x:c r="J825" s="11" t="str">
        <x:f>IF(AND(Z825="共同",ISNUMBER(F825),ISNUMBER(M825)),F825-M825,"")</x:f>
      </x:c>
      <x:c r="K825" s="13" t="str">
        <x:f>IF(AND(ISNUMBER(J825),M825&lt;&gt;0),J825/M825,"")</x:f>
      </x:c>
      <x:c r="L825" s="10"/>
      <x:c r="M825" s="11"/>
      <x:c r="N825" s="10" t="str">
        <x:f>IF(AND(Z825="共同",COUNT(H825:I825)=2),H825-I825,"")</x:f>
      </x:c>
      <x:c r="O825" s="10" t="n">
        <x:v>8</x:v>
      </x:c>
      <x:c r="P825" s="10" t="n">
        <x:v>0</x:v>
      </x:c>
      <x:c r="Q825" s="10" t="n">
        <x:v>0</x:v>
      </x:c>
      <x:c r="R825" s="10" t="n">
        <x:v>0</x:v>
      </x:c>
      <x:c r="S825" s="10" t="n">
        <x:v>16</x:v>
      </x:c>
      <x:c r="T825" s="10" t="n">
        <x:v>0</x:v>
      </x:c>
      <x:c r="U825" s="10" t="n">
        <x:f>IF(AND(ISNUMBER(X825),X825&gt;=0,Y825&lt;&gt;1),X825,"")</x:f>
        <x:v>16</x:v>
      </x:c>
      <x:c r="V825" s="10" t="n">
        <x:v>0</x:v>
      </x:c>
      <x:c r="W825" s="10" t="n">
        <x:v>0</x:v>
      </x:c>
      <x:c r="X825" s="10" t="n">
        <x:v>16</x:v>
      </x:c>
      <x:c r="Y825" s="3" t="n">
        <x:v>0</x:v>
      </x:c>
      <x:c r="Z825" s="3" t="str">
        <x:v>新增</x:v>
      </x:c>
      <x:c r="AA825" s="3" t="str">
        <x:v>在售</x:v>
      </x:c>
      <x:c r="AB825" s="12" t="str">
        <x:f>IF(AND(Z825="共同",ISNUMBER(G825),ISNUMBER(AD825)),G825-AD825,"")</x:f>
      </x:c>
      <x:c r="AC825" s="3" t="str">
        <x:v>近90天SKU销量未匹配，未按0处理</x:v>
      </x:c>
      <x:c r="AD825" s="12"/>
      <x:c r="AE825" s="3" t="str">
        <x:v>[6574,"S02a-WT1-40"]</x:v>
      </x:c>
      <x:c r="AF825" t="n">
        <x:f>IF(ISNUMBER(H825),1,0)</x:f>
        <x:v>1</x:v>
      </x:c>
      <x:c r="AG825" t="n">
        <x:f>IF(ISNUMBER(I825),1,0)</x:f>
        <x:v>0</x:v>
      </x:c>
      <x:c r="AH825" t="str">
        <x:v>["S02a","S02a-WT1","WT1","白色PU"]</x:v>
      </x:c>
      <x:c r="AI825" t="n">
        <x:f>IF(ISNUMBER(G825),1,0)</x:f>
        <x:v>1</x:v>
      </x:c>
      <x:c r="AJ825" t="n">
        <x:f>IF(ISNUMBER(AD825),1,0)</x:f>
        <x:v>0</x:v>
      </x:c>
    </x:row>
    <x:row r="826" ht="30" customHeight="1">
      <x:c r="A826" s="3" t="str">
        <x:v>S02a-WT1-42</x:v>
      </x:c>
      <x:c r="B826" s="3" t="str">
        <x:v>3店-SANDIEX-US</x:v>
      </x:c>
      <x:c r="C826" s="3" t="str">
        <x:v>陈晨</x:v>
      </x:c>
      <x:c r="D826" s="3" t="str">
        <x:v>S02a</x:v>
      </x:c>
      <x:c r="E826" s="3" t="str">
        <x:f>IF(Z826="移出","已移出",IF(NOT(ISNUMBER(H826)),"数据待核",IF(H826=0,"断货",IF(NOT(ISNUMBER(G826)),"数据待核",IF(G826=0,"零日销待复核",IF(F826&lt;60,"补货提醒",IF(F826&lt;=90,"正常库存",IF(F826&lt;180,"促销",IF(F826&lt;=365,"红线促销","考虑清仓")))))))))</x:f>
        <x:v>零日销待复核</x:v>
      </x:c>
      <x:c r="F826" s="11" t="str">
        <x:f>IF(AND(ISNUMBER(H826),ISNUMBER(G826),G826&gt;0),H826/G826,"")</x:f>
      </x:c>
      <x:c r="G826" s="12" t="n">
        <x:f>IF(AND(COUNT(P826:R826)=3,MIN(P826:R826)&gt;=0,P826&lt;=Q826,Q826&lt;=R826),P826/7*0.5+Q826/14*0.3+R826/30*0.2,"")</x:f>
        <x:v>0</x:v>
      </x:c>
      <x:c r="H826" s="10" t="n">
        <x:f>IF(ISNUMBER(U826),U826,"")</x:f>
        <x:v>19</x:v>
      </x:c>
      <x:c r="I826" s="10"/>
      <x:c r="J826" s="11" t="str">
        <x:f>IF(AND(Z826="共同",ISNUMBER(F826),ISNUMBER(M826)),F826-M826,"")</x:f>
      </x:c>
      <x:c r="K826" s="13" t="str">
        <x:f>IF(AND(ISNUMBER(J826),M826&lt;&gt;0),J826/M826,"")</x:f>
      </x:c>
      <x:c r="L826" s="10"/>
      <x:c r="M826" s="11"/>
      <x:c r="N826" s="10" t="str">
        <x:f>IF(AND(Z826="共同",COUNT(H826:I826)=2),H826-I826,"")</x:f>
      </x:c>
      <x:c r="O826" s="10" t="n">
        <x:v>0</x:v>
      </x:c>
      <x:c r="P826" s="10" t="n">
        <x:v>0</x:v>
      </x:c>
      <x:c r="Q826" s="10" t="n">
        <x:v>0</x:v>
      </x:c>
      <x:c r="R826" s="10" t="n">
        <x:v>0</x:v>
      </x:c>
      <x:c r="S826" s="10" t="n">
        <x:v>19</x:v>
      </x:c>
      <x:c r="T826" s="10" t="n">
        <x:v>0</x:v>
      </x:c>
      <x:c r="U826" s="10" t="n">
        <x:f>IF(AND(ISNUMBER(X826),X826&gt;=0,Y826&lt;&gt;1),X826,"")</x:f>
        <x:v>19</x:v>
      </x:c>
      <x:c r="V826" s="10" t="n">
        <x:v>0</x:v>
      </x:c>
      <x:c r="W826" s="10" t="n">
        <x:v>0</x:v>
      </x:c>
      <x:c r="X826" s="10" t="n">
        <x:v>19</x:v>
      </x:c>
      <x:c r="Y826" s="3" t="n">
        <x:v>0</x:v>
      </x:c>
      <x:c r="Z826" s="3" t="str">
        <x:v>新增</x:v>
      </x:c>
      <x:c r="AA826" s="3" t="str">
        <x:v>在售</x:v>
      </x:c>
      <x:c r="AB826" s="12" t="str">
        <x:f>IF(AND(Z826="共同",ISNUMBER(G826),ISNUMBER(AD826)),G826-AD826,"")</x:f>
      </x:c>
      <x:c r="AC826" s="3" t="str"/>
      <x:c r="AD826" s="12"/>
      <x:c r="AE826" s="3" t="str">
        <x:v>[6574,"S02a-WT1-42"]</x:v>
      </x:c>
      <x:c r="AF826" t="n">
        <x:f>IF(ISNUMBER(H826),1,0)</x:f>
        <x:v>1</x:v>
      </x:c>
      <x:c r="AG826" t="n">
        <x:f>IF(ISNUMBER(I826),1,0)</x:f>
        <x:v>0</x:v>
      </x:c>
      <x:c r="AH826" t="str">
        <x:v>["S02a","S02a-WT1","WT1","白色PU"]</x:v>
      </x:c>
      <x:c r="AI826" t="n">
        <x:f>IF(ISNUMBER(G826),1,0)</x:f>
        <x:v>1</x:v>
      </x:c>
      <x:c r="AJ826" t="n">
        <x:f>IF(ISNUMBER(AD826),1,0)</x:f>
        <x:v>0</x:v>
      </x:c>
    </x:row>
    <x:row r="827" ht="30" customHeight="1">
      <x:c r="A827" s="3" t="str">
        <x:v>S02b-ND-37</x:v>
      </x:c>
      <x:c r="B827" s="3" t="str">
        <x:v>3店-SANDIEX-US</x:v>
      </x:c>
      <x:c r="C827" s="3" t="str">
        <x:v>陈晨</x:v>
      </x:c>
      <x:c r="D827" s="3" t="str">
        <x:v>S02b</x:v>
      </x:c>
      <x:c r="E827" s="3" t="str">
        <x:f>IF(Z827="移出","已移出",IF(NOT(ISNUMBER(H827)),"数据待核",IF(H827=0,"断货",IF(NOT(ISNUMBER(G827)),"数据待核",IF(G827=0,"零日销待复核",IF(F827&lt;60,"补货提醒",IF(F827&lt;=90,"正常库存",IF(F827&lt;180,"促销",IF(F827&lt;=365,"红线促销","考虑清仓")))))))))</x:f>
        <x:v>零日销待复核</x:v>
      </x:c>
      <x:c r="F827" s="11" t="str">
        <x:f>IF(AND(ISNUMBER(H827),ISNUMBER(G827),G827&gt;0),H827/G827,"")</x:f>
      </x:c>
      <x:c r="G827" s="12" t="n">
        <x:f>IF(AND(COUNT(P827:R827)=3,MIN(P827:R827)&gt;=0,P827&lt;=Q827,Q827&lt;=R827),P827/7*0.5+Q827/14*0.3+R827/30*0.2,"")</x:f>
        <x:v>0</x:v>
      </x:c>
      <x:c r="H827" s="10" t="n">
        <x:f>IF(ISNUMBER(U827),U827,"")</x:f>
        <x:v>46</x:v>
      </x:c>
      <x:c r="I827" s="10" t="n">
        <x:v>38</x:v>
      </x:c>
      <x:c r="J827" s="11" t="str">
        <x:f>IF(AND(Z827="共同",ISNUMBER(F827),ISNUMBER(M827)),F827-M827,"")</x:f>
      </x:c>
      <x:c r="K827" s="13" t="str">
        <x:f>IF(AND(ISNUMBER(J827),M827&lt;&gt;0),J827/M827,"")</x:f>
      </x:c>
      <x:c r="L827" s="10" t="str">
        <x:v>考虑清仓</x:v>
      </x:c>
      <x:c r="M827" s="11" t="n">
        <x:v>5700</x:v>
      </x:c>
      <x:c r="N827" s="10" t="n">
        <x:f>IF(AND(Z827="共同",COUNT(H827:I827)=2),H827-I827,"")</x:f>
        <x:v>8</x:v>
      </x:c>
      <x:c r="O827" s="10" t="n">
        <x:v>54</x:v>
      </x:c>
      <x:c r="P827" s="10" t="n">
        <x:v>0</x:v>
      </x:c>
      <x:c r="Q827" s="10" t="n">
        <x:v>0</x:v>
      </x:c>
      <x:c r="R827" s="10" t="n">
        <x:v>0</x:v>
      </x:c>
      <x:c r="S827" s="10" t="n">
        <x:v>46</x:v>
      </x:c>
      <x:c r="T827" s="10" t="n">
        <x:v>0</x:v>
      </x:c>
      <x:c r="U827" s="10" t="n">
        <x:f>IF(AND(ISNUMBER(X827),X827&gt;=0,Y827&lt;&gt;1),X827,"")</x:f>
        <x:v>46</x:v>
      </x:c>
      <x:c r="V827" s="10" t="n">
        <x:v>0</x:v>
      </x:c>
      <x:c r="W827" s="10" t="n">
        <x:v>0</x:v>
      </x:c>
      <x:c r="X827" s="10" t="n">
        <x:v>46</x:v>
      </x:c>
      <x:c r="Y827" s="3" t="n">
        <x:v>0</x:v>
      </x:c>
      <x:c r="Z827" s="3" t="str">
        <x:v>共同</x:v>
      </x:c>
      <x:c r="AA827" s="3" t="str">
        <x:v>在售</x:v>
      </x:c>
      <x:c r="AB827" s="12" t="n">
        <x:f>IF(AND(Z827="共同",ISNUMBER(G827),ISNUMBER(AD827)),G827-AD827,"")</x:f>
        <x:v>-0.006666666666666666</x:v>
      </x:c>
      <x:c r="AC827" s="3" t="str"/>
      <x:c r="AD827" s="12" t="n">
        <x:v>0.006666666666666666</x:v>
      </x:c>
      <x:c r="AE827" s="3" t="str">
        <x:v>[6574,"S02b-ND-37"]</x:v>
      </x:c>
      <x:c r="AF827" t="n">
        <x:f>IF(ISNUMBER(H827),1,0)</x:f>
        <x:v>1</x:v>
      </x:c>
      <x:c r="AG827" t="n">
        <x:f>IF(ISNUMBER(I827),1,0)</x:f>
        <x:v>1</x:v>
      </x:c>
      <x:c r="AH827" t="str">
        <x:v>["S02b","S02b-ND","ND","裸色"]</x:v>
      </x:c>
      <x:c r="AI827" t="n">
        <x:f>IF(ISNUMBER(G827),1,0)</x:f>
        <x:v>1</x:v>
      </x:c>
      <x:c r="AJ827" t="n">
        <x:f>IF(ISNUMBER(AD827),1,0)</x:f>
        <x:v>1</x:v>
      </x:c>
    </x:row>
    <x:row r="828" ht="30" customHeight="1">
      <x:c r="A828" s="3" t="str">
        <x:v>1S01-BKX-37</x:v>
      </x:c>
      <x:c r="B828" s="3" t="str">
        <x:v>店铺待核</x:v>
      </x:c>
      <x:c r="C828" s="3" t="str">
        <x:v>徐新怡</x:v>
      </x:c>
      <x:c r="D828" s="3" t="str">
        <x:v>1S01</x:v>
      </x:c>
      <x:c r="E828" s="3" t="str">
        <x:f>IF(Z828="移出","已移出",IF(NOT(ISNUMBER(H828)),"数据待核",IF(H828=0,"断货",IF(NOT(ISNUMBER(G828)),"数据待核",IF(G828=0,"零日销待复核",IF(F828&lt;60,"补货提醒",IF(F828&lt;=90,"正常库存",IF(F828&lt;180,"促销",IF(F828&lt;=365,"红线促销","考虑清仓")))))))))</x:f>
        <x:v>数据待核</x:v>
      </x:c>
      <x:c r="F828" s="11" t="str">
        <x:f>IF(AND(ISNUMBER(H828),ISNUMBER(G828),G828&gt;0),H828/G828,"")</x:f>
      </x:c>
      <x:c r="G828" s="12" t="str">
        <x:f>IF(AND(COUNT(P828:R828)=3,MIN(P828:R828)&gt;=0,P828&lt;=Q828,Q828&lt;=R828),P828/7*0.5+Q828/14*0.3+R828/30*0.2,"")</x:f>
      </x:c>
      <x:c r="H828" s="10" t="str">
        <x:f>IF(ISNUMBER(U828),U828,"")</x:f>
      </x:c>
      <x:c r="I828" s="10"/>
      <x:c r="J828" s="11" t="str">
        <x:f>IF(AND(Z828="共同",ISNUMBER(F828),ISNUMBER(M828)),F828-M828,"")</x:f>
      </x:c>
      <x:c r="K828" s="13" t="str">
        <x:f>IF(AND(ISNUMBER(J828),M828&lt;&gt;0),J828/M828,"")</x:f>
      </x:c>
      <x:c r="L828" s="10"/>
      <x:c r="M828" s="11"/>
      <x:c r="N828" s="10" t="str">
        <x:f>IF(AND(Z828="共同",COUNT(H828:I828)=2),H828-I828,"")</x:f>
      </x:c>
      <x:c r="O828" s="10" t="n">
        <x:v>0</x:v>
      </x:c>
      <x:c r="P828" s="10"/>
      <x:c r="Q828" s="10"/>
      <x:c r="R828" s="10"/>
      <x:c r="S828" s="10"/>
      <x:c r="T828" s="10"/>
      <x:c r="U828" s="10" t="str">
        <x:f>IF(AND(ISNUMBER(X828),X828&gt;=0,Y828&lt;&gt;1),X828,"")</x:f>
      </x:c>
      <x:c r="V828" s="10"/>
      <x:c r="W828" s="10"/>
      <x:c r="X828" s="10"/>
      <x:c r="Y828" s="3" t="n">
        <x:v>0</x:v>
      </x:c>
      <x:c r="Z828" s="3" t="str">
        <x:v>新增</x:v>
      </x:c>
      <x:c r="AA828" s="3" t="str">
        <x:v>未匹配Listing</x:v>
      </x:c>
      <x:c r="AB828" s="12" t="str">
        <x:f>IF(AND(Z828="共同",ISNUMBER(G828),ISNUMBER(AD828)),G828-AD828,"")</x:f>
      </x:c>
      <x:c r="AC828" s="3" t="str">
        <x:v>领星完整SKU未匹配Listing，店铺待核</x:v>
      </x:c>
      <x:c r="AD828" s="12"/>
      <x:c r="AE828" s="3" t="str">
        <x:v>[null,"1S01-BKX-37"]</x:v>
      </x:c>
      <x:c r="AF828" t="n">
        <x:f>IF(ISNUMBER(H828),1,0)</x:f>
        <x:v>0</x:v>
      </x:c>
      <x:c r="AG828" t="n">
        <x:f>IF(ISNUMBER(I828),1,0)</x:f>
        <x:v>0</x:v>
      </x:c>
      <x:c r="AH828" t="str">
        <x:v>["1S01","1S01-BKX","BKX","黑色石头纹"]</x:v>
      </x:c>
      <x:c r="AI828" t="n">
        <x:f>IF(ISNUMBER(G828),1,0)</x:f>
        <x:v>0</x:v>
      </x:c>
      <x:c r="AJ828" t="n">
        <x:f>IF(ISNUMBER(AD828),1,0)</x:f>
        <x:v>0</x:v>
      </x:c>
    </x:row>
    <x:row r="829" ht="30" customHeight="1">
      <x:c r="A829" s="3" t="str">
        <x:v>1S01-BKX-37.5</x:v>
      </x:c>
      <x:c r="B829" s="3" t="str">
        <x:v>店铺待核</x:v>
      </x:c>
      <x:c r="C829" s="3" t="str">
        <x:v>徐新怡</x:v>
      </x:c>
      <x:c r="D829" s="3" t="str">
        <x:v>1S01</x:v>
      </x:c>
      <x:c r="E829" s="3" t="str">
        <x:f>IF(Z829="移出","已移出",IF(NOT(ISNUMBER(H829)),"数据待核",IF(H829=0,"断货",IF(NOT(ISNUMBER(G829)),"数据待核",IF(G829=0,"零日销待复核",IF(F829&lt;60,"补货提醒",IF(F829&lt;=90,"正常库存",IF(F829&lt;180,"促销",IF(F829&lt;=365,"红线促销","考虑清仓")))))))))</x:f>
        <x:v>数据待核</x:v>
      </x:c>
      <x:c r="F829" s="11" t="str">
        <x:f>IF(AND(ISNUMBER(H829),ISNUMBER(G829),G829&gt;0),H829/G829,"")</x:f>
      </x:c>
      <x:c r="G829" s="12" t="str">
        <x:f>IF(AND(COUNT(P829:R829)=3,MIN(P829:R829)&gt;=0,P829&lt;=Q829,Q829&lt;=R829),P829/7*0.5+Q829/14*0.3+R829/30*0.2,"")</x:f>
      </x:c>
      <x:c r="H829" s="10" t="str">
        <x:f>IF(ISNUMBER(U829),U829,"")</x:f>
      </x:c>
      <x:c r="I829" s="10"/>
      <x:c r="J829" s="11" t="str">
        <x:f>IF(AND(Z829="共同",ISNUMBER(F829),ISNUMBER(M829)),F829-M829,"")</x:f>
      </x:c>
      <x:c r="K829" s="13" t="str">
        <x:f>IF(AND(ISNUMBER(J829),M829&lt;&gt;0),J829/M829,"")</x:f>
      </x:c>
      <x:c r="L829" s="10"/>
      <x:c r="M829" s="11"/>
      <x:c r="N829" s="10" t="str">
        <x:f>IF(AND(Z829="共同",COUNT(H829:I829)=2),H829-I829,"")</x:f>
      </x:c>
      <x:c r="O829" s="10"/>
      <x:c r="P829" s="10"/>
      <x:c r="Q829" s="10"/>
      <x:c r="R829" s="10"/>
      <x:c r="S829" s="10"/>
      <x:c r="T829" s="10"/>
      <x:c r="U829" s="10" t="str">
        <x:f>IF(AND(ISNUMBER(X829),X829&gt;=0,Y829&lt;&gt;1),X829,"")</x:f>
      </x:c>
      <x:c r="V829" s="10"/>
      <x:c r="W829" s="10"/>
      <x:c r="X829" s="10"/>
      <x:c r="Y829" s="3" t="n">
        <x:v>0</x:v>
      </x:c>
      <x:c r="Z829" s="3" t="str">
        <x:v>新增</x:v>
      </x:c>
      <x:c r="AA829" s="3" t="str">
        <x:v>未匹配Listing</x:v>
      </x:c>
      <x:c r="AB829" s="12" t="str">
        <x:f>IF(AND(Z829="共同",ISNUMBER(G829),ISNUMBER(AD829)),G829-AD829,"")</x:f>
      </x:c>
      <x:c r="AC829" s="3" t="str">
        <x:v>领星完整SKU未匹配Listing，店铺待核</x:v>
      </x:c>
      <x:c r="AD829" s="12"/>
      <x:c r="AE829" s="3" t="str">
        <x:v>[null,"1S01-BKX-37.5"]</x:v>
      </x:c>
      <x:c r="AF829" t="n">
        <x:f>IF(ISNUMBER(H829),1,0)</x:f>
        <x:v>0</x:v>
      </x:c>
      <x:c r="AG829" t="n">
        <x:f>IF(ISNUMBER(I829),1,0)</x:f>
        <x:v>0</x:v>
      </x:c>
      <x:c r="AH829" t="str">
        <x:v>["1S01","1S01-BKX","BKX","黑色石头纹"]</x:v>
      </x:c>
      <x:c r="AI829" t="n">
        <x:f>IF(ISNUMBER(G829),1,0)</x:f>
        <x:v>0</x:v>
      </x:c>
      <x:c r="AJ829" t="n">
        <x:f>IF(ISNUMBER(AD829),1,0)</x:f>
        <x:v>0</x:v>
      </x:c>
    </x:row>
    <x:row r="830" ht="30" customHeight="1">
      <x:c r="A830" s="3" t="str">
        <x:v>1S01-BKX-38</x:v>
      </x:c>
      <x:c r="B830" s="3" t="str">
        <x:v>店铺待核</x:v>
      </x:c>
      <x:c r="C830" s="3" t="str">
        <x:v>徐新怡</x:v>
      </x:c>
      <x:c r="D830" s="3" t="str">
        <x:v>1S01</x:v>
      </x:c>
      <x:c r="E830" s="3" t="str">
        <x:f>IF(Z830="移出","已移出",IF(NOT(ISNUMBER(H830)),"数据待核",IF(H830=0,"断货",IF(NOT(ISNUMBER(G830)),"数据待核",IF(G830=0,"零日销待复核",IF(F830&lt;60,"补货提醒",IF(F830&lt;=90,"正常库存",IF(F830&lt;180,"促销",IF(F830&lt;=365,"红线促销","考虑清仓")))))))))</x:f>
        <x:v>数据待核</x:v>
      </x:c>
      <x:c r="F830" s="11" t="str">
        <x:f>IF(AND(ISNUMBER(H830),ISNUMBER(G830),G830&gt;0),H830/G830,"")</x:f>
      </x:c>
      <x:c r="G830" s="12" t="str">
        <x:f>IF(AND(COUNT(P830:R830)=3,MIN(P830:R830)&gt;=0,P830&lt;=Q830,Q830&lt;=R830),P830/7*0.5+Q830/14*0.3+R830/30*0.2,"")</x:f>
      </x:c>
      <x:c r="H830" s="10" t="str">
        <x:f>IF(ISNUMBER(U830),U830,"")</x:f>
      </x:c>
      <x:c r="I830" s="10"/>
      <x:c r="J830" s="11" t="str">
        <x:f>IF(AND(Z830="共同",ISNUMBER(F830),ISNUMBER(M830)),F830-M830,"")</x:f>
      </x:c>
      <x:c r="K830" s="13" t="str">
        <x:f>IF(AND(ISNUMBER(J830),M830&lt;&gt;0),J830/M830,"")</x:f>
      </x:c>
      <x:c r="L830" s="10"/>
      <x:c r="M830" s="11"/>
      <x:c r="N830" s="10" t="str">
        <x:f>IF(AND(Z830="共同",COUNT(H830:I830)=2),H830-I830,"")</x:f>
      </x:c>
      <x:c r="O830" s="10"/>
      <x:c r="P830" s="10"/>
      <x:c r="Q830" s="10"/>
      <x:c r="R830" s="10"/>
      <x:c r="S830" s="10"/>
      <x:c r="T830" s="10"/>
      <x:c r="U830" s="10" t="str">
        <x:f>IF(AND(ISNUMBER(X830),X830&gt;=0,Y830&lt;&gt;1),X830,"")</x:f>
      </x:c>
      <x:c r="V830" s="10"/>
      <x:c r="W830" s="10"/>
      <x:c r="X830" s="10"/>
      <x:c r="Y830" s="3" t="n">
        <x:v>0</x:v>
      </x:c>
      <x:c r="Z830" s="3" t="str">
        <x:v>新增</x:v>
      </x:c>
      <x:c r="AA830" s="3" t="str">
        <x:v>未匹配Listing</x:v>
      </x:c>
      <x:c r="AB830" s="12" t="str">
        <x:f>IF(AND(Z830="共同",ISNUMBER(G830),ISNUMBER(AD830)),G830-AD830,"")</x:f>
      </x:c>
      <x:c r="AC830" s="3" t="str">
        <x:v>领星完整SKU未匹配Listing，店铺待核</x:v>
      </x:c>
      <x:c r="AD830" s="12"/>
      <x:c r="AE830" s="3" t="str">
        <x:v>[null,"1S01-BKX-38"]</x:v>
      </x:c>
      <x:c r="AF830" t="n">
        <x:f>IF(ISNUMBER(H830),1,0)</x:f>
        <x:v>0</x:v>
      </x:c>
      <x:c r="AG830" t="n">
        <x:f>IF(ISNUMBER(I830),1,0)</x:f>
        <x:v>0</x:v>
      </x:c>
      <x:c r="AH830" t="str">
        <x:v>["1S01","1S01-BKX","BKX","黑色石头纹"]</x:v>
      </x:c>
      <x:c r="AI830" t="n">
        <x:f>IF(ISNUMBER(G830),1,0)</x:f>
        <x:v>0</x:v>
      </x:c>
      <x:c r="AJ830" t="n">
        <x:f>IF(ISNUMBER(AD830),1,0)</x:f>
        <x:v>0</x:v>
      </x:c>
    </x:row>
    <x:row r="831" ht="30" customHeight="1">
      <x:c r="A831" s="3" t="str">
        <x:v>1S01-BKX-38.5</x:v>
      </x:c>
      <x:c r="B831" s="3" t="str">
        <x:v>店铺待核</x:v>
      </x:c>
      <x:c r="C831" s="3" t="str">
        <x:v>徐新怡</x:v>
      </x:c>
      <x:c r="D831" s="3" t="str">
        <x:v>1S01</x:v>
      </x:c>
      <x:c r="E831" s="3" t="str">
        <x:f>IF(Z831="移出","已移出",IF(NOT(ISNUMBER(H831)),"数据待核",IF(H831=0,"断货",IF(NOT(ISNUMBER(G831)),"数据待核",IF(G831=0,"零日销待复核",IF(F831&lt;60,"补货提醒",IF(F831&lt;=90,"正常库存",IF(F831&lt;180,"促销",IF(F831&lt;=365,"红线促销","考虑清仓")))))))))</x:f>
        <x:v>数据待核</x:v>
      </x:c>
      <x:c r="F831" s="11" t="str">
        <x:f>IF(AND(ISNUMBER(H831),ISNUMBER(G831),G831&gt;0),H831/G831,"")</x:f>
      </x:c>
      <x:c r="G831" s="12" t="str">
        <x:f>IF(AND(COUNT(P831:R831)=3,MIN(P831:R831)&gt;=0,P831&lt;=Q831,Q831&lt;=R831),P831/7*0.5+Q831/14*0.3+R831/30*0.2,"")</x:f>
      </x:c>
      <x:c r="H831" s="10" t="str">
        <x:f>IF(ISNUMBER(U831),U831,"")</x:f>
      </x:c>
      <x:c r="I831" s="10"/>
      <x:c r="J831" s="11" t="str">
        <x:f>IF(AND(Z831="共同",ISNUMBER(F831),ISNUMBER(M831)),F831-M831,"")</x:f>
      </x:c>
      <x:c r="K831" s="13" t="str">
        <x:f>IF(AND(ISNUMBER(J831),M831&lt;&gt;0),J831/M831,"")</x:f>
      </x:c>
      <x:c r="L831" s="10"/>
      <x:c r="M831" s="11"/>
      <x:c r="N831" s="10" t="str">
        <x:f>IF(AND(Z831="共同",COUNT(H831:I831)=2),H831-I831,"")</x:f>
      </x:c>
      <x:c r="O831" s="10" t="n">
        <x:v>0</x:v>
      </x:c>
      <x:c r="P831" s="10"/>
      <x:c r="Q831" s="10"/>
      <x:c r="R831" s="10"/>
      <x:c r="S831" s="10"/>
      <x:c r="T831" s="10"/>
      <x:c r="U831" s="10" t="str">
        <x:f>IF(AND(ISNUMBER(X831),X831&gt;=0,Y831&lt;&gt;1),X831,"")</x:f>
      </x:c>
      <x:c r="V831" s="10"/>
      <x:c r="W831" s="10"/>
      <x:c r="X831" s="10"/>
      <x:c r="Y831" s="3" t="n">
        <x:v>0</x:v>
      </x:c>
      <x:c r="Z831" s="3" t="str">
        <x:v>新增</x:v>
      </x:c>
      <x:c r="AA831" s="3" t="str">
        <x:v>未匹配Listing</x:v>
      </x:c>
      <x:c r="AB831" s="12" t="str">
        <x:f>IF(AND(Z831="共同",ISNUMBER(G831),ISNUMBER(AD831)),G831-AD831,"")</x:f>
      </x:c>
      <x:c r="AC831" s="3" t="str">
        <x:v>领星完整SKU未匹配Listing，店铺待核</x:v>
      </x:c>
      <x:c r="AD831" s="12"/>
      <x:c r="AE831" s="3" t="str">
        <x:v>[null,"1S01-BKX-38.5"]</x:v>
      </x:c>
      <x:c r="AF831" t="n">
        <x:f>IF(ISNUMBER(H831),1,0)</x:f>
        <x:v>0</x:v>
      </x:c>
      <x:c r="AG831" t="n">
        <x:f>IF(ISNUMBER(I831),1,0)</x:f>
        <x:v>0</x:v>
      </x:c>
      <x:c r="AH831" t="str">
        <x:v>["1S01","1S01-BKX","BKX","黑色石头纹"]</x:v>
      </x:c>
      <x:c r="AI831" t="n">
        <x:f>IF(ISNUMBER(G831),1,0)</x:f>
        <x:v>0</x:v>
      </x:c>
      <x:c r="AJ831" t="n">
        <x:f>IF(ISNUMBER(AD831),1,0)</x:f>
        <x:v>0</x:v>
      </x:c>
    </x:row>
    <x:row r="832" ht="30" customHeight="1">
      <x:c r="A832" s="3" t="str">
        <x:v>1S01-BKX-39</x:v>
      </x:c>
      <x:c r="B832" s="3" t="str">
        <x:v>店铺待核</x:v>
      </x:c>
      <x:c r="C832" s="3" t="str">
        <x:v>徐新怡</x:v>
      </x:c>
      <x:c r="D832" s="3" t="str">
        <x:v>1S01</x:v>
      </x:c>
      <x:c r="E832" s="3" t="str">
        <x:f>IF(Z832="移出","已移出",IF(NOT(ISNUMBER(H832)),"数据待核",IF(H832=0,"断货",IF(NOT(ISNUMBER(G832)),"数据待核",IF(G832=0,"零日销待复核",IF(F832&lt;60,"补货提醒",IF(F832&lt;=90,"正常库存",IF(F832&lt;180,"促销",IF(F832&lt;=365,"红线促销","考虑清仓")))))))))</x:f>
        <x:v>数据待核</x:v>
      </x:c>
      <x:c r="F832" s="11" t="str">
        <x:f>IF(AND(ISNUMBER(H832),ISNUMBER(G832),G832&gt;0),H832/G832,"")</x:f>
      </x:c>
      <x:c r="G832" s="12" t="str">
        <x:f>IF(AND(COUNT(P832:R832)=3,MIN(P832:R832)&gt;=0,P832&lt;=Q832,Q832&lt;=R832),P832/7*0.5+Q832/14*0.3+R832/30*0.2,"")</x:f>
      </x:c>
      <x:c r="H832" s="10" t="str">
        <x:f>IF(ISNUMBER(U832),U832,"")</x:f>
      </x:c>
      <x:c r="I832" s="10"/>
      <x:c r="J832" s="11" t="str">
        <x:f>IF(AND(Z832="共同",ISNUMBER(F832),ISNUMBER(M832)),F832-M832,"")</x:f>
      </x:c>
      <x:c r="K832" s="13" t="str">
        <x:f>IF(AND(ISNUMBER(J832),M832&lt;&gt;0),J832/M832,"")</x:f>
      </x:c>
      <x:c r="L832" s="10"/>
      <x:c r="M832" s="11"/>
      <x:c r="N832" s="10" t="str">
        <x:f>IF(AND(Z832="共同",COUNT(H832:I832)=2),H832-I832,"")</x:f>
      </x:c>
      <x:c r="O832" s="10" t="n">
        <x:v>0</x:v>
      </x:c>
      <x:c r="P832" s="10"/>
      <x:c r="Q832" s="10"/>
      <x:c r="R832" s="10"/>
      <x:c r="S832" s="10"/>
      <x:c r="T832" s="10"/>
      <x:c r="U832" s="10" t="str">
        <x:f>IF(AND(ISNUMBER(X832),X832&gt;=0,Y832&lt;&gt;1),X832,"")</x:f>
      </x:c>
      <x:c r="V832" s="10"/>
      <x:c r="W832" s="10"/>
      <x:c r="X832" s="10"/>
      <x:c r="Y832" s="3" t="n">
        <x:v>0</x:v>
      </x:c>
      <x:c r="Z832" s="3" t="str">
        <x:v>新增</x:v>
      </x:c>
      <x:c r="AA832" s="3" t="str">
        <x:v>未匹配Listing</x:v>
      </x:c>
      <x:c r="AB832" s="12" t="str">
        <x:f>IF(AND(Z832="共同",ISNUMBER(G832),ISNUMBER(AD832)),G832-AD832,"")</x:f>
      </x:c>
      <x:c r="AC832" s="3" t="str">
        <x:v>领星完整SKU未匹配Listing，店铺待核</x:v>
      </x:c>
      <x:c r="AD832" s="12"/>
      <x:c r="AE832" s="3" t="str">
        <x:v>[null,"1S01-BKX-39"]</x:v>
      </x:c>
      <x:c r="AF832" t="n">
        <x:f>IF(ISNUMBER(H832),1,0)</x:f>
        <x:v>0</x:v>
      </x:c>
      <x:c r="AG832" t="n">
        <x:f>IF(ISNUMBER(I832),1,0)</x:f>
        <x:v>0</x:v>
      </x:c>
      <x:c r="AH832" t="str">
        <x:v>["1S01","1S01-BKX","BKX","黑色石头纹"]</x:v>
      </x:c>
      <x:c r="AI832" t="n">
        <x:f>IF(ISNUMBER(G832),1,0)</x:f>
        <x:v>0</x:v>
      </x:c>
      <x:c r="AJ832" t="n">
        <x:f>IF(ISNUMBER(AD832),1,0)</x:f>
        <x:v>0</x:v>
      </x:c>
    </x:row>
    <x:row r="833" ht="30" customHeight="1">
      <x:c r="A833" s="3" t="str">
        <x:v>1S01-BKX-39.5</x:v>
      </x:c>
      <x:c r="B833" s="3" t="str">
        <x:v>店铺待核</x:v>
      </x:c>
      <x:c r="C833" s="3" t="str">
        <x:v>徐新怡</x:v>
      </x:c>
      <x:c r="D833" s="3" t="str">
        <x:v>1S01</x:v>
      </x:c>
      <x:c r="E833" s="3" t="str">
        <x:f>IF(Z833="移出","已移出",IF(NOT(ISNUMBER(H833)),"数据待核",IF(H833=0,"断货",IF(NOT(ISNUMBER(G833)),"数据待核",IF(G833=0,"零日销待复核",IF(F833&lt;60,"补货提醒",IF(F833&lt;=90,"正常库存",IF(F833&lt;180,"促销",IF(F833&lt;=365,"红线促销","考虑清仓")))))))))</x:f>
        <x:v>数据待核</x:v>
      </x:c>
      <x:c r="F833" s="11" t="str">
        <x:f>IF(AND(ISNUMBER(H833),ISNUMBER(G833),G833&gt;0),H833/G833,"")</x:f>
      </x:c>
      <x:c r="G833" s="12" t="str">
        <x:f>IF(AND(COUNT(P833:R833)=3,MIN(P833:R833)&gt;=0,P833&lt;=Q833,Q833&lt;=R833),P833/7*0.5+Q833/14*0.3+R833/30*0.2,"")</x:f>
      </x:c>
      <x:c r="H833" s="10" t="str">
        <x:f>IF(ISNUMBER(U833),U833,"")</x:f>
      </x:c>
      <x:c r="I833" s="10"/>
      <x:c r="J833" s="11" t="str">
        <x:f>IF(AND(Z833="共同",ISNUMBER(F833),ISNUMBER(M833)),F833-M833,"")</x:f>
      </x:c>
      <x:c r="K833" s="13" t="str">
        <x:f>IF(AND(ISNUMBER(J833),M833&lt;&gt;0),J833/M833,"")</x:f>
      </x:c>
      <x:c r="L833" s="10"/>
      <x:c r="M833" s="11"/>
      <x:c r="N833" s="10" t="str">
        <x:f>IF(AND(Z833="共同",COUNT(H833:I833)=2),H833-I833,"")</x:f>
      </x:c>
      <x:c r="O833" s="10"/>
      <x:c r="P833" s="10"/>
      <x:c r="Q833" s="10"/>
      <x:c r="R833" s="10"/>
      <x:c r="S833" s="10"/>
      <x:c r="T833" s="10"/>
      <x:c r="U833" s="10" t="str">
        <x:f>IF(AND(ISNUMBER(X833),X833&gt;=0,Y833&lt;&gt;1),X833,"")</x:f>
      </x:c>
      <x:c r="V833" s="10"/>
      <x:c r="W833" s="10"/>
      <x:c r="X833" s="10"/>
      <x:c r="Y833" s="3" t="n">
        <x:v>0</x:v>
      </x:c>
      <x:c r="Z833" s="3" t="str">
        <x:v>新增</x:v>
      </x:c>
      <x:c r="AA833" s="3" t="str">
        <x:v>未匹配Listing</x:v>
      </x:c>
      <x:c r="AB833" s="12" t="str">
        <x:f>IF(AND(Z833="共同",ISNUMBER(G833),ISNUMBER(AD833)),G833-AD833,"")</x:f>
      </x:c>
      <x:c r="AC833" s="3" t="str">
        <x:v>领星完整SKU未匹配Listing，店铺待核</x:v>
      </x:c>
      <x:c r="AD833" s="12"/>
      <x:c r="AE833" s="3" t="str">
        <x:v>[null,"1S01-BKX-39.5"]</x:v>
      </x:c>
      <x:c r="AF833" t="n">
        <x:f>IF(ISNUMBER(H833),1,0)</x:f>
        <x:v>0</x:v>
      </x:c>
      <x:c r="AG833" t="n">
        <x:f>IF(ISNUMBER(I833),1,0)</x:f>
        <x:v>0</x:v>
      </x:c>
      <x:c r="AH833" t="str">
        <x:v>["1S01","1S01-BKX","BKX","黑色石头纹"]</x:v>
      </x:c>
      <x:c r="AI833" t="n">
        <x:f>IF(ISNUMBER(G833),1,0)</x:f>
        <x:v>0</x:v>
      </x:c>
      <x:c r="AJ833" t="n">
        <x:f>IF(ISNUMBER(AD833),1,0)</x:f>
        <x:v>0</x:v>
      </x:c>
    </x:row>
    <x:row r="834" ht="30" customHeight="1">
      <x:c r="A834" s="3" t="str">
        <x:v>1S01-BKX-40</x:v>
      </x:c>
      <x:c r="B834" s="3" t="str">
        <x:v>店铺待核</x:v>
      </x:c>
      <x:c r="C834" s="3" t="str">
        <x:v>徐新怡</x:v>
      </x:c>
      <x:c r="D834" s="3" t="str">
        <x:v>1S01</x:v>
      </x:c>
      <x:c r="E834" s="3" t="str">
        <x:f>IF(Z834="移出","已移出",IF(NOT(ISNUMBER(H834)),"数据待核",IF(H834=0,"断货",IF(NOT(ISNUMBER(G834)),"数据待核",IF(G834=0,"零日销待复核",IF(F834&lt;60,"补货提醒",IF(F834&lt;=90,"正常库存",IF(F834&lt;180,"促销",IF(F834&lt;=365,"红线促销","考虑清仓")))))))))</x:f>
        <x:v>数据待核</x:v>
      </x:c>
      <x:c r="F834" s="11" t="str">
        <x:f>IF(AND(ISNUMBER(H834),ISNUMBER(G834),G834&gt;0),H834/G834,"")</x:f>
      </x:c>
      <x:c r="G834" s="12" t="str">
        <x:f>IF(AND(COUNT(P834:R834)=3,MIN(P834:R834)&gt;=0,P834&lt;=Q834,Q834&lt;=R834),P834/7*0.5+Q834/14*0.3+R834/30*0.2,"")</x:f>
      </x:c>
      <x:c r="H834" s="10" t="str">
        <x:f>IF(ISNUMBER(U834),U834,"")</x:f>
      </x:c>
      <x:c r="I834" s="10"/>
      <x:c r="J834" s="11" t="str">
        <x:f>IF(AND(Z834="共同",ISNUMBER(F834),ISNUMBER(M834)),F834-M834,"")</x:f>
      </x:c>
      <x:c r="K834" s="13" t="str">
        <x:f>IF(AND(ISNUMBER(J834),M834&lt;&gt;0),J834/M834,"")</x:f>
      </x:c>
      <x:c r="L834" s="10"/>
      <x:c r="M834" s="11"/>
      <x:c r="N834" s="10" t="str">
        <x:f>IF(AND(Z834="共同",COUNT(H834:I834)=2),H834-I834,"")</x:f>
      </x:c>
      <x:c r="O834" s="10" t="n">
        <x:v>0</x:v>
      </x:c>
      <x:c r="P834" s="10"/>
      <x:c r="Q834" s="10"/>
      <x:c r="R834" s="10"/>
      <x:c r="S834" s="10"/>
      <x:c r="T834" s="10"/>
      <x:c r="U834" s="10" t="str">
        <x:f>IF(AND(ISNUMBER(X834),X834&gt;=0,Y834&lt;&gt;1),X834,"")</x:f>
      </x:c>
      <x:c r="V834" s="10"/>
      <x:c r="W834" s="10"/>
      <x:c r="X834" s="10"/>
      <x:c r="Y834" s="3" t="n">
        <x:v>0</x:v>
      </x:c>
      <x:c r="Z834" s="3" t="str">
        <x:v>新增</x:v>
      </x:c>
      <x:c r="AA834" s="3" t="str">
        <x:v>未匹配Listing</x:v>
      </x:c>
      <x:c r="AB834" s="12" t="str">
        <x:f>IF(AND(Z834="共同",ISNUMBER(G834),ISNUMBER(AD834)),G834-AD834,"")</x:f>
      </x:c>
      <x:c r="AC834" s="3" t="str">
        <x:v>领星完整SKU未匹配Listing，店铺待核</x:v>
      </x:c>
      <x:c r="AD834" s="12"/>
      <x:c r="AE834" s="3" t="str">
        <x:v>[null,"1S01-BKX-40"]</x:v>
      </x:c>
      <x:c r="AF834" t="n">
        <x:f>IF(ISNUMBER(H834),1,0)</x:f>
        <x:v>0</x:v>
      </x:c>
      <x:c r="AG834" t="n">
        <x:f>IF(ISNUMBER(I834),1,0)</x:f>
        <x:v>0</x:v>
      </x:c>
      <x:c r="AH834" t="str">
        <x:v>["1S01","1S01-BKX","BKX","黑色石头纹"]</x:v>
      </x:c>
      <x:c r="AI834" t="n">
        <x:f>IF(ISNUMBER(G834),1,0)</x:f>
        <x:v>0</x:v>
      </x:c>
      <x:c r="AJ834" t="n">
        <x:f>IF(ISNUMBER(AD834),1,0)</x:f>
        <x:v>0</x:v>
      </x:c>
    </x:row>
    <x:row r="835" ht="30" customHeight="1">
      <x:c r="A835" s="3" t="str">
        <x:v>1S01-BKX-40.5</x:v>
      </x:c>
      <x:c r="B835" s="3" t="str">
        <x:v>店铺待核</x:v>
      </x:c>
      <x:c r="C835" s="3" t="str">
        <x:v>徐新怡</x:v>
      </x:c>
      <x:c r="D835" s="3" t="str">
        <x:v>1S01</x:v>
      </x:c>
      <x:c r="E835" s="3" t="str">
        <x:f>IF(Z835="移出","已移出",IF(NOT(ISNUMBER(H835)),"数据待核",IF(H835=0,"断货",IF(NOT(ISNUMBER(G835)),"数据待核",IF(G835=0,"零日销待复核",IF(F835&lt;60,"补货提醒",IF(F835&lt;=90,"正常库存",IF(F835&lt;180,"促销",IF(F835&lt;=365,"红线促销","考虑清仓")))))))))</x:f>
        <x:v>数据待核</x:v>
      </x:c>
      <x:c r="F835" s="11" t="str">
        <x:f>IF(AND(ISNUMBER(H835),ISNUMBER(G835),G835&gt;0),H835/G835,"")</x:f>
      </x:c>
      <x:c r="G835" s="12" t="str">
        <x:f>IF(AND(COUNT(P835:R835)=3,MIN(P835:R835)&gt;=0,P835&lt;=Q835,Q835&lt;=R835),P835/7*0.5+Q835/14*0.3+R835/30*0.2,"")</x:f>
      </x:c>
      <x:c r="H835" s="10" t="str">
        <x:f>IF(ISNUMBER(U835),U835,"")</x:f>
      </x:c>
      <x:c r="I835" s="10"/>
      <x:c r="J835" s="11" t="str">
        <x:f>IF(AND(Z835="共同",ISNUMBER(F835),ISNUMBER(M835)),F835-M835,"")</x:f>
      </x:c>
      <x:c r="K835" s="13" t="str">
        <x:f>IF(AND(ISNUMBER(J835),M835&lt;&gt;0),J835/M835,"")</x:f>
      </x:c>
      <x:c r="L835" s="10"/>
      <x:c r="M835" s="11"/>
      <x:c r="N835" s="10" t="str">
        <x:f>IF(AND(Z835="共同",COUNT(H835:I835)=2),H835-I835,"")</x:f>
      </x:c>
      <x:c r="O835" s="10"/>
      <x:c r="P835" s="10"/>
      <x:c r="Q835" s="10"/>
      <x:c r="R835" s="10"/>
      <x:c r="S835" s="10"/>
      <x:c r="T835" s="10"/>
      <x:c r="U835" s="10" t="str">
        <x:f>IF(AND(ISNUMBER(X835),X835&gt;=0,Y835&lt;&gt;1),X835,"")</x:f>
      </x:c>
      <x:c r="V835" s="10"/>
      <x:c r="W835" s="10"/>
      <x:c r="X835" s="10"/>
      <x:c r="Y835" s="3" t="n">
        <x:v>0</x:v>
      </x:c>
      <x:c r="Z835" s="3" t="str">
        <x:v>新增</x:v>
      </x:c>
      <x:c r="AA835" s="3" t="str">
        <x:v>未匹配Listing</x:v>
      </x:c>
      <x:c r="AB835" s="12" t="str">
        <x:f>IF(AND(Z835="共同",ISNUMBER(G835),ISNUMBER(AD835)),G835-AD835,"")</x:f>
      </x:c>
      <x:c r="AC835" s="3" t="str">
        <x:v>领星完整SKU未匹配Listing，店铺待核</x:v>
      </x:c>
      <x:c r="AD835" s="12"/>
      <x:c r="AE835" s="3" t="str">
        <x:v>[null,"1S01-BKX-40.5"]</x:v>
      </x:c>
      <x:c r="AF835" t="n">
        <x:f>IF(ISNUMBER(H835),1,0)</x:f>
        <x:v>0</x:v>
      </x:c>
      <x:c r="AG835" t="n">
        <x:f>IF(ISNUMBER(I835),1,0)</x:f>
        <x:v>0</x:v>
      </x:c>
      <x:c r="AH835" t="str">
        <x:v>["1S01","1S01-BKX","BKX","黑色石头纹"]</x:v>
      </x:c>
      <x:c r="AI835" t="n">
        <x:f>IF(ISNUMBER(G835),1,0)</x:f>
        <x:v>0</x:v>
      </x:c>
      <x:c r="AJ835" t="n">
        <x:f>IF(ISNUMBER(AD835),1,0)</x:f>
        <x:v>0</x:v>
      </x:c>
    </x:row>
    <x:row r="836" ht="30" customHeight="1">
      <x:c r="A836" s="3" t="str">
        <x:v>1S01-BKX-41</x:v>
      </x:c>
      <x:c r="B836" s="3" t="str">
        <x:v>店铺待核</x:v>
      </x:c>
      <x:c r="C836" s="3" t="str">
        <x:v>徐新怡</x:v>
      </x:c>
      <x:c r="D836" s="3" t="str">
        <x:v>1S01</x:v>
      </x:c>
      <x:c r="E836" s="3" t="str">
        <x:f>IF(Z836="移出","已移出",IF(NOT(ISNUMBER(H836)),"数据待核",IF(H836=0,"断货",IF(NOT(ISNUMBER(G836)),"数据待核",IF(G836=0,"零日销待复核",IF(F836&lt;60,"补货提醒",IF(F836&lt;=90,"正常库存",IF(F836&lt;180,"促销",IF(F836&lt;=365,"红线促销","考虑清仓")))))))))</x:f>
        <x:v>数据待核</x:v>
      </x:c>
      <x:c r="F836" s="11" t="str">
        <x:f>IF(AND(ISNUMBER(H836),ISNUMBER(G836),G836&gt;0),H836/G836,"")</x:f>
      </x:c>
      <x:c r="G836" s="12" t="str">
        <x:f>IF(AND(COUNT(P836:R836)=3,MIN(P836:R836)&gt;=0,P836&lt;=Q836,Q836&lt;=R836),P836/7*0.5+Q836/14*0.3+R836/30*0.2,"")</x:f>
      </x:c>
      <x:c r="H836" s="10" t="str">
        <x:f>IF(ISNUMBER(U836),U836,"")</x:f>
      </x:c>
      <x:c r="I836" s="10"/>
      <x:c r="J836" s="11" t="str">
        <x:f>IF(AND(Z836="共同",ISNUMBER(F836),ISNUMBER(M836)),F836-M836,"")</x:f>
      </x:c>
      <x:c r="K836" s="13" t="str">
        <x:f>IF(AND(ISNUMBER(J836),M836&lt;&gt;0),J836/M836,"")</x:f>
      </x:c>
      <x:c r="L836" s="10"/>
      <x:c r="M836" s="11"/>
      <x:c r="N836" s="10" t="str">
        <x:f>IF(AND(Z836="共同",COUNT(H836:I836)=2),H836-I836,"")</x:f>
      </x:c>
      <x:c r="O836" s="10" t="n">
        <x:v>0</x:v>
      </x:c>
      <x:c r="P836" s="10"/>
      <x:c r="Q836" s="10"/>
      <x:c r="R836" s="10"/>
      <x:c r="S836" s="10"/>
      <x:c r="T836" s="10"/>
      <x:c r="U836" s="10" t="str">
        <x:f>IF(AND(ISNUMBER(X836),X836&gt;=0,Y836&lt;&gt;1),X836,"")</x:f>
      </x:c>
      <x:c r="V836" s="10"/>
      <x:c r="W836" s="10"/>
      <x:c r="X836" s="10"/>
      <x:c r="Y836" s="3" t="n">
        <x:v>0</x:v>
      </x:c>
      <x:c r="Z836" s="3" t="str">
        <x:v>新增</x:v>
      </x:c>
      <x:c r="AA836" s="3" t="str">
        <x:v>未匹配Listing</x:v>
      </x:c>
      <x:c r="AB836" s="12" t="str">
        <x:f>IF(AND(Z836="共同",ISNUMBER(G836),ISNUMBER(AD836)),G836-AD836,"")</x:f>
      </x:c>
      <x:c r="AC836" s="3" t="str">
        <x:v>领星完整SKU未匹配Listing，店铺待核</x:v>
      </x:c>
      <x:c r="AD836" s="12"/>
      <x:c r="AE836" s="3" t="str">
        <x:v>[null,"1S01-BKX-41"]</x:v>
      </x:c>
      <x:c r="AF836" t="n">
        <x:f>IF(ISNUMBER(H836),1,0)</x:f>
        <x:v>0</x:v>
      </x:c>
      <x:c r="AG836" t="n">
        <x:f>IF(ISNUMBER(I836),1,0)</x:f>
        <x:v>0</x:v>
      </x:c>
      <x:c r="AH836" t="str">
        <x:v>["1S01","1S01-BKX","BKX","黑色石头纹"]</x:v>
      </x:c>
      <x:c r="AI836" t="n">
        <x:f>IF(ISNUMBER(G836),1,0)</x:f>
        <x:v>0</x:v>
      </x:c>
      <x:c r="AJ836" t="n">
        <x:f>IF(ISNUMBER(AD836),1,0)</x:f>
        <x:v>0</x:v>
      </x:c>
    </x:row>
    <x:row r="837" ht="30" customHeight="1">
      <x:c r="A837" s="3" t="str">
        <x:v>1S01-BKX-41.5</x:v>
      </x:c>
      <x:c r="B837" s="3" t="str">
        <x:v>店铺待核</x:v>
      </x:c>
      <x:c r="C837" s="3" t="str">
        <x:v>徐新怡</x:v>
      </x:c>
      <x:c r="D837" s="3" t="str">
        <x:v>1S01</x:v>
      </x:c>
      <x:c r="E837" s="3" t="str">
        <x:f>IF(Z837="移出","已移出",IF(NOT(ISNUMBER(H837)),"数据待核",IF(H837=0,"断货",IF(NOT(ISNUMBER(G837)),"数据待核",IF(G837=0,"零日销待复核",IF(F837&lt;60,"补货提醒",IF(F837&lt;=90,"正常库存",IF(F837&lt;180,"促销",IF(F837&lt;=365,"红线促销","考虑清仓")))))))))</x:f>
        <x:v>数据待核</x:v>
      </x:c>
      <x:c r="F837" s="11" t="str">
        <x:f>IF(AND(ISNUMBER(H837),ISNUMBER(G837),G837&gt;0),H837/G837,"")</x:f>
      </x:c>
      <x:c r="G837" s="12" t="str">
        <x:f>IF(AND(COUNT(P837:R837)=3,MIN(P837:R837)&gt;=0,P837&lt;=Q837,Q837&lt;=R837),P837/7*0.5+Q837/14*0.3+R837/30*0.2,"")</x:f>
      </x:c>
      <x:c r="H837" s="10" t="str">
        <x:f>IF(ISNUMBER(U837),U837,"")</x:f>
      </x:c>
      <x:c r="I837" s="10"/>
      <x:c r="J837" s="11" t="str">
        <x:f>IF(AND(Z837="共同",ISNUMBER(F837),ISNUMBER(M837)),F837-M837,"")</x:f>
      </x:c>
      <x:c r="K837" s="13" t="str">
        <x:f>IF(AND(ISNUMBER(J837),M837&lt;&gt;0),J837/M837,"")</x:f>
      </x:c>
      <x:c r="L837" s="10"/>
      <x:c r="M837" s="11"/>
      <x:c r="N837" s="10" t="str">
        <x:f>IF(AND(Z837="共同",COUNT(H837:I837)=2),H837-I837,"")</x:f>
      </x:c>
      <x:c r="O837" s="10"/>
      <x:c r="P837" s="10"/>
      <x:c r="Q837" s="10"/>
      <x:c r="R837" s="10"/>
      <x:c r="S837" s="10"/>
      <x:c r="T837" s="10"/>
      <x:c r="U837" s="10" t="str">
        <x:f>IF(AND(ISNUMBER(X837),X837&gt;=0,Y837&lt;&gt;1),X837,"")</x:f>
      </x:c>
      <x:c r="V837" s="10"/>
      <x:c r="W837" s="10"/>
      <x:c r="X837" s="10"/>
      <x:c r="Y837" s="3" t="n">
        <x:v>0</x:v>
      </x:c>
      <x:c r="Z837" s="3" t="str">
        <x:v>新增</x:v>
      </x:c>
      <x:c r="AA837" s="3" t="str">
        <x:v>未匹配Listing</x:v>
      </x:c>
      <x:c r="AB837" s="12" t="str">
        <x:f>IF(AND(Z837="共同",ISNUMBER(G837),ISNUMBER(AD837)),G837-AD837,"")</x:f>
      </x:c>
      <x:c r="AC837" s="3" t="str">
        <x:v>领星完整SKU未匹配Listing，店铺待核</x:v>
      </x:c>
      <x:c r="AD837" s="12"/>
      <x:c r="AE837" s="3" t="str">
        <x:v>[null,"1S01-BKX-41.5"]</x:v>
      </x:c>
      <x:c r="AF837" t="n">
        <x:f>IF(ISNUMBER(H837),1,0)</x:f>
        <x:v>0</x:v>
      </x:c>
      <x:c r="AG837" t="n">
        <x:f>IF(ISNUMBER(I837),1,0)</x:f>
        <x:v>0</x:v>
      </x:c>
      <x:c r="AH837" t="str">
        <x:v>["1S01","1S01-BKX","BKX","黑色石头纹"]</x:v>
      </x:c>
      <x:c r="AI837" t="n">
        <x:f>IF(ISNUMBER(G837),1,0)</x:f>
        <x:v>0</x:v>
      </x:c>
      <x:c r="AJ837" t="n">
        <x:f>IF(ISNUMBER(AD837),1,0)</x:f>
        <x:v>0</x:v>
      </x:c>
    </x:row>
    <x:row r="838" ht="30" customHeight="1">
      <x:c r="A838" s="3" t="str">
        <x:v>1S01-BKX-42</x:v>
      </x:c>
      <x:c r="B838" s="3" t="str">
        <x:v>店铺待核</x:v>
      </x:c>
      <x:c r="C838" s="3" t="str">
        <x:v>徐新怡</x:v>
      </x:c>
      <x:c r="D838" s="3" t="str">
        <x:v>1S01</x:v>
      </x:c>
      <x:c r="E838" s="3" t="str">
        <x:f>IF(Z838="移出","已移出",IF(NOT(ISNUMBER(H838)),"数据待核",IF(H838=0,"断货",IF(NOT(ISNUMBER(G838)),"数据待核",IF(G838=0,"零日销待复核",IF(F838&lt;60,"补货提醒",IF(F838&lt;=90,"正常库存",IF(F838&lt;180,"促销",IF(F838&lt;=365,"红线促销","考虑清仓")))))))))</x:f>
        <x:v>数据待核</x:v>
      </x:c>
      <x:c r="F838" s="11" t="str">
        <x:f>IF(AND(ISNUMBER(H838),ISNUMBER(G838),G838&gt;0),H838/G838,"")</x:f>
      </x:c>
      <x:c r="G838" s="12" t="str">
        <x:f>IF(AND(COUNT(P838:R838)=3,MIN(P838:R838)&gt;=0,P838&lt;=Q838,Q838&lt;=R838),P838/7*0.5+Q838/14*0.3+R838/30*0.2,"")</x:f>
      </x:c>
      <x:c r="H838" s="10" t="str">
        <x:f>IF(ISNUMBER(U838),U838,"")</x:f>
      </x:c>
      <x:c r="I838" s="10"/>
      <x:c r="J838" s="11" t="str">
        <x:f>IF(AND(Z838="共同",ISNUMBER(F838),ISNUMBER(M838)),F838-M838,"")</x:f>
      </x:c>
      <x:c r="K838" s="13" t="str">
        <x:f>IF(AND(ISNUMBER(J838),M838&lt;&gt;0),J838/M838,"")</x:f>
      </x:c>
      <x:c r="L838" s="10"/>
      <x:c r="M838" s="11"/>
      <x:c r="N838" s="10" t="str">
        <x:f>IF(AND(Z838="共同",COUNT(H838:I838)=2),H838-I838,"")</x:f>
      </x:c>
      <x:c r="O838" s="10" t="n">
        <x:v>0</x:v>
      </x:c>
      <x:c r="P838" s="10"/>
      <x:c r="Q838" s="10"/>
      <x:c r="R838" s="10"/>
      <x:c r="S838" s="10"/>
      <x:c r="T838" s="10"/>
      <x:c r="U838" s="10" t="str">
        <x:f>IF(AND(ISNUMBER(X838),X838&gt;=0,Y838&lt;&gt;1),X838,"")</x:f>
      </x:c>
      <x:c r="V838" s="10"/>
      <x:c r="W838" s="10"/>
      <x:c r="X838" s="10"/>
      <x:c r="Y838" s="3" t="n">
        <x:v>0</x:v>
      </x:c>
      <x:c r="Z838" s="3" t="str">
        <x:v>新增</x:v>
      </x:c>
      <x:c r="AA838" s="3" t="str">
        <x:v>未匹配Listing</x:v>
      </x:c>
      <x:c r="AB838" s="12" t="str">
        <x:f>IF(AND(Z838="共同",ISNUMBER(G838),ISNUMBER(AD838)),G838-AD838,"")</x:f>
      </x:c>
      <x:c r="AC838" s="3" t="str">
        <x:v>领星完整SKU未匹配Listing，店铺待核</x:v>
      </x:c>
      <x:c r="AD838" s="12"/>
      <x:c r="AE838" s="3" t="str">
        <x:v>[null,"1S01-BKX-42"]</x:v>
      </x:c>
      <x:c r="AF838" t="n">
        <x:f>IF(ISNUMBER(H838),1,0)</x:f>
        <x:v>0</x:v>
      </x:c>
      <x:c r="AG838" t="n">
        <x:f>IF(ISNUMBER(I838),1,0)</x:f>
        <x:v>0</x:v>
      </x:c>
      <x:c r="AH838" t="str">
        <x:v>["1S01","1S01-BKX","BKX","黑色石头纹"]</x:v>
      </x:c>
      <x:c r="AI838" t="n">
        <x:f>IF(ISNUMBER(G838),1,0)</x:f>
        <x:v>0</x:v>
      </x:c>
      <x:c r="AJ838" t="n">
        <x:f>IF(ISNUMBER(AD838),1,0)</x:f>
        <x:v>0</x:v>
      </x:c>
    </x:row>
    <x:row r="839" ht="30" customHeight="1">
      <x:c r="A839" s="3" t="str">
        <x:v>1S01-CPG-10</x:v>
      </x:c>
      <x:c r="B839" s="3" t="str">
        <x:v>1店-MUSSHOE-US</x:v>
      </x:c>
      <x:c r="C839" s="3" t="str">
        <x:v>徐新怡</x:v>
      </x:c>
      <x:c r="D839" s="3" t="str">
        <x:v>1S01</x:v>
      </x:c>
      <x:c r="E839" s="3" t="str">
        <x:f>IF(Z839="移出","已移出",IF(NOT(ISNUMBER(H839)),"数据待核",IF(H839=0,"断货",IF(NOT(ISNUMBER(G839)),"数据待核",IF(G839=0,"零日销待复核",IF(F839&lt;60,"补货提醒",IF(F839&lt;=90,"正常库存",IF(F839&lt;180,"促销",IF(F839&lt;=365,"红线促销","考虑清仓")))))))))</x:f>
        <x:v>数据待核</x:v>
      </x:c>
      <x:c r="F839" s="11" t="str">
        <x:f>IF(AND(ISNUMBER(H839),ISNUMBER(G839),G839&gt;0),H839/G839,"")</x:f>
      </x:c>
      <x:c r="G839" s="12" t="n">
        <x:f>IF(AND(COUNT(P839:R839)=3,MIN(P839:R839)&gt;=0,P839&lt;=Q839,Q839&lt;=R839),P839/7*0.5+Q839/14*0.3+R839/30*0.2,"")</x:f>
        <x:v>0</x:v>
      </x:c>
      <x:c r="H839" s="10" t="str">
        <x:f>IF(ISNUMBER(U839),U839,"")</x:f>
      </x:c>
      <x:c r="I839" s="10"/>
      <x:c r="J839" s="11" t="str">
        <x:f>IF(AND(Z839="共同",ISNUMBER(F839),ISNUMBER(M839)),F839-M839,"")</x:f>
      </x:c>
      <x:c r="K839" s="13" t="str">
        <x:f>IF(AND(ISNUMBER(J839),M839&lt;&gt;0),J839/M839,"")</x:f>
      </x:c>
      <x:c r="L839" s="10"/>
      <x:c r="M839" s="11"/>
      <x:c r="N839" s="10" t="str">
        <x:f>IF(AND(Z839="共同",COUNT(H839:I839)=2),H839-I839,"")</x:f>
      </x:c>
      <x:c r="O839" s="10"/>
      <x:c r="P839" s="10" t="n">
        <x:v>0</x:v>
      </x:c>
      <x:c r="Q839" s="10" t="n">
        <x:v>0</x:v>
      </x:c>
      <x:c r="R839" s="10" t="n">
        <x:v>0</x:v>
      </x:c>
      <x:c r="S839" s="10"/>
      <x:c r="T839" s="10"/>
      <x:c r="U839" s="10" t="str">
        <x:f>IF(AND(ISNUMBER(X839),X839&gt;=0,Y839&lt;&gt;1),X839,"")</x:f>
      </x:c>
      <x:c r="V839" s="10"/>
      <x:c r="W839" s="10"/>
      <x:c r="X839" s="10"/>
      <x:c r="Y839" s="3" t="n">
        <x:v>0</x:v>
      </x:c>
      <x:c r="Z839" s="3" t="str">
        <x:v>新增</x:v>
      </x:c>
      <x:c r="AA839" s="3" t="str">
        <x:v>停售</x:v>
      </x:c>
      <x:c r="AB839" s="12" t="str">
        <x:f>IF(AND(Z839="共同",ISNUMBER(G839),ISNUMBER(AD839)),G839-AD839,"")</x:f>
      </x:c>
      <x:c r="AC839" s="3" t="str">
        <x:v>近90天SKU销量未匹配，未按0处理</x:v>
      </x:c>
      <x:c r="AD839" s="12"/>
      <x:c r="AE839" s="3" t="str">
        <x:v>[13120,"1S01-CPG-10"]</x:v>
      </x:c>
      <x:c r="AF839" t="n">
        <x:f>IF(ISNUMBER(H839),1,0)</x:f>
        <x:v>0</x:v>
      </x:c>
      <x:c r="AG839" t="n">
        <x:f>IF(ISNUMBER(I839),1,0)</x:f>
        <x:v>0</x:v>
      </x:c>
      <x:c r="AH839" t="str">
        <x:v>["1S01","1S01-CPG","CPG","香槟金"]</x:v>
      </x:c>
      <x:c r="AI839" t="n">
        <x:f>IF(ISNUMBER(G839),1,0)</x:f>
        <x:v>1</x:v>
      </x:c>
      <x:c r="AJ839" t="n">
        <x:f>IF(ISNUMBER(AD839),1,0)</x:f>
        <x:v>0</x:v>
      </x:c>
    </x:row>
    <x:row r="840" ht="30" customHeight="1">
      <x:c r="A840" s="3" t="str">
        <x:v>1S01-CPG-11</x:v>
      </x:c>
      <x:c r="B840" s="3" t="str">
        <x:v>1店-MUSSHOE-US</x:v>
      </x:c>
      <x:c r="C840" s="3" t="str">
        <x:v>徐新怡</x:v>
      </x:c>
      <x:c r="D840" s="3" t="str">
        <x:v>1S01</x:v>
      </x:c>
      <x:c r="E840" s="3" t="str">
        <x:f>IF(Z840="移出","已移出",IF(NOT(ISNUMBER(H840)),"数据待核",IF(H840=0,"断货",IF(NOT(ISNUMBER(G840)),"数据待核",IF(G840=0,"零日销待复核",IF(F840&lt;60,"补货提醒",IF(F840&lt;=90,"正常库存",IF(F840&lt;180,"促销",IF(F840&lt;=365,"红线促销","考虑清仓")))))))))</x:f>
        <x:v>数据待核</x:v>
      </x:c>
      <x:c r="F840" s="11" t="str">
        <x:f>IF(AND(ISNUMBER(H840),ISNUMBER(G840),G840&gt;0),H840/G840,"")</x:f>
      </x:c>
      <x:c r="G840" s="12" t="n">
        <x:f>IF(AND(COUNT(P840:R840)=3,MIN(P840:R840)&gt;=0,P840&lt;=Q840,Q840&lt;=R840),P840/7*0.5+Q840/14*0.3+R840/30*0.2,"")</x:f>
        <x:v>0</x:v>
      </x:c>
      <x:c r="H840" s="10" t="str">
        <x:f>IF(ISNUMBER(U840),U840,"")</x:f>
      </x:c>
      <x:c r="I840" s="10"/>
      <x:c r="J840" s="11" t="str">
        <x:f>IF(AND(Z840="共同",ISNUMBER(F840),ISNUMBER(M840)),F840-M840,"")</x:f>
      </x:c>
      <x:c r="K840" s="13" t="str">
        <x:f>IF(AND(ISNUMBER(J840),M840&lt;&gt;0),J840/M840,"")</x:f>
      </x:c>
      <x:c r="L840" s="10"/>
      <x:c r="M840" s="11"/>
      <x:c r="N840" s="10" t="str">
        <x:f>IF(AND(Z840="共同",COUNT(H840:I840)=2),H840-I840,"")</x:f>
      </x:c>
      <x:c r="O840" s="10"/>
      <x:c r="P840" s="10" t="n">
        <x:v>0</x:v>
      </x:c>
      <x:c r="Q840" s="10" t="n">
        <x:v>0</x:v>
      </x:c>
      <x:c r="R840" s="10" t="n">
        <x:v>0</x:v>
      </x:c>
      <x:c r="S840" s="10"/>
      <x:c r="T840" s="10"/>
      <x:c r="U840" s="10" t="str">
        <x:f>IF(AND(ISNUMBER(X840),X840&gt;=0,Y840&lt;&gt;1),X840,"")</x:f>
      </x:c>
      <x:c r="V840" s="10"/>
      <x:c r="W840" s="10"/>
      <x:c r="X840" s="10"/>
      <x:c r="Y840" s="3" t="n">
        <x:v>0</x:v>
      </x:c>
      <x:c r="Z840" s="3" t="str">
        <x:v>新增</x:v>
      </x:c>
      <x:c r="AA840" s="3" t="str">
        <x:v>停售</x:v>
      </x:c>
      <x:c r="AB840" s="12" t="str">
        <x:f>IF(AND(Z840="共同",ISNUMBER(G840),ISNUMBER(AD840)),G840-AD840,"")</x:f>
      </x:c>
      <x:c r="AC840" s="3" t="str">
        <x:v>近90天SKU销量未匹配，未按0处理</x:v>
      </x:c>
      <x:c r="AD840" s="12"/>
      <x:c r="AE840" s="3" t="str">
        <x:v>[13120,"1S01-CPG-11"]</x:v>
      </x:c>
      <x:c r="AF840" t="n">
        <x:f>IF(ISNUMBER(H840),1,0)</x:f>
        <x:v>0</x:v>
      </x:c>
      <x:c r="AG840" t="n">
        <x:f>IF(ISNUMBER(I840),1,0)</x:f>
        <x:v>0</x:v>
      </x:c>
      <x:c r="AH840" t="str">
        <x:v>["1S01","1S01-CPG","CPG","香槟金"]</x:v>
      </x:c>
      <x:c r="AI840" t="n">
        <x:f>IF(ISNUMBER(G840),1,0)</x:f>
        <x:v>1</x:v>
      </x:c>
      <x:c r="AJ840" t="n">
        <x:f>IF(ISNUMBER(AD840),1,0)</x:f>
        <x:v>0</x:v>
      </x:c>
    </x:row>
    <x:row r="841" ht="30" customHeight="1">
      <x:c r="A841" s="3" t="str">
        <x:v>1S01-CPG-37.5</x:v>
      </x:c>
      <x:c r="B841" s="3" t="str">
        <x:v>1店-MUSSHOE-US</x:v>
      </x:c>
      <x:c r="C841" s="3" t="str">
        <x:v>徐新怡</x:v>
      </x:c>
      <x:c r="D841" s="3" t="str">
        <x:v>1S01</x:v>
      </x:c>
      <x:c r="E841" s="3" t="str">
        <x:f>IF(Z841="移出","已移出",IF(NOT(ISNUMBER(H841)),"数据待核",IF(H841=0,"断货",IF(NOT(ISNUMBER(G841)),"数据待核",IF(G841=0,"零日销待复核",IF(F841&lt;60,"补货提醒",IF(F841&lt;=90,"正常库存",IF(F841&lt;180,"促销",IF(F841&lt;=365,"红线促销","考虑清仓")))))))))</x:f>
        <x:v>数据待核</x:v>
      </x:c>
      <x:c r="F841" s="11" t="str">
        <x:f>IF(AND(ISNUMBER(H841),ISNUMBER(G841),G841&gt;0),H841/G841,"")</x:f>
      </x:c>
      <x:c r="G841" s="12" t="n">
        <x:f>IF(AND(COUNT(P841:R841)=3,MIN(P841:R841)&gt;=0,P841&lt;=Q841,Q841&lt;=R841),P841/7*0.5+Q841/14*0.3+R841/30*0.2,"")</x:f>
        <x:v>0</x:v>
      </x:c>
      <x:c r="H841" s="10" t="str">
        <x:f>IF(ISNUMBER(U841),U841,"")</x:f>
      </x:c>
      <x:c r="I841" s="10"/>
      <x:c r="J841" s="11" t="str">
        <x:f>IF(AND(Z841="共同",ISNUMBER(F841),ISNUMBER(M841)),F841-M841,"")</x:f>
      </x:c>
      <x:c r="K841" s="13" t="str">
        <x:f>IF(AND(ISNUMBER(J841),M841&lt;&gt;0),J841/M841,"")</x:f>
      </x:c>
      <x:c r="L841" s="10"/>
      <x:c r="M841" s="11"/>
      <x:c r="N841" s="10" t="str">
        <x:f>IF(AND(Z841="共同",COUNT(H841:I841)=2),H841-I841,"")</x:f>
      </x:c>
      <x:c r="O841" s="10"/>
      <x:c r="P841" s="10" t="n">
        <x:v>0</x:v>
      </x:c>
      <x:c r="Q841" s="10" t="n">
        <x:v>0</x:v>
      </x:c>
      <x:c r="R841" s="10" t="n">
        <x:v>0</x:v>
      </x:c>
      <x:c r="S841" s="10"/>
      <x:c r="T841" s="10"/>
      <x:c r="U841" s="10" t="str">
        <x:f>IF(AND(ISNUMBER(X841),X841&gt;=0,Y841&lt;&gt;1),X841,"")</x:f>
      </x:c>
      <x:c r="V841" s="10"/>
      <x:c r="W841" s="10"/>
      <x:c r="X841" s="10"/>
      <x:c r="Y841" s="3" t="n">
        <x:v>0</x:v>
      </x:c>
      <x:c r="Z841" s="3" t="str">
        <x:v>新增</x:v>
      </x:c>
      <x:c r="AA841" s="3" t="str">
        <x:v>停售</x:v>
      </x:c>
      <x:c r="AB841" s="12" t="str">
        <x:f>IF(AND(Z841="共同",ISNUMBER(G841),ISNUMBER(AD841)),G841-AD841,"")</x:f>
      </x:c>
      <x:c r="AC841" s="3" t="str">
        <x:v>近90天SKU销量未匹配，未按0处理</x:v>
      </x:c>
      <x:c r="AD841" s="12"/>
      <x:c r="AE841" s="3" t="str">
        <x:v>[13120,"1S01-CPG-37.5"]</x:v>
      </x:c>
      <x:c r="AF841" t="n">
        <x:f>IF(ISNUMBER(H841),1,0)</x:f>
        <x:v>0</x:v>
      </x:c>
      <x:c r="AG841" t="n">
        <x:f>IF(ISNUMBER(I841),1,0)</x:f>
        <x:v>0</x:v>
      </x:c>
      <x:c r="AH841" t="str">
        <x:v>["1S01","1S01-CPG","CPG","香槟金"]</x:v>
      </x:c>
      <x:c r="AI841" t="n">
        <x:f>IF(ISNUMBER(G841),1,0)</x:f>
        <x:v>1</x:v>
      </x:c>
      <x:c r="AJ841" t="n">
        <x:f>IF(ISNUMBER(AD841),1,0)</x:f>
        <x:v>0</x:v>
      </x:c>
    </x:row>
    <x:row r="842" ht="30" customHeight="1">
      <x:c r="A842" s="3" t="str">
        <x:v>1S01-CPG-38.5</x:v>
      </x:c>
      <x:c r="B842" s="3" t="str">
        <x:v>1店-MUSSHOE-US</x:v>
      </x:c>
      <x:c r="C842" s="3" t="str">
        <x:v>徐新怡</x:v>
      </x:c>
      <x:c r="D842" s="3" t="str">
        <x:v>1S01</x:v>
      </x:c>
      <x:c r="E842" s="3" t="str">
        <x:f>IF(Z842="移出","已移出",IF(NOT(ISNUMBER(H842)),"数据待核",IF(H842=0,"断货",IF(NOT(ISNUMBER(G842)),"数据待核",IF(G842=0,"零日销待复核",IF(F842&lt;60,"补货提醒",IF(F842&lt;=90,"正常库存",IF(F842&lt;180,"促销",IF(F842&lt;=365,"红线促销","考虑清仓")))))))))</x:f>
        <x:v>数据待核</x:v>
      </x:c>
      <x:c r="F842" s="11" t="str">
        <x:f>IF(AND(ISNUMBER(H842),ISNUMBER(G842),G842&gt;0),H842/G842,"")</x:f>
      </x:c>
      <x:c r="G842" s="12" t="n">
        <x:f>IF(AND(COUNT(P842:R842)=3,MIN(P842:R842)&gt;=0,P842&lt;=Q842,Q842&lt;=R842),P842/7*0.5+Q842/14*0.3+R842/30*0.2,"")</x:f>
        <x:v>0</x:v>
      </x:c>
      <x:c r="H842" s="10" t="str">
        <x:f>IF(ISNUMBER(U842),U842,"")</x:f>
      </x:c>
      <x:c r="I842" s="10"/>
      <x:c r="J842" s="11" t="str">
        <x:f>IF(AND(Z842="共同",ISNUMBER(F842),ISNUMBER(M842)),F842-M842,"")</x:f>
      </x:c>
      <x:c r="K842" s="13" t="str">
        <x:f>IF(AND(ISNUMBER(J842),M842&lt;&gt;0),J842/M842,"")</x:f>
      </x:c>
      <x:c r="L842" s="10"/>
      <x:c r="M842" s="11"/>
      <x:c r="N842" s="10" t="str">
        <x:f>IF(AND(Z842="共同",COUNT(H842:I842)=2),H842-I842,"")</x:f>
      </x:c>
      <x:c r="O842" s="10"/>
      <x:c r="P842" s="10" t="n">
        <x:v>0</x:v>
      </x:c>
      <x:c r="Q842" s="10" t="n">
        <x:v>0</x:v>
      </x:c>
      <x:c r="R842" s="10" t="n">
        <x:v>0</x:v>
      </x:c>
      <x:c r="S842" s="10"/>
      <x:c r="T842" s="10"/>
      <x:c r="U842" s="10" t="str">
        <x:f>IF(AND(ISNUMBER(X842),X842&gt;=0,Y842&lt;&gt;1),X842,"")</x:f>
      </x:c>
      <x:c r="V842" s="10"/>
      <x:c r="W842" s="10"/>
      <x:c r="X842" s="10"/>
      <x:c r="Y842" s="3" t="n">
        <x:v>0</x:v>
      </x:c>
      <x:c r="Z842" s="3" t="str">
        <x:v>新增</x:v>
      </x:c>
      <x:c r="AA842" s="3" t="str">
        <x:v>停售</x:v>
      </x:c>
      <x:c r="AB842" s="12" t="str">
        <x:f>IF(AND(Z842="共同",ISNUMBER(G842),ISNUMBER(AD842)),G842-AD842,"")</x:f>
      </x:c>
      <x:c r="AC842" s="3" t="str">
        <x:v>近90天SKU销量未匹配，未按0处理</x:v>
      </x:c>
      <x:c r="AD842" s="12"/>
      <x:c r="AE842" s="3" t="str">
        <x:v>[13120,"1S01-CPG-38.5"]</x:v>
      </x:c>
      <x:c r="AF842" t="n">
        <x:f>IF(ISNUMBER(H842),1,0)</x:f>
        <x:v>0</x:v>
      </x:c>
      <x:c r="AG842" t="n">
        <x:f>IF(ISNUMBER(I842),1,0)</x:f>
        <x:v>0</x:v>
      </x:c>
      <x:c r="AH842" t="str">
        <x:v>["1S01","1S01-CPG","CPG","香槟金"]</x:v>
      </x:c>
      <x:c r="AI842" t="n">
        <x:f>IF(ISNUMBER(G842),1,0)</x:f>
        <x:v>1</x:v>
      </x:c>
      <x:c r="AJ842" t="n">
        <x:f>IF(ISNUMBER(AD842),1,0)</x:f>
        <x:v>0</x:v>
      </x:c>
    </x:row>
    <x:row r="843" ht="30" customHeight="1">
      <x:c r="A843" s="3" t="str">
        <x:v>1S01-CPG-39.5</x:v>
      </x:c>
      <x:c r="B843" s="3" t="str">
        <x:v>1店-MUSSHOE-US</x:v>
      </x:c>
      <x:c r="C843" s="3" t="str">
        <x:v>徐新怡</x:v>
      </x:c>
      <x:c r="D843" s="3" t="str">
        <x:v>1S01</x:v>
      </x:c>
      <x:c r="E843" s="3" t="str">
        <x:f>IF(Z843="移出","已移出",IF(NOT(ISNUMBER(H843)),"数据待核",IF(H843=0,"断货",IF(NOT(ISNUMBER(G843)),"数据待核",IF(G843=0,"零日销待复核",IF(F843&lt;60,"补货提醒",IF(F843&lt;=90,"正常库存",IF(F843&lt;180,"促销",IF(F843&lt;=365,"红线促销","考虑清仓")))))))))</x:f>
        <x:v>数据待核</x:v>
      </x:c>
      <x:c r="F843" s="11" t="str">
        <x:f>IF(AND(ISNUMBER(H843),ISNUMBER(G843),G843&gt;0),H843/G843,"")</x:f>
      </x:c>
      <x:c r="G843" s="12" t="n">
        <x:f>IF(AND(COUNT(P843:R843)=3,MIN(P843:R843)&gt;=0,P843&lt;=Q843,Q843&lt;=R843),P843/7*0.5+Q843/14*0.3+R843/30*0.2,"")</x:f>
        <x:v>0</x:v>
      </x:c>
      <x:c r="H843" s="10" t="str">
        <x:f>IF(ISNUMBER(U843),U843,"")</x:f>
      </x:c>
      <x:c r="I843" s="10"/>
      <x:c r="J843" s="11" t="str">
        <x:f>IF(AND(Z843="共同",ISNUMBER(F843),ISNUMBER(M843)),F843-M843,"")</x:f>
      </x:c>
      <x:c r="K843" s="13" t="str">
        <x:f>IF(AND(ISNUMBER(J843),M843&lt;&gt;0),J843/M843,"")</x:f>
      </x:c>
      <x:c r="L843" s="10"/>
      <x:c r="M843" s="11"/>
      <x:c r="N843" s="10" t="str">
        <x:f>IF(AND(Z843="共同",COUNT(H843:I843)=2),H843-I843,"")</x:f>
      </x:c>
      <x:c r="O843" s="10"/>
      <x:c r="P843" s="10" t="n">
        <x:v>0</x:v>
      </x:c>
      <x:c r="Q843" s="10" t="n">
        <x:v>0</x:v>
      </x:c>
      <x:c r="R843" s="10" t="n">
        <x:v>0</x:v>
      </x:c>
      <x:c r="S843" s="10"/>
      <x:c r="T843" s="10"/>
      <x:c r="U843" s="10" t="str">
        <x:f>IF(AND(ISNUMBER(X843),X843&gt;=0,Y843&lt;&gt;1),X843,"")</x:f>
      </x:c>
      <x:c r="V843" s="10"/>
      <x:c r="W843" s="10"/>
      <x:c r="X843" s="10"/>
      <x:c r="Y843" s="3" t="n">
        <x:v>0</x:v>
      </x:c>
      <x:c r="Z843" s="3" t="str">
        <x:v>新增</x:v>
      </x:c>
      <x:c r="AA843" s="3" t="str">
        <x:v>停售</x:v>
      </x:c>
      <x:c r="AB843" s="12" t="str">
        <x:f>IF(AND(Z843="共同",ISNUMBER(G843),ISNUMBER(AD843)),G843-AD843,"")</x:f>
      </x:c>
      <x:c r="AC843" s="3" t="str">
        <x:v>近90天SKU销量未匹配，未按0处理</x:v>
      </x:c>
      <x:c r="AD843" s="12"/>
      <x:c r="AE843" s="3" t="str">
        <x:v>[13120,"1S01-CPG-39.5"]</x:v>
      </x:c>
      <x:c r="AF843" t="n">
        <x:f>IF(ISNUMBER(H843),1,0)</x:f>
        <x:v>0</x:v>
      </x:c>
      <x:c r="AG843" t="n">
        <x:f>IF(ISNUMBER(I843),1,0)</x:f>
        <x:v>0</x:v>
      </x:c>
      <x:c r="AH843" t="str">
        <x:v>["1S01","1S01-CPG","CPG","香槟金"]</x:v>
      </x:c>
      <x:c r="AI843" t="n">
        <x:f>IF(ISNUMBER(G843),1,0)</x:f>
        <x:v>1</x:v>
      </x:c>
      <x:c r="AJ843" t="n">
        <x:f>IF(ISNUMBER(AD843),1,0)</x:f>
        <x:v>0</x:v>
      </x:c>
    </x:row>
    <x:row r="844" ht="30" customHeight="1">
      <x:c r="A844" s="3" t="str">
        <x:v>1S01-CPG-40.5</x:v>
      </x:c>
      <x:c r="B844" s="3" t="str">
        <x:v>1店-MUSSHOE-US</x:v>
      </x:c>
      <x:c r="C844" s="3" t="str">
        <x:v>徐新怡</x:v>
      </x:c>
      <x:c r="D844" s="3" t="str">
        <x:v>1S01</x:v>
      </x:c>
      <x:c r="E844" s="3" t="str">
        <x:f>IF(Z844="移出","已移出",IF(NOT(ISNUMBER(H844)),"数据待核",IF(H844=0,"断货",IF(NOT(ISNUMBER(G844)),"数据待核",IF(G844=0,"零日销待复核",IF(F844&lt;60,"补货提醒",IF(F844&lt;=90,"正常库存",IF(F844&lt;180,"促销",IF(F844&lt;=365,"红线促销","考虑清仓")))))))))</x:f>
        <x:v>数据待核</x:v>
      </x:c>
      <x:c r="F844" s="11" t="str">
        <x:f>IF(AND(ISNUMBER(H844),ISNUMBER(G844),G844&gt;0),H844/G844,"")</x:f>
      </x:c>
      <x:c r="G844" s="12" t="n">
        <x:f>IF(AND(COUNT(P844:R844)=3,MIN(P844:R844)&gt;=0,P844&lt;=Q844,Q844&lt;=R844),P844/7*0.5+Q844/14*0.3+R844/30*0.2,"")</x:f>
        <x:v>0</x:v>
      </x:c>
      <x:c r="H844" s="10" t="str">
        <x:f>IF(ISNUMBER(U844),U844,"")</x:f>
      </x:c>
      <x:c r="I844" s="10"/>
      <x:c r="J844" s="11" t="str">
        <x:f>IF(AND(Z844="共同",ISNUMBER(F844),ISNUMBER(M844)),F844-M844,"")</x:f>
      </x:c>
      <x:c r="K844" s="13" t="str">
        <x:f>IF(AND(ISNUMBER(J844),M844&lt;&gt;0),J844/M844,"")</x:f>
      </x:c>
      <x:c r="L844" s="10"/>
      <x:c r="M844" s="11"/>
      <x:c r="N844" s="10" t="str">
        <x:f>IF(AND(Z844="共同",COUNT(H844:I844)=2),H844-I844,"")</x:f>
      </x:c>
      <x:c r="O844" s="10"/>
      <x:c r="P844" s="10" t="n">
        <x:v>0</x:v>
      </x:c>
      <x:c r="Q844" s="10" t="n">
        <x:v>0</x:v>
      </x:c>
      <x:c r="R844" s="10" t="n">
        <x:v>0</x:v>
      </x:c>
      <x:c r="S844" s="10"/>
      <x:c r="T844" s="10"/>
      <x:c r="U844" s="10" t="str">
        <x:f>IF(AND(ISNUMBER(X844),X844&gt;=0,Y844&lt;&gt;1),X844,"")</x:f>
      </x:c>
      <x:c r="V844" s="10"/>
      <x:c r="W844" s="10"/>
      <x:c r="X844" s="10"/>
      <x:c r="Y844" s="3" t="n">
        <x:v>0</x:v>
      </x:c>
      <x:c r="Z844" s="3" t="str">
        <x:v>新增</x:v>
      </x:c>
      <x:c r="AA844" s="3" t="str">
        <x:v>停售</x:v>
      </x:c>
      <x:c r="AB844" s="12" t="str">
        <x:f>IF(AND(Z844="共同",ISNUMBER(G844),ISNUMBER(AD844)),G844-AD844,"")</x:f>
      </x:c>
      <x:c r="AC844" s="3" t="str">
        <x:v>近90天SKU销量未匹配，未按0处理</x:v>
      </x:c>
      <x:c r="AD844" s="12"/>
      <x:c r="AE844" s="3" t="str">
        <x:v>[13120,"1S01-CPG-40.5"]</x:v>
      </x:c>
      <x:c r="AF844" t="n">
        <x:f>IF(ISNUMBER(H844),1,0)</x:f>
        <x:v>0</x:v>
      </x:c>
      <x:c r="AG844" t="n">
        <x:f>IF(ISNUMBER(I844),1,0)</x:f>
        <x:v>0</x:v>
      </x:c>
      <x:c r="AH844" t="str">
        <x:v>["1S01","1S01-CPG","CPG","香槟金"]</x:v>
      </x:c>
      <x:c r="AI844" t="n">
        <x:f>IF(ISNUMBER(G844),1,0)</x:f>
        <x:v>1</x:v>
      </x:c>
      <x:c r="AJ844" t="n">
        <x:f>IF(ISNUMBER(AD844),1,0)</x:f>
        <x:v>0</x:v>
      </x:c>
    </x:row>
    <x:row r="845" ht="30" customHeight="1">
      <x:c r="A845" s="3" t="str">
        <x:v>1S01-CPG-41.5</x:v>
      </x:c>
      <x:c r="B845" s="3" t="str">
        <x:v>1店-MUSSHOE-US</x:v>
      </x:c>
      <x:c r="C845" s="3" t="str">
        <x:v>徐新怡</x:v>
      </x:c>
      <x:c r="D845" s="3" t="str">
        <x:v>1S01</x:v>
      </x:c>
      <x:c r="E845" s="3" t="str">
        <x:f>IF(Z845="移出","已移出",IF(NOT(ISNUMBER(H845)),"数据待核",IF(H845=0,"断货",IF(NOT(ISNUMBER(G845)),"数据待核",IF(G845=0,"零日销待复核",IF(F845&lt;60,"补货提醒",IF(F845&lt;=90,"正常库存",IF(F845&lt;180,"促销",IF(F845&lt;=365,"红线促销","考虑清仓")))))))))</x:f>
        <x:v>数据待核</x:v>
      </x:c>
      <x:c r="F845" s="11" t="str">
        <x:f>IF(AND(ISNUMBER(H845),ISNUMBER(G845),G845&gt;0),H845/G845,"")</x:f>
      </x:c>
      <x:c r="G845" s="12" t="n">
        <x:f>IF(AND(COUNT(P845:R845)=3,MIN(P845:R845)&gt;=0,P845&lt;=Q845,Q845&lt;=R845),P845/7*0.5+Q845/14*0.3+R845/30*0.2,"")</x:f>
        <x:v>0</x:v>
      </x:c>
      <x:c r="H845" s="10" t="str">
        <x:f>IF(ISNUMBER(U845),U845,"")</x:f>
      </x:c>
      <x:c r="I845" s="10"/>
      <x:c r="J845" s="11" t="str">
        <x:f>IF(AND(Z845="共同",ISNUMBER(F845),ISNUMBER(M845)),F845-M845,"")</x:f>
      </x:c>
      <x:c r="K845" s="13" t="str">
        <x:f>IF(AND(ISNUMBER(J845),M845&lt;&gt;0),J845/M845,"")</x:f>
      </x:c>
      <x:c r="L845" s="10"/>
      <x:c r="M845" s="11"/>
      <x:c r="N845" s="10" t="str">
        <x:f>IF(AND(Z845="共同",COUNT(H845:I845)=2),H845-I845,"")</x:f>
      </x:c>
      <x:c r="O845" s="10"/>
      <x:c r="P845" s="10" t="n">
        <x:v>0</x:v>
      </x:c>
      <x:c r="Q845" s="10" t="n">
        <x:v>0</x:v>
      </x:c>
      <x:c r="R845" s="10" t="n">
        <x:v>0</x:v>
      </x:c>
      <x:c r="S845" s="10"/>
      <x:c r="T845" s="10"/>
      <x:c r="U845" s="10" t="str">
        <x:f>IF(AND(ISNUMBER(X845),X845&gt;=0,Y845&lt;&gt;1),X845,"")</x:f>
      </x:c>
      <x:c r="V845" s="10"/>
      <x:c r="W845" s="10"/>
      <x:c r="X845" s="10"/>
      <x:c r="Y845" s="3" t="n">
        <x:v>0</x:v>
      </x:c>
      <x:c r="Z845" s="3" t="str">
        <x:v>新增</x:v>
      </x:c>
      <x:c r="AA845" s="3" t="str">
        <x:v>停售</x:v>
      </x:c>
      <x:c r="AB845" s="12" t="str">
        <x:f>IF(AND(Z845="共同",ISNUMBER(G845),ISNUMBER(AD845)),G845-AD845,"")</x:f>
      </x:c>
      <x:c r="AC845" s="3" t="str">
        <x:v>近90天SKU销量未匹配，未按0处理</x:v>
      </x:c>
      <x:c r="AD845" s="12"/>
      <x:c r="AE845" s="3" t="str">
        <x:v>[13120,"1S01-CPG-41.5"]</x:v>
      </x:c>
      <x:c r="AF845" t="n">
        <x:f>IF(ISNUMBER(H845),1,0)</x:f>
        <x:v>0</x:v>
      </x:c>
      <x:c r="AG845" t="n">
        <x:f>IF(ISNUMBER(I845),1,0)</x:f>
        <x:v>0</x:v>
      </x:c>
      <x:c r="AH845" t="str">
        <x:v>["1S01","1S01-CPG","CPG","香槟金"]</x:v>
      </x:c>
      <x:c r="AI845" t="n">
        <x:f>IF(ISNUMBER(G845),1,0)</x:f>
        <x:v>1</x:v>
      </x:c>
      <x:c r="AJ845" t="n">
        <x:f>IF(ISNUMBER(AD845),1,0)</x:f>
        <x:v>0</x:v>
      </x:c>
    </x:row>
    <x:row r="846" ht="30" customHeight="1">
      <x:c r="A846" s="3" t="str">
        <x:v>1S01-CPG-6</x:v>
      </x:c>
      <x:c r="B846" s="3" t="str">
        <x:v>1店-MUSSHOE-US</x:v>
      </x:c>
      <x:c r="C846" s="3" t="str">
        <x:v>徐新怡</x:v>
      </x:c>
      <x:c r="D846" s="3" t="str">
        <x:v>1S01</x:v>
      </x:c>
      <x:c r="E846" s="3" t="str">
        <x:f>IF(Z846="移出","已移出",IF(NOT(ISNUMBER(H846)),"数据待核",IF(H846=0,"断货",IF(NOT(ISNUMBER(G846)),"数据待核",IF(G846=0,"零日销待复核",IF(F846&lt;60,"补货提醒",IF(F846&lt;=90,"正常库存",IF(F846&lt;180,"促销",IF(F846&lt;=365,"红线促销","考虑清仓")))))))))</x:f>
        <x:v>数据待核</x:v>
      </x:c>
      <x:c r="F846" s="11" t="str">
        <x:f>IF(AND(ISNUMBER(H846),ISNUMBER(G846),G846&gt;0),H846/G846,"")</x:f>
      </x:c>
      <x:c r="G846" s="12" t="n">
        <x:f>IF(AND(COUNT(P846:R846)=3,MIN(P846:R846)&gt;=0,P846&lt;=Q846,Q846&lt;=R846),P846/7*0.5+Q846/14*0.3+R846/30*0.2,"")</x:f>
        <x:v>0</x:v>
      </x:c>
      <x:c r="H846" s="10" t="str">
        <x:f>IF(ISNUMBER(U846),U846,"")</x:f>
      </x:c>
      <x:c r="I846" s="10"/>
      <x:c r="J846" s="11" t="str">
        <x:f>IF(AND(Z846="共同",ISNUMBER(F846),ISNUMBER(M846)),F846-M846,"")</x:f>
      </x:c>
      <x:c r="K846" s="13" t="str">
        <x:f>IF(AND(ISNUMBER(J846),M846&lt;&gt;0),J846/M846,"")</x:f>
      </x:c>
      <x:c r="L846" s="10"/>
      <x:c r="M846" s="11"/>
      <x:c r="N846" s="10" t="str">
        <x:f>IF(AND(Z846="共同",COUNT(H846:I846)=2),H846-I846,"")</x:f>
      </x:c>
      <x:c r="O846" s="10"/>
      <x:c r="P846" s="10" t="n">
        <x:v>0</x:v>
      </x:c>
      <x:c r="Q846" s="10" t="n">
        <x:v>0</x:v>
      </x:c>
      <x:c r="R846" s="10" t="n">
        <x:v>0</x:v>
      </x:c>
      <x:c r="S846" s="10"/>
      <x:c r="T846" s="10"/>
      <x:c r="U846" s="10" t="str">
        <x:f>IF(AND(ISNUMBER(X846),X846&gt;=0,Y846&lt;&gt;1),X846,"")</x:f>
      </x:c>
      <x:c r="V846" s="10"/>
      <x:c r="W846" s="10"/>
      <x:c r="X846" s="10"/>
      <x:c r="Y846" s="3" t="n">
        <x:v>0</x:v>
      </x:c>
      <x:c r="Z846" s="3" t="str">
        <x:v>新增</x:v>
      </x:c>
      <x:c r="AA846" s="3" t="str">
        <x:v>停售</x:v>
      </x:c>
      <x:c r="AB846" s="12" t="str">
        <x:f>IF(AND(Z846="共同",ISNUMBER(G846),ISNUMBER(AD846)),G846-AD846,"")</x:f>
      </x:c>
      <x:c r="AC846" s="3" t="str">
        <x:v>近90天SKU销量未匹配，未按0处理</x:v>
      </x:c>
      <x:c r="AD846" s="12"/>
      <x:c r="AE846" s="3" t="str">
        <x:v>[13120,"1S01-CPG-6"]</x:v>
      </x:c>
      <x:c r="AF846" t="n">
        <x:f>IF(ISNUMBER(H846),1,0)</x:f>
        <x:v>0</x:v>
      </x:c>
      <x:c r="AG846" t="n">
        <x:f>IF(ISNUMBER(I846),1,0)</x:f>
        <x:v>0</x:v>
      </x:c>
      <x:c r="AH846" t="str">
        <x:v>["1S01","1S01-CPG","CPG","香槟金"]</x:v>
      </x:c>
      <x:c r="AI846" t="n">
        <x:f>IF(ISNUMBER(G846),1,0)</x:f>
        <x:v>1</x:v>
      </x:c>
      <x:c r="AJ846" t="n">
        <x:f>IF(ISNUMBER(AD846),1,0)</x:f>
        <x:v>0</x:v>
      </x:c>
    </x:row>
    <x:row r="847" ht="30" customHeight="1">
      <x:c r="A847" s="3" t="str">
        <x:v>1S01-CPG-7</x:v>
      </x:c>
      <x:c r="B847" s="3" t="str">
        <x:v>1店-MUSSHOE-US</x:v>
      </x:c>
      <x:c r="C847" s="3" t="str">
        <x:v>徐新怡</x:v>
      </x:c>
      <x:c r="D847" s="3" t="str">
        <x:v>1S01</x:v>
      </x:c>
      <x:c r="E847" s="3" t="str">
        <x:f>IF(Z847="移出","已移出",IF(NOT(ISNUMBER(H847)),"数据待核",IF(H847=0,"断货",IF(NOT(ISNUMBER(G847)),"数据待核",IF(G847=0,"零日销待复核",IF(F847&lt;60,"补货提醒",IF(F847&lt;=90,"正常库存",IF(F847&lt;180,"促销",IF(F847&lt;=365,"红线促销","考虑清仓")))))))))</x:f>
        <x:v>数据待核</x:v>
      </x:c>
      <x:c r="F847" s="11" t="str">
        <x:f>IF(AND(ISNUMBER(H847),ISNUMBER(G847),G847&gt;0),H847/G847,"")</x:f>
      </x:c>
      <x:c r="G847" s="12" t="n">
        <x:f>IF(AND(COUNT(P847:R847)=3,MIN(P847:R847)&gt;=0,P847&lt;=Q847,Q847&lt;=R847),P847/7*0.5+Q847/14*0.3+R847/30*0.2,"")</x:f>
        <x:v>0</x:v>
      </x:c>
      <x:c r="H847" s="10" t="str">
        <x:f>IF(ISNUMBER(U847),U847,"")</x:f>
      </x:c>
      <x:c r="I847" s="10"/>
      <x:c r="J847" s="11" t="str">
        <x:f>IF(AND(Z847="共同",ISNUMBER(F847),ISNUMBER(M847)),F847-M847,"")</x:f>
      </x:c>
      <x:c r="K847" s="13" t="str">
        <x:f>IF(AND(ISNUMBER(J847),M847&lt;&gt;0),J847/M847,"")</x:f>
      </x:c>
      <x:c r="L847" s="10"/>
      <x:c r="M847" s="11"/>
      <x:c r="N847" s="10" t="str">
        <x:f>IF(AND(Z847="共同",COUNT(H847:I847)=2),H847-I847,"")</x:f>
      </x:c>
      <x:c r="O847" s="10"/>
      <x:c r="P847" s="10" t="n">
        <x:v>0</x:v>
      </x:c>
      <x:c r="Q847" s="10" t="n">
        <x:v>0</x:v>
      </x:c>
      <x:c r="R847" s="10" t="n">
        <x:v>0</x:v>
      </x:c>
      <x:c r="S847" s="10"/>
      <x:c r="T847" s="10"/>
      <x:c r="U847" s="10" t="str">
        <x:f>IF(AND(ISNUMBER(X847),X847&gt;=0,Y847&lt;&gt;1),X847,"")</x:f>
      </x:c>
      <x:c r="V847" s="10"/>
      <x:c r="W847" s="10"/>
      <x:c r="X847" s="10"/>
      <x:c r="Y847" s="3" t="n">
        <x:v>0</x:v>
      </x:c>
      <x:c r="Z847" s="3" t="str">
        <x:v>新增</x:v>
      </x:c>
      <x:c r="AA847" s="3" t="str">
        <x:v>停售</x:v>
      </x:c>
      <x:c r="AB847" s="12" t="str">
        <x:f>IF(AND(Z847="共同",ISNUMBER(G847),ISNUMBER(AD847)),G847-AD847,"")</x:f>
      </x:c>
      <x:c r="AC847" s="3" t="str">
        <x:v>近90天SKU销量未匹配，未按0处理</x:v>
      </x:c>
      <x:c r="AD847" s="12"/>
      <x:c r="AE847" s="3" t="str">
        <x:v>[13120,"1S01-CPG-7"]</x:v>
      </x:c>
      <x:c r="AF847" t="n">
        <x:f>IF(ISNUMBER(H847),1,0)</x:f>
        <x:v>0</x:v>
      </x:c>
      <x:c r="AG847" t="n">
        <x:f>IF(ISNUMBER(I847),1,0)</x:f>
        <x:v>0</x:v>
      </x:c>
      <x:c r="AH847" t="str">
        <x:v>["1S01","1S01-CPG","CPG","香槟金"]</x:v>
      </x:c>
      <x:c r="AI847" t="n">
        <x:f>IF(ISNUMBER(G847),1,0)</x:f>
        <x:v>1</x:v>
      </x:c>
      <x:c r="AJ847" t="n">
        <x:f>IF(ISNUMBER(AD847),1,0)</x:f>
        <x:v>0</x:v>
      </x:c>
    </x:row>
    <x:row r="848" ht="30" customHeight="1">
      <x:c r="A848" s="3" t="str">
        <x:v>1S01-CPG-8</x:v>
      </x:c>
      <x:c r="B848" s="3" t="str">
        <x:v>1店-MUSSHOE-US</x:v>
      </x:c>
      <x:c r="C848" s="3" t="str">
        <x:v>徐新怡</x:v>
      </x:c>
      <x:c r="D848" s="3" t="str">
        <x:v>1S01</x:v>
      </x:c>
      <x:c r="E848" s="3" t="str">
        <x:f>IF(Z848="移出","已移出",IF(NOT(ISNUMBER(H848)),"数据待核",IF(H848=0,"断货",IF(NOT(ISNUMBER(G848)),"数据待核",IF(G848=0,"零日销待复核",IF(F848&lt;60,"补货提醒",IF(F848&lt;=90,"正常库存",IF(F848&lt;180,"促销",IF(F848&lt;=365,"红线促销","考虑清仓")))))))))</x:f>
        <x:v>数据待核</x:v>
      </x:c>
      <x:c r="F848" s="11" t="str">
        <x:f>IF(AND(ISNUMBER(H848),ISNUMBER(G848),G848&gt;0),H848/G848,"")</x:f>
      </x:c>
      <x:c r="G848" s="12" t="n">
        <x:f>IF(AND(COUNT(P848:R848)=3,MIN(P848:R848)&gt;=0,P848&lt;=Q848,Q848&lt;=R848),P848/7*0.5+Q848/14*0.3+R848/30*0.2,"")</x:f>
        <x:v>0</x:v>
      </x:c>
      <x:c r="H848" s="10" t="str">
        <x:f>IF(ISNUMBER(U848),U848,"")</x:f>
      </x:c>
      <x:c r="I848" s="10"/>
      <x:c r="J848" s="11" t="str">
        <x:f>IF(AND(Z848="共同",ISNUMBER(F848),ISNUMBER(M848)),F848-M848,"")</x:f>
      </x:c>
      <x:c r="K848" s="13" t="str">
        <x:f>IF(AND(ISNUMBER(J848),M848&lt;&gt;0),J848/M848,"")</x:f>
      </x:c>
      <x:c r="L848" s="10"/>
      <x:c r="M848" s="11"/>
      <x:c r="N848" s="10" t="str">
        <x:f>IF(AND(Z848="共同",COUNT(H848:I848)=2),H848-I848,"")</x:f>
      </x:c>
      <x:c r="O848" s="10"/>
      <x:c r="P848" s="10" t="n">
        <x:v>0</x:v>
      </x:c>
      <x:c r="Q848" s="10" t="n">
        <x:v>0</x:v>
      </x:c>
      <x:c r="R848" s="10" t="n">
        <x:v>0</x:v>
      </x:c>
      <x:c r="S848" s="10"/>
      <x:c r="T848" s="10"/>
      <x:c r="U848" s="10" t="str">
        <x:f>IF(AND(ISNUMBER(X848),X848&gt;=0,Y848&lt;&gt;1),X848,"")</x:f>
      </x:c>
      <x:c r="V848" s="10"/>
      <x:c r="W848" s="10"/>
      <x:c r="X848" s="10"/>
      <x:c r="Y848" s="3" t="n">
        <x:v>0</x:v>
      </x:c>
      <x:c r="Z848" s="3" t="str">
        <x:v>新增</x:v>
      </x:c>
      <x:c r="AA848" s="3" t="str">
        <x:v>停售</x:v>
      </x:c>
      <x:c r="AB848" s="12" t="str">
        <x:f>IF(AND(Z848="共同",ISNUMBER(G848),ISNUMBER(AD848)),G848-AD848,"")</x:f>
      </x:c>
      <x:c r="AC848" s="3" t="str">
        <x:v>近90天SKU销量未匹配，未按0处理</x:v>
      </x:c>
      <x:c r="AD848" s="12"/>
      <x:c r="AE848" s="3" t="str">
        <x:v>[13120,"1S01-CPG-8"]</x:v>
      </x:c>
      <x:c r="AF848" t="n">
        <x:f>IF(ISNUMBER(H848),1,0)</x:f>
        <x:v>0</x:v>
      </x:c>
      <x:c r="AG848" t="n">
        <x:f>IF(ISNUMBER(I848),1,0)</x:f>
        <x:v>0</x:v>
      </x:c>
      <x:c r="AH848" t="str">
        <x:v>["1S01","1S01-CPG","CPG","香槟金"]</x:v>
      </x:c>
      <x:c r="AI848" t="n">
        <x:f>IF(ISNUMBER(G848),1,0)</x:f>
        <x:v>1</x:v>
      </x:c>
      <x:c r="AJ848" t="n">
        <x:f>IF(ISNUMBER(AD848),1,0)</x:f>
        <x:v>0</x:v>
      </x:c>
    </x:row>
    <x:row r="849" ht="30" customHeight="1">
      <x:c r="A849" s="3" t="str">
        <x:v>1S01-CPG-9</x:v>
      </x:c>
      <x:c r="B849" s="3" t="str">
        <x:v>1店-MUSSHOE-US</x:v>
      </x:c>
      <x:c r="C849" s="3" t="str">
        <x:v>徐新怡</x:v>
      </x:c>
      <x:c r="D849" s="3" t="str">
        <x:v>1S01</x:v>
      </x:c>
      <x:c r="E849" s="3" t="str">
        <x:f>IF(Z849="移出","已移出",IF(NOT(ISNUMBER(H849)),"数据待核",IF(H849=0,"断货",IF(NOT(ISNUMBER(G849)),"数据待核",IF(G849=0,"零日销待复核",IF(F849&lt;60,"补货提醒",IF(F849&lt;=90,"正常库存",IF(F849&lt;180,"促销",IF(F849&lt;=365,"红线促销","考虑清仓")))))))))</x:f>
        <x:v>数据待核</x:v>
      </x:c>
      <x:c r="F849" s="11" t="str">
        <x:f>IF(AND(ISNUMBER(H849),ISNUMBER(G849),G849&gt;0),H849/G849,"")</x:f>
      </x:c>
      <x:c r="G849" s="12" t="n">
        <x:f>IF(AND(COUNT(P849:R849)=3,MIN(P849:R849)&gt;=0,P849&lt;=Q849,Q849&lt;=R849),P849/7*0.5+Q849/14*0.3+R849/30*0.2,"")</x:f>
        <x:v>0</x:v>
      </x:c>
      <x:c r="H849" s="10" t="str">
        <x:f>IF(ISNUMBER(U849),U849,"")</x:f>
      </x:c>
      <x:c r="I849" s="10"/>
      <x:c r="J849" s="11" t="str">
        <x:f>IF(AND(Z849="共同",ISNUMBER(F849),ISNUMBER(M849)),F849-M849,"")</x:f>
      </x:c>
      <x:c r="K849" s="13" t="str">
        <x:f>IF(AND(ISNUMBER(J849),M849&lt;&gt;0),J849/M849,"")</x:f>
      </x:c>
      <x:c r="L849" s="10"/>
      <x:c r="M849" s="11"/>
      <x:c r="N849" s="10" t="str">
        <x:f>IF(AND(Z849="共同",COUNT(H849:I849)=2),H849-I849,"")</x:f>
      </x:c>
      <x:c r="O849" s="10"/>
      <x:c r="P849" s="10" t="n">
        <x:v>0</x:v>
      </x:c>
      <x:c r="Q849" s="10" t="n">
        <x:v>0</x:v>
      </x:c>
      <x:c r="R849" s="10" t="n">
        <x:v>0</x:v>
      </x:c>
      <x:c r="S849" s="10"/>
      <x:c r="T849" s="10"/>
      <x:c r="U849" s="10" t="str">
        <x:f>IF(AND(ISNUMBER(X849),X849&gt;=0,Y849&lt;&gt;1),X849,"")</x:f>
      </x:c>
      <x:c r="V849" s="10"/>
      <x:c r="W849" s="10"/>
      <x:c r="X849" s="10"/>
      <x:c r="Y849" s="3" t="n">
        <x:v>0</x:v>
      </x:c>
      <x:c r="Z849" s="3" t="str">
        <x:v>新增</x:v>
      </x:c>
      <x:c r="AA849" s="3" t="str">
        <x:v>停售</x:v>
      </x:c>
      <x:c r="AB849" s="12" t="str">
        <x:f>IF(AND(Z849="共同",ISNUMBER(G849),ISNUMBER(AD849)),G849-AD849,"")</x:f>
      </x:c>
      <x:c r="AC849" s="3" t="str">
        <x:v>近90天SKU销量未匹配，未按0处理</x:v>
      </x:c>
      <x:c r="AD849" s="12"/>
      <x:c r="AE849" s="3" t="str">
        <x:v>[13120,"1S01-CPG-9"]</x:v>
      </x:c>
      <x:c r="AF849" t="n">
        <x:f>IF(ISNUMBER(H849),1,0)</x:f>
        <x:v>0</x:v>
      </x:c>
      <x:c r="AG849" t="n">
        <x:f>IF(ISNUMBER(I849),1,0)</x:f>
        <x:v>0</x:v>
      </x:c>
      <x:c r="AH849" t="str">
        <x:v>["1S01","1S01-CPG","CPG","香槟金"]</x:v>
      </x:c>
      <x:c r="AI849" t="n">
        <x:f>IF(ISNUMBER(G849),1,0)</x:f>
        <x:v>1</x:v>
      </x:c>
      <x:c r="AJ849" t="n">
        <x:f>IF(ISNUMBER(AD849),1,0)</x:f>
        <x:v>0</x:v>
      </x:c>
    </x:row>
    <x:row r="850" ht="30" customHeight="1">
      <x:c r="A850" s="3" t="str">
        <x:v>1S01-GD-36</x:v>
      </x:c>
      <x:c r="B850" s="3" t="str">
        <x:v>1店-MUSSHOE-US</x:v>
      </x:c>
      <x:c r="C850" s="3" t="str">
        <x:v>徐新怡</x:v>
      </x:c>
      <x:c r="D850" s="3" t="str">
        <x:v>1S01</x:v>
      </x:c>
      <x:c r="E850" s="3" t="str">
        <x:f>IF(Z850="移出","已移出",IF(NOT(ISNUMBER(H850)),"数据待核",IF(H850=0,"断货",IF(NOT(ISNUMBER(G850)),"数据待核",IF(G850=0,"零日销待复核",IF(F850&lt;60,"补货提醒",IF(F850&lt;=90,"正常库存",IF(F850&lt;180,"促销",IF(F850&lt;=365,"红线促销","考虑清仓")))))))))</x:f>
        <x:v>数据待核</x:v>
      </x:c>
      <x:c r="F850" s="11" t="str">
        <x:f>IF(AND(ISNUMBER(H850),ISNUMBER(G850),G850&gt;0),H850/G850,"")</x:f>
      </x:c>
      <x:c r="G850" s="12" t="n">
        <x:f>IF(AND(COUNT(P850:R850)=3,MIN(P850:R850)&gt;=0,P850&lt;=Q850,Q850&lt;=R850),P850/7*0.5+Q850/14*0.3+R850/30*0.2,"")</x:f>
        <x:v>0</x:v>
      </x:c>
      <x:c r="H850" s="10" t="str">
        <x:f>IF(ISNUMBER(U850),U850,"")</x:f>
      </x:c>
      <x:c r="I850" s="10"/>
      <x:c r="J850" s="11" t="str">
        <x:f>IF(AND(Z850="共同",ISNUMBER(F850),ISNUMBER(M850)),F850-M850,"")</x:f>
      </x:c>
      <x:c r="K850" s="13" t="str">
        <x:f>IF(AND(ISNUMBER(J850),M850&lt;&gt;0),J850/M850,"")</x:f>
      </x:c>
      <x:c r="L850" s="10"/>
      <x:c r="M850" s="11"/>
      <x:c r="N850" s="10" t="str">
        <x:f>IF(AND(Z850="共同",COUNT(H850:I850)=2),H850-I850,"")</x:f>
      </x:c>
      <x:c r="O850" s="10"/>
      <x:c r="P850" s="10" t="n">
        <x:v>0</x:v>
      </x:c>
      <x:c r="Q850" s="10" t="n">
        <x:v>0</x:v>
      </x:c>
      <x:c r="R850" s="10" t="n">
        <x:v>0</x:v>
      </x:c>
      <x:c r="S850" s="10"/>
      <x:c r="T850" s="10"/>
      <x:c r="U850" s="10" t="str">
        <x:f>IF(AND(ISNUMBER(X850),X850&gt;=0,Y850&lt;&gt;1),X850,"")</x:f>
      </x:c>
      <x:c r="V850" s="10"/>
      <x:c r="W850" s="10"/>
      <x:c r="X850" s="10"/>
      <x:c r="Y850" s="3" t="n">
        <x:v>0</x:v>
      </x:c>
      <x:c r="Z850" s="3" t="str">
        <x:v>新增</x:v>
      </x:c>
      <x:c r="AA850" s="3" t="str">
        <x:v>停售</x:v>
      </x:c>
      <x:c r="AB850" s="12" t="str">
        <x:f>IF(AND(Z850="共同",ISNUMBER(G850),ISNUMBER(AD850)),G850-AD850,"")</x:f>
      </x:c>
      <x:c r="AC850" s="3" t="str">
        <x:v>近90天SKU销量未匹配，未按0处理</x:v>
      </x:c>
      <x:c r="AD850" s="12"/>
      <x:c r="AE850" s="3" t="str">
        <x:v>[13120,"1S01-GD-36"]</x:v>
      </x:c>
      <x:c r="AF850" t="n">
        <x:f>IF(ISNUMBER(H850),1,0)</x:f>
        <x:v>0</x:v>
      </x:c>
      <x:c r="AG850" t="n">
        <x:f>IF(ISNUMBER(I850),1,0)</x:f>
        <x:v>0</x:v>
      </x:c>
      <x:c r="AH850" t="str">
        <x:v>["1S01","1S01-GD","GD","金色"]</x:v>
      </x:c>
      <x:c r="AI850" t="n">
        <x:f>IF(ISNUMBER(G850),1,0)</x:f>
        <x:v>1</x:v>
      </x:c>
      <x:c r="AJ850" t="n">
        <x:f>IF(ISNUMBER(AD850),1,0)</x:f>
        <x:v>0</x:v>
      </x:c>
    </x:row>
    <x:row r="851" ht="30" customHeight="1">
      <x:c r="A851" s="3" t="str">
        <x:v>1S01-GD-37</x:v>
      </x:c>
      <x:c r="B851" s="3" t="str">
        <x:v>1店-MUSSHOE-US</x:v>
      </x:c>
      <x:c r="C851" s="3" t="str">
        <x:v>徐新怡</x:v>
      </x:c>
      <x:c r="D851" s="3" t="str">
        <x:v>1S01</x:v>
      </x:c>
      <x:c r="E851" s="3" t="str">
        <x:f>IF(Z851="移出","已移出",IF(NOT(ISNUMBER(H851)),"数据待核",IF(H851=0,"断货",IF(NOT(ISNUMBER(G851)),"数据待核",IF(G851=0,"零日销待复核",IF(F851&lt;60,"补货提醒",IF(F851&lt;=90,"正常库存",IF(F851&lt;180,"促销",IF(F851&lt;=365,"红线促销","考虑清仓")))))))))</x:f>
        <x:v>数据待核</x:v>
      </x:c>
      <x:c r="F851" s="11" t="str">
        <x:f>IF(AND(ISNUMBER(H851),ISNUMBER(G851),G851&gt;0),H851/G851,"")</x:f>
      </x:c>
      <x:c r="G851" s="12" t="n">
        <x:f>IF(AND(COUNT(P851:R851)=3,MIN(P851:R851)&gt;=0,P851&lt;=Q851,Q851&lt;=R851),P851/7*0.5+Q851/14*0.3+R851/30*0.2,"")</x:f>
        <x:v>0</x:v>
      </x:c>
      <x:c r="H851" s="10" t="str">
        <x:f>IF(ISNUMBER(U851),U851,"")</x:f>
      </x:c>
      <x:c r="I851" s="10"/>
      <x:c r="J851" s="11" t="str">
        <x:f>IF(AND(Z851="共同",ISNUMBER(F851),ISNUMBER(M851)),F851-M851,"")</x:f>
      </x:c>
      <x:c r="K851" s="13" t="str">
        <x:f>IF(AND(ISNUMBER(J851),M851&lt;&gt;0),J851/M851,"")</x:f>
      </x:c>
      <x:c r="L851" s="10"/>
      <x:c r="M851" s="11"/>
      <x:c r="N851" s="10" t="str">
        <x:f>IF(AND(Z851="共同",COUNT(H851:I851)=2),H851-I851,"")</x:f>
      </x:c>
      <x:c r="O851" s="10"/>
      <x:c r="P851" s="10" t="n">
        <x:v>0</x:v>
      </x:c>
      <x:c r="Q851" s="10" t="n">
        <x:v>0</x:v>
      </x:c>
      <x:c r="R851" s="10" t="n">
        <x:v>0</x:v>
      </x:c>
      <x:c r="S851" s="10"/>
      <x:c r="T851" s="10"/>
      <x:c r="U851" s="10" t="str">
        <x:f>IF(AND(ISNUMBER(X851),X851&gt;=0,Y851&lt;&gt;1),X851,"")</x:f>
      </x:c>
      <x:c r="V851" s="10"/>
      <x:c r="W851" s="10"/>
      <x:c r="X851" s="10"/>
      <x:c r="Y851" s="3" t="n">
        <x:v>0</x:v>
      </x:c>
      <x:c r="Z851" s="3" t="str">
        <x:v>新增</x:v>
      </x:c>
      <x:c r="AA851" s="3" t="str">
        <x:v>停售</x:v>
      </x:c>
      <x:c r="AB851" s="12" t="str">
        <x:f>IF(AND(Z851="共同",ISNUMBER(G851),ISNUMBER(AD851)),G851-AD851,"")</x:f>
      </x:c>
      <x:c r="AC851" s="3" t="str">
        <x:v>近90天SKU销量未匹配，未按0处理</x:v>
      </x:c>
      <x:c r="AD851" s="12"/>
      <x:c r="AE851" s="3" t="str">
        <x:v>[13120,"1S01-GD-37"]</x:v>
      </x:c>
      <x:c r="AF851" t="n">
        <x:f>IF(ISNUMBER(H851),1,0)</x:f>
        <x:v>0</x:v>
      </x:c>
      <x:c r="AG851" t="n">
        <x:f>IF(ISNUMBER(I851),1,0)</x:f>
        <x:v>0</x:v>
      </x:c>
      <x:c r="AH851" t="str">
        <x:v>["1S01","1S01-GD","GD","金色"]</x:v>
      </x:c>
      <x:c r="AI851" t="n">
        <x:f>IF(ISNUMBER(G851),1,0)</x:f>
        <x:v>1</x:v>
      </x:c>
      <x:c r="AJ851" t="n">
        <x:f>IF(ISNUMBER(AD851),1,0)</x:f>
        <x:v>0</x:v>
      </x:c>
    </x:row>
    <x:row r="852" ht="30" customHeight="1">
      <x:c r="A852" s="3" t="str">
        <x:v>1S01-GD-38</x:v>
      </x:c>
      <x:c r="B852" s="3" t="str">
        <x:v>1店-MUSSHOE-US</x:v>
      </x:c>
      <x:c r="C852" s="3" t="str">
        <x:v>徐新怡</x:v>
      </x:c>
      <x:c r="D852" s="3" t="str">
        <x:v>1S01</x:v>
      </x:c>
      <x:c r="E852" s="3" t="str">
        <x:f>IF(Z852="移出","已移出",IF(NOT(ISNUMBER(H852)),"数据待核",IF(H852=0,"断货",IF(NOT(ISNUMBER(G852)),"数据待核",IF(G852=0,"零日销待复核",IF(F852&lt;60,"补货提醒",IF(F852&lt;=90,"正常库存",IF(F852&lt;180,"促销",IF(F852&lt;=365,"红线促销","考虑清仓")))))))))</x:f>
        <x:v>数据待核</x:v>
      </x:c>
      <x:c r="F852" s="11" t="str">
        <x:f>IF(AND(ISNUMBER(H852),ISNUMBER(G852),G852&gt;0),H852/G852,"")</x:f>
      </x:c>
      <x:c r="G852" s="12" t="n">
        <x:f>IF(AND(COUNT(P852:R852)=3,MIN(P852:R852)&gt;=0,P852&lt;=Q852,Q852&lt;=R852),P852/7*0.5+Q852/14*0.3+R852/30*0.2,"")</x:f>
        <x:v>0</x:v>
      </x:c>
      <x:c r="H852" s="10" t="str">
        <x:f>IF(ISNUMBER(U852),U852,"")</x:f>
      </x:c>
      <x:c r="I852" s="10"/>
      <x:c r="J852" s="11" t="str">
        <x:f>IF(AND(Z852="共同",ISNUMBER(F852),ISNUMBER(M852)),F852-M852,"")</x:f>
      </x:c>
      <x:c r="K852" s="13" t="str">
        <x:f>IF(AND(ISNUMBER(J852),M852&lt;&gt;0),J852/M852,"")</x:f>
      </x:c>
      <x:c r="L852" s="10"/>
      <x:c r="M852" s="11"/>
      <x:c r="N852" s="10" t="str">
        <x:f>IF(AND(Z852="共同",COUNT(H852:I852)=2),H852-I852,"")</x:f>
      </x:c>
      <x:c r="O852" s="10"/>
      <x:c r="P852" s="10" t="n">
        <x:v>0</x:v>
      </x:c>
      <x:c r="Q852" s="10" t="n">
        <x:v>0</x:v>
      </x:c>
      <x:c r="R852" s="10" t="n">
        <x:v>0</x:v>
      </x:c>
      <x:c r="S852" s="10"/>
      <x:c r="T852" s="10"/>
      <x:c r="U852" s="10" t="str">
        <x:f>IF(AND(ISNUMBER(X852),X852&gt;=0,Y852&lt;&gt;1),X852,"")</x:f>
      </x:c>
      <x:c r="V852" s="10"/>
      <x:c r="W852" s="10"/>
      <x:c r="X852" s="10"/>
      <x:c r="Y852" s="3" t="n">
        <x:v>0</x:v>
      </x:c>
      <x:c r="Z852" s="3" t="str">
        <x:v>新增</x:v>
      </x:c>
      <x:c r="AA852" s="3" t="str">
        <x:v>停售</x:v>
      </x:c>
      <x:c r="AB852" s="12" t="str">
        <x:f>IF(AND(Z852="共同",ISNUMBER(G852),ISNUMBER(AD852)),G852-AD852,"")</x:f>
      </x:c>
      <x:c r="AC852" s="3" t="str">
        <x:v>近90天SKU销量未匹配，未按0处理</x:v>
      </x:c>
      <x:c r="AD852" s="12"/>
      <x:c r="AE852" s="3" t="str">
        <x:v>[13120,"1S01-GD-38"]</x:v>
      </x:c>
      <x:c r="AF852" t="n">
        <x:f>IF(ISNUMBER(H852),1,0)</x:f>
        <x:v>0</x:v>
      </x:c>
      <x:c r="AG852" t="n">
        <x:f>IF(ISNUMBER(I852),1,0)</x:f>
        <x:v>0</x:v>
      </x:c>
      <x:c r="AH852" t="str">
        <x:v>["1S01","1S01-GD","GD","金色"]</x:v>
      </x:c>
      <x:c r="AI852" t="n">
        <x:f>IF(ISNUMBER(G852),1,0)</x:f>
        <x:v>1</x:v>
      </x:c>
      <x:c r="AJ852" t="n">
        <x:f>IF(ISNUMBER(AD852),1,0)</x:f>
        <x:v>0</x:v>
      </x:c>
    </x:row>
    <x:row r="853" ht="30" customHeight="1">
      <x:c r="A853" s="3" t="str">
        <x:v>1S01-GD-39</x:v>
      </x:c>
      <x:c r="B853" s="3" t="str">
        <x:v>1店-MUSSHOE-US</x:v>
      </x:c>
      <x:c r="C853" s="3" t="str">
        <x:v>徐新怡</x:v>
      </x:c>
      <x:c r="D853" s="3" t="str">
        <x:v>1S01</x:v>
      </x:c>
      <x:c r="E853" s="3" t="str">
        <x:f>IF(Z853="移出","已移出",IF(NOT(ISNUMBER(H853)),"数据待核",IF(H853=0,"断货",IF(NOT(ISNUMBER(G853)),"数据待核",IF(G853=0,"零日销待复核",IF(F853&lt;60,"补货提醒",IF(F853&lt;=90,"正常库存",IF(F853&lt;180,"促销",IF(F853&lt;=365,"红线促销","考虑清仓")))))))))</x:f>
        <x:v>数据待核</x:v>
      </x:c>
      <x:c r="F853" s="11" t="str">
        <x:f>IF(AND(ISNUMBER(H853),ISNUMBER(G853),G853&gt;0),H853/G853,"")</x:f>
      </x:c>
      <x:c r="G853" s="12" t="n">
        <x:f>IF(AND(COUNT(P853:R853)=3,MIN(P853:R853)&gt;=0,P853&lt;=Q853,Q853&lt;=R853),P853/7*0.5+Q853/14*0.3+R853/30*0.2,"")</x:f>
        <x:v>0</x:v>
      </x:c>
      <x:c r="H853" s="10" t="str">
        <x:f>IF(ISNUMBER(U853),U853,"")</x:f>
      </x:c>
      <x:c r="I853" s="10"/>
      <x:c r="J853" s="11" t="str">
        <x:f>IF(AND(Z853="共同",ISNUMBER(F853),ISNUMBER(M853)),F853-M853,"")</x:f>
      </x:c>
      <x:c r="K853" s="13" t="str">
        <x:f>IF(AND(ISNUMBER(J853),M853&lt;&gt;0),J853/M853,"")</x:f>
      </x:c>
      <x:c r="L853" s="10"/>
      <x:c r="M853" s="11"/>
      <x:c r="N853" s="10" t="str">
        <x:f>IF(AND(Z853="共同",COUNT(H853:I853)=2),H853-I853,"")</x:f>
      </x:c>
      <x:c r="O853" s="10"/>
      <x:c r="P853" s="10" t="n">
        <x:v>0</x:v>
      </x:c>
      <x:c r="Q853" s="10" t="n">
        <x:v>0</x:v>
      </x:c>
      <x:c r="R853" s="10" t="n">
        <x:v>0</x:v>
      </x:c>
      <x:c r="S853" s="10"/>
      <x:c r="T853" s="10"/>
      <x:c r="U853" s="10" t="str">
        <x:f>IF(AND(ISNUMBER(X853),X853&gt;=0,Y853&lt;&gt;1),X853,"")</x:f>
      </x:c>
      <x:c r="V853" s="10"/>
      <x:c r="W853" s="10"/>
      <x:c r="X853" s="10"/>
      <x:c r="Y853" s="3" t="n">
        <x:v>0</x:v>
      </x:c>
      <x:c r="Z853" s="3" t="str">
        <x:v>新增</x:v>
      </x:c>
      <x:c r="AA853" s="3" t="str">
        <x:v>停售</x:v>
      </x:c>
      <x:c r="AB853" s="12" t="str">
        <x:f>IF(AND(Z853="共同",ISNUMBER(G853),ISNUMBER(AD853)),G853-AD853,"")</x:f>
      </x:c>
      <x:c r="AC853" s="3" t="str">
        <x:v>近90天SKU销量未匹配，未按0处理</x:v>
      </x:c>
      <x:c r="AD853" s="12"/>
      <x:c r="AE853" s="3" t="str">
        <x:v>[13120,"1S01-GD-39"]</x:v>
      </x:c>
      <x:c r="AF853" t="n">
        <x:f>IF(ISNUMBER(H853),1,0)</x:f>
        <x:v>0</x:v>
      </x:c>
      <x:c r="AG853" t="n">
        <x:f>IF(ISNUMBER(I853),1,0)</x:f>
        <x:v>0</x:v>
      </x:c>
      <x:c r="AH853" t="str">
        <x:v>["1S01","1S01-GD","GD","金色"]</x:v>
      </x:c>
      <x:c r="AI853" t="n">
        <x:f>IF(ISNUMBER(G853),1,0)</x:f>
        <x:v>1</x:v>
      </x:c>
      <x:c r="AJ853" t="n">
        <x:f>IF(ISNUMBER(AD853),1,0)</x:f>
        <x:v>0</x:v>
      </x:c>
    </x:row>
    <x:row r="854" ht="30" customHeight="1">
      <x:c r="A854" s="3" t="str">
        <x:v>1S01-GD-40</x:v>
      </x:c>
      <x:c r="B854" s="3" t="str">
        <x:v>1店-MUSSHOE-US</x:v>
      </x:c>
      <x:c r="C854" s="3" t="str">
        <x:v>徐新怡</x:v>
      </x:c>
      <x:c r="D854" s="3" t="str">
        <x:v>1S01</x:v>
      </x:c>
      <x:c r="E854" s="3" t="str">
        <x:f>IF(Z854="移出","已移出",IF(NOT(ISNUMBER(H854)),"数据待核",IF(H854=0,"断货",IF(NOT(ISNUMBER(G854)),"数据待核",IF(G854=0,"零日销待复核",IF(F854&lt;60,"补货提醒",IF(F854&lt;=90,"正常库存",IF(F854&lt;180,"促销",IF(F854&lt;=365,"红线促销","考虑清仓")))))))))</x:f>
        <x:v>数据待核</x:v>
      </x:c>
      <x:c r="F854" s="11" t="str">
        <x:f>IF(AND(ISNUMBER(H854),ISNUMBER(G854),G854&gt;0),H854/G854,"")</x:f>
      </x:c>
      <x:c r="G854" s="12" t="n">
        <x:f>IF(AND(COUNT(P854:R854)=3,MIN(P854:R854)&gt;=0,P854&lt;=Q854,Q854&lt;=R854),P854/7*0.5+Q854/14*0.3+R854/30*0.2,"")</x:f>
        <x:v>0</x:v>
      </x:c>
      <x:c r="H854" s="10" t="str">
        <x:f>IF(ISNUMBER(U854),U854,"")</x:f>
      </x:c>
      <x:c r="I854" s="10"/>
      <x:c r="J854" s="11" t="str">
        <x:f>IF(AND(Z854="共同",ISNUMBER(F854),ISNUMBER(M854)),F854-M854,"")</x:f>
      </x:c>
      <x:c r="K854" s="13" t="str">
        <x:f>IF(AND(ISNUMBER(J854),M854&lt;&gt;0),J854/M854,"")</x:f>
      </x:c>
      <x:c r="L854" s="10"/>
      <x:c r="M854" s="11"/>
      <x:c r="N854" s="10" t="str">
        <x:f>IF(AND(Z854="共同",COUNT(H854:I854)=2),H854-I854,"")</x:f>
      </x:c>
      <x:c r="O854" s="10"/>
      <x:c r="P854" s="10" t="n">
        <x:v>0</x:v>
      </x:c>
      <x:c r="Q854" s="10" t="n">
        <x:v>0</x:v>
      </x:c>
      <x:c r="R854" s="10" t="n">
        <x:v>0</x:v>
      </x:c>
      <x:c r="S854" s="10"/>
      <x:c r="T854" s="10"/>
      <x:c r="U854" s="10" t="str">
        <x:f>IF(AND(ISNUMBER(X854),X854&gt;=0,Y854&lt;&gt;1),X854,"")</x:f>
      </x:c>
      <x:c r="V854" s="10"/>
      <x:c r="W854" s="10"/>
      <x:c r="X854" s="10"/>
      <x:c r="Y854" s="3" t="n">
        <x:v>0</x:v>
      </x:c>
      <x:c r="Z854" s="3" t="str">
        <x:v>新增</x:v>
      </x:c>
      <x:c r="AA854" s="3" t="str">
        <x:v>停售</x:v>
      </x:c>
      <x:c r="AB854" s="12" t="str">
        <x:f>IF(AND(Z854="共同",ISNUMBER(G854),ISNUMBER(AD854)),G854-AD854,"")</x:f>
      </x:c>
      <x:c r="AC854" s="3" t="str">
        <x:v>近90天SKU销量未匹配，未按0处理</x:v>
      </x:c>
      <x:c r="AD854" s="12"/>
      <x:c r="AE854" s="3" t="str">
        <x:v>[13120,"1S01-GD-40"]</x:v>
      </x:c>
      <x:c r="AF854" t="n">
        <x:f>IF(ISNUMBER(H854),1,0)</x:f>
        <x:v>0</x:v>
      </x:c>
      <x:c r="AG854" t="n">
        <x:f>IF(ISNUMBER(I854),1,0)</x:f>
        <x:v>0</x:v>
      </x:c>
      <x:c r="AH854" t="str">
        <x:v>["1S01","1S01-GD","GD","金色"]</x:v>
      </x:c>
      <x:c r="AI854" t="n">
        <x:f>IF(ISNUMBER(G854),1,0)</x:f>
        <x:v>1</x:v>
      </x:c>
      <x:c r="AJ854" t="n">
        <x:f>IF(ISNUMBER(AD854),1,0)</x:f>
        <x:v>0</x:v>
      </x:c>
    </x:row>
    <x:row r="855" ht="30" customHeight="1">
      <x:c r="A855" s="3" t="str">
        <x:v>1S01-GD-41</x:v>
      </x:c>
      <x:c r="B855" s="3" t="str">
        <x:v>1店-MUSSHOE-US</x:v>
      </x:c>
      <x:c r="C855" s="3" t="str">
        <x:v>徐新怡</x:v>
      </x:c>
      <x:c r="D855" s="3" t="str">
        <x:v>1S01</x:v>
      </x:c>
      <x:c r="E855" s="3" t="str">
        <x:f>IF(Z855="移出","已移出",IF(NOT(ISNUMBER(H855)),"数据待核",IF(H855=0,"断货",IF(NOT(ISNUMBER(G855)),"数据待核",IF(G855=0,"零日销待复核",IF(F855&lt;60,"补货提醒",IF(F855&lt;=90,"正常库存",IF(F855&lt;180,"促销",IF(F855&lt;=365,"红线促销","考虑清仓")))))))))</x:f>
        <x:v>数据待核</x:v>
      </x:c>
      <x:c r="F855" s="11" t="str">
        <x:f>IF(AND(ISNUMBER(H855),ISNUMBER(G855),G855&gt;0),H855/G855,"")</x:f>
      </x:c>
      <x:c r="G855" s="12" t="n">
        <x:f>IF(AND(COUNT(P855:R855)=3,MIN(P855:R855)&gt;=0,P855&lt;=Q855,Q855&lt;=R855),P855/7*0.5+Q855/14*0.3+R855/30*0.2,"")</x:f>
        <x:v>0</x:v>
      </x:c>
      <x:c r="H855" s="10" t="str">
        <x:f>IF(ISNUMBER(U855),U855,"")</x:f>
      </x:c>
      <x:c r="I855" s="10"/>
      <x:c r="J855" s="11" t="str">
        <x:f>IF(AND(Z855="共同",ISNUMBER(F855),ISNUMBER(M855)),F855-M855,"")</x:f>
      </x:c>
      <x:c r="K855" s="13" t="str">
        <x:f>IF(AND(ISNUMBER(J855),M855&lt;&gt;0),J855/M855,"")</x:f>
      </x:c>
      <x:c r="L855" s="10"/>
      <x:c r="M855" s="11"/>
      <x:c r="N855" s="10" t="str">
        <x:f>IF(AND(Z855="共同",COUNT(H855:I855)=2),H855-I855,"")</x:f>
      </x:c>
      <x:c r="O855" s="10"/>
      <x:c r="P855" s="10" t="n">
        <x:v>0</x:v>
      </x:c>
      <x:c r="Q855" s="10" t="n">
        <x:v>0</x:v>
      </x:c>
      <x:c r="R855" s="10" t="n">
        <x:v>0</x:v>
      </x:c>
      <x:c r="S855" s="10"/>
      <x:c r="T855" s="10"/>
      <x:c r="U855" s="10" t="str">
        <x:f>IF(AND(ISNUMBER(X855),X855&gt;=0,Y855&lt;&gt;1),X855,"")</x:f>
      </x:c>
      <x:c r="V855" s="10"/>
      <x:c r="W855" s="10"/>
      <x:c r="X855" s="10"/>
      <x:c r="Y855" s="3" t="n">
        <x:v>0</x:v>
      </x:c>
      <x:c r="Z855" s="3" t="str">
        <x:v>新增</x:v>
      </x:c>
      <x:c r="AA855" s="3" t="str">
        <x:v>停售</x:v>
      </x:c>
      <x:c r="AB855" s="12" t="str">
        <x:f>IF(AND(Z855="共同",ISNUMBER(G855),ISNUMBER(AD855)),G855-AD855,"")</x:f>
      </x:c>
      <x:c r="AC855" s="3" t="str">
        <x:v>近90天SKU销量未匹配，未按0处理</x:v>
      </x:c>
      <x:c r="AD855" s="12"/>
      <x:c r="AE855" s="3" t="str">
        <x:v>[13120,"1S01-GD-41"]</x:v>
      </x:c>
      <x:c r="AF855" t="n">
        <x:f>IF(ISNUMBER(H855),1,0)</x:f>
        <x:v>0</x:v>
      </x:c>
      <x:c r="AG855" t="n">
        <x:f>IF(ISNUMBER(I855),1,0)</x:f>
        <x:v>0</x:v>
      </x:c>
      <x:c r="AH855" t="str">
        <x:v>["1S01","1S01-GD","GD","金色"]</x:v>
      </x:c>
      <x:c r="AI855" t="n">
        <x:f>IF(ISNUMBER(G855),1,0)</x:f>
        <x:v>1</x:v>
      </x:c>
      <x:c r="AJ855" t="n">
        <x:f>IF(ISNUMBER(AD855),1,0)</x:f>
        <x:v>0</x:v>
      </x:c>
    </x:row>
    <x:row r="856" ht="30" customHeight="1">
      <x:c r="A856" s="3" t="str">
        <x:v>1S01-GD-42</x:v>
      </x:c>
      <x:c r="B856" s="3" t="str">
        <x:v>1店-MUSSHOE-US</x:v>
      </x:c>
      <x:c r="C856" s="3" t="str">
        <x:v>徐新怡</x:v>
      </x:c>
      <x:c r="D856" s="3" t="str">
        <x:v>1S01</x:v>
      </x:c>
      <x:c r="E856" s="3" t="str">
        <x:f>IF(Z856="移出","已移出",IF(NOT(ISNUMBER(H856)),"数据待核",IF(H856=0,"断货",IF(NOT(ISNUMBER(G856)),"数据待核",IF(G856=0,"零日销待复核",IF(F856&lt;60,"补货提醒",IF(F856&lt;=90,"正常库存",IF(F856&lt;180,"促销",IF(F856&lt;=365,"红线促销","考虑清仓")))))))))</x:f>
        <x:v>数据待核</x:v>
      </x:c>
      <x:c r="F856" s="11" t="str">
        <x:f>IF(AND(ISNUMBER(H856),ISNUMBER(G856),G856&gt;0),H856/G856,"")</x:f>
      </x:c>
      <x:c r="G856" s="12" t="n">
        <x:f>IF(AND(COUNT(P856:R856)=3,MIN(P856:R856)&gt;=0,P856&lt;=Q856,Q856&lt;=R856),P856/7*0.5+Q856/14*0.3+R856/30*0.2,"")</x:f>
        <x:v>0</x:v>
      </x:c>
      <x:c r="H856" s="10" t="str">
        <x:f>IF(ISNUMBER(U856),U856,"")</x:f>
      </x:c>
      <x:c r="I856" s="10"/>
      <x:c r="J856" s="11" t="str">
        <x:f>IF(AND(Z856="共同",ISNUMBER(F856),ISNUMBER(M856)),F856-M856,"")</x:f>
      </x:c>
      <x:c r="K856" s="13" t="str">
        <x:f>IF(AND(ISNUMBER(J856),M856&lt;&gt;0),J856/M856,"")</x:f>
      </x:c>
      <x:c r="L856" s="10"/>
      <x:c r="M856" s="11"/>
      <x:c r="N856" s="10" t="str">
        <x:f>IF(AND(Z856="共同",COUNT(H856:I856)=2),H856-I856,"")</x:f>
      </x:c>
      <x:c r="O856" s="10"/>
      <x:c r="P856" s="10" t="n">
        <x:v>0</x:v>
      </x:c>
      <x:c r="Q856" s="10" t="n">
        <x:v>0</x:v>
      </x:c>
      <x:c r="R856" s="10" t="n">
        <x:v>0</x:v>
      </x:c>
      <x:c r="S856" s="10"/>
      <x:c r="T856" s="10"/>
      <x:c r="U856" s="10" t="str">
        <x:f>IF(AND(ISNUMBER(X856),X856&gt;=0,Y856&lt;&gt;1),X856,"")</x:f>
      </x:c>
      <x:c r="V856" s="10"/>
      <x:c r="W856" s="10"/>
      <x:c r="X856" s="10"/>
      <x:c r="Y856" s="3" t="n">
        <x:v>0</x:v>
      </x:c>
      <x:c r="Z856" s="3" t="str">
        <x:v>新增</x:v>
      </x:c>
      <x:c r="AA856" s="3" t="str">
        <x:v>停售</x:v>
      </x:c>
      <x:c r="AB856" s="12" t="str">
        <x:f>IF(AND(Z856="共同",ISNUMBER(G856),ISNUMBER(AD856)),G856-AD856,"")</x:f>
      </x:c>
      <x:c r="AC856" s="3" t="str">
        <x:v>近90天SKU销量未匹配，未按0处理</x:v>
      </x:c>
      <x:c r="AD856" s="12"/>
      <x:c r="AE856" s="3" t="str">
        <x:v>[13120,"1S01-GD-42"]</x:v>
      </x:c>
      <x:c r="AF856" t="n">
        <x:f>IF(ISNUMBER(H856),1,0)</x:f>
        <x:v>0</x:v>
      </x:c>
      <x:c r="AG856" t="n">
        <x:f>IF(ISNUMBER(I856),1,0)</x:f>
        <x:v>0</x:v>
      </x:c>
      <x:c r="AH856" t="str">
        <x:v>["1S01","1S01-GD","GD","金色"]</x:v>
      </x:c>
      <x:c r="AI856" t="n">
        <x:f>IF(ISNUMBER(G856),1,0)</x:f>
        <x:v>1</x:v>
      </x:c>
      <x:c r="AJ856" t="n">
        <x:f>IF(ISNUMBER(AD856),1,0)</x:f>
        <x:v>0</x:v>
      </x:c>
    </x:row>
    <x:row r="857" ht="30" customHeight="1">
      <x:c r="A857" s="3" t="str">
        <x:v>1S01-MD-36</x:v>
      </x:c>
      <x:c r="B857" s="3" t="str">
        <x:v>1店-MUSSHOE-US</x:v>
      </x:c>
      <x:c r="C857" s="3" t="str">
        <x:v>徐新怡</x:v>
      </x:c>
      <x:c r="D857" s="3" t="str">
        <x:v>1S01</x:v>
      </x:c>
      <x:c r="E857" s="3" t="str">
        <x:f>IF(Z857="移出","已移出",IF(NOT(ISNUMBER(H857)),"数据待核",IF(H857=0,"断货",IF(NOT(ISNUMBER(G857)),"数据待核",IF(G857=0,"零日销待复核",IF(F857&lt;60,"补货提醒",IF(F857&lt;=90,"正常库存",IF(F857&lt;180,"促销",IF(F857&lt;=365,"红线促销","考虑清仓")))))))))</x:f>
        <x:v>数据待核</x:v>
      </x:c>
      <x:c r="F857" s="11" t="str">
        <x:f>IF(AND(ISNUMBER(H857),ISNUMBER(G857),G857&gt;0),H857/G857,"")</x:f>
      </x:c>
      <x:c r="G857" s="12" t="n">
        <x:f>IF(AND(COUNT(P857:R857)=3,MIN(P857:R857)&gt;=0,P857&lt;=Q857,Q857&lt;=R857),P857/7*0.5+Q857/14*0.3+R857/30*0.2,"")</x:f>
        <x:v>0</x:v>
      </x:c>
      <x:c r="H857" s="10" t="str">
        <x:f>IF(ISNUMBER(U857),U857,"")</x:f>
      </x:c>
      <x:c r="I857" s="10"/>
      <x:c r="J857" s="11" t="str">
        <x:f>IF(AND(Z857="共同",ISNUMBER(F857),ISNUMBER(M857)),F857-M857,"")</x:f>
      </x:c>
      <x:c r="K857" s="13" t="str">
        <x:f>IF(AND(ISNUMBER(J857),M857&lt;&gt;0),J857/M857,"")</x:f>
      </x:c>
      <x:c r="L857" s="10"/>
      <x:c r="M857" s="11"/>
      <x:c r="N857" s="10" t="str">
        <x:f>IF(AND(Z857="共同",COUNT(H857:I857)=2),H857-I857,"")</x:f>
      </x:c>
      <x:c r="O857" s="10"/>
      <x:c r="P857" s="10" t="n">
        <x:v>0</x:v>
      </x:c>
      <x:c r="Q857" s="10" t="n">
        <x:v>0</x:v>
      </x:c>
      <x:c r="R857" s="10" t="n">
        <x:v>0</x:v>
      </x:c>
      <x:c r="S857" s="10"/>
      <x:c r="T857" s="10"/>
      <x:c r="U857" s="10" t="str">
        <x:f>IF(AND(ISNUMBER(X857),X857&gt;=0,Y857&lt;&gt;1),X857,"")</x:f>
      </x:c>
      <x:c r="V857" s="10"/>
      <x:c r="W857" s="10"/>
      <x:c r="X857" s="10"/>
      <x:c r="Y857" s="3" t="n">
        <x:v>0</x:v>
      </x:c>
      <x:c r="Z857" s="3" t="str">
        <x:v>新增</x:v>
      </x:c>
      <x:c r="AA857" s="3" t="str">
        <x:v>停售</x:v>
      </x:c>
      <x:c r="AB857" s="12" t="str">
        <x:f>IF(AND(Z857="共同",ISNUMBER(G857),ISNUMBER(AD857)),G857-AD857,"")</x:f>
      </x:c>
      <x:c r="AC857" s="3" t="str">
        <x:v>近90天SKU销量未匹配，未按0处理</x:v>
      </x:c>
      <x:c r="AD857" s="12"/>
      <x:c r="AE857" s="3" t="str">
        <x:v>[13120,"1S01-MD-36"]</x:v>
      </x:c>
      <x:c r="AF857" t="n">
        <x:f>IF(ISNUMBER(H857),1,0)</x:f>
        <x:v>0</x:v>
      </x:c>
      <x:c r="AG857" t="n">
        <x:f>IF(ISNUMBER(I857),1,0)</x:f>
        <x:v>0</x:v>
      </x:c>
      <x:c r="AH857" t="str">
        <x:v>["1S01","1S01-MD","MD","黄色"]</x:v>
      </x:c>
      <x:c r="AI857" t="n">
        <x:f>IF(ISNUMBER(G857),1,0)</x:f>
        <x:v>1</x:v>
      </x:c>
      <x:c r="AJ857" t="n">
        <x:f>IF(ISNUMBER(AD857),1,0)</x:f>
        <x:v>0</x:v>
      </x:c>
    </x:row>
    <x:row r="858" ht="30" customHeight="1">
      <x:c r="A858" s="3" t="str">
        <x:v>1S01-MD-40</x:v>
      </x:c>
      <x:c r="B858" s="3" t="str">
        <x:v>1店-MUSSHOE-US</x:v>
      </x:c>
      <x:c r="C858" s="3" t="str">
        <x:v>徐新怡</x:v>
      </x:c>
      <x:c r="D858" s="3" t="str">
        <x:v>1S01</x:v>
      </x:c>
      <x:c r="E858" s="3" t="str">
        <x:f>IF(Z858="移出","已移出",IF(NOT(ISNUMBER(H858)),"数据待核",IF(H858=0,"断货",IF(NOT(ISNUMBER(G858)),"数据待核",IF(G858=0,"零日销待复核",IF(F858&lt;60,"补货提醒",IF(F858&lt;=90,"正常库存",IF(F858&lt;180,"促销",IF(F858&lt;=365,"红线促销","考虑清仓")))))))))</x:f>
        <x:v>数据待核</x:v>
      </x:c>
      <x:c r="F858" s="11" t="str">
        <x:f>IF(AND(ISNUMBER(H858),ISNUMBER(G858),G858&gt;0),H858/G858,"")</x:f>
      </x:c>
      <x:c r="G858" s="12" t="n">
        <x:f>IF(AND(COUNT(P858:R858)=3,MIN(P858:R858)&gt;=0,P858&lt;=Q858,Q858&lt;=R858),P858/7*0.5+Q858/14*0.3+R858/30*0.2,"")</x:f>
        <x:v>0</x:v>
      </x:c>
      <x:c r="H858" s="10" t="str">
        <x:f>IF(ISNUMBER(U858),U858,"")</x:f>
      </x:c>
      <x:c r="I858" s="10"/>
      <x:c r="J858" s="11" t="str">
        <x:f>IF(AND(Z858="共同",ISNUMBER(F858),ISNUMBER(M858)),F858-M858,"")</x:f>
      </x:c>
      <x:c r="K858" s="13" t="str">
        <x:f>IF(AND(ISNUMBER(J858),M858&lt;&gt;0),J858/M858,"")</x:f>
      </x:c>
      <x:c r="L858" s="10"/>
      <x:c r="M858" s="11"/>
      <x:c r="N858" s="10" t="str">
        <x:f>IF(AND(Z858="共同",COUNT(H858:I858)=2),H858-I858,"")</x:f>
      </x:c>
      <x:c r="O858" s="10"/>
      <x:c r="P858" s="10" t="n">
        <x:v>0</x:v>
      </x:c>
      <x:c r="Q858" s="10" t="n">
        <x:v>0</x:v>
      </x:c>
      <x:c r="R858" s="10" t="n">
        <x:v>0</x:v>
      </x:c>
      <x:c r="S858" s="10"/>
      <x:c r="T858" s="10"/>
      <x:c r="U858" s="10" t="str">
        <x:f>IF(AND(ISNUMBER(X858),X858&gt;=0,Y858&lt;&gt;1),X858,"")</x:f>
      </x:c>
      <x:c r="V858" s="10"/>
      <x:c r="W858" s="10"/>
      <x:c r="X858" s="10"/>
      <x:c r="Y858" s="3" t="n">
        <x:v>0</x:v>
      </x:c>
      <x:c r="Z858" s="3" t="str">
        <x:v>新增</x:v>
      </x:c>
      <x:c r="AA858" s="3" t="str">
        <x:v>停售</x:v>
      </x:c>
      <x:c r="AB858" s="12" t="str">
        <x:f>IF(AND(Z858="共同",ISNUMBER(G858),ISNUMBER(AD858)),G858-AD858,"")</x:f>
      </x:c>
      <x:c r="AC858" s="3" t="str">
        <x:v>近90天SKU销量未匹配，未按0处理</x:v>
      </x:c>
      <x:c r="AD858" s="12"/>
      <x:c r="AE858" s="3" t="str">
        <x:v>[13120,"1S01-MD-40"]</x:v>
      </x:c>
      <x:c r="AF858" t="n">
        <x:f>IF(ISNUMBER(H858),1,0)</x:f>
        <x:v>0</x:v>
      </x:c>
      <x:c r="AG858" t="n">
        <x:f>IF(ISNUMBER(I858),1,0)</x:f>
        <x:v>0</x:v>
      </x:c>
      <x:c r="AH858" t="str">
        <x:v>["1S01","1S01-MD","MD","黄色"]</x:v>
      </x:c>
      <x:c r="AI858" t="n">
        <x:f>IF(ISNUMBER(G858),1,0)</x:f>
        <x:v>1</x:v>
      </x:c>
      <x:c r="AJ858" t="n">
        <x:f>IF(ISNUMBER(AD858),1,0)</x:f>
        <x:v>0</x:v>
      </x:c>
    </x:row>
    <x:row r="859" ht="30" customHeight="1">
      <x:c r="A859" s="3" t="str">
        <x:v>1S01-ND-38.5</x:v>
      </x:c>
      <x:c r="B859" s="3" t="str">
        <x:v>店铺待核</x:v>
      </x:c>
      <x:c r="C859" s="3" t="str">
        <x:v>徐新怡</x:v>
      </x:c>
      <x:c r="D859" s="3" t="str">
        <x:v>1S01</x:v>
      </x:c>
      <x:c r="E859" s="3" t="str">
        <x:f>IF(Z859="移出","已移出",IF(NOT(ISNUMBER(H859)),"数据待核",IF(H859=0,"断货",IF(NOT(ISNUMBER(G859)),"数据待核",IF(G859=0,"零日销待复核",IF(F859&lt;60,"补货提醒",IF(F859&lt;=90,"正常库存",IF(F859&lt;180,"促销",IF(F859&lt;=365,"红线促销","考虑清仓")))))))))</x:f>
        <x:v>数据待核</x:v>
      </x:c>
      <x:c r="F859" s="11" t="str">
        <x:f>IF(AND(ISNUMBER(H859),ISNUMBER(G859),G859&gt;0),H859/G859,"")</x:f>
      </x:c>
      <x:c r="G859" s="12" t="str">
        <x:f>IF(AND(COUNT(P859:R859)=3,MIN(P859:R859)&gt;=0,P859&lt;=Q859,Q859&lt;=R859),P859/7*0.5+Q859/14*0.3+R859/30*0.2,"")</x:f>
      </x:c>
      <x:c r="H859" s="10" t="str">
        <x:f>IF(ISNUMBER(U859),U859,"")</x:f>
      </x:c>
      <x:c r="I859" s="10"/>
      <x:c r="J859" s="11" t="str">
        <x:f>IF(AND(Z859="共同",ISNUMBER(F859),ISNUMBER(M859)),F859-M859,"")</x:f>
      </x:c>
      <x:c r="K859" s="13" t="str">
        <x:f>IF(AND(ISNUMBER(J859),M859&lt;&gt;0),J859/M859,"")</x:f>
      </x:c>
      <x:c r="L859" s="10"/>
      <x:c r="M859" s="11"/>
      <x:c r="N859" s="10" t="str">
        <x:f>IF(AND(Z859="共同",COUNT(H859:I859)=2),H859-I859,"")</x:f>
      </x:c>
      <x:c r="O859" s="10"/>
      <x:c r="P859" s="10"/>
      <x:c r="Q859" s="10"/>
      <x:c r="R859" s="10"/>
      <x:c r="S859" s="10"/>
      <x:c r="T859" s="10"/>
      <x:c r="U859" s="10" t="str">
        <x:f>IF(AND(ISNUMBER(X859),X859&gt;=0,Y859&lt;&gt;1),X859,"")</x:f>
      </x:c>
      <x:c r="V859" s="10"/>
      <x:c r="W859" s="10"/>
      <x:c r="X859" s="10"/>
      <x:c r="Y859" s="3" t="n">
        <x:v>0</x:v>
      </x:c>
      <x:c r="Z859" s="3" t="str">
        <x:v>新增</x:v>
      </x:c>
      <x:c r="AA859" s="3" t="str">
        <x:v>未匹配Listing</x:v>
      </x:c>
      <x:c r="AB859" s="12" t="str">
        <x:f>IF(AND(Z859="共同",ISNUMBER(G859),ISNUMBER(AD859)),G859-AD859,"")</x:f>
      </x:c>
      <x:c r="AC859" s="3" t="str">
        <x:v>领星完整SKU未匹配Listing，店铺待核</x:v>
      </x:c>
      <x:c r="AD859" s="12"/>
      <x:c r="AE859" s="3" t="str">
        <x:v>[null,"1S01-ND-38.5"]</x:v>
      </x:c>
      <x:c r="AF859" t="n">
        <x:f>IF(ISNUMBER(H859),1,0)</x:f>
        <x:v>0</x:v>
      </x:c>
      <x:c r="AG859" t="n">
        <x:f>IF(ISNUMBER(I859),1,0)</x:f>
        <x:v>0</x:v>
      </x:c>
      <x:c r="AH859" t="str">
        <x:v>["1S01","1S01-ND","ND","裸色"]</x:v>
      </x:c>
      <x:c r="AI859" t="n">
        <x:f>IF(ISNUMBER(G859),1,0)</x:f>
        <x:v>0</x:v>
      </x:c>
      <x:c r="AJ859" t="n">
        <x:f>IF(ISNUMBER(AD859),1,0)</x:f>
        <x:v>0</x:v>
      </x:c>
    </x:row>
    <x:row r="860" ht="30" customHeight="1">
      <x:c r="A860" s="3" t="str">
        <x:v>1S01-NP-37</x:v>
      </x:c>
      <x:c r="B860" s="3" t="str">
        <x:v>1店-MUSSHOE-US</x:v>
      </x:c>
      <x:c r="C860" s="3" t="str">
        <x:v>徐新怡</x:v>
      </x:c>
      <x:c r="D860" s="3" t="str">
        <x:v>1S01</x:v>
      </x:c>
      <x:c r="E860" s="3" t="str">
        <x:f>IF(Z860="移出","已移出",IF(NOT(ISNUMBER(H860)),"数据待核",IF(H860=0,"断货",IF(NOT(ISNUMBER(G860)),"数据待核",IF(G860=0,"零日销待复核",IF(F860&lt;60,"补货提醒",IF(F860&lt;=90,"正常库存",IF(F860&lt;180,"促销",IF(F860&lt;=365,"红线促销","考虑清仓")))))))))</x:f>
        <x:v>数据待核</x:v>
      </x:c>
      <x:c r="F860" s="11" t="str">
        <x:f>IF(AND(ISNUMBER(H860),ISNUMBER(G860),G860&gt;0),H860/G860,"")</x:f>
      </x:c>
      <x:c r="G860" s="12" t="n">
        <x:f>IF(AND(COUNT(P860:R860)=3,MIN(P860:R860)&gt;=0,P860&lt;=Q860,Q860&lt;=R860),P860/7*0.5+Q860/14*0.3+R860/30*0.2,"")</x:f>
        <x:v>0</x:v>
      </x:c>
      <x:c r="H860" s="10" t="str">
        <x:f>IF(ISNUMBER(U860),U860,"")</x:f>
      </x:c>
      <x:c r="I860" s="10"/>
      <x:c r="J860" s="11" t="str">
        <x:f>IF(AND(Z860="共同",ISNUMBER(F860),ISNUMBER(M860)),F860-M860,"")</x:f>
      </x:c>
      <x:c r="K860" s="13" t="str">
        <x:f>IF(AND(ISNUMBER(J860),M860&lt;&gt;0),J860/M860,"")</x:f>
      </x:c>
      <x:c r="L860" s="10"/>
      <x:c r="M860" s="11"/>
      <x:c r="N860" s="10" t="str">
        <x:f>IF(AND(Z860="共同",COUNT(H860:I860)=2),H860-I860,"")</x:f>
      </x:c>
      <x:c r="O860" s="10"/>
      <x:c r="P860" s="10" t="n">
        <x:v>0</x:v>
      </x:c>
      <x:c r="Q860" s="10" t="n">
        <x:v>0</x:v>
      </x:c>
      <x:c r="R860" s="10" t="n">
        <x:v>0</x:v>
      </x:c>
      <x:c r="S860" s="10"/>
      <x:c r="T860" s="10"/>
      <x:c r="U860" s="10" t="str">
        <x:f>IF(AND(ISNUMBER(X860),X860&gt;=0,Y860&lt;&gt;1),X860,"")</x:f>
      </x:c>
      <x:c r="V860" s="10"/>
      <x:c r="W860" s="10"/>
      <x:c r="X860" s="10"/>
      <x:c r="Y860" s="3" t="n">
        <x:v>0</x:v>
      </x:c>
      <x:c r="Z860" s="3" t="str">
        <x:v>新增</x:v>
      </x:c>
      <x:c r="AA860" s="3" t="str">
        <x:v>停售</x:v>
      </x:c>
      <x:c r="AB860" s="12" t="str">
        <x:f>IF(AND(Z860="共同",ISNUMBER(G860),ISNUMBER(AD860)),G860-AD860,"")</x:f>
      </x:c>
      <x:c r="AC860" s="3" t="str">
        <x:v>近90天SKU销量未匹配，未按0处理</x:v>
      </x:c>
      <x:c r="AD860" s="12"/>
      <x:c r="AE860" s="3" t="str">
        <x:v>[13120,"1S01-NP-37"]</x:v>
      </x:c>
      <x:c r="AF860" t="n">
        <x:f>IF(ISNUMBER(H860),1,0)</x:f>
        <x:v>0</x:v>
      </x:c>
      <x:c r="AG860" t="n">
        <x:f>IF(ISNUMBER(I860),1,0)</x:f>
        <x:v>0</x:v>
      </x:c>
      <x:c r="AH860" t="str">
        <x:v>["1S01","1S01-NP","NP","裸粉色"]</x:v>
      </x:c>
      <x:c r="AI860" t="n">
        <x:f>IF(ISNUMBER(G860),1,0)</x:f>
        <x:v>1</x:v>
      </x:c>
      <x:c r="AJ860" t="n">
        <x:f>IF(ISNUMBER(AD860),1,0)</x:f>
        <x:v>0</x:v>
      </x:c>
    </x:row>
    <x:row r="861" ht="30" customHeight="1">
      <x:c r="A861" s="3" t="str">
        <x:v>1S01-NP-37.5</x:v>
      </x:c>
      <x:c r="B861" s="3" t="str">
        <x:v>1店-MUSSHOE-US</x:v>
      </x:c>
      <x:c r="C861" s="3" t="str">
        <x:v>徐新怡</x:v>
      </x:c>
      <x:c r="D861" s="3" t="str">
        <x:v>1S01</x:v>
      </x:c>
      <x:c r="E861" s="3" t="str">
        <x:f>IF(Z861="移出","已移出",IF(NOT(ISNUMBER(H861)),"数据待核",IF(H861=0,"断货",IF(NOT(ISNUMBER(G861)),"数据待核",IF(G861=0,"零日销待复核",IF(F861&lt;60,"补货提醒",IF(F861&lt;=90,"正常库存",IF(F861&lt;180,"促销",IF(F861&lt;=365,"红线促销","考虑清仓")))))))))</x:f>
        <x:v>数据待核</x:v>
      </x:c>
      <x:c r="F861" s="11" t="str">
        <x:f>IF(AND(ISNUMBER(H861),ISNUMBER(G861),G861&gt;0),H861/G861,"")</x:f>
      </x:c>
      <x:c r="G861" s="12" t="n">
        <x:f>IF(AND(COUNT(P861:R861)=3,MIN(P861:R861)&gt;=0,P861&lt;=Q861,Q861&lt;=R861),P861/7*0.5+Q861/14*0.3+R861/30*0.2,"")</x:f>
        <x:v>0</x:v>
      </x:c>
      <x:c r="H861" s="10" t="str">
        <x:f>IF(ISNUMBER(U861),U861,"")</x:f>
      </x:c>
      <x:c r="I861" s="10"/>
      <x:c r="J861" s="11" t="str">
        <x:f>IF(AND(Z861="共同",ISNUMBER(F861),ISNUMBER(M861)),F861-M861,"")</x:f>
      </x:c>
      <x:c r="K861" s="13" t="str">
        <x:f>IF(AND(ISNUMBER(J861),M861&lt;&gt;0),J861/M861,"")</x:f>
      </x:c>
      <x:c r="L861" s="10"/>
      <x:c r="M861" s="11"/>
      <x:c r="N861" s="10" t="str">
        <x:f>IF(AND(Z861="共同",COUNT(H861:I861)=2),H861-I861,"")</x:f>
      </x:c>
      <x:c r="O861" s="10"/>
      <x:c r="P861" s="10" t="n">
        <x:v>0</x:v>
      </x:c>
      <x:c r="Q861" s="10" t="n">
        <x:v>0</x:v>
      </x:c>
      <x:c r="R861" s="10" t="n">
        <x:v>0</x:v>
      </x:c>
      <x:c r="S861" s="10"/>
      <x:c r="T861" s="10"/>
      <x:c r="U861" s="10" t="str">
        <x:f>IF(AND(ISNUMBER(X861),X861&gt;=0,Y861&lt;&gt;1),X861,"")</x:f>
      </x:c>
      <x:c r="V861" s="10"/>
      <x:c r="W861" s="10"/>
      <x:c r="X861" s="10"/>
      <x:c r="Y861" s="3" t="n">
        <x:v>0</x:v>
      </x:c>
      <x:c r="Z861" s="3" t="str">
        <x:v>新增</x:v>
      </x:c>
      <x:c r="AA861" s="3" t="str">
        <x:v>停售</x:v>
      </x:c>
      <x:c r="AB861" s="12" t="str">
        <x:f>IF(AND(Z861="共同",ISNUMBER(G861),ISNUMBER(AD861)),G861-AD861,"")</x:f>
      </x:c>
      <x:c r="AC861" s="3" t="str">
        <x:v>近90天SKU销量未匹配，未按0处理</x:v>
      </x:c>
      <x:c r="AD861" s="12"/>
      <x:c r="AE861" s="3" t="str">
        <x:v>[13120,"1S01-NP-37.5"]</x:v>
      </x:c>
      <x:c r="AF861" t="n">
        <x:f>IF(ISNUMBER(H861),1,0)</x:f>
        <x:v>0</x:v>
      </x:c>
      <x:c r="AG861" t="n">
        <x:f>IF(ISNUMBER(I861),1,0)</x:f>
        <x:v>0</x:v>
      </x:c>
      <x:c r="AH861" t="str">
        <x:v>["1S01","1S01-NP","NP","裸粉色"]</x:v>
      </x:c>
      <x:c r="AI861" t="n">
        <x:f>IF(ISNUMBER(G861),1,0)</x:f>
        <x:v>1</x:v>
      </x:c>
      <x:c r="AJ861" t="n">
        <x:f>IF(ISNUMBER(AD861),1,0)</x:f>
        <x:v>0</x:v>
      </x:c>
    </x:row>
    <x:row r="862" ht="30" customHeight="1">
      <x:c r="A862" s="3" t="str">
        <x:v>1S01-NP-38</x:v>
      </x:c>
      <x:c r="B862" s="3" t="str">
        <x:v>1店-MUSSHOE-US</x:v>
      </x:c>
      <x:c r="C862" s="3" t="str">
        <x:v>徐新怡</x:v>
      </x:c>
      <x:c r="D862" s="3" t="str">
        <x:v>1S01</x:v>
      </x:c>
      <x:c r="E862" s="3" t="str">
        <x:f>IF(Z862="移出","已移出",IF(NOT(ISNUMBER(H862)),"数据待核",IF(H862=0,"断货",IF(NOT(ISNUMBER(G862)),"数据待核",IF(G862=0,"零日销待复核",IF(F862&lt;60,"补货提醒",IF(F862&lt;=90,"正常库存",IF(F862&lt;180,"促销",IF(F862&lt;=365,"红线促销","考虑清仓")))))))))</x:f>
        <x:v>数据待核</x:v>
      </x:c>
      <x:c r="F862" s="11" t="str">
        <x:f>IF(AND(ISNUMBER(H862),ISNUMBER(G862),G862&gt;0),H862/G862,"")</x:f>
      </x:c>
      <x:c r="G862" s="12" t="n">
        <x:f>IF(AND(COUNT(P862:R862)=3,MIN(P862:R862)&gt;=0,P862&lt;=Q862,Q862&lt;=R862),P862/7*0.5+Q862/14*0.3+R862/30*0.2,"")</x:f>
        <x:v>0</x:v>
      </x:c>
      <x:c r="H862" s="10" t="str">
        <x:f>IF(ISNUMBER(U862),U862,"")</x:f>
      </x:c>
      <x:c r="I862" s="10"/>
      <x:c r="J862" s="11" t="str">
        <x:f>IF(AND(Z862="共同",ISNUMBER(F862),ISNUMBER(M862)),F862-M862,"")</x:f>
      </x:c>
      <x:c r="K862" s="13" t="str">
        <x:f>IF(AND(ISNUMBER(J862),M862&lt;&gt;0),J862/M862,"")</x:f>
      </x:c>
      <x:c r="L862" s="10"/>
      <x:c r="M862" s="11"/>
      <x:c r="N862" s="10" t="str">
        <x:f>IF(AND(Z862="共同",COUNT(H862:I862)=2),H862-I862,"")</x:f>
      </x:c>
      <x:c r="O862" s="10"/>
      <x:c r="P862" s="10" t="n">
        <x:v>0</x:v>
      </x:c>
      <x:c r="Q862" s="10" t="n">
        <x:v>0</x:v>
      </x:c>
      <x:c r="R862" s="10" t="n">
        <x:v>0</x:v>
      </x:c>
      <x:c r="S862" s="10"/>
      <x:c r="T862" s="10"/>
      <x:c r="U862" s="10" t="str">
        <x:f>IF(AND(ISNUMBER(X862),X862&gt;=0,Y862&lt;&gt;1),X862,"")</x:f>
      </x:c>
      <x:c r="V862" s="10"/>
      <x:c r="W862" s="10"/>
      <x:c r="X862" s="10"/>
      <x:c r="Y862" s="3" t="n">
        <x:v>0</x:v>
      </x:c>
      <x:c r="Z862" s="3" t="str">
        <x:v>新增</x:v>
      </x:c>
      <x:c r="AA862" s="3" t="str">
        <x:v>停售</x:v>
      </x:c>
      <x:c r="AB862" s="12" t="str">
        <x:f>IF(AND(Z862="共同",ISNUMBER(G862),ISNUMBER(AD862)),G862-AD862,"")</x:f>
      </x:c>
      <x:c r="AC862" s="3" t="str">
        <x:v>近90天SKU销量未匹配，未按0处理</x:v>
      </x:c>
      <x:c r="AD862" s="12"/>
      <x:c r="AE862" s="3" t="str">
        <x:v>[13120,"1S01-NP-38"]</x:v>
      </x:c>
      <x:c r="AF862" t="n">
        <x:f>IF(ISNUMBER(H862),1,0)</x:f>
        <x:v>0</x:v>
      </x:c>
      <x:c r="AG862" t="n">
        <x:f>IF(ISNUMBER(I862),1,0)</x:f>
        <x:v>0</x:v>
      </x:c>
      <x:c r="AH862" t="str">
        <x:v>["1S01","1S01-NP","NP","裸粉色"]</x:v>
      </x:c>
      <x:c r="AI862" t="n">
        <x:f>IF(ISNUMBER(G862),1,0)</x:f>
        <x:v>1</x:v>
      </x:c>
      <x:c r="AJ862" t="n">
        <x:f>IF(ISNUMBER(AD862),1,0)</x:f>
        <x:v>0</x:v>
      </x:c>
    </x:row>
    <x:row r="863" ht="30" customHeight="1">
      <x:c r="A863" s="3" t="str">
        <x:v>1S01-NP-38.5</x:v>
      </x:c>
      <x:c r="B863" s="3" t="str">
        <x:v>1店-MUSSHOE-US</x:v>
      </x:c>
      <x:c r="C863" s="3" t="str">
        <x:v>徐新怡</x:v>
      </x:c>
      <x:c r="D863" s="3" t="str">
        <x:v>1S01</x:v>
      </x:c>
      <x:c r="E863" s="3" t="str">
        <x:f>IF(Z863="移出","已移出",IF(NOT(ISNUMBER(H863)),"数据待核",IF(H863=0,"断货",IF(NOT(ISNUMBER(G863)),"数据待核",IF(G863=0,"零日销待复核",IF(F863&lt;60,"补货提醒",IF(F863&lt;=90,"正常库存",IF(F863&lt;180,"促销",IF(F863&lt;=365,"红线促销","考虑清仓")))))))))</x:f>
        <x:v>数据待核</x:v>
      </x:c>
      <x:c r="F863" s="11" t="str">
        <x:f>IF(AND(ISNUMBER(H863),ISNUMBER(G863),G863&gt;0),H863/G863,"")</x:f>
      </x:c>
      <x:c r="G863" s="12" t="n">
        <x:f>IF(AND(COUNT(P863:R863)=3,MIN(P863:R863)&gt;=0,P863&lt;=Q863,Q863&lt;=R863),P863/7*0.5+Q863/14*0.3+R863/30*0.2,"")</x:f>
        <x:v>0</x:v>
      </x:c>
      <x:c r="H863" s="10" t="str">
        <x:f>IF(ISNUMBER(U863),U863,"")</x:f>
      </x:c>
      <x:c r="I863" s="10"/>
      <x:c r="J863" s="11" t="str">
        <x:f>IF(AND(Z863="共同",ISNUMBER(F863),ISNUMBER(M863)),F863-M863,"")</x:f>
      </x:c>
      <x:c r="K863" s="13" t="str">
        <x:f>IF(AND(ISNUMBER(J863),M863&lt;&gt;0),J863/M863,"")</x:f>
      </x:c>
      <x:c r="L863" s="10"/>
      <x:c r="M863" s="11"/>
      <x:c r="N863" s="10" t="str">
        <x:f>IF(AND(Z863="共同",COUNT(H863:I863)=2),H863-I863,"")</x:f>
      </x:c>
      <x:c r="O863" s="10"/>
      <x:c r="P863" s="10" t="n">
        <x:v>0</x:v>
      </x:c>
      <x:c r="Q863" s="10" t="n">
        <x:v>0</x:v>
      </x:c>
      <x:c r="R863" s="10" t="n">
        <x:v>0</x:v>
      </x:c>
      <x:c r="S863" s="10"/>
      <x:c r="T863" s="10"/>
      <x:c r="U863" s="10" t="str">
        <x:f>IF(AND(ISNUMBER(X863),X863&gt;=0,Y863&lt;&gt;1),X863,"")</x:f>
      </x:c>
      <x:c r="V863" s="10"/>
      <x:c r="W863" s="10"/>
      <x:c r="X863" s="10"/>
      <x:c r="Y863" s="3" t="n">
        <x:v>0</x:v>
      </x:c>
      <x:c r="Z863" s="3" t="str">
        <x:v>新增</x:v>
      </x:c>
      <x:c r="AA863" s="3" t="str">
        <x:v>停售</x:v>
      </x:c>
      <x:c r="AB863" s="12" t="str">
        <x:f>IF(AND(Z863="共同",ISNUMBER(G863),ISNUMBER(AD863)),G863-AD863,"")</x:f>
      </x:c>
      <x:c r="AC863" s="3" t="str">
        <x:v>近90天SKU销量未匹配，未按0处理</x:v>
      </x:c>
      <x:c r="AD863" s="12"/>
      <x:c r="AE863" s="3" t="str">
        <x:v>[13120,"1S01-NP-38.5"]</x:v>
      </x:c>
      <x:c r="AF863" t="n">
        <x:f>IF(ISNUMBER(H863),1,0)</x:f>
        <x:v>0</x:v>
      </x:c>
      <x:c r="AG863" t="n">
        <x:f>IF(ISNUMBER(I863),1,0)</x:f>
        <x:v>0</x:v>
      </x:c>
      <x:c r="AH863" t="str">
        <x:v>["1S01","1S01-NP","NP","裸粉色"]</x:v>
      </x:c>
      <x:c r="AI863" t="n">
        <x:f>IF(ISNUMBER(G863),1,0)</x:f>
        <x:v>1</x:v>
      </x:c>
      <x:c r="AJ863" t="n">
        <x:f>IF(ISNUMBER(AD863),1,0)</x:f>
        <x:v>0</x:v>
      </x:c>
    </x:row>
    <x:row r="864" ht="30" customHeight="1">
      <x:c r="A864" s="3" t="str">
        <x:v>1S01-NP-39</x:v>
      </x:c>
      <x:c r="B864" s="3" t="str">
        <x:v>1店-MUSSHOE-US</x:v>
      </x:c>
      <x:c r="C864" s="3" t="str">
        <x:v>徐新怡</x:v>
      </x:c>
      <x:c r="D864" s="3" t="str">
        <x:v>1S01</x:v>
      </x:c>
      <x:c r="E864" s="3" t="str">
        <x:f>IF(Z864="移出","已移出",IF(NOT(ISNUMBER(H864)),"数据待核",IF(H864=0,"断货",IF(NOT(ISNUMBER(G864)),"数据待核",IF(G864=0,"零日销待复核",IF(F864&lt;60,"补货提醒",IF(F864&lt;=90,"正常库存",IF(F864&lt;180,"促销",IF(F864&lt;=365,"红线促销","考虑清仓")))))))))</x:f>
        <x:v>数据待核</x:v>
      </x:c>
      <x:c r="F864" s="11" t="str">
        <x:f>IF(AND(ISNUMBER(H864),ISNUMBER(G864),G864&gt;0),H864/G864,"")</x:f>
      </x:c>
      <x:c r="G864" s="12" t="n">
        <x:f>IF(AND(COUNT(P864:R864)=3,MIN(P864:R864)&gt;=0,P864&lt;=Q864,Q864&lt;=R864),P864/7*0.5+Q864/14*0.3+R864/30*0.2,"")</x:f>
        <x:v>0</x:v>
      </x:c>
      <x:c r="H864" s="10" t="str">
        <x:f>IF(ISNUMBER(U864),U864,"")</x:f>
      </x:c>
      <x:c r="I864" s="10"/>
      <x:c r="J864" s="11" t="str">
        <x:f>IF(AND(Z864="共同",ISNUMBER(F864),ISNUMBER(M864)),F864-M864,"")</x:f>
      </x:c>
      <x:c r="K864" s="13" t="str">
        <x:f>IF(AND(ISNUMBER(J864),M864&lt;&gt;0),J864/M864,"")</x:f>
      </x:c>
      <x:c r="L864" s="10"/>
      <x:c r="M864" s="11"/>
      <x:c r="N864" s="10" t="str">
        <x:f>IF(AND(Z864="共同",COUNT(H864:I864)=2),H864-I864,"")</x:f>
      </x:c>
      <x:c r="O864" s="10"/>
      <x:c r="P864" s="10" t="n">
        <x:v>0</x:v>
      </x:c>
      <x:c r="Q864" s="10" t="n">
        <x:v>0</x:v>
      </x:c>
      <x:c r="R864" s="10" t="n">
        <x:v>0</x:v>
      </x:c>
      <x:c r="S864" s="10"/>
      <x:c r="T864" s="10"/>
      <x:c r="U864" s="10" t="str">
        <x:f>IF(AND(ISNUMBER(X864),X864&gt;=0,Y864&lt;&gt;1),X864,"")</x:f>
      </x:c>
      <x:c r="V864" s="10"/>
      <x:c r="W864" s="10"/>
      <x:c r="X864" s="10"/>
      <x:c r="Y864" s="3" t="n">
        <x:v>0</x:v>
      </x:c>
      <x:c r="Z864" s="3" t="str">
        <x:v>新增</x:v>
      </x:c>
      <x:c r="AA864" s="3" t="str">
        <x:v>停售</x:v>
      </x:c>
      <x:c r="AB864" s="12" t="str">
        <x:f>IF(AND(Z864="共同",ISNUMBER(G864),ISNUMBER(AD864)),G864-AD864,"")</x:f>
      </x:c>
      <x:c r="AC864" s="3" t="str">
        <x:v>近90天SKU销量未匹配，未按0处理</x:v>
      </x:c>
      <x:c r="AD864" s="12"/>
      <x:c r="AE864" s="3" t="str">
        <x:v>[13120,"1S01-NP-39"]</x:v>
      </x:c>
      <x:c r="AF864" t="n">
        <x:f>IF(ISNUMBER(H864),1,0)</x:f>
        <x:v>0</x:v>
      </x:c>
      <x:c r="AG864" t="n">
        <x:f>IF(ISNUMBER(I864),1,0)</x:f>
        <x:v>0</x:v>
      </x:c>
      <x:c r="AH864" t="str">
        <x:v>["1S01","1S01-NP","NP","裸粉色"]</x:v>
      </x:c>
      <x:c r="AI864" t="n">
        <x:f>IF(ISNUMBER(G864),1,0)</x:f>
        <x:v>1</x:v>
      </x:c>
      <x:c r="AJ864" t="n">
        <x:f>IF(ISNUMBER(AD864),1,0)</x:f>
        <x:v>0</x:v>
      </x:c>
    </x:row>
    <x:row r="865" ht="30" customHeight="1">
      <x:c r="A865" s="3" t="str">
        <x:v>1S01-NP-39.5</x:v>
      </x:c>
      <x:c r="B865" s="3" t="str">
        <x:v>1店-MUSSHOE-US</x:v>
      </x:c>
      <x:c r="C865" s="3" t="str">
        <x:v>徐新怡</x:v>
      </x:c>
      <x:c r="D865" s="3" t="str">
        <x:v>1S01</x:v>
      </x:c>
      <x:c r="E865" s="3" t="str">
        <x:f>IF(Z865="移出","已移出",IF(NOT(ISNUMBER(H865)),"数据待核",IF(H865=0,"断货",IF(NOT(ISNUMBER(G865)),"数据待核",IF(G865=0,"零日销待复核",IF(F865&lt;60,"补货提醒",IF(F865&lt;=90,"正常库存",IF(F865&lt;180,"促销",IF(F865&lt;=365,"红线促销","考虑清仓")))))))))</x:f>
        <x:v>数据待核</x:v>
      </x:c>
      <x:c r="F865" s="11" t="str">
        <x:f>IF(AND(ISNUMBER(H865),ISNUMBER(G865),G865&gt;0),H865/G865,"")</x:f>
      </x:c>
      <x:c r="G865" s="12" t="n">
        <x:f>IF(AND(COUNT(P865:R865)=3,MIN(P865:R865)&gt;=0,P865&lt;=Q865,Q865&lt;=R865),P865/7*0.5+Q865/14*0.3+R865/30*0.2,"")</x:f>
        <x:v>0</x:v>
      </x:c>
      <x:c r="H865" s="10" t="str">
        <x:f>IF(ISNUMBER(U865),U865,"")</x:f>
      </x:c>
      <x:c r="I865" s="10"/>
      <x:c r="J865" s="11" t="str">
        <x:f>IF(AND(Z865="共同",ISNUMBER(F865),ISNUMBER(M865)),F865-M865,"")</x:f>
      </x:c>
      <x:c r="K865" s="13" t="str">
        <x:f>IF(AND(ISNUMBER(J865),M865&lt;&gt;0),J865/M865,"")</x:f>
      </x:c>
      <x:c r="L865" s="10"/>
      <x:c r="M865" s="11"/>
      <x:c r="N865" s="10" t="str">
        <x:f>IF(AND(Z865="共同",COUNT(H865:I865)=2),H865-I865,"")</x:f>
      </x:c>
      <x:c r="O865" s="10"/>
      <x:c r="P865" s="10" t="n">
        <x:v>0</x:v>
      </x:c>
      <x:c r="Q865" s="10" t="n">
        <x:v>0</x:v>
      </x:c>
      <x:c r="R865" s="10" t="n">
        <x:v>0</x:v>
      </x:c>
      <x:c r="S865" s="10"/>
      <x:c r="T865" s="10"/>
      <x:c r="U865" s="10" t="str">
        <x:f>IF(AND(ISNUMBER(X865),X865&gt;=0,Y865&lt;&gt;1),X865,"")</x:f>
      </x:c>
      <x:c r="V865" s="10"/>
      <x:c r="W865" s="10"/>
      <x:c r="X865" s="10"/>
      <x:c r="Y865" s="3" t="n">
        <x:v>0</x:v>
      </x:c>
      <x:c r="Z865" s="3" t="str">
        <x:v>新增</x:v>
      </x:c>
      <x:c r="AA865" s="3" t="str">
        <x:v>停售</x:v>
      </x:c>
      <x:c r="AB865" s="12" t="str">
        <x:f>IF(AND(Z865="共同",ISNUMBER(G865),ISNUMBER(AD865)),G865-AD865,"")</x:f>
      </x:c>
      <x:c r="AC865" s="3" t="str">
        <x:v>近90天SKU销量未匹配，未按0处理</x:v>
      </x:c>
      <x:c r="AD865" s="12"/>
      <x:c r="AE865" s="3" t="str">
        <x:v>[13120,"1S01-NP-39.5"]</x:v>
      </x:c>
      <x:c r="AF865" t="n">
        <x:f>IF(ISNUMBER(H865),1,0)</x:f>
        <x:v>0</x:v>
      </x:c>
      <x:c r="AG865" t="n">
        <x:f>IF(ISNUMBER(I865),1,0)</x:f>
        <x:v>0</x:v>
      </x:c>
      <x:c r="AH865" t="str">
        <x:v>["1S01","1S01-NP","NP","裸粉色"]</x:v>
      </x:c>
      <x:c r="AI865" t="n">
        <x:f>IF(ISNUMBER(G865),1,0)</x:f>
        <x:v>1</x:v>
      </x:c>
      <x:c r="AJ865" t="n">
        <x:f>IF(ISNUMBER(AD865),1,0)</x:f>
        <x:v>0</x:v>
      </x:c>
    </x:row>
    <x:row r="866" ht="30" customHeight="1">
      <x:c r="A866" s="3" t="str">
        <x:v>1S01-NP-40</x:v>
      </x:c>
      <x:c r="B866" s="3" t="str">
        <x:v>1店-MUSSHOE-US</x:v>
      </x:c>
      <x:c r="C866" s="3" t="str">
        <x:v>徐新怡</x:v>
      </x:c>
      <x:c r="D866" s="3" t="str">
        <x:v>1S01</x:v>
      </x:c>
      <x:c r="E866" s="3" t="str">
        <x:f>IF(Z866="移出","已移出",IF(NOT(ISNUMBER(H866)),"数据待核",IF(H866=0,"断货",IF(NOT(ISNUMBER(G866)),"数据待核",IF(G866=0,"零日销待复核",IF(F866&lt;60,"补货提醒",IF(F866&lt;=90,"正常库存",IF(F866&lt;180,"促销",IF(F866&lt;=365,"红线促销","考虑清仓")))))))))</x:f>
        <x:v>数据待核</x:v>
      </x:c>
      <x:c r="F866" s="11" t="str">
        <x:f>IF(AND(ISNUMBER(H866),ISNUMBER(G866),G866&gt;0),H866/G866,"")</x:f>
      </x:c>
      <x:c r="G866" s="12" t="n">
        <x:f>IF(AND(COUNT(P866:R866)=3,MIN(P866:R866)&gt;=0,P866&lt;=Q866,Q866&lt;=R866),P866/7*0.5+Q866/14*0.3+R866/30*0.2,"")</x:f>
        <x:v>0</x:v>
      </x:c>
      <x:c r="H866" s="10" t="str">
        <x:f>IF(ISNUMBER(U866),U866,"")</x:f>
      </x:c>
      <x:c r="I866" s="10"/>
      <x:c r="J866" s="11" t="str">
        <x:f>IF(AND(Z866="共同",ISNUMBER(F866),ISNUMBER(M866)),F866-M866,"")</x:f>
      </x:c>
      <x:c r="K866" s="13" t="str">
        <x:f>IF(AND(ISNUMBER(J866),M866&lt;&gt;0),J866/M866,"")</x:f>
      </x:c>
      <x:c r="L866" s="10"/>
      <x:c r="M866" s="11"/>
      <x:c r="N866" s="10" t="str">
        <x:f>IF(AND(Z866="共同",COUNT(H866:I866)=2),H866-I866,"")</x:f>
      </x:c>
      <x:c r="O866" s="10"/>
      <x:c r="P866" s="10" t="n">
        <x:v>0</x:v>
      </x:c>
      <x:c r="Q866" s="10" t="n">
        <x:v>0</x:v>
      </x:c>
      <x:c r="R866" s="10" t="n">
        <x:v>0</x:v>
      </x:c>
      <x:c r="S866" s="10"/>
      <x:c r="T866" s="10"/>
      <x:c r="U866" s="10" t="str">
        <x:f>IF(AND(ISNUMBER(X866),X866&gt;=0,Y866&lt;&gt;1),X866,"")</x:f>
      </x:c>
      <x:c r="V866" s="10"/>
      <x:c r="W866" s="10"/>
      <x:c r="X866" s="10"/>
      <x:c r="Y866" s="3" t="n">
        <x:v>0</x:v>
      </x:c>
      <x:c r="Z866" s="3" t="str">
        <x:v>新增</x:v>
      </x:c>
      <x:c r="AA866" s="3" t="str">
        <x:v>停售</x:v>
      </x:c>
      <x:c r="AB866" s="12" t="str">
        <x:f>IF(AND(Z866="共同",ISNUMBER(G866),ISNUMBER(AD866)),G866-AD866,"")</x:f>
      </x:c>
      <x:c r="AC866" s="3" t="str">
        <x:v>近90天SKU销量未匹配，未按0处理</x:v>
      </x:c>
      <x:c r="AD866" s="12"/>
      <x:c r="AE866" s="3" t="str">
        <x:v>[13120,"1S01-NP-40"]</x:v>
      </x:c>
      <x:c r="AF866" t="n">
        <x:f>IF(ISNUMBER(H866),1,0)</x:f>
        <x:v>0</x:v>
      </x:c>
      <x:c r="AG866" t="n">
        <x:f>IF(ISNUMBER(I866),1,0)</x:f>
        <x:v>0</x:v>
      </x:c>
      <x:c r="AH866" t="str">
        <x:v>["1S01","1S01-NP","NP","裸粉色"]</x:v>
      </x:c>
      <x:c r="AI866" t="n">
        <x:f>IF(ISNUMBER(G866),1,0)</x:f>
        <x:v>1</x:v>
      </x:c>
      <x:c r="AJ866" t="n">
        <x:f>IF(ISNUMBER(AD866),1,0)</x:f>
        <x:v>0</x:v>
      </x:c>
    </x:row>
    <x:row r="867" ht="30" customHeight="1">
      <x:c r="A867" s="3" t="str">
        <x:v>1S01-NP-40.5</x:v>
      </x:c>
      <x:c r="B867" s="3" t="str">
        <x:v>1店-MUSSHOE-US</x:v>
      </x:c>
      <x:c r="C867" s="3" t="str">
        <x:v>徐新怡</x:v>
      </x:c>
      <x:c r="D867" s="3" t="str">
        <x:v>1S01</x:v>
      </x:c>
      <x:c r="E867" s="3" t="str">
        <x:f>IF(Z867="移出","已移出",IF(NOT(ISNUMBER(H867)),"数据待核",IF(H867=0,"断货",IF(NOT(ISNUMBER(G867)),"数据待核",IF(G867=0,"零日销待复核",IF(F867&lt;60,"补货提醒",IF(F867&lt;=90,"正常库存",IF(F867&lt;180,"促销",IF(F867&lt;=365,"红线促销","考虑清仓")))))))))</x:f>
        <x:v>数据待核</x:v>
      </x:c>
      <x:c r="F867" s="11" t="str">
        <x:f>IF(AND(ISNUMBER(H867),ISNUMBER(G867),G867&gt;0),H867/G867,"")</x:f>
      </x:c>
      <x:c r="G867" s="12" t="n">
        <x:f>IF(AND(COUNT(P867:R867)=3,MIN(P867:R867)&gt;=0,P867&lt;=Q867,Q867&lt;=R867),P867/7*0.5+Q867/14*0.3+R867/30*0.2,"")</x:f>
        <x:v>0</x:v>
      </x:c>
      <x:c r="H867" s="10" t="str">
        <x:f>IF(ISNUMBER(U867),U867,"")</x:f>
      </x:c>
      <x:c r="I867" s="10"/>
      <x:c r="J867" s="11" t="str">
        <x:f>IF(AND(Z867="共同",ISNUMBER(F867),ISNUMBER(M867)),F867-M867,"")</x:f>
      </x:c>
      <x:c r="K867" s="13" t="str">
        <x:f>IF(AND(ISNUMBER(J867),M867&lt;&gt;0),J867/M867,"")</x:f>
      </x:c>
      <x:c r="L867" s="10"/>
      <x:c r="M867" s="11"/>
      <x:c r="N867" s="10" t="str">
        <x:f>IF(AND(Z867="共同",COUNT(H867:I867)=2),H867-I867,"")</x:f>
      </x:c>
      <x:c r="O867" s="10"/>
      <x:c r="P867" s="10" t="n">
        <x:v>0</x:v>
      </x:c>
      <x:c r="Q867" s="10" t="n">
        <x:v>0</x:v>
      </x:c>
      <x:c r="R867" s="10" t="n">
        <x:v>0</x:v>
      </x:c>
      <x:c r="S867" s="10"/>
      <x:c r="T867" s="10"/>
      <x:c r="U867" s="10" t="str">
        <x:f>IF(AND(ISNUMBER(X867),X867&gt;=0,Y867&lt;&gt;1),X867,"")</x:f>
      </x:c>
      <x:c r="V867" s="10"/>
      <x:c r="W867" s="10"/>
      <x:c r="X867" s="10"/>
      <x:c r="Y867" s="3" t="n">
        <x:v>0</x:v>
      </x:c>
      <x:c r="Z867" s="3" t="str">
        <x:v>新增</x:v>
      </x:c>
      <x:c r="AA867" s="3" t="str">
        <x:v>停售</x:v>
      </x:c>
      <x:c r="AB867" s="12" t="str">
        <x:f>IF(AND(Z867="共同",ISNUMBER(G867),ISNUMBER(AD867)),G867-AD867,"")</x:f>
      </x:c>
      <x:c r="AC867" s="3" t="str">
        <x:v>近90天SKU销量未匹配，未按0处理</x:v>
      </x:c>
      <x:c r="AD867" s="12"/>
      <x:c r="AE867" s="3" t="str">
        <x:v>[13120,"1S01-NP-40.5"]</x:v>
      </x:c>
      <x:c r="AF867" t="n">
        <x:f>IF(ISNUMBER(H867),1,0)</x:f>
        <x:v>0</x:v>
      </x:c>
      <x:c r="AG867" t="n">
        <x:f>IF(ISNUMBER(I867),1,0)</x:f>
        <x:v>0</x:v>
      </x:c>
      <x:c r="AH867" t="str">
        <x:v>["1S01","1S01-NP","NP","裸粉色"]</x:v>
      </x:c>
      <x:c r="AI867" t="n">
        <x:f>IF(ISNUMBER(G867),1,0)</x:f>
        <x:v>1</x:v>
      </x:c>
      <x:c r="AJ867" t="n">
        <x:f>IF(ISNUMBER(AD867),1,0)</x:f>
        <x:v>0</x:v>
      </x:c>
    </x:row>
    <x:row r="868" ht="30" customHeight="1">
      <x:c r="A868" s="3" t="str">
        <x:v>1S01-NP-41</x:v>
      </x:c>
      <x:c r="B868" s="3" t="str">
        <x:v>1店-MUSSHOE-US</x:v>
      </x:c>
      <x:c r="C868" s="3" t="str">
        <x:v>徐新怡</x:v>
      </x:c>
      <x:c r="D868" s="3" t="str">
        <x:v>1S01</x:v>
      </x:c>
      <x:c r="E868" s="3" t="str">
        <x:f>IF(Z868="移出","已移出",IF(NOT(ISNUMBER(H868)),"数据待核",IF(H868=0,"断货",IF(NOT(ISNUMBER(G868)),"数据待核",IF(G868=0,"零日销待复核",IF(F868&lt;60,"补货提醒",IF(F868&lt;=90,"正常库存",IF(F868&lt;180,"促销",IF(F868&lt;=365,"红线促销","考虑清仓")))))))))</x:f>
        <x:v>数据待核</x:v>
      </x:c>
      <x:c r="F868" s="11" t="str">
        <x:f>IF(AND(ISNUMBER(H868),ISNUMBER(G868),G868&gt;0),H868/G868,"")</x:f>
      </x:c>
      <x:c r="G868" s="12" t="n">
        <x:f>IF(AND(COUNT(P868:R868)=3,MIN(P868:R868)&gt;=0,P868&lt;=Q868,Q868&lt;=R868),P868/7*0.5+Q868/14*0.3+R868/30*0.2,"")</x:f>
        <x:v>0</x:v>
      </x:c>
      <x:c r="H868" s="10" t="str">
        <x:f>IF(ISNUMBER(U868),U868,"")</x:f>
      </x:c>
      <x:c r="I868" s="10"/>
      <x:c r="J868" s="11" t="str">
        <x:f>IF(AND(Z868="共同",ISNUMBER(F868),ISNUMBER(M868)),F868-M868,"")</x:f>
      </x:c>
      <x:c r="K868" s="13" t="str">
        <x:f>IF(AND(ISNUMBER(J868),M868&lt;&gt;0),J868/M868,"")</x:f>
      </x:c>
      <x:c r="L868" s="10"/>
      <x:c r="M868" s="11"/>
      <x:c r="N868" s="10" t="str">
        <x:f>IF(AND(Z868="共同",COUNT(H868:I868)=2),H868-I868,"")</x:f>
      </x:c>
      <x:c r="O868" s="10"/>
      <x:c r="P868" s="10" t="n">
        <x:v>0</x:v>
      </x:c>
      <x:c r="Q868" s="10" t="n">
        <x:v>0</x:v>
      </x:c>
      <x:c r="R868" s="10" t="n">
        <x:v>0</x:v>
      </x:c>
      <x:c r="S868" s="10"/>
      <x:c r="T868" s="10"/>
      <x:c r="U868" s="10" t="str">
        <x:f>IF(AND(ISNUMBER(X868),X868&gt;=0,Y868&lt;&gt;1),X868,"")</x:f>
      </x:c>
      <x:c r="V868" s="10"/>
      <x:c r="W868" s="10"/>
      <x:c r="X868" s="10"/>
      <x:c r="Y868" s="3" t="n">
        <x:v>0</x:v>
      </x:c>
      <x:c r="Z868" s="3" t="str">
        <x:v>新增</x:v>
      </x:c>
      <x:c r="AA868" s="3" t="str">
        <x:v>停售</x:v>
      </x:c>
      <x:c r="AB868" s="12" t="str">
        <x:f>IF(AND(Z868="共同",ISNUMBER(G868),ISNUMBER(AD868)),G868-AD868,"")</x:f>
      </x:c>
      <x:c r="AC868" s="3" t="str">
        <x:v>近90天SKU销量未匹配，未按0处理</x:v>
      </x:c>
      <x:c r="AD868" s="12"/>
      <x:c r="AE868" s="3" t="str">
        <x:v>[13120,"1S01-NP-41"]</x:v>
      </x:c>
      <x:c r="AF868" t="n">
        <x:f>IF(ISNUMBER(H868),1,0)</x:f>
        <x:v>0</x:v>
      </x:c>
      <x:c r="AG868" t="n">
        <x:f>IF(ISNUMBER(I868),1,0)</x:f>
        <x:v>0</x:v>
      </x:c>
      <x:c r="AH868" t="str">
        <x:v>["1S01","1S01-NP","NP","裸粉色"]</x:v>
      </x:c>
      <x:c r="AI868" t="n">
        <x:f>IF(ISNUMBER(G868),1,0)</x:f>
        <x:v>1</x:v>
      </x:c>
      <x:c r="AJ868" t="n">
        <x:f>IF(ISNUMBER(AD868),1,0)</x:f>
        <x:v>0</x:v>
      </x:c>
    </x:row>
    <x:row r="869" ht="30" customHeight="1">
      <x:c r="A869" s="3" t="str">
        <x:v>1S01-NP-41.5</x:v>
      </x:c>
      <x:c r="B869" s="3" t="str">
        <x:v>1店-MUSSHOE-US</x:v>
      </x:c>
      <x:c r="C869" s="3" t="str">
        <x:v>徐新怡</x:v>
      </x:c>
      <x:c r="D869" s="3" t="str">
        <x:v>1S01</x:v>
      </x:c>
      <x:c r="E869" s="3" t="str">
        <x:f>IF(Z869="移出","已移出",IF(NOT(ISNUMBER(H869)),"数据待核",IF(H869=0,"断货",IF(NOT(ISNUMBER(G869)),"数据待核",IF(G869=0,"零日销待复核",IF(F869&lt;60,"补货提醒",IF(F869&lt;=90,"正常库存",IF(F869&lt;180,"促销",IF(F869&lt;=365,"红线促销","考虑清仓")))))))))</x:f>
        <x:v>数据待核</x:v>
      </x:c>
      <x:c r="F869" s="11" t="str">
        <x:f>IF(AND(ISNUMBER(H869),ISNUMBER(G869),G869&gt;0),H869/G869,"")</x:f>
      </x:c>
      <x:c r="G869" s="12" t="n">
        <x:f>IF(AND(COUNT(P869:R869)=3,MIN(P869:R869)&gt;=0,P869&lt;=Q869,Q869&lt;=R869),P869/7*0.5+Q869/14*0.3+R869/30*0.2,"")</x:f>
        <x:v>0</x:v>
      </x:c>
      <x:c r="H869" s="10" t="str">
        <x:f>IF(ISNUMBER(U869),U869,"")</x:f>
      </x:c>
      <x:c r="I869" s="10"/>
      <x:c r="J869" s="11" t="str">
        <x:f>IF(AND(Z869="共同",ISNUMBER(F869),ISNUMBER(M869)),F869-M869,"")</x:f>
      </x:c>
      <x:c r="K869" s="13" t="str">
        <x:f>IF(AND(ISNUMBER(J869),M869&lt;&gt;0),J869/M869,"")</x:f>
      </x:c>
      <x:c r="L869" s="10"/>
      <x:c r="M869" s="11"/>
      <x:c r="N869" s="10" t="str">
        <x:f>IF(AND(Z869="共同",COUNT(H869:I869)=2),H869-I869,"")</x:f>
      </x:c>
      <x:c r="O869" s="10"/>
      <x:c r="P869" s="10" t="n">
        <x:v>0</x:v>
      </x:c>
      <x:c r="Q869" s="10" t="n">
        <x:v>0</x:v>
      </x:c>
      <x:c r="R869" s="10" t="n">
        <x:v>0</x:v>
      </x:c>
      <x:c r="S869" s="10"/>
      <x:c r="T869" s="10"/>
      <x:c r="U869" s="10" t="str">
        <x:f>IF(AND(ISNUMBER(X869),X869&gt;=0,Y869&lt;&gt;1),X869,"")</x:f>
      </x:c>
      <x:c r="V869" s="10"/>
      <x:c r="W869" s="10"/>
      <x:c r="X869" s="10"/>
      <x:c r="Y869" s="3" t="n">
        <x:v>0</x:v>
      </x:c>
      <x:c r="Z869" s="3" t="str">
        <x:v>新增</x:v>
      </x:c>
      <x:c r="AA869" s="3" t="str">
        <x:v>停售</x:v>
      </x:c>
      <x:c r="AB869" s="12" t="str">
        <x:f>IF(AND(Z869="共同",ISNUMBER(G869),ISNUMBER(AD869)),G869-AD869,"")</x:f>
      </x:c>
      <x:c r="AC869" s="3" t="str">
        <x:v>近90天SKU销量未匹配，未按0处理</x:v>
      </x:c>
      <x:c r="AD869" s="12"/>
      <x:c r="AE869" s="3" t="str">
        <x:v>[13120,"1S01-NP-41.5"]</x:v>
      </x:c>
      <x:c r="AF869" t="n">
        <x:f>IF(ISNUMBER(H869),1,0)</x:f>
        <x:v>0</x:v>
      </x:c>
      <x:c r="AG869" t="n">
        <x:f>IF(ISNUMBER(I869),1,0)</x:f>
        <x:v>0</x:v>
      </x:c>
      <x:c r="AH869" t="str">
        <x:v>["1S01","1S01-NP","NP","裸粉色"]</x:v>
      </x:c>
      <x:c r="AI869" t="n">
        <x:f>IF(ISNUMBER(G869),1,0)</x:f>
        <x:v>1</x:v>
      </x:c>
      <x:c r="AJ869" t="n">
        <x:f>IF(ISNUMBER(AD869),1,0)</x:f>
        <x:v>0</x:v>
      </x:c>
    </x:row>
    <x:row r="870" ht="30" customHeight="1">
      <x:c r="A870" s="3" t="str">
        <x:v>1S01-NP-42</x:v>
      </x:c>
      <x:c r="B870" s="3" t="str">
        <x:v>1店-MUSSHOE-US</x:v>
      </x:c>
      <x:c r="C870" s="3" t="str">
        <x:v>徐新怡</x:v>
      </x:c>
      <x:c r="D870" s="3" t="str">
        <x:v>1S01</x:v>
      </x:c>
      <x:c r="E870" s="3" t="str">
        <x:f>IF(Z870="移出","已移出",IF(NOT(ISNUMBER(H870)),"数据待核",IF(H870=0,"断货",IF(NOT(ISNUMBER(G870)),"数据待核",IF(G870=0,"零日销待复核",IF(F870&lt;60,"补货提醒",IF(F870&lt;=90,"正常库存",IF(F870&lt;180,"促销",IF(F870&lt;=365,"红线促销","考虑清仓")))))))))</x:f>
        <x:v>数据待核</x:v>
      </x:c>
      <x:c r="F870" s="11" t="str">
        <x:f>IF(AND(ISNUMBER(H870),ISNUMBER(G870),G870&gt;0),H870/G870,"")</x:f>
      </x:c>
      <x:c r="G870" s="12" t="n">
        <x:f>IF(AND(COUNT(P870:R870)=3,MIN(P870:R870)&gt;=0,P870&lt;=Q870,Q870&lt;=R870),P870/7*0.5+Q870/14*0.3+R870/30*0.2,"")</x:f>
        <x:v>0</x:v>
      </x:c>
      <x:c r="H870" s="10" t="str">
        <x:f>IF(ISNUMBER(U870),U870,"")</x:f>
      </x:c>
      <x:c r="I870" s="10"/>
      <x:c r="J870" s="11" t="str">
        <x:f>IF(AND(Z870="共同",ISNUMBER(F870),ISNUMBER(M870)),F870-M870,"")</x:f>
      </x:c>
      <x:c r="K870" s="13" t="str">
        <x:f>IF(AND(ISNUMBER(J870),M870&lt;&gt;0),J870/M870,"")</x:f>
      </x:c>
      <x:c r="L870" s="10"/>
      <x:c r="M870" s="11"/>
      <x:c r="N870" s="10" t="str">
        <x:f>IF(AND(Z870="共同",COUNT(H870:I870)=2),H870-I870,"")</x:f>
      </x:c>
      <x:c r="O870" s="10"/>
      <x:c r="P870" s="10" t="n">
        <x:v>0</x:v>
      </x:c>
      <x:c r="Q870" s="10" t="n">
        <x:v>0</x:v>
      </x:c>
      <x:c r="R870" s="10" t="n">
        <x:v>0</x:v>
      </x:c>
      <x:c r="S870" s="10"/>
      <x:c r="T870" s="10"/>
      <x:c r="U870" s="10" t="str">
        <x:f>IF(AND(ISNUMBER(X870),X870&gt;=0,Y870&lt;&gt;1),X870,"")</x:f>
      </x:c>
      <x:c r="V870" s="10"/>
      <x:c r="W870" s="10"/>
      <x:c r="X870" s="10"/>
      <x:c r="Y870" s="3" t="n">
        <x:v>0</x:v>
      </x:c>
      <x:c r="Z870" s="3" t="str">
        <x:v>新增</x:v>
      </x:c>
      <x:c r="AA870" s="3" t="str">
        <x:v>停售</x:v>
      </x:c>
      <x:c r="AB870" s="12" t="str">
        <x:f>IF(AND(Z870="共同",ISNUMBER(G870),ISNUMBER(AD870)),G870-AD870,"")</x:f>
      </x:c>
      <x:c r="AC870" s="3" t="str">
        <x:v>近90天SKU销量未匹配，未按0处理</x:v>
      </x:c>
      <x:c r="AD870" s="12"/>
      <x:c r="AE870" s="3" t="str">
        <x:v>[13120,"1S01-NP-42"]</x:v>
      </x:c>
      <x:c r="AF870" t="n">
        <x:f>IF(ISNUMBER(H870),1,0)</x:f>
        <x:v>0</x:v>
      </x:c>
      <x:c r="AG870" t="n">
        <x:f>IF(ISNUMBER(I870),1,0)</x:f>
        <x:v>0</x:v>
      </x:c>
      <x:c r="AH870" t="str">
        <x:v>["1S01","1S01-NP","NP","裸粉色"]</x:v>
      </x:c>
      <x:c r="AI870" t="n">
        <x:f>IF(ISNUMBER(G870),1,0)</x:f>
        <x:v>1</x:v>
      </x:c>
      <x:c r="AJ870" t="n">
        <x:f>IF(ISNUMBER(AD870),1,0)</x:f>
        <x:v>0</x:v>
      </x:c>
    </x:row>
    <x:row r="871" ht="30" customHeight="1">
      <x:c r="A871" s="3" t="str">
        <x:v>1S01-PK-10</x:v>
      </x:c>
      <x:c r="B871" s="3" t="str">
        <x:v>1店-MUSSHOE-US</x:v>
      </x:c>
      <x:c r="C871" s="3" t="str">
        <x:v>徐新怡</x:v>
      </x:c>
      <x:c r="D871" s="3" t="str">
        <x:v>1S01</x:v>
      </x:c>
      <x:c r="E871" s="3" t="str">
        <x:f>IF(Z871="移出","已移出",IF(NOT(ISNUMBER(H871)),"数据待核",IF(H871=0,"断货",IF(NOT(ISNUMBER(G871)),"数据待核",IF(G871=0,"零日销待复核",IF(F871&lt;60,"补货提醒",IF(F871&lt;=90,"正常库存",IF(F871&lt;180,"促销",IF(F871&lt;=365,"红线促销","考虑清仓")))))))))</x:f>
        <x:v>数据待核</x:v>
      </x:c>
      <x:c r="F871" s="11" t="str">
        <x:f>IF(AND(ISNUMBER(H871),ISNUMBER(G871),G871&gt;0),H871/G871,"")</x:f>
      </x:c>
      <x:c r="G871" s="12" t="n">
        <x:f>IF(AND(COUNT(P871:R871)=3,MIN(P871:R871)&gt;=0,P871&lt;=Q871,Q871&lt;=R871),P871/7*0.5+Q871/14*0.3+R871/30*0.2,"")</x:f>
        <x:v>0</x:v>
      </x:c>
      <x:c r="H871" s="10" t="str">
        <x:f>IF(ISNUMBER(U871),U871,"")</x:f>
      </x:c>
      <x:c r="I871" s="10"/>
      <x:c r="J871" s="11" t="str">
        <x:f>IF(AND(Z871="共同",ISNUMBER(F871),ISNUMBER(M871)),F871-M871,"")</x:f>
      </x:c>
      <x:c r="K871" s="13" t="str">
        <x:f>IF(AND(ISNUMBER(J871),M871&lt;&gt;0),J871/M871,"")</x:f>
      </x:c>
      <x:c r="L871" s="10"/>
      <x:c r="M871" s="11"/>
      <x:c r="N871" s="10" t="str">
        <x:f>IF(AND(Z871="共同",COUNT(H871:I871)=2),H871-I871,"")</x:f>
      </x:c>
      <x:c r="O871" s="10"/>
      <x:c r="P871" s="10" t="n">
        <x:v>0</x:v>
      </x:c>
      <x:c r="Q871" s="10" t="n">
        <x:v>0</x:v>
      </x:c>
      <x:c r="R871" s="10" t="n">
        <x:v>0</x:v>
      </x:c>
      <x:c r="S871" s="10"/>
      <x:c r="T871" s="10"/>
      <x:c r="U871" s="10" t="str">
        <x:f>IF(AND(ISNUMBER(X871),X871&gt;=0,Y871&lt;&gt;1),X871,"")</x:f>
      </x:c>
      <x:c r="V871" s="10"/>
      <x:c r="W871" s="10"/>
      <x:c r="X871" s="10"/>
      <x:c r="Y871" s="3" t="n">
        <x:v>0</x:v>
      </x:c>
      <x:c r="Z871" s="3" t="str">
        <x:v>新增</x:v>
      </x:c>
      <x:c r="AA871" s="3" t="str">
        <x:v>停售</x:v>
      </x:c>
      <x:c r="AB871" s="12" t="str">
        <x:f>IF(AND(Z871="共同",ISNUMBER(G871),ISNUMBER(AD871)),G871-AD871,"")</x:f>
      </x:c>
      <x:c r="AC871" s="3" t="str">
        <x:v>近90天SKU销量未匹配，未按0处理</x:v>
      </x:c>
      <x:c r="AD871" s="12"/>
      <x:c r="AE871" s="3" t="str">
        <x:v>[13120,"1S01-PK-10"]</x:v>
      </x:c>
      <x:c r="AF871" t="n">
        <x:f>IF(ISNUMBER(H871),1,0)</x:f>
        <x:v>0</x:v>
      </x:c>
      <x:c r="AG871" t="n">
        <x:f>IF(ISNUMBER(I871),1,0)</x:f>
        <x:v>0</x:v>
      </x:c>
      <x:c r="AH871" t="str">
        <x:v>["1S01","1S01-PK","PK","粉色"]</x:v>
      </x:c>
      <x:c r="AI871" t="n">
        <x:f>IF(ISNUMBER(G871),1,0)</x:f>
        <x:v>1</x:v>
      </x:c>
      <x:c r="AJ871" t="n">
        <x:f>IF(ISNUMBER(AD871),1,0)</x:f>
        <x:v>0</x:v>
      </x:c>
    </x:row>
    <x:row r="872" ht="30" customHeight="1">
      <x:c r="A872" s="3" t="str">
        <x:v>1S01-PK-11</x:v>
      </x:c>
      <x:c r="B872" s="3" t="str">
        <x:v>1店-MUSSHOE-US</x:v>
      </x:c>
      <x:c r="C872" s="3" t="str">
        <x:v>徐新怡</x:v>
      </x:c>
      <x:c r="D872" s="3" t="str">
        <x:v>1S01</x:v>
      </x:c>
      <x:c r="E872" s="3" t="str">
        <x:f>IF(Z872="移出","已移出",IF(NOT(ISNUMBER(H872)),"数据待核",IF(H872=0,"断货",IF(NOT(ISNUMBER(G872)),"数据待核",IF(G872=0,"零日销待复核",IF(F872&lt;60,"补货提醒",IF(F872&lt;=90,"正常库存",IF(F872&lt;180,"促销",IF(F872&lt;=365,"红线促销","考虑清仓")))))))))</x:f>
        <x:v>数据待核</x:v>
      </x:c>
      <x:c r="F872" s="11" t="str">
        <x:f>IF(AND(ISNUMBER(H872),ISNUMBER(G872),G872&gt;0),H872/G872,"")</x:f>
      </x:c>
      <x:c r="G872" s="12" t="n">
        <x:f>IF(AND(COUNT(P872:R872)=3,MIN(P872:R872)&gt;=0,P872&lt;=Q872,Q872&lt;=R872),P872/7*0.5+Q872/14*0.3+R872/30*0.2,"")</x:f>
        <x:v>0</x:v>
      </x:c>
      <x:c r="H872" s="10" t="str">
        <x:f>IF(ISNUMBER(U872),U872,"")</x:f>
      </x:c>
      <x:c r="I872" s="10"/>
      <x:c r="J872" s="11" t="str">
        <x:f>IF(AND(Z872="共同",ISNUMBER(F872),ISNUMBER(M872)),F872-M872,"")</x:f>
      </x:c>
      <x:c r="K872" s="13" t="str">
        <x:f>IF(AND(ISNUMBER(J872),M872&lt;&gt;0),J872/M872,"")</x:f>
      </x:c>
      <x:c r="L872" s="10"/>
      <x:c r="M872" s="11"/>
      <x:c r="N872" s="10" t="str">
        <x:f>IF(AND(Z872="共同",COUNT(H872:I872)=2),H872-I872,"")</x:f>
      </x:c>
      <x:c r="O872" s="10"/>
      <x:c r="P872" s="10" t="n">
        <x:v>0</x:v>
      </x:c>
      <x:c r="Q872" s="10" t="n">
        <x:v>0</x:v>
      </x:c>
      <x:c r="R872" s="10" t="n">
        <x:v>0</x:v>
      </x:c>
      <x:c r="S872" s="10"/>
      <x:c r="T872" s="10"/>
      <x:c r="U872" s="10" t="str">
        <x:f>IF(AND(ISNUMBER(X872),X872&gt;=0,Y872&lt;&gt;1),X872,"")</x:f>
      </x:c>
      <x:c r="V872" s="10"/>
      <x:c r="W872" s="10"/>
      <x:c r="X872" s="10"/>
      <x:c r="Y872" s="3" t="n">
        <x:v>0</x:v>
      </x:c>
      <x:c r="Z872" s="3" t="str">
        <x:v>新增</x:v>
      </x:c>
      <x:c r="AA872" s="3" t="str">
        <x:v>停售</x:v>
      </x:c>
      <x:c r="AB872" s="12" t="str">
        <x:f>IF(AND(Z872="共同",ISNUMBER(G872),ISNUMBER(AD872)),G872-AD872,"")</x:f>
      </x:c>
      <x:c r="AC872" s="3" t="str">
        <x:v>近90天SKU销量未匹配，未按0处理</x:v>
      </x:c>
      <x:c r="AD872" s="12"/>
      <x:c r="AE872" s="3" t="str">
        <x:v>[13120,"1S01-PK-11"]</x:v>
      </x:c>
      <x:c r="AF872" t="n">
        <x:f>IF(ISNUMBER(H872),1,0)</x:f>
        <x:v>0</x:v>
      </x:c>
      <x:c r="AG872" t="n">
        <x:f>IF(ISNUMBER(I872),1,0)</x:f>
        <x:v>0</x:v>
      </x:c>
      <x:c r="AH872" t="str">
        <x:v>["1S01","1S01-PK","PK","粉色"]</x:v>
      </x:c>
      <x:c r="AI872" t="n">
        <x:f>IF(ISNUMBER(G872),1,0)</x:f>
        <x:v>1</x:v>
      </x:c>
      <x:c r="AJ872" t="n">
        <x:f>IF(ISNUMBER(AD872),1,0)</x:f>
        <x:v>0</x:v>
      </x:c>
    </x:row>
    <x:row r="873" ht="30" customHeight="1">
      <x:c r="A873" s="3" t="str">
        <x:v>1S01-PK-6</x:v>
      </x:c>
      <x:c r="B873" s="3" t="str">
        <x:v>1店-MUSSHOE-US</x:v>
      </x:c>
      <x:c r="C873" s="3" t="str">
        <x:v>徐新怡</x:v>
      </x:c>
      <x:c r="D873" s="3" t="str">
        <x:v>1S01</x:v>
      </x:c>
      <x:c r="E873" s="3" t="str">
        <x:f>IF(Z873="移出","已移出",IF(NOT(ISNUMBER(H873)),"数据待核",IF(H873=0,"断货",IF(NOT(ISNUMBER(G873)),"数据待核",IF(G873=0,"零日销待复核",IF(F873&lt;60,"补货提醒",IF(F873&lt;=90,"正常库存",IF(F873&lt;180,"促销",IF(F873&lt;=365,"红线促销","考虑清仓")))))))))</x:f>
        <x:v>数据待核</x:v>
      </x:c>
      <x:c r="F873" s="11" t="str">
        <x:f>IF(AND(ISNUMBER(H873),ISNUMBER(G873),G873&gt;0),H873/G873,"")</x:f>
      </x:c>
      <x:c r="G873" s="12" t="n">
        <x:f>IF(AND(COUNT(P873:R873)=3,MIN(P873:R873)&gt;=0,P873&lt;=Q873,Q873&lt;=R873),P873/7*0.5+Q873/14*0.3+R873/30*0.2,"")</x:f>
        <x:v>0</x:v>
      </x:c>
      <x:c r="H873" s="10" t="str">
        <x:f>IF(ISNUMBER(U873),U873,"")</x:f>
      </x:c>
      <x:c r="I873" s="10"/>
      <x:c r="J873" s="11" t="str">
        <x:f>IF(AND(Z873="共同",ISNUMBER(F873),ISNUMBER(M873)),F873-M873,"")</x:f>
      </x:c>
      <x:c r="K873" s="13" t="str">
        <x:f>IF(AND(ISNUMBER(J873),M873&lt;&gt;0),J873/M873,"")</x:f>
      </x:c>
      <x:c r="L873" s="10"/>
      <x:c r="M873" s="11"/>
      <x:c r="N873" s="10" t="str">
        <x:f>IF(AND(Z873="共同",COUNT(H873:I873)=2),H873-I873,"")</x:f>
      </x:c>
      <x:c r="O873" s="10"/>
      <x:c r="P873" s="10" t="n">
        <x:v>0</x:v>
      </x:c>
      <x:c r="Q873" s="10" t="n">
        <x:v>0</x:v>
      </x:c>
      <x:c r="R873" s="10" t="n">
        <x:v>0</x:v>
      </x:c>
      <x:c r="S873" s="10"/>
      <x:c r="T873" s="10"/>
      <x:c r="U873" s="10" t="str">
        <x:f>IF(AND(ISNUMBER(X873),X873&gt;=0,Y873&lt;&gt;1),X873,"")</x:f>
      </x:c>
      <x:c r="V873" s="10"/>
      <x:c r="W873" s="10"/>
      <x:c r="X873" s="10"/>
      <x:c r="Y873" s="3" t="n">
        <x:v>0</x:v>
      </x:c>
      <x:c r="Z873" s="3" t="str">
        <x:v>新增</x:v>
      </x:c>
      <x:c r="AA873" s="3" t="str">
        <x:v>停售</x:v>
      </x:c>
      <x:c r="AB873" s="12" t="str">
        <x:f>IF(AND(Z873="共同",ISNUMBER(G873),ISNUMBER(AD873)),G873-AD873,"")</x:f>
      </x:c>
      <x:c r="AC873" s="3" t="str">
        <x:v>近90天SKU销量未匹配，未按0处理</x:v>
      </x:c>
      <x:c r="AD873" s="12"/>
      <x:c r="AE873" s="3" t="str">
        <x:v>[13120,"1S01-PK-6"]</x:v>
      </x:c>
      <x:c r="AF873" t="n">
        <x:f>IF(ISNUMBER(H873),1,0)</x:f>
        <x:v>0</x:v>
      </x:c>
      <x:c r="AG873" t="n">
        <x:f>IF(ISNUMBER(I873),1,0)</x:f>
        <x:v>0</x:v>
      </x:c>
      <x:c r="AH873" t="str">
        <x:v>["1S01","1S01-PK","PK","粉色"]</x:v>
      </x:c>
      <x:c r="AI873" t="n">
        <x:f>IF(ISNUMBER(G873),1,0)</x:f>
        <x:v>1</x:v>
      </x:c>
      <x:c r="AJ873" t="n">
        <x:f>IF(ISNUMBER(AD873),1,0)</x:f>
        <x:v>0</x:v>
      </x:c>
    </x:row>
    <x:row r="874" ht="30" customHeight="1">
      <x:c r="A874" s="3" t="str">
        <x:v>1S01-PK-7</x:v>
      </x:c>
      <x:c r="B874" s="3" t="str">
        <x:v>1店-MUSSHOE-US</x:v>
      </x:c>
      <x:c r="C874" s="3" t="str">
        <x:v>徐新怡</x:v>
      </x:c>
      <x:c r="D874" s="3" t="str">
        <x:v>1S01</x:v>
      </x:c>
      <x:c r="E874" s="3" t="str">
        <x:f>IF(Z874="移出","已移出",IF(NOT(ISNUMBER(H874)),"数据待核",IF(H874=0,"断货",IF(NOT(ISNUMBER(G874)),"数据待核",IF(G874=0,"零日销待复核",IF(F874&lt;60,"补货提醒",IF(F874&lt;=90,"正常库存",IF(F874&lt;180,"促销",IF(F874&lt;=365,"红线促销","考虑清仓")))))))))</x:f>
        <x:v>数据待核</x:v>
      </x:c>
      <x:c r="F874" s="11" t="str">
        <x:f>IF(AND(ISNUMBER(H874),ISNUMBER(G874),G874&gt;0),H874/G874,"")</x:f>
      </x:c>
      <x:c r="G874" s="12" t="n">
        <x:f>IF(AND(COUNT(P874:R874)=3,MIN(P874:R874)&gt;=0,P874&lt;=Q874,Q874&lt;=R874),P874/7*0.5+Q874/14*0.3+R874/30*0.2,"")</x:f>
        <x:v>0</x:v>
      </x:c>
      <x:c r="H874" s="10" t="str">
        <x:f>IF(ISNUMBER(U874),U874,"")</x:f>
      </x:c>
      <x:c r="I874" s="10"/>
      <x:c r="J874" s="11" t="str">
        <x:f>IF(AND(Z874="共同",ISNUMBER(F874),ISNUMBER(M874)),F874-M874,"")</x:f>
      </x:c>
      <x:c r="K874" s="13" t="str">
        <x:f>IF(AND(ISNUMBER(J874),M874&lt;&gt;0),J874/M874,"")</x:f>
      </x:c>
      <x:c r="L874" s="10"/>
      <x:c r="M874" s="11"/>
      <x:c r="N874" s="10" t="str">
        <x:f>IF(AND(Z874="共同",COUNT(H874:I874)=2),H874-I874,"")</x:f>
      </x:c>
      <x:c r="O874" s="10"/>
      <x:c r="P874" s="10" t="n">
        <x:v>0</x:v>
      </x:c>
      <x:c r="Q874" s="10" t="n">
        <x:v>0</x:v>
      </x:c>
      <x:c r="R874" s="10" t="n">
        <x:v>0</x:v>
      </x:c>
      <x:c r="S874" s="10"/>
      <x:c r="T874" s="10"/>
      <x:c r="U874" s="10" t="str">
        <x:f>IF(AND(ISNUMBER(X874),X874&gt;=0,Y874&lt;&gt;1),X874,"")</x:f>
      </x:c>
      <x:c r="V874" s="10"/>
      <x:c r="W874" s="10"/>
      <x:c r="X874" s="10"/>
      <x:c r="Y874" s="3" t="n">
        <x:v>0</x:v>
      </x:c>
      <x:c r="Z874" s="3" t="str">
        <x:v>新增</x:v>
      </x:c>
      <x:c r="AA874" s="3" t="str">
        <x:v>停售</x:v>
      </x:c>
      <x:c r="AB874" s="12" t="str">
        <x:f>IF(AND(Z874="共同",ISNUMBER(G874),ISNUMBER(AD874)),G874-AD874,"")</x:f>
      </x:c>
      <x:c r="AC874" s="3" t="str">
        <x:v>近90天SKU销量未匹配，未按0处理</x:v>
      </x:c>
      <x:c r="AD874" s="12"/>
      <x:c r="AE874" s="3" t="str">
        <x:v>[13120,"1S01-PK-7"]</x:v>
      </x:c>
      <x:c r="AF874" t="n">
        <x:f>IF(ISNUMBER(H874),1,0)</x:f>
        <x:v>0</x:v>
      </x:c>
      <x:c r="AG874" t="n">
        <x:f>IF(ISNUMBER(I874),1,0)</x:f>
        <x:v>0</x:v>
      </x:c>
      <x:c r="AH874" t="str">
        <x:v>["1S01","1S01-PK","PK","粉色"]</x:v>
      </x:c>
      <x:c r="AI874" t="n">
        <x:f>IF(ISNUMBER(G874),1,0)</x:f>
        <x:v>1</x:v>
      </x:c>
      <x:c r="AJ874" t="n">
        <x:f>IF(ISNUMBER(AD874),1,0)</x:f>
        <x:v>0</x:v>
      </x:c>
    </x:row>
    <x:row r="875" ht="30" customHeight="1">
      <x:c r="A875" s="3" t="str">
        <x:v>1S01-PK-8</x:v>
      </x:c>
      <x:c r="B875" s="3" t="str">
        <x:v>1店-MUSSHOE-US</x:v>
      </x:c>
      <x:c r="C875" s="3" t="str">
        <x:v>徐新怡</x:v>
      </x:c>
      <x:c r="D875" s="3" t="str">
        <x:v>1S01</x:v>
      </x:c>
      <x:c r="E875" s="3" t="str">
        <x:f>IF(Z875="移出","已移出",IF(NOT(ISNUMBER(H875)),"数据待核",IF(H875=0,"断货",IF(NOT(ISNUMBER(G875)),"数据待核",IF(G875=0,"零日销待复核",IF(F875&lt;60,"补货提醒",IF(F875&lt;=90,"正常库存",IF(F875&lt;180,"促销",IF(F875&lt;=365,"红线促销","考虑清仓")))))))))</x:f>
        <x:v>数据待核</x:v>
      </x:c>
      <x:c r="F875" s="11" t="str">
        <x:f>IF(AND(ISNUMBER(H875),ISNUMBER(G875),G875&gt;0),H875/G875,"")</x:f>
      </x:c>
      <x:c r="G875" s="12" t="n">
        <x:f>IF(AND(COUNT(P875:R875)=3,MIN(P875:R875)&gt;=0,P875&lt;=Q875,Q875&lt;=R875),P875/7*0.5+Q875/14*0.3+R875/30*0.2,"")</x:f>
        <x:v>0</x:v>
      </x:c>
      <x:c r="H875" s="10" t="str">
        <x:f>IF(ISNUMBER(U875),U875,"")</x:f>
      </x:c>
      <x:c r="I875" s="10"/>
      <x:c r="J875" s="11" t="str">
        <x:f>IF(AND(Z875="共同",ISNUMBER(F875),ISNUMBER(M875)),F875-M875,"")</x:f>
      </x:c>
      <x:c r="K875" s="13" t="str">
        <x:f>IF(AND(ISNUMBER(J875),M875&lt;&gt;0),J875/M875,"")</x:f>
      </x:c>
      <x:c r="L875" s="10"/>
      <x:c r="M875" s="11"/>
      <x:c r="N875" s="10" t="str">
        <x:f>IF(AND(Z875="共同",COUNT(H875:I875)=2),H875-I875,"")</x:f>
      </x:c>
      <x:c r="O875" s="10"/>
      <x:c r="P875" s="10" t="n">
        <x:v>0</x:v>
      </x:c>
      <x:c r="Q875" s="10" t="n">
        <x:v>0</x:v>
      </x:c>
      <x:c r="R875" s="10" t="n">
        <x:v>0</x:v>
      </x:c>
      <x:c r="S875" s="10"/>
      <x:c r="T875" s="10"/>
      <x:c r="U875" s="10" t="str">
        <x:f>IF(AND(ISNUMBER(X875),X875&gt;=0,Y875&lt;&gt;1),X875,"")</x:f>
      </x:c>
      <x:c r="V875" s="10"/>
      <x:c r="W875" s="10"/>
      <x:c r="X875" s="10"/>
      <x:c r="Y875" s="3" t="n">
        <x:v>0</x:v>
      </x:c>
      <x:c r="Z875" s="3" t="str">
        <x:v>新增</x:v>
      </x:c>
      <x:c r="AA875" s="3" t="str">
        <x:v>停售</x:v>
      </x:c>
      <x:c r="AB875" s="12" t="str">
        <x:f>IF(AND(Z875="共同",ISNUMBER(G875),ISNUMBER(AD875)),G875-AD875,"")</x:f>
      </x:c>
      <x:c r="AC875" s="3" t="str">
        <x:v>近90天SKU销量未匹配，未按0处理</x:v>
      </x:c>
      <x:c r="AD875" s="12"/>
      <x:c r="AE875" s="3" t="str">
        <x:v>[13120,"1S01-PK-8"]</x:v>
      </x:c>
      <x:c r="AF875" t="n">
        <x:f>IF(ISNUMBER(H875),1,0)</x:f>
        <x:v>0</x:v>
      </x:c>
      <x:c r="AG875" t="n">
        <x:f>IF(ISNUMBER(I875),1,0)</x:f>
        <x:v>0</x:v>
      </x:c>
      <x:c r="AH875" t="str">
        <x:v>["1S01","1S01-PK","PK","粉色"]</x:v>
      </x:c>
      <x:c r="AI875" t="n">
        <x:f>IF(ISNUMBER(G875),1,0)</x:f>
        <x:v>1</x:v>
      </x:c>
      <x:c r="AJ875" t="n">
        <x:f>IF(ISNUMBER(AD875),1,0)</x:f>
        <x:v>0</x:v>
      </x:c>
    </x:row>
    <x:row r="876" ht="30" customHeight="1">
      <x:c r="A876" s="3" t="str">
        <x:v>1S01-PK-9</x:v>
      </x:c>
      <x:c r="B876" s="3" t="str">
        <x:v>1店-MUSSHOE-US</x:v>
      </x:c>
      <x:c r="C876" s="3" t="str">
        <x:v>徐新怡</x:v>
      </x:c>
      <x:c r="D876" s="3" t="str">
        <x:v>1S01</x:v>
      </x:c>
      <x:c r="E876" s="3" t="str">
        <x:f>IF(Z876="移出","已移出",IF(NOT(ISNUMBER(H876)),"数据待核",IF(H876=0,"断货",IF(NOT(ISNUMBER(G876)),"数据待核",IF(G876=0,"零日销待复核",IF(F876&lt;60,"补货提醒",IF(F876&lt;=90,"正常库存",IF(F876&lt;180,"促销",IF(F876&lt;=365,"红线促销","考虑清仓")))))))))</x:f>
        <x:v>数据待核</x:v>
      </x:c>
      <x:c r="F876" s="11" t="str">
        <x:f>IF(AND(ISNUMBER(H876),ISNUMBER(G876),G876&gt;0),H876/G876,"")</x:f>
      </x:c>
      <x:c r="G876" s="12" t="n">
        <x:f>IF(AND(COUNT(P876:R876)=3,MIN(P876:R876)&gt;=0,P876&lt;=Q876,Q876&lt;=R876),P876/7*0.5+Q876/14*0.3+R876/30*0.2,"")</x:f>
        <x:v>0</x:v>
      </x:c>
      <x:c r="H876" s="10" t="str">
        <x:f>IF(ISNUMBER(U876),U876,"")</x:f>
      </x:c>
      <x:c r="I876" s="10"/>
      <x:c r="J876" s="11" t="str">
        <x:f>IF(AND(Z876="共同",ISNUMBER(F876),ISNUMBER(M876)),F876-M876,"")</x:f>
      </x:c>
      <x:c r="K876" s="13" t="str">
        <x:f>IF(AND(ISNUMBER(J876),M876&lt;&gt;0),J876/M876,"")</x:f>
      </x:c>
      <x:c r="L876" s="10"/>
      <x:c r="M876" s="11"/>
      <x:c r="N876" s="10" t="str">
        <x:f>IF(AND(Z876="共同",COUNT(H876:I876)=2),H876-I876,"")</x:f>
      </x:c>
      <x:c r="O876" s="10"/>
      <x:c r="P876" s="10" t="n">
        <x:v>0</x:v>
      </x:c>
      <x:c r="Q876" s="10" t="n">
        <x:v>0</x:v>
      </x:c>
      <x:c r="R876" s="10" t="n">
        <x:v>0</x:v>
      </x:c>
      <x:c r="S876" s="10"/>
      <x:c r="T876" s="10"/>
      <x:c r="U876" s="10" t="str">
        <x:f>IF(AND(ISNUMBER(X876),X876&gt;=0,Y876&lt;&gt;1),X876,"")</x:f>
      </x:c>
      <x:c r="V876" s="10"/>
      <x:c r="W876" s="10"/>
      <x:c r="X876" s="10"/>
      <x:c r="Y876" s="3" t="n">
        <x:v>0</x:v>
      </x:c>
      <x:c r="Z876" s="3" t="str">
        <x:v>新增</x:v>
      </x:c>
      <x:c r="AA876" s="3" t="str">
        <x:v>停售</x:v>
      </x:c>
      <x:c r="AB876" s="12" t="str">
        <x:f>IF(AND(Z876="共同",ISNUMBER(G876),ISNUMBER(AD876)),G876-AD876,"")</x:f>
      </x:c>
      <x:c r="AC876" s="3" t="str">
        <x:v>近90天SKU销量未匹配，未按0处理</x:v>
      </x:c>
      <x:c r="AD876" s="12"/>
      <x:c r="AE876" s="3" t="str">
        <x:v>[13120,"1S01-PK-9"]</x:v>
      </x:c>
      <x:c r="AF876" t="n">
        <x:f>IF(ISNUMBER(H876),1,0)</x:f>
        <x:v>0</x:v>
      </x:c>
      <x:c r="AG876" t="n">
        <x:f>IF(ISNUMBER(I876),1,0)</x:f>
        <x:v>0</x:v>
      </x:c>
      <x:c r="AH876" t="str">
        <x:v>["1S01","1S01-PK","PK","粉色"]</x:v>
      </x:c>
      <x:c r="AI876" t="n">
        <x:f>IF(ISNUMBER(G876),1,0)</x:f>
        <x:v>1</x:v>
      </x:c>
      <x:c r="AJ876" t="n">
        <x:f>IF(ISNUMBER(AD876),1,0)</x:f>
        <x:v>0</x:v>
      </x:c>
    </x:row>
    <x:row r="877" ht="30" customHeight="1">
      <x:c r="A877" s="3" t="str">
        <x:v>1S01-TV-37</x:v>
      </x:c>
      <x:c r="B877" s="3" t="str">
        <x:v>1店-MUSSHOE-US</x:v>
      </x:c>
      <x:c r="C877" s="3" t="str">
        <x:v>徐新怡</x:v>
      </x:c>
      <x:c r="D877" s="3" t="str">
        <x:v>1S01</x:v>
      </x:c>
      <x:c r="E877" s="3" t="str">
        <x:f>IF(Z877="移出","已移出",IF(NOT(ISNUMBER(H877)),"数据待核",IF(H877=0,"断货",IF(NOT(ISNUMBER(G877)),"数据待核",IF(G877=0,"零日销待复核",IF(F877&lt;60,"补货提醒",IF(F877&lt;=90,"正常库存",IF(F877&lt;180,"促销",IF(F877&lt;=365,"红线促销","考虑清仓")))))))))</x:f>
        <x:v>数据待核</x:v>
      </x:c>
      <x:c r="F877" s="11" t="str">
        <x:f>IF(AND(ISNUMBER(H877),ISNUMBER(G877),G877&gt;0),H877/G877,"")</x:f>
      </x:c>
      <x:c r="G877" s="12" t="n">
        <x:f>IF(AND(COUNT(P877:R877)=3,MIN(P877:R877)&gt;=0,P877&lt;=Q877,Q877&lt;=R877),P877/7*0.5+Q877/14*0.3+R877/30*0.2,"")</x:f>
        <x:v>0</x:v>
      </x:c>
      <x:c r="H877" s="10" t="str">
        <x:f>IF(ISNUMBER(U877),U877,"")</x:f>
      </x:c>
      <x:c r="I877" s="10"/>
      <x:c r="J877" s="11" t="str">
        <x:f>IF(AND(Z877="共同",ISNUMBER(F877),ISNUMBER(M877)),F877-M877,"")</x:f>
      </x:c>
      <x:c r="K877" s="13" t="str">
        <x:f>IF(AND(ISNUMBER(J877),M877&lt;&gt;0),J877/M877,"")</x:f>
      </x:c>
      <x:c r="L877" s="10"/>
      <x:c r="M877" s="11"/>
      <x:c r="N877" s="10" t="str">
        <x:f>IF(AND(Z877="共同",COUNT(H877:I877)=2),H877-I877,"")</x:f>
      </x:c>
      <x:c r="O877" s="10"/>
      <x:c r="P877" s="10" t="n">
        <x:v>0</x:v>
      </x:c>
      <x:c r="Q877" s="10" t="n">
        <x:v>0</x:v>
      </x:c>
      <x:c r="R877" s="10" t="n">
        <x:v>0</x:v>
      </x:c>
      <x:c r="S877" s="10"/>
      <x:c r="T877" s="10"/>
      <x:c r="U877" s="10" t="str">
        <x:f>IF(AND(ISNUMBER(X877),X877&gt;=0,Y877&lt;&gt;1),X877,"")</x:f>
      </x:c>
      <x:c r="V877" s="10"/>
      <x:c r="W877" s="10"/>
      <x:c r="X877" s="10"/>
      <x:c r="Y877" s="3" t="n">
        <x:v>0</x:v>
      </x:c>
      <x:c r="Z877" s="3" t="str">
        <x:v>新增</x:v>
      </x:c>
      <x:c r="AA877" s="3" t="str">
        <x:v>停售</x:v>
      </x:c>
      <x:c r="AB877" s="12" t="str">
        <x:f>IF(AND(Z877="共同",ISNUMBER(G877),ISNUMBER(AD877)),G877-AD877,"")</x:f>
      </x:c>
      <x:c r="AC877" s="3" t="str">
        <x:v>近90天SKU销量未匹配，未按0处理</x:v>
      </x:c>
      <x:c r="AD877" s="12"/>
      <x:c r="AE877" s="3" t="str">
        <x:v>[13120,"1S01-TV-37"]</x:v>
      </x:c>
      <x:c r="AF877" t="n">
        <x:f>IF(ISNUMBER(H877),1,0)</x:f>
        <x:v>0</x:v>
      </x:c>
      <x:c r="AG877" t="n">
        <x:f>IF(ISNUMBER(I877),1,0)</x:f>
        <x:v>0</x:v>
      </x:c>
      <x:c r="AH877" t="str">
        <x:v>["1S01","1S01-TV","TV","银色金属"]</x:v>
      </x:c>
      <x:c r="AI877" t="n">
        <x:f>IF(ISNUMBER(G877),1,0)</x:f>
        <x:v>1</x:v>
      </x:c>
      <x:c r="AJ877" t="n">
        <x:f>IF(ISNUMBER(AD877),1,0)</x:f>
        <x:v>0</x:v>
      </x:c>
    </x:row>
    <x:row r="878" ht="30" customHeight="1">
      <x:c r="A878" s="3" t="str">
        <x:v>1S01-TV-37.5</x:v>
      </x:c>
      <x:c r="B878" s="3" t="str">
        <x:v>1店-MUSSHOE-US</x:v>
      </x:c>
      <x:c r="C878" s="3" t="str">
        <x:v>徐新怡</x:v>
      </x:c>
      <x:c r="D878" s="3" t="str">
        <x:v>1S01</x:v>
      </x:c>
      <x:c r="E878" s="3" t="str">
        <x:f>IF(Z878="移出","已移出",IF(NOT(ISNUMBER(H878)),"数据待核",IF(H878=0,"断货",IF(NOT(ISNUMBER(G878)),"数据待核",IF(G878=0,"零日销待复核",IF(F878&lt;60,"补货提醒",IF(F878&lt;=90,"正常库存",IF(F878&lt;180,"促销",IF(F878&lt;=365,"红线促销","考虑清仓")))))))))</x:f>
        <x:v>数据待核</x:v>
      </x:c>
      <x:c r="F878" s="11" t="str">
        <x:f>IF(AND(ISNUMBER(H878),ISNUMBER(G878),G878&gt;0),H878/G878,"")</x:f>
      </x:c>
      <x:c r="G878" s="12" t="n">
        <x:f>IF(AND(COUNT(P878:R878)=3,MIN(P878:R878)&gt;=0,P878&lt;=Q878,Q878&lt;=R878),P878/7*0.5+Q878/14*0.3+R878/30*0.2,"")</x:f>
        <x:v>0</x:v>
      </x:c>
      <x:c r="H878" s="10" t="str">
        <x:f>IF(ISNUMBER(U878),U878,"")</x:f>
      </x:c>
      <x:c r="I878" s="10"/>
      <x:c r="J878" s="11" t="str">
        <x:f>IF(AND(Z878="共同",ISNUMBER(F878),ISNUMBER(M878)),F878-M878,"")</x:f>
      </x:c>
      <x:c r="K878" s="13" t="str">
        <x:f>IF(AND(ISNUMBER(J878),M878&lt;&gt;0),J878/M878,"")</x:f>
      </x:c>
      <x:c r="L878" s="10"/>
      <x:c r="M878" s="11"/>
      <x:c r="N878" s="10" t="str">
        <x:f>IF(AND(Z878="共同",COUNT(H878:I878)=2),H878-I878,"")</x:f>
      </x:c>
      <x:c r="O878" s="10"/>
      <x:c r="P878" s="10" t="n">
        <x:v>0</x:v>
      </x:c>
      <x:c r="Q878" s="10" t="n">
        <x:v>0</x:v>
      </x:c>
      <x:c r="R878" s="10" t="n">
        <x:v>0</x:v>
      </x:c>
      <x:c r="S878" s="10"/>
      <x:c r="T878" s="10"/>
      <x:c r="U878" s="10" t="str">
        <x:f>IF(AND(ISNUMBER(X878),X878&gt;=0,Y878&lt;&gt;1),X878,"")</x:f>
      </x:c>
      <x:c r="V878" s="10"/>
      <x:c r="W878" s="10"/>
      <x:c r="X878" s="10"/>
      <x:c r="Y878" s="3" t="n">
        <x:v>0</x:v>
      </x:c>
      <x:c r="Z878" s="3" t="str">
        <x:v>新增</x:v>
      </x:c>
      <x:c r="AA878" s="3" t="str">
        <x:v>停售</x:v>
      </x:c>
      <x:c r="AB878" s="12" t="str">
        <x:f>IF(AND(Z878="共同",ISNUMBER(G878),ISNUMBER(AD878)),G878-AD878,"")</x:f>
      </x:c>
      <x:c r="AC878" s="3" t="str">
        <x:v>近90天SKU销量未匹配，未按0处理</x:v>
      </x:c>
      <x:c r="AD878" s="12"/>
      <x:c r="AE878" s="3" t="str">
        <x:v>[13120,"1S01-TV-37.5"]</x:v>
      </x:c>
      <x:c r="AF878" t="n">
        <x:f>IF(ISNUMBER(H878),1,0)</x:f>
        <x:v>0</x:v>
      </x:c>
      <x:c r="AG878" t="n">
        <x:f>IF(ISNUMBER(I878),1,0)</x:f>
        <x:v>0</x:v>
      </x:c>
      <x:c r="AH878" t="str">
        <x:v>["1S01","1S01-TV","TV","银色金属"]</x:v>
      </x:c>
      <x:c r="AI878" t="n">
        <x:f>IF(ISNUMBER(G878),1,0)</x:f>
        <x:v>1</x:v>
      </x:c>
      <x:c r="AJ878" t="n">
        <x:f>IF(ISNUMBER(AD878),1,0)</x:f>
        <x:v>0</x:v>
      </x:c>
    </x:row>
    <x:row r="879" ht="30" customHeight="1">
      <x:c r="A879" s="3" t="str">
        <x:v>1S01-TV-38</x:v>
      </x:c>
      <x:c r="B879" s="3" t="str">
        <x:v>1店-MUSSHOE-US</x:v>
      </x:c>
      <x:c r="C879" s="3" t="str">
        <x:v>徐新怡</x:v>
      </x:c>
      <x:c r="D879" s="3" t="str">
        <x:v>1S01</x:v>
      </x:c>
      <x:c r="E879" s="3" t="str">
        <x:f>IF(Z879="移出","已移出",IF(NOT(ISNUMBER(H879)),"数据待核",IF(H879=0,"断货",IF(NOT(ISNUMBER(G879)),"数据待核",IF(G879=0,"零日销待复核",IF(F879&lt;60,"补货提醒",IF(F879&lt;=90,"正常库存",IF(F879&lt;180,"促销",IF(F879&lt;=365,"红线促销","考虑清仓")))))))))</x:f>
        <x:v>数据待核</x:v>
      </x:c>
      <x:c r="F879" s="11" t="str">
        <x:f>IF(AND(ISNUMBER(H879),ISNUMBER(G879),G879&gt;0),H879/G879,"")</x:f>
      </x:c>
      <x:c r="G879" s="12" t="n">
        <x:f>IF(AND(COUNT(P879:R879)=3,MIN(P879:R879)&gt;=0,P879&lt;=Q879,Q879&lt;=R879),P879/7*0.5+Q879/14*0.3+R879/30*0.2,"")</x:f>
        <x:v>0</x:v>
      </x:c>
      <x:c r="H879" s="10" t="str">
        <x:f>IF(ISNUMBER(U879),U879,"")</x:f>
      </x:c>
      <x:c r="I879" s="10"/>
      <x:c r="J879" s="11" t="str">
        <x:f>IF(AND(Z879="共同",ISNUMBER(F879),ISNUMBER(M879)),F879-M879,"")</x:f>
      </x:c>
      <x:c r="K879" s="13" t="str">
        <x:f>IF(AND(ISNUMBER(J879),M879&lt;&gt;0),J879/M879,"")</x:f>
      </x:c>
      <x:c r="L879" s="10"/>
      <x:c r="M879" s="11"/>
      <x:c r="N879" s="10" t="str">
        <x:f>IF(AND(Z879="共同",COUNT(H879:I879)=2),H879-I879,"")</x:f>
      </x:c>
      <x:c r="O879" s="10"/>
      <x:c r="P879" s="10" t="n">
        <x:v>0</x:v>
      </x:c>
      <x:c r="Q879" s="10" t="n">
        <x:v>0</x:v>
      </x:c>
      <x:c r="R879" s="10" t="n">
        <x:v>0</x:v>
      </x:c>
      <x:c r="S879" s="10"/>
      <x:c r="T879" s="10"/>
      <x:c r="U879" s="10" t="str">
        <x:f>IF(AND(ISNUMBER(X879),X879&gt;=0,Y879&lt;&gt;1),X879,"")</x:f>
      </x:c>
      <x:c r="V879" s="10"/>
      <x:c r="W879" s="10"/>
      <x:c r="X879" s="10"/>
      <x:c r="Y879" s="3" t="n">
        <x:v>0</x:v>
      </x:c>
      <x:c r="Z879" s="3" t="str">
        <x:v>新增</x:v>
      </x:c>
      <x:c r="AA879" s="3" t="str">
        <x:v>停售</x:v>
      </x:c>
      <x:c r="AB879" s="12" t="str">
        <x:f>IF(AND(Z879="共同",ISNUMBER(G879),ISNUMBER(AD879)),G879-AD879,"")</x:f>
      </x:c>
      <x:c r="AC879" s="3" t="str">
        <x:v>近90天SKU销量未匹配，未按0处理</x:v>
      </x:c>
      <x:c r="AD879" s="12"/>
      <x:c r="AE879" s="3" t="str">
        <x:v>[13120,"1S01-TV-38"]</x:v>
      </x:c>
      <x:c r="AF879" t="n">
        <x:f>IF(ISNUMBER(H879),1,0)</x:f>
        <x:v>0</x:v>
      </x:c>
      <x:c r="AG879" t="n">
        <x:f>IF(ISNUMBER(I879),1,0)</x:f>
        <x:v>0</x:v>
      </x:c>
      <x:c r="AH879" t="str">
        <x:v>["1S01","1S01-TV","TV","银色金属"]</x:v>
      </x:c>
      <x:c r="AI879" t="n">
        <x:f>IF(ISNUMBER(G879),1,0)</x:f>
        <x:v>1</x:v>
      </x:c>
      <x:c r="AJ879" t="n">
        <x:f>IF(ISNUMBER(AD879),1,0)</x:f>
        <x:v>0</x:v>
      </x:c>
    </x:row>
    <x:row r="880" ht="30" customHeight="1">
      <x:c r="A880" s="3" t="str">
        <x:v>1S01-TV-38.5</x:v>
      </x:c>
      <x:c r="B880" s="3" t="str">
        <x:v>1店-MUSSHOE-US</x:v>
      </x:c>
      <x:c r="C880" s="3" t="str">
        <x:v>徐新怡</x:v>
      </x:c>
      <x:c r="D880" s="3" t="str">
        <x:v>1S01</x:v>
      </x:c>
      <x:c r="E880" s="3" t="str">
        <x:f>IF(Z880="移出","已移出",IF(NOT(ISNUMBER(H880)),"数据待核",IF(H880=0,"断货",IF(NOT(ISNUMBER(G880)),"数据待核",IF(G880=0,"零日销待复核",IF(F880&lt;60,"补货提醒",IF(F880&lt;=90,"正常库存",IF(F880&lt;180,"促销",IF(F880&lt;=365,"红线促销","考虑清仓")))))))))</x:f>
        <x:v>数据待核</x:v>
      </x:c>
      <x:c r="F880" s="11" t="str">
        <x:f>IF(AND(ISNUMBER(H880),ISNUMBER(G880),G880&gt;0),H880/G880,"")</x:f>
      </x:c>
      <x:c r="G880" s="12" t="n">
        <x:f>IF(AND(COUNT(P880:R880)=3,MIN(P880:R880)&gt;=0,P880&lt;=Q880,Q880&lt;=R880),P880/7*0.5+Q880/14*0.3+R880/30*0.2,"")</x:f>
        <x:v>0</x:v>
      </x:c>
      <x:c r="H880" s="10" t="str">
        <x:f>IF(ISNUMBER(U880),U880,"")</x:f>
      </x:c>
      <x:c r="I880" s="10"/>
      <x:c r="J880" s="11" t="str">
        <x:f>IF(AND(Z880="共同",ISNUMBER(F880),ISNUMBER(M880)),F880-M880,"")</x:f>
      </x:c>
      <x:c r="K880" s="13" t="str">
        <x:f>IF(AND(ISNUMBER(J880),M880&lt;&gt;0),J880/M880,"")</x:f>
      </x:c>
      <x:c r="L880" s="10"/>
      <x:c r="M880" s="11"/>
      <x:c r="N880" s="10" t="str">
        <x:f>IF(AND(Z880="共同",COUNT(H880:I880)=2),H880-I880,"")</x:f>
      </x:c>
      <x:c r="O880" s="10"/>
      <x:c r="P880" s="10" t="n">
        <x:v>0</x:v>
      </x:c>
      <x:c r="Q880" s="10" t="n">
        <x:v>0</x:v>
      </x:c>
      <x:c r="R880" s="10" t="n">
        <x:v>0</x:v>
      </x:c>
      <x:c r="S880" s="10"/>
      <x:c r="T880" s="10"/>
      <x:c r="U880" s="10" t="str">
        <x:f>IF(AND(ISNUMBER(X880),X880&gt;=0,Y880&lt;&gt;1),X880,"")</x:f>
      </x:c>
      <x:c r="V880" s="10"/>
      <x:c r="W880" s="10"/>
      <x:c r="X880" s="10"/>
      <x:c r="Y880" s="3" t="n">
        <x:v>0</x:v>
      </x:c>
      <x:c r="Z880" s="3" t="str">
        <x:v>新增</x:v>
      </x:c>
      <x:c r="AA880" s="3" t="str">
        <x:v>停售</x:v>
      </x:c>
      <x:c r="AB880" s="12" t="str">
        <x:f>IF(AND(Z880="共同",ISNUMBER(G880),ISNUMBER(AD880)),G880-AD880,"")</x:f>
      </x:c>
      <x:c r="AC880" s="3" t="str">
        <x:v>近90天SKU销量未匹配，未按0处理</x:v>
      </x:c>
      <x:c r="AD880" s="12"/>
      <x:c r="AE880" s="3" t="str">
        <x:v>[13120,"1S01-TV-38.5"]</x:v>
      </x:c>
      <x:c r="AF880" t="n">
        <x:f>IF(ISNUMBER(H880),1,0)</x:f>
        <x:v>0</x:v>
      </x:c>
      <x:c r="AG880" t="n">
        <x:f>IF(ISNUMBER(I880),1,0)</x:f>
        <x:v>0</x:v>
      </x:c>
      <x:c r="AH880" t="str">
        <x:v>["1S01","1S01-TV","TV","银色金属"]</x:v>
      </x:c>
      <x:c r="AI880" t="n">
        <x:f>IF(ISNUMBER(G880),1,0)</x:f>
        <x:v>1</x:v>
      </x:c>
      <x:c r="AJ880" t="n">
        <x:f>IF(ISNUMBER(AD880),1,0)</x:f>
        <x:v>0</x:v>
      </x:c>
    </x:row>
    <x:row r="881" ht="30" customHeight="1">
      <x:c r="A881" s="3" t="str">
        <x:v>1S01-TV-39</x:v>
      </x:c>
      <x:c r="B881" s="3" t="str">
        <x:v>1店-MUSSHOE-US</x:v>
      </x:c>
      <x:c r="C881" s="3" t="str">
        <x:v>徐新怡</x:v>
      </x:c>
      <x:c r="D881" s="3" t="str">
        <x:v>1S01</x:v>
      </x:c>
      <x:c r="E881" s="3" t="str">
        <x:f>IF(Z881="移出","已移出",IF(NOT(ISNUMBER(H881)),"数据待核",IF(H881=0,"断货",IF(NOT(ISNUMBER(G881)),"数据待核",IF(G881=0,"零日销待复核",IF(F881&lt;60,"补货提醒",IF(F881&lt;=90,"正常库存",IF(F881&lt;180,"促销",IF(F881&lt;=365,"红线促销","考虑清仓")))))))))</x:f>
        <x:v>数据待核</x:v>
      </x:c>
      <x:c r="F881" s="11" t="str">
        <x:f>IF(AND(ISNUMBER(H881),ISNUMBER(G881),G881&gt;0),H881/G881,"")</x:f>
      </x:c>
      <x:c r="G881" s="12" t="n">
        <x:f>IF(AND(COUNT(P881:R881)=3,MIN(P881:R881)&gt;=0,P881&lt;=Q881,Q881&lt;=R881),P881/7*0.5+Q881/14*0.3+R881/30*0.2,"")</x:f>
        <x:v>0</x:v>
      </x:c>
      <x:c r="H881" s="10" t="str">
        <x:f>IF(ISNUMBER(U881),U881,"")</x:f>
      </x:c>
      <x:c r="I881" s="10"/>
      <x:c r="J881" s="11" t="str">
        <x:f>IF(AND(Z881="共同",ISNUMBER(F881),ISNUMBER(M881)),F881-M881,"")</x:f>
      </x:c>
      <x:c r="K881" s="13" t="str">
        <x:f>IF(AND(ISNUMBER(J881),M881&lt;&gt;0),J881/M881,"")</x:f>
      </x:c>
      <x:c r="L881" s="10"/>
      <x:c r="M881" s="11"/>
      <x:c r="N881" s="10" t="str">
        <x:f>IF(AND(Z881="共同",COUNT(H881:I881)=2),H881-I881,"")</x:f>
      </x:c>
      <x:c r="O881" s="10"/>
      <x:c r="P881" s="10" t="n">
        <x:v>0</x:v>
      </x:c>
      <x:c r="Q881" s="10" t="n">
        <x:v>0</x:v>
      </x:c>
      <x:c r="R881" s="10" t="n">
        <x:v>0</x:v>
      </x:c>
      <x:c r="S881" s="10"/>
      <x:c r="T881" s="10"/>
      <x:c r="U881" s="10" t="str">
        <x:f>IF(AND(ISNUMBER(X881),X881&gt;=0,Y881&lt;&gt;1),X881,"")</x:f>
      </x:c>
      <x:c r="V881" s="10"/>
      <x:c r="W881" s="10"/>
      <x:c r="X881" s="10"/>
      <x:c r="Y881" s="3" t="n">
        <x:v>0</x:v>
      </x:c>
      <x:c r="Z881" s="3" t="str">
        <x:v>新增</x:v>
      </x:c>
      <x:c r="AA881" s="3" t="str">
        <x:v>停售</x:v>
      </x:c>
      <x:c r="AB881" s="12" t="str">
        <x:f>IF(AND(Z881="共同",ISNUMBER(G881),ISNUMBER(AD881)),G881-AD881,"")</x:f>
      </x:c>
      <x:c r="AC881" s="3" t="str">
        <x:v>近90天SKU销量未匹配，未按0处理</x:v>
      </x:c>
      <x:c r="AD881" s="12"/>
      <x:c r="AE881" s="3" t="str">
        <x:v>[13120,"1S01-TV-39"]</x:v>
      </x:c>
      <x:c r="AF881" t="n">
        <x:f>IF(ISNUMBER(H881),1,0)</x:f>
        <x:v>0</x:v>
      </x:c>
      <x:c r="AG881" t="n">
        <x:f>IF(ISNUMBER(I881),1,0)</x:f>
        <x:v>0</x:v>
      </x:c>
      <x:c r="AH881" t="str">
        <x:v>["1S01","1S01-TV","TV","银色金属"]</x:v>
      </x:c>
      <x:c r="AI881" t="n">
        <x:f>IF(ISNUMBER(G881),1,0)</x:f>
        <x:v>1</x:v>
      </x:c>
      <x:c r="AJ881" t="n">
        <x:f>IF(ISNUMBER(AD881),1,0)</x:f>
        <x:v>0</x:v>
      </x:c>
    </x:row>
    <x:row r="882" ht="30" customHeight="1">
      <x:c r="A882" s="3" t="str">
        <x:v>1S01-TV-39.5</x:v>
      </x:c>
      <x:c r="B882" s="3" t="str">
        <x:v>1店-MUSSHOE-US</x:v>
      </x:c>
      <x:c r="C882" s="3" t="str">
        <x:v>徐新怡</x:v>
      </x:c>
      <x:c r="D882" s="3" t="str">
        <x:v>1S01</x:v>
      </x:c>
      <x:c r="E882" s="3" t="str">
        <x:f>IF(Z882="移出","已移出",IF(NOT(ISNUMBER(H882)),"数据待核",IF(H882=0,"断货",IF(NOT(ISNUMBER(G882)),"数据待核",IF(G882=0,"零日销待复核",IF(F882&lt;60,"补货提醒",IF(F882&lt;=90,"正常库存",IF(F882&lt;180,"促销",IF(F882&lt;=365,"红线促销","考虑清仓")))))))))</x:f>
        <x:v>数据待核</x:v>
      </x:c>
      <x:c r="F882" s="11" t="str">
        <x:f>IF(AND(ISNUMBER(H882),ISNUMBER(G882),G882&gt;0),H882/G882,"")</x:f>
      </x:c>
      <x:c r="G882" s="12" t="n">
        <x:f>IF(AND(COUNT(P882:R882)=3,MIN(P882:R882)&gt;=0,P882&lt;=Q882,Q882&lt;=R882),P882/7*0.5+Q882/14*0.3+R882/30*0.2,"")</x:f>
        <x:v>0</x:v>
      </x:c>
      <x:c r="H882" s="10" t="str">
        <x:f>IF(ISNUMBER(U882),U882,"")</x:f>
      </x:c>
      <x:c r="I882" s="10"/>
      <x:c r="J882" s="11" t="str">
        <x:f>IF(AND(Z882="共同",ISNUMBER(F882),ISNUMBER(M882)),F882-M882,"")</x:f>
      </x:c>
      <x:c r="K882" s="13" t="str">
        <x:f>IF(AND(ISNUMBER(J882),M882&lt;&gt;0),J882/M882,"")</x:f>
      </x:c>
      <x:c r="L882" s="10"/>
      <x:c r="M882" s="11"/>
      <x:c r="N882" s="10" t="str">
        <x:f>IF(AND(Z882="共同",COUNT(H882:I882)=2),H882-I882,"")</x:f>
      </x:c>
      <x:c r="O882" s="10"/>
      <x:c r="P882" s="10" t="n">
        <x:v>0</x:v>
      </x:c>
      <x:c r="Q882" s="10" t="n">
        <x:v>0</x:v>
      </x:c>
      <x:c r="R882" s="10" t="n">
        <x:v>0</x:v>
      </x:c>
      <x:c r="S882" s="10"/>
      <x:c r="T882" s="10"/>
      <x:c r="U882" s="10" t="str">
        <x:f>IF(AND(ISNUMBER(X882),X882&gt;=0,Y882&lt;&gt;1),X882,"")</x:f>
      </x:c>
      <x:c r="V882" s="10"/>
      <x:c r="W882" s="10"/>
      <x:c r="X882" s="10"/>
      <x:c r="Y882" s="3" t="n">
        <x:v>0</x:v>
      </x:c>
      <x:c r="Z882" s="3" t="str">
        <x:v>新增</x:v>
      </x:c>
      <x:c r="AA882" s="3" t="str">
        <x:v>停售</x:v>
      </x:c>
      <x:c r="AB882" s="12" t="str">
        <x:f>IF(AND(Z882="共同",ISNUMBER(G882),ISNUMBER(AD882)),G882-AD882,"")</x:f>
      </x:c>
      <x:c r="AC882" s="3" t="str">
        <x:v>近90天SKU销量未匹配，未按0处理</x:v>
      </x:c>
      <x:c r="AD882" s="12"/>
      <x:c r="AE882" s="3" t="str">
        <x:v>[13120,"1S01-TV-39.5"]</x:v>
      </x:c>
      <x:c r="AF882" t="n">
        <x:f>IF(ISNUMBER(H882),1,0)</x:f>
        <x:v>0</x:v>
      </x:c>
      <x:c r="AG882" t="n">
        <x:f>IF(ISNUMBER(I882),1,0)</x:f>
        <x:v>0</x:v>
      </x:c>
      <x:c r="AH882" t="str">
        <x:v>["1S01","1S01-TV","TV","银色金属"]</x:v>
      </x:c>
      <x:c r="AI882" t="n">
        <x:f>IF(ISNUMBER(G882),1,0)</x:f>
        <x:v>1</x:v>
      </x:c>
      <x:c r="AJ882" t="n">
        <x:f>IF(ISNUMBER(AD882),1,0)</x:f>
        <x:v>0</x:v>
      </x:c>
    </x:row>
    <x:row r="883" ht="30" customHeight="1">
      <x:c r="A883" s="3" t="str">
        <x:v>1S01-TV-40</x:v>
      </x:c>
      <x:c r="B883" s="3" t="str">
        <x:v>1店-MUSSHOE-US</x:v>
      </x:c>
      <x:c r="C883" s="3" t="str">
        <x:v>徐新怡</x:v>
      </x:c>
      <x:c r="D883" s="3" t="str">
        <x:v>1S01</x:v>
      </x:c>
      <x:c r="E883" s="3" t="str">
        <x:f>IF(Z883="移出","已移出",IF(NOT(ISNUMBER(H883)),"数据待核",IF(H883=0,"断货",IF(NOT(ISNUMBER(G883)),"数据待核",IF(G883=0,"零日销待复核",IF(F883&lt;60,"补货提醒",IF(F883&lt;=90,"正常库存",IF(F883&lt;180,"促销",IF(F883&lt;=365,"红线促销","考虑清仓")))))))))</x:f>
        <x:v>数据待核</x:v>
      </x:c>
      <x:c r="F883" s="11" t="str">
        <x:f>IF(AND(ISNUMBER(H883),ISNUMBER(G883),G883&gt;0),H883/G883,"")</x:f>
      </x:c>
      <x:c r="G883" s="12" t="n">
        <x:f>IF(AND(COUNT(P883:R883)=3,MIN(P883:R883)&gt;=0,P883&lt;=Q883,Q883&lt;=R883),P883/7*0.5+Q883/14*0.3+R883/30*0.2,"")</x:f>
        <x:v>0</x:v>
      </x:c>
      <x:c r="H883" s="10" t="str">
        <x:f>IF(ISNUMBER(U883),U883,"")</x:f>
      </x:c>
      <x:c r="I883" s="10"/>
      <x:c r="J883" s="11" t="str">
        <x:f>IF(AND(Z883="共同",ISNUMBER(F883),ISNUMBER(M883)),F883-M883,"")</x:f>
      </x:c>
      <x:c r="K883" s="13" t="str">
        <x:f>IF(AND(ISNUMBER(J883),M883&lt;&gt;0),J883/M883,"")</x:f>
      </x:c>
      <x:c r="L883" s="10"/>
      <x:c r="M883" s="11"/>
      <x:c r="N883" s="10" t="str">
        <x:f>IF(AND(Z883="共同",COUNT(H883:I883)=2),H883-I883,"")</x:f>
      </x:c>
      <x:c r="O883" s="10"/>
      <x:c r="P883" s="10" t="n">
        <x:v>0</x:v>
      </x:c>
      <x:c r="Q883" s="10" t="n">
        <x:v>0</x:v>
      </x:c>
      <x:c r="R883" s="10" t="n">
        <x:v>0</x:v>
      </x:c>
      <x:c r="S883" s="10"/>
      <x:c r="T883" s="10"/>
      <x:c r="U883" s="10" t="str">
        <x:f>IF(AND(ISNUMBER(X883),X883&gt;=0,Y883&lt;&gt;1),X883,"")</x:f>
      </x:c>
      <x:c r="V883" s="10"/>
      <x:c r="W883" s="10"/>
      <x:c r="X883" s="10"/>
      <x:c r="Y883" s="3" t="n">
        <x:v>0</x:v>
      </x:c>
      <x:c r="Z883" s="3" t="str">
        <x:v>新增</x:v>
      </x:c>
      <x:c r="AA883" s="3" t="str">
        <x:v>停售</x:v>
      </x:c>
      <x:c r="AB883" s="12" t="str">
        <x:f>IF(AND(Z883="共同",ISNUMBER(G883),ISNUMBER(AD883)),G883-AD883,"")</x:f>
      </x:c>
      <x:c r="AC883" s="3" t="str">
        <x:v>近90天SKU销量未匹配，未按0处理</x:v>
      </x:c>
      <x:c r="AD883" s="12"/>
      <x:c r="AE883" s="3" t="str">
        <x:v>[13120,"1S01-TV-40"]</x:v>
      </x:c>
      <x:c r="AF883" t="n">
        <x:f>IF(ISNUMBER(H883),1,0)</x:f>
        <x:v>0</x:v>
      </x:c>
      <x:c r="AG883" t="n">
        <x:f>IF(ISNUMBER(I883),1,0)</x:f>
        <x:v>0</x:v>
      </x:c>
      <x:c r="AH883" t="str">
        <x:v>["1S01","1S01-TV","TV","银色金属"]</x:v>
      </x:c>
      <x:c r="AI883" t="n">
        <x:f>IF(ISNUMBER(G883),1,0)</x:f>
        <x:v>1</x:v>
      </x:c>
      <x:c r="AJ883" t="n">
        <x:f>IF(ISNUMBER(AD883),1,0)</x:f>
        <x:v>0</x:v>
      </x:c>
    </x:row>
    <x:row r="884" ht="30" customHeight="1">
      <x:c r="A884" s="3" t="str">
        <x:v>1S01-TV-40.5</x:v>
      </x:c>
      <x:c r="B884" s="3" t="str">
        <x:v>1店-MUSSHOE-US</x:v>
      </x:c>
      <x:c r="C884" s="3" t="str">
        <x:v>徐新怡</x:v>
      </x:c>
      <x:c r="D884" s="3" t="str">
        <x:v>1S01</x:v>
      </x:c>
      <x:c r="E884" s="3" t="str">
        <x:f>IF(Z884="移出","已移出",IF(NOT(ISNUMBER(H884)),"数据待核",IF(H884=0,"断货",IF(NOT(ISNUMBER(G884)),"数据待核",IF(G884=0,"零日销待复核",IF(F884&lt;60,"补货提醒",IF(F884&lt;=90,"正常库存",IF(F884&lt;180,"促销",IF(F884&lt;=365,"红线促销","考虑清仓")))))))))</x:f>
        <x:v>数据待核</x:v>
      </x:c>
      <x:c r="F884" s="11" t="str">
        <x:f>IF(AND(ISNUMBER(H884),ISNUMBER(G884),G884&gt;0),H884/G884,"")</x:f>
      </x:c>
      <x:c r="G884" s="12" t="n">
        <x:f>IF(AND(COUNT(P884:R884)=3,MIN(P884:R884)&gt;=0,P884&lt;=Q884,Q884&lt;=R884),P884/7*0.5+Q884/14*0.3+R884/30*0.2,"")</x:f>
        <x:v>0</x:v>
      </x:c>
      <x:c r="H884" s="10" t="str">
        <x:f>IF(ISNUMBER(U884),U884,"")</x:f>
      </x:c>
      <x:c r="I884" s="10"/>
      <x:c r="J884" s="11" t="str">
        <x:f>IF(AND(Z884="共同",ISNUMBER(F884),ISNUMBER(M884)),F884-M884,"")</x:f>
      </x:c>
      <x:c r="K884" s="13" t="str">
        <x:f>IF(AND(ISNUMBER(J884),M884&lt;&gt;0),J884/M884,"")</x:f>
      </x:c>
      <x:c r="L884" s="10"/>
      <x:c r="M884" s="11"/>
      <x:c r="N884" s="10" t="str">
        <x:f>IF(AND(Z884="共同",COUNT(H884:I884)=2),H884-I884,"")</x:f>
      </x:c>
      <x:c r="O884" s="10"/>
      <x:c r="P884" s="10" t="n">
        <x:v>0</x:v>
      </x:c>
      <x:c r="Q884" s="10" t="n">
        <x:v>0</x:v>
      </x:c>
      <x:c r="R884" s="10" t="n">
        <x:v>0</x:v>
      </x:c>
      <x:c r="S884" s="10"/>
      <x:c r="T884" s="10"/>
      <x:c r="U884" s="10" t="str">
        <x:f>IF(AND(ISNUMBER(X884),X884&gt;=0,Y884&lt;&gt;1),X884,"")</x:f>
      </x:c>
      <x:c r="V884" s="10"/>
      <x:c r="W884" s="10"/>
      <x:c r="X884" s="10"/>
      <x:c r="Y884" s="3" t="n">
        <x:v>0</x:v>
      </x:c>
      <x:c r="Z884" s="3" t="str">
        <x:v>新增</x:v>
      </x:c>
      <x:c r="AA884" s="3" t="str">
        <x:v>停售</x:v>
      </x:c>
      <x:c r="AB884" s="12" t="str">
        <x:f>IF(AND(Z884="共同",ISNUMBER(G884),ISNUMBER(AD884)),G884-AD884,"")</x:f>
      </x:c>
      <x:c r="AC884" s="3" t="str">
        <x:v>近90天SKU销量未匹配，未按0处理</x:v>
      </x:c>
      <x:c r="AD884" s="12"/>
      <x:c r="AE884" s="3" t="str">
        <x:v>[13120,"1S01-TV-40.5"]</x:v>
      </x:c>
      <x:c r="AF884" t="n">
        <x:f>IF(ISNUMBER(H884),1,0)</x:f>
        <x:v>0</x:v>
      </x:c>
      <x:c r="AG884" t="n">
        <x:f>IF(ISNUMBER(I884),1,0)</x:f>
        <x:v>0</x:v>
      </x:c>
      <x:c r="AH884" t="str">
        <x:v>["1S01","1S01-TV","TV","银色金属"]</x:v>
      </x:c>
      <x:c r="AI884" t="n">
        <x:f>IF(ISNUMBER(G884),1,0)</x:f>
        <x:v>1</x:v>
      </x:c>
      <x:c r="AJ884" t="n">
        <x:f>IF(ISNUMBER(AD884),1,0)</x:f>
        <x:v>0</x:v>
      </x:c>
    </x:row>
    <x:row r="885" ht="30" customHeight="1">
      <x:c r="A885" s="3" t="str">
        <x:v>1S01-TV-41</x:v>
      </x:c>
      <x:c r="B885" s="3" t="str">
        <x:v>1店-MUSSHOE-US</x:v>
      </x:c>
      <x:c r="C885" s="3" t="str">
        <x:v>徐新怡</x:v>
      </x:c>
      <x:c r="D885" s="3" t="str">
        <x:v>1S01</x:v>
      </x:c>
      <x:c r="E885" s="3" t="str">
        <x:f>IF(Z885="移出","已移出",IF(NOT(ISNUMBER(H885)),"数据待核",IF(H885=0,"断货",IF(NOT(ISNUMBER(G885)),"数据待核",IF(G885=0,"零日销待复核",IF(F885&lt;60,"补货提醒",IF(F885&lt;=90,"正常库存",IF(F885&lt;180,"促销",IF(F885&lt;=365,"红线促销","考虑清仓")))))))))</x:f>
        <x:v>数据待核</x:v>
      </x:c>
      <x:c r="F885" s="11" t="str">
        <x:f>IF(AND(ISNUMBER(H885),ISNUMBER(G885),G885&gt;0),H885/G885,"")</x:f>
      </x:c>
      <x:c r="G885" s="12" t="n">
        <x:f>IF(AND(COUNT(P885:R885)=3,MIN(P885:R885)&gt;=0,P885&lt;=Q885,Q885&lt;=R885),P885/7*0.5+Q885/14*0.3+R885/30*0.2,"")</x:f>
        <x:v>0</x:v>
      </x:c>
      <x:c r="H885" s="10" t="str">
        <x:f>IF(ISNUMBER(U885),U885,"")</x:f>
      </x:c>
      <x:c r="I885" s="10"/>
      <x:c r="J885" s="11" t="str">
        <x:f>IF(AND(Z885="共同",ISNUMBER(F885),ISNUMBER(M885)),F885-M885,"")</x:f>
      </x:c>
      <x:c r="K885" s="13" t="str">
        <x:f>IF(AND(ISNUMBER(J885),M885&lt;&gt;0),J885/M885,"")</x:f>
      </x:c>
      <x:c r="L885" s="10"/>
      <x:c r="M885" s="11"/>
      <x:c r="N885" s="10" t="str">
        <x:f>IF(AND(Z885="共同",COUNT(H885:I885)=2),H885-I885,"")</x:f>
      </x:c>
      <x:c r="O885" s="10"/>
      <x:c r="P885" s="10" t="n">
        <x:v>0</x:v>
      </x:c>
      <x:c r="Q885" s="10" t="n">
        <x:v>0</x:v>
      </x:c>
      <x:c r="R885" s="10" t="n">
        <x:v>0</x:v>
      </x:c>
      <x:c r="S885" s="10"/>
      <x:c r="T885" s="10"/>
      <x:c r="U885" s="10" t="str">
        <x:f>IF(AND(ISNUMBER(X885),X885&gt;=0,Y885&lt;&gt;1),X885,"")</x:f>
      </x:c>
      <x:c r="V885" s="10"/>
      <x:c r="W885" s="10"/>
      <x:c r="X885" s="10"/>
      <x:c r="Y885" s="3" t="n">
        <x:v>0</x:v>
      </x:c>
      <x:c r="Z885" s="3" t="str">
        <x:v>新增</x:v>
      </x:c>
      <x:c r="AA885" s="3" t="str">
        <x:v>停售</x:v>
      </x:c>
      <x:c r="AB885" s="12" t="str">
        <x:f>IF(AND(Z885="共同",ISNUMBER(G885),ISNUMBER(AD885)),G885-AD885,"")</x:f>
      </x:c>
      <x:c r="AC885" s="3" t="str">
        <x:v>近90天SKU销量未匹配，未按0处理</x:v>
      </x:c>
      <x:c r="AD885" s="12"/>
      <x:c r="AE885" s="3" t="str">
        <x:v>[13120,"1S01-TV-41"]</x:v>
      </x:c>
      <x:c r="AF885" t="n">
        <x:f>IF(ISNUMBER(H885),1,0)</x:f>
        <x:v>0</x:v>
      </x:c>
      <x:c r="AG885" t="n">
        <x:f>IF(ISNUMBER(I885),1,0)</x:f>
        <x:v>0</x:v>
      </x:c>
      <x:c r="AH885" t="str">
        <x:v>["1S01","1S01-TV","TV","银色金属"]</x:v>
      </x:c>
      <x:c r="AI885" t="n">
        <x:f>IF(ISNUMBER(G885),1,0)</x:f>
        <x:v>1</x:v>
      </x:c>
      <x:c r="AJ885" t="n">
        <x:f>IF(ISNUMBER(AD885),1,0)</x:f>
        <x:v>0</x:v>
      </x:c>
    </x:row>
    <x:row r="886" ht="30" customHeight="1">
      <x:c r="A886" s="3" t="str">
        <x:v>1S01-TV-41.5</x:v>
      </x:c>
      <x:c r="B886" s="3" t="str">
        <x:v>1店-MUSSHOE-US</x:v>
      </x:c>
      <x:c r="C886" s="3" t="str">
        <x:v>徐新怡</x:v>
      </x:c>
      <x:c r="D886" s="3" t="str">
        <x:v>1S01</x:v>
      </x:c>
      <x:c r="E886" s="3" t="str">
        <x:f>IF(Z886="移出","已移出",IF(NOT(ISNUMBER(H886)),"数据待核",IF(H886=0,"断货",IF(NOT(ISNUMBER(G886)),"数据待核",IF(G886=0,"零日销待复核",IF(F886&lt;60,"补货提醒",IF(F886&lt;=90,"正常库存",IF(F886&lt;180,"促销",IF(F886&lt;=365,"红线促销","考虑清仓")))))))))</x:f>
        <x:v>数据待核</x:v>
      </x:c>
      <x:c r="F886" s="11" t="str">
        <x:f>IF(AND(ISNUMBER(H886),ISNUMBER(G886),G886&gt;0),H886/G886,"")</x:f>
      </x:c>
      <x:c r="G886" s="12" t="n">
        <x:f>IF(AND(COUNT(P886:R886)=3,MIN(P886:R886)&gt;=0,P886&lt;=Q886,Q886&lt;=R886),P886/7*0.5+Q886/14*0.3+R886/30*0.2,"")</x:f>
        <x:v>0</x:v>
      </x:c>
      <x:c r="H886" s="10" t="str">
        <x:f>IF(ISNUMBER(U886),U886,"")</x:f>
      </x:c>
      <x:c r="I886" s="10"/>
      <x:c r="J886" s="11" t="str">
        <x:f>IF(AND(Z886="共同",ISNUMBER(F886),ISNUMBER(M886)),F886-M886,"")</x:f>
      </x:c>
      <x:c r="K886" s="13" t="str">
        <x:f>IF(AND(ISNUMBER(J886),M886&lt;&gt;0),J886/M886,"")</x:f>
      </x:c>
      <x:c r="L886" s="10"/>
      <x:c r="M886" s="11"/>
      <x:c r="N886" s="10" t="str">
        <x:f>IF(AND(Z886="共同",COUNT(H886:I886)=2),H886-I886,"")</x:f>
      </x:c>
      <x:c r="O886" s="10"/>
      <x:c r="P886" s="10" t="n">
        <x:v>0</x:v>
      </x:c>
      <x:c r="Q886" s="10" t="n">
        <x:v>0</x:v>
      </x:c>
      <x:c r="R886" s="10" t="n">
        <x:v>0</x:v>
      </x:c>
      <x:c r="S886" s="10"/>
      <x:c r="T886" s="10"/>
      <x:c r="U886" s="10" t="str">
        <x:f>IF(AND(ISNUMBER(X886),X886&gt;=0,Y886&lt;&gt;1),X886,"")</x:f>
      </x:c>
      <x:c r="V886" s="10"/>
      <x:c r="W886" s="10"/>
      <x:c r="X886" s="10"/>
      <x:c r="Y886" s="3" t="n">
        <x:v>0</x:v>
      </x:c>
      <x:c r="Z886" s="3" t="str">
        <x:v>新增</x:v>
      </x:c>
      <x:c r="AA886" s="3" t="str">
        <x:v>停售</x:v>
      </x:c>
      <x:c r="AB886" s="12" t="str">
        <x:f>IF(AND(Z886="共同",ISNUMBER(G886),ISNUMBER(AD886)),G886-AD886,"")</x:f>
      </x:c>
      <x:c r="AC886" s="3" t="str">
        <x:v>近90天SKU销量未匹配，未按0处理</x:v>
      </x:c>
      <x:c r="AD886" s="12"/>
      <x:c r="AE886" s="3" t="str">
        <x:v>[13120,"1S01-TV-41.5"]</x:v>
      </x:c>
      <x:c r="AF886" t="n">
        <x:f>IF(ISNUMBER(H886),1,0)</x:f>
        <x:v>0</x:v>
      </x:c>
      <x:c r="AG886" t="n">
        <x:f>IF(ISNUMBER(I886),1,0)</x:f>
        <x:v>0</x:v>
      </x:c>
      <x:c r="AH886" t="str">
        <x:v>["1S01","1S01-TV","TV","银色金属"]</x:v>
      </x:c>
      <x:c r="AI886" t="n">
        <x:f>IF(ISNUMBER(G886),1,0)</x:f>
        <x:v>1</x:v>
      </x:c>
      <x:c r="AJ886" t="n">
        <x:f>IF(ISNUMBER(AD886),1,0)</x:f>
        <x:v>0</x:v>
      </x:c>
    </x:row>
    <x:row r="887" ht="30" customHeight="1">
      <x:c r="A887" s="3" t="str">
        <x:v>1S01-TV-42</x:v>
      </x:c>
      <x:c r="B887" s="3" t="str">
        <x:v>1店-MUSSHOE-US</x:v>
      </x:c>
      <x:c r="C887" s="3" t="str">
        <x:v>徐新怡</x:v>
      </x:c>
      <x:c r="D887" s="3" t="str">
        <x:v>1S01</x:v>
      </x:c>
      <x:c r="E887" s="3" t="str">
        <x:f>IF(Z887="移出","已移出",IF(NOT(ISNUMBER(H887)),"数据待核",IF(H887=0,"断货",IF(NOT(ISNUMBER(G887)),"数据待核",IF(G887=0,"零日销待复核",IF(F887&lt;60,"补货提醒",IF(F887&lt;=90,"正常库存",IF(F887&lt;180,"促销",IF(F887&lt;=365,"红线促销","考虑清仓")))))))))</x:f>
        <x:v>数据待核</x:v>
      </x:c>
      <x:c r="F887" s="11" t="str">
        <x:f>IF(AND(ISNUMBER(H887),ISNUMBER(G887),G887&gt;0),H887/G887,"")</x:f>
      </x:c>
      <x:c r="G887" s="12" t="n">
        <x:f>IF(AND(COUNT(P887:R887)=3,MIN(P887:R887)&gt;=0,P887&lt;=Q887,Q887&lt;=R887),P887/7*0.5+Q887/14*0.3+R887/30*0.2,"")</x:f>
        <x:v>0</x:v>
      </x:c>
      <x:c r="H887" s="10" t="str">
        <x:f>IF(ISNUMBER(U887),U887,"")</x:f>
      </x:c>
      <x:c r="I887" s="10"/>
      <x:c r="J887" s="11" t="str">
        <x:f>IF(AND(Z887="共同",ISNUMBER(F887),ISNUMBER(M887)),F887-M887,"")</x:f>
      </x:c>
      <x:c r="K887" s="13" t="str">
        <x:f>IF(AND(ISNUMBER(J887),M887&lt;&gt;0),J887/M887,"")</x:f>
      </x:c>
      <x:c r="L887" s="10"/>
      <x:c r="M887" s="11"/>
      <x:c r="N887" s="10" t="str">
        <x:f>IF(AND(Z887="共同",COUNT(H887:I887)=2),H887-I887,"")</x:f>
      </x:c>
      <x:c r="O887" s="10"/>
      <x:c r="P887" s="10" t="n">
        <x:v>0</x:v>
      </x:c>
      <x:c r="Q887" s="10" t="n">
        <x:v>0</x:v>
      </x:c>
      <x:c r="R887" s="10" t="n">
        <x:v>0</x:v>
      </x:c>
      <x:c r="S887" s="10"/>
      <x:c r="T887" s="10"/>
      <x:c r="U887" s="10" t="str">
        <x:f>IF(AND(ISNUMBER(X887),X887&gt;=0,Y887&lt;&gt;1),X887,"")</x:f>
      </x:c>
      <x:c r="V887" s="10"/>
      <x:c r="W887" s="10"/>
      <x:c r="X887" s="10"/>
      <x:c r="Y887" s="3" t="n">
        <x:v>0</x:v>
      </x:c>
      <x:c r="Z887" s="3" t="str">
        <x:v>新增</x:v>
      </x:c>
      <x:c r="AA887" s="3" t="str">
        <x:v>停售</x:v>
      </x:c>
      <x:c r="AB887" s="12" t="str">
        <x:f>IF(AND(Z887="共同",ISNUMBER(G887),ISNUMBER(AD887)),G887-AD887,"")</x:f>
      </x:c>
      <x:c r="AC887" s="3" t="str">
        <x:v>近90天SKU销量未匹配，未按0处理</x:v>
      </x:c>
      <x:c r="AD887" s="12"/>
      <x:c r="AE887" s="3" t="str">
        <x:v>[13120,"1S01-TV-42"]</x:v>
      </x:c>
      <x:c r="AF887" t="n">
        <x:f>IF(ISNUMBER(H887),1,0)</x:f>
        <x:v>0</x:v>
      </x:c>
      <x:c r="AG887" t="n">
        <x:f>IF(ISNUMBER(I887),1,0)</x:f>
        <x:v>0</x:v>
      </x:c>
      <x:c r="AH887" t="str">
        <x:v>["1S01","1S01-TV","TV","银色金属"]</x:v>
      </x:c>
      <x:c r="AI887" t="n">
        <x:f>IF(ISNUMBER(G887),1,0)</x:f>
        <x:v>1</x:v>
      </x:c>
      <x:c r="AJ887" t="n">
        <x:f>IF(ISNUMBER(AD887),1,0)</x:f>
        <x:v>0</x:v>
      </x:c>
    </x:row>
    <x:row r="888" ht="30" customHeight="1">
      <x:c r="A888" s="3" t="str">
        <x:v>1S01-YL-37</x:v>
      </x:c>
      <x:c r="B888" s="3" t="str">
        <x:v>1店-MUSSHOE-US</x:v>
      </x:c>
      <x:c r="C888" s="3" t="str">
        <x:v>徐新怡</x:v>
      </x:c>
      <x:c r="D888" s="3" t="str">
        <x:v>1S01</x:v>
      </x:c>
      <x:c r="E888" s="3" t="str">
        <x:f>IF(Z888="移出","已移出",IF(NOT(ISNUMBER(H888)),"数据待核",IF(H888=0,"断货",IF(NOT(ISNUMBER(G888)),"数据待核",IF(G888=0,"零日销待复核",IF(F888&lt;60,"补货提醒",IF(F888&lt;=90,"正常库存",IF(F888&lt;180,"促销",IF(F888&lt;=365,"红线促销","考虑清仓")))))))))</x:f>
        <x:v>数据待核</x:v>
      </x:c>
      <x:c r="F888" s="11" t="str">
        <x:f>IF(AND(ISNUMBER(H888),ISNUMBER(G888),G888&gt;0),H888/G888,"")</x:f>
      </x:c>
      <x:c r="G888" s="12" t="n">
        <x:f>IF(AND(COUNT(P888:R888)=3,MIN(P888:R888)&gt;=0,P888&lt;=Q888,Q888&lt;=R888),P888/7*0.5+Q888/14*0.3+R888/30*0.2,"")</x:f>
        <x:v>0</x:v>
      </x:c>
      <x:c r="H888" s="10" t="str">
        <x:f>IF(ISNUMBER(U888),U888,"")</x:f>
      </x:c>
      <x:c r="I888" s="10"/>
      <x:c r="J888" s="11" t="str">
        <x:f>IF(AND(Z888="共同",ISNUMBER(F888),ISNUMBER(M888)),F888-M888,"")</x:f>
      </x:c>
      <x:c r="K888" s="13" t="str">
        <x:f>IF(AND(ISNUMBER(J888),M888&lt;&gt;0),J888/M888,"")</x:f>
      </x:c>
      <x:c r="L888" s="10"/>
      <x:c r="M888" s="11"/>
      <x:c r="N888" s="10" t="str">
        <x:f>IF(AND(Z888="共同",COUNT(H888:I888)=2),H888-I888,"")</x:f>
      </x:c>
      <x:c r="O888" s="10"/>
      <x:c r="P888" s="10" t="n">
        <x:v>0</x:v>
      </x:c>
      <x:c r="Q888" s="10" t="n">
        <x:v>0</x:v>
      </x:c>
      <x:c r="R888" s="10" t="n">
        <x:v>0</x:v>
      </x:c>
      <x:c r="S888" s="10"/>
      <x:c r="T888" s="10"/>
      <x:c r="U888" s="10" t="str">
        <x:f>IF(AND(ISNUMBER(X888),X888&gt;=0,Y888&lt;&gt;1),X888,"")</x:f>
      </x:c>
      <x:c r="V888" s="10"/>
      <x:c r="W888" s="10"/>
      <x:c r="X888" s="10"/>
      <x:c r="Y888" s="3" t="n">
        <x:v>0</x:v>
      </x:c>
      <x:c r="Z888" s="3" t="str">
        <x:v>新增</x:v>
      </x:c>
      <x:c r="AA888" s="3" t="str">
        <x:v>停售</x:v>
      </x:c>
      <x:c r="AB888" s="12" t="str">
        <x:f>IF(AND(Z888="共同",ISNUMBER(G888),ISNUMBER(AD888)),G888-AD888,"")</x:f>
      </x:c>
      <x:c r="AC888" s="3" t="str">
        <x:v>近90天SKU销量未匹配，未按0处理</x:v>
      </x:c>
      <x:c r="AD888" s="12"/>
      <x:c r="AE888" s="3" t="str">
        <x:v>[13120,"1S01-YL-37"]</x:v>
      </x:c>
      <x:c r="AF888" t="n">
        <x:f>IF(ISNUMBER(H888),1,0)</x:f>
        <x:v>0</x:v>
      </x:c>
      <x:c r="AG888" t="n">
        <x:f>IF(ISNUMBER(I888),1,0)</x:f>
        <x:v>0</x:v>
      </x:c>
      <x:c r="AH888" t="str">
        <x:v>["1S01","1S01-YL","YL","黄色"]</x:v>
      </x:c>
      <x:c r="AI888" t="n">
        <x:f>IF(ISNUMBER(G888),1,0)</x:f>
        <x:v>1</x:v>
      </x:c>
      <x:c r="AJ888" t="n">
        <x:f>IF(ISNUMBER(AD888),1,0)</x:f>
        <x:v>0</x:v>
      </x:c>
    </x:row>
    <x:row r="889" ht="30" customHeight="1">
      <x:c r="A889" s="3" t="str">
        <x:v>1S01-YL-37.5</x:v>
      </x:c>
      <x:c r="B889" s="3" t="str">
        <x:v>1店-MUSSHOE-US</x:v>
      </x:c>
      <x:c r="C889" s="3" t="str">
        <x:v>徐新怡</x:v>
      </x:c>
      <x:c r="D889" s="3" t="str">
        <x:v>1S01</x:v>
      </x:c>
      <x:c r="E889" s="3" t="str">
        <x:f>IF(Z889="移出","已移出",IF(NOT(ISNUMBER(H889)),"数据待核",IF(H889=0,"断货",IF(NOT(ISNUMBER(G889)),"数据待核",IF(G889=0,"零日销待复核",IF(F889&lt;60,"补货提醒",IF(F889&lt;=90,"正常库存",IF(F889&lt;180,"促销",IF(F889&lt;=365,"红线促销","考虑清仓")))))))))</x:f>
        <x:v>数据待核</x:v>
      </x:c>
      <x:c r="F889" s="11" t="str">
        <x:f>IF(AND(ISNUMBER(H889),ISNUMBER(G889),G889&gt;0),H889/G889,"")</x:f>
      </x:c>
      <x:c r="G889" s="12" t="n">
        <x:f>IF(AND(COUNT(P889:R889)=3,MIN(P889:R889)&gt;=0,P889&lt;=Q889,Q889&lt;=R889),P889/7*0.5+Q889/14*0.3+R889/30*0.2,"")</x:f>
        <x:v>0</x:v>
      </x:c>
      <x:c r="H889" s="10" t="str">
        <x:f>IF(ISNUMBER(U889),U889,"")</x:f>
      </x:c>
      <x:c r="I889" s="10"/>
      <x:c r="J889" s="11" t="str">
        <x:f>IF(AND(Z889="共同",ISNUMBER(F889),ISNUMBER(M889)),F889-M889,"")</x:f>
      </x:c>
      <x:c r="K889" s="13" t="str">
        <x:f>IF(AND(ISNUMBER(J889),M889&lt;&gt;0),J889/M889,"")</x:f>
      </x:c>
      <x:c r="L889" s="10"/>
      <x:c r="M889" s="11"/>
      <x:c r="N889" s="10" t="str">
        <x:f>IF(AND(Z889="共同",COUNT(H889:I889)=2),H889-I889,"")</x:f>
      </x:c>
      <x:c r="O889" s="10"/>
      <x:c r="P889" s="10" t="n">
        <x:v>0</x:v>
      </x:c>
      <x:c r="Q889" s="10" t="n">
        <x:v>0</x:v>
      </x:c>
      <x:c r="R889" s="10" t="n">
        <x:v>0</x:v>
      </x:c>
      <x:c r="S889" s="10"/>
      <x:c r="T889" s="10"/>
      <x:c r="U889" s="10" t="str">
        <x:f>IF(AND(ISNUMBER(X889),X889&gt;=0,Y889&lt;&gt;1),X889,"")</x:f>
      </x:c>
      <x:c r="V889" s="10"/>
      <x:c r="W889" s="10"/>
      <x:c r="X889" s="10"/>
      <x:c r="Y889" s="3" t="n">
        <x:v>0</x:v>
      </x:c>
      <x:c r="Z889" s="3" t="str">
        <x:v>新增</x:v>
      </x:c>
      <x:c r="AA889" s="3" t="str">
        <x:v>停售</x:v>
      </x:c>
      <x:c r="AB889" s="12" t="str">
        <x:f>IF(AND(Z889="共同",ISNUMBER(G889),ISNUMBER(AD889)),G889-AD889,"")</x:f>
      </x:c>
      <x:c r="AC889" s="3" t="str">
        <x:v>近90天SKU销量未匹配，未按0处理</x:v>
      </x:c>
      <x:c r="AD889" s="12"/>
      <x:c r="AE889" s="3" t="str">
        <x:v>[13120,"1S01-YL-37.5"]</x:v>
      </x:c>
      <x:c r="AF889" t="n">
        <x:f>IF(ISNUMBER(H889),1,0)</x:f>
        <x:v>0</x:v>
      </x:c>
      <x:c r="AG889" t="n">
        <x:f>IF(ISNUMBER(I889),1,0)</x:f>
        <x:v>0</x:v>
      </x:c>
      <x:c r="AH889" t="str">
        <x:v>["1S01","1S01-YL","YL","黄色"]</x:v>
      </x:c>
      <x:c r="AI889" t="n">
        <x:f>IF(ISNUMBER(G889),1,0)</x:f>
        <x:v>1</x:v>
      </x:c>
      <x:c r="AJ889" t="n">
        <x:f>IF(ISNUMBER(AD889),1,0)</x:f>
        <x:v>0</x:v>
      </x:c>
    </x:row>
    <x:row r="890" ht="30" customHeight="1">
      <x:c r="A890" s="3" t="str">
        <x:v>1S01-YL-38</x:v>
      </x:c>
      <x:c r="B890" s="3" t="str">
        <x:v>1店-MUSSHOE-US</x:v>
      </x:c>
      <x:c r="C890" s="3" t="str">
        <x:v>徐新怡</x:v>
      </x:c>
      <x:c r="D890" s="3" t="str">
        <x:v>1S01</x:v>
      </x:c>
      <x:c r="E890" s="3" t="str">
        <x:f>IF(Z890="移出","已移出",IF(NOT(ISNUMBER(H890)),"数据待核",IF(H890=0,"断货",IF(NOT(ISNUMBER(G890)),"数据待核",IF(G890=0,"零日销待复核",IF(F890&lt;60,"补货提醒",IF(F890&lt;=90,"正常库存",IF(F890&lt;180,"促销",IF(F890&lt;=365,"红线促销","考虑清仓")))))))))</x:f>
        <x:v>数据待核</x:v>
      </x:c>
      <x:c r="F890" s="11" t="str">
        <x:f>IF(AND(ISNUMBER(H890),ISNUMBER(G890),G890&gt;0),H890/G890,"")</x:f>
      </x:c>
      <x:c r="G890" s="12" t="n">
        <x:f>IF(AND(COUNT(P890:R890)=3,MIN(P890:R890)&gt;=0,P890&lt;=Q890,Q890&lt;=R890),P890/7*0.5+Q890/14*0.3+R890/30*0.2,"")</x:f>
        <x:v>0</x:v>
      </x:c>
      <x:c r="H890" s="10" t="str">
        <x:f>IF(ISNUMBER(U890),U890,"")</x:f>
      </x:c>
      <x:c r="I890" s="10"/>
      <x:c r="J890" s="11" t="str">
        <x:f>IF(AND(Z890="共同",ISNUMBER(F890),ISNUMBER(M890)),F890-M890,"")</x:f>
      </x:c>
      <x:c r="K890" s="13" t="str">
        <x:f>IF(AND(ISNUMBER(J890),M890&lt;&gt;0),J890/M890,"")</x:f>
      </x:c>
      <x:c r="L890" s="10"/>
      <x:c r="M890" s="11"/>
      <x:c r="N890" s="10" t="str">
        <x:f>IF(AND(Z890="共同",COUNT(H890:I890)=2),H890-I890,"")</x:f>
      </x:c>
      <x:c r="O890" s="10"/>
      <x:c r="P890" s="10" t="n">
        <x:v>0</x:v>
      </x:c>
      <x:c r="Q890" s="10" t="n">
        <x:v>0</x:v>
      </x:c>
      <x:c r="R890" s="10" t="n">
        <x:v>0</x:v>
      </x:c>
      <x:c r="S890" s="10"/>
      <x:c r="T890" s="10"/>
      <x:c r="U890" s="10" t="str">
        <x:f>IF(AND(ISNUMBER(X890),X890&gt;=0,Y890&lt;&gt;1),X890,"")</x:f>
      </x:c>
      <x:c r="V890" s="10"/>
      <x:c r="W890" s="10"/>
      <x:c r="X890" s="10"/>
      <x:c r="Y890" s="3" t="n">
        <x:v>0</x:v>
      </x:c>
      <x:c r="Z890" s="3" t="str">
        <x:v>新增</x:v>
      </x:c>
      <x:c r="AA890" s="3" t="str">
        <x:v>停售</x:v>
      </x:c>
      <x:c r="AB890" s="12" t="str">
        <x:f>IF(AND(Z890="共同",ISNUMBER(G890),ISNUMBER(AD890)),G890-AD890,"")</x:f>
      </x:c>
      <x:c r="AC890" s="3" t="str">
        <x:v>近90天SKU销量未匹配，未按0处理</x:v>
      </x:c>
      <x:c r="AD890" s="12"/>
      <x:c r="AE890" s="3" t="str">
        <x:v>[13120,"1S01-YL-38"]</x:v>
      </x:c>
      <x:c r="AF890" t="n">
        <x:f>IF(ISNUMBER(H890),1,0)</x:f>
        <x:v>0</x:v>
      </x:c>
      <x:c r="AG890" t="n">
        <x:f>IF(ISNUMBER(I890),1,0)</x:f>
        <x:v>0</x:v>
      </x:c>
      <x:c r="AH890" t="str">
        <x:v>["1S01","1S01-YL","YL","黄色"]</x:v>
      </x:c>
      <x:c r="AI890" t="n">
        <x:f>IF(ISNUMBER(G890),1,0)</x:f>
        <x:v>1</x:v>
      </x:c>
      <x:c r="AJ890" t="n">
        <x:f>IF(ISNUMBER(AD890),1,0)</x:f>
        <x:v>0</x:v>
      </x:c>
    </x:row>
    <x:row r="891" ht="30" customHeight="1">
      <x:c r="A891" s="3" t="str">
        <x:v>1S01-YL-38.5</x:v>
      </x:c>
      <x:c r="B891" s="3" t="str">
        <x:v>1店-MUSSHOE-US</x:v>
      </x:c>
      <x:c r="C891" s="3" t="str">
        <x:v>徐新怡</x:v>
      </x:c>
      <x:c r="D891" s="3" t="str">
        <x:v>1S01</x:v>
      </x:c>
      <x:c r="E891" s="3" t="str">
        <x:f>IF(Z891="移出","已移出",IF(NOT(ISNUMBER(H891)),"数据待核",IF(H891=0,"断货",IF(NOT(ISNUMBER(G891)),"数据待核",IF(G891=0,"零日销待复核",IF(F891&lt;60,"补货提醒",IF(F891&lt;=90,"正常库存",IF(F891&lt;180,"促销",IF(F891&lt;=365,"红线促销","考虑清仓")))))))))</x:f>
        <x:v>数据待核</x:v>
      </x:c>
      <x:c r="F891" s="11" t="str">
        <x:f>IF(AND(ISNUMBER(H891),ISNUMBER(G891),G891&gt;0),H891/G891,"")</x:f>
      </x:c>
      <x:c r="G891" s="12" t="n">
        <x:f>IF(AND(COUNT(P891:R891)=3,MIN(P891:R891)&gt;=0,P891&lt;=Q891,Q891&lt;=R891),P891/7*0.5+Q891/14*0.3+R891/30*0.2,"")</x:f>
        <x:v>0</x:v>
      </x:c>
      <x:c r="H891" s="10" t="str">
        <x:f>IF(ISNUMBER(U891),U891,"")</x:f>
      </x:c>
      <x:c r="I891" s="10"/>
      <x:c r="J891" s="11" t="str">
        <x:f>IF(AND(Z891="共同",ISNUMBER(F891),ISNUMBER(M891)),F891-M891,"")</x:f>
      </x:c>
      <x:c r="K891" s="13" t="str">
        <x:f>IF(AND(ISNUMBER(J891),M891&lt;&gt;0),J891/M891,"")</x:f>
      </x:c>
      <x:c r="L891" s="10"/>
      <x:c r="M891" s="11"/>
      <x:c r="N891" s="10" t="str">
        <x:f>IF(AND(Z891="共同",COUNT(H891:I891)=2),H891-I891,"")</x:f>
      </x:c>
      <x:c r="O891" s="10"/>
      <x:c r="P891" s="10" t="n">
        <x:v>0</x:v>
      </x:c>
      <x:c r="Q891" s="10" t="n">
        <x:v>0</x:v>
      </x:c>
      <x:c r="R891" s="10" t="n">
        <x:v>0</x:v>
      </x:c>
      <x:c r="S891" s="10"/>
      <x:c r="T891" s="10"/>
      <x:c r="U891" s="10" t="str">
        <x:f>IF(AND(ISNUMBER(X891),X891&gt;=0,Y891&lt;&gt;1),X891,"")</x:f>
      </x:c>
      <x:c r="V891" s="10"/>
      <x:c r="W891" s="10"/>
      <x:c r="X891" s="10"/>
      <x:c r="Y891" s="3" t="n">
        <x:v>0</x:v>
      </x:c>
      <x:c r="Z891" s="3" t="str">
        <x:v>新增</x:v>
      </x:c>
      <x:c r="AA891" s="3" t="str">
        <x:v>停售</x:v>
      </x:c>
      <x:c r="AB891" s="12" t="str">
        <x:f>IF(AND(Z891="共同",ISNUMBER(G891),ISNUMBER(AD891)),G891-AD891,"")</x:f>
      </x:c>
      <x:c r="AC891" s="3" t="str">
        <x:v>近90天SKU销量未匹配，未按0处理</x:v>
      </x:c>
      <x:c r="AD891" s="12"/>
      <x:c r="AE891" s="3" t="str">
        <x:v>[13120,"1S01-YL-38.5"]</x:v>
      </x:c>
      <x:c r="AF891" t="n">
        <x:f>IF(ISNUMBER(H891),1,0)</x:f>
        <x:v>0</x:v>
      </x:c>
      <x:c r="AG891" t="n">
        <x:f>IF(ISNUMBER(I891),1,0)</x:f>
        <x:v>0</x:v>
      </x:c>
      <x:c r="AH891" t="str">
        <x:v>["1S01","1S01-YL","YL","黄色"]</x:v>
      </x:c>
      <x:c r="AI891" t="n">
        <x:f>IF(ISNUMBER(G891),1,0)</x:f>
        <x:v>1</x:v>
      </x:c>
      <x:c r="AJ891" t="n">
        <x:f>IF(ISNUMBER(AD891),1,0)</x:f>
        <x:v>0</x:v>
      </x:c>
    </x:row>
    <x:row r="892" ht="30" customHeight="1">
      <x:c r="A892" s="3" t="str">
        <x:v>1S01-YL-39</x:v>
      </x:c>
      <x:c r="B892" s="3" t="str">
        <x:v>1店-MUSSHOE-US</x:v>
      </x:c>
      <x:c r="C892" s="3" t="str">
        <x:v>徐新怡</x:v>
      </x:c>
      <x:c r="D892" s="3" t="str">
        <x:v>1S01</x:v>
      </x:c>
      <x:c r="E892" s="3" t="str">
        <x:f>IF(Z892="移出","已移出",IF(NOT(ISNUMBER(H892)),"数据待核",IF(H892=0,"断货",IF(NOT(ISNUMBER(G892)),"数据待核",IF(G892=0,"零日销待复核",IF(F892&lt;60,"补货提醒",IF(F892&lt;=90,"正常库存",IF(F892&lt;180,"促销",IF(F892&lt;=365,"红线促销","考虑清仓")))))))))</x:f>
        <x:v>数据待核</x:v>
      </x:c>
      <x:c r="F892" s="11" t="str">
        <x:f>IF(AND(ISNUMBER(H892),ISNUMBER(G892),G892&gt;0),H892/G892,"")</x:f>
      </x:c>
      <x:c r="G892" s="12" t="n">
        <x:f>IF(AND(COUNT(P892:R892)=3,MIN(P892:R892)&gt;=0,P892&lt;=Q892,Q892&lt;=R892),P892/7*0.5+Q892/14*0.3+R892/30*0.2,"")</x:f>
        <x:v>0</x:v>
      </x:c>
      <x:c r="H892" s="10" t="str">
        <x:f>IF(ISNUMBER(U892),U892,"")</x:f>
      </x:c>
      <x:c r="I892" s="10"/>
      <x:c r="J892" s="11" t="str">
        <x:f>IF(AND(Z892="共同",ISNUMBER(F892),ISNUMBER(M892)),F892-M892,"")</x:f>
      </x:c>
      <x:c r="K892" s="13" t="str">
        <x:f>IF(AND(ISNUMBER(J892),M892&lt;&gt;0),J892/M892,"")</x:f>
      </x:c>
      <x:c r="L892" s="10"/>
      <x:c r="M892" s="11"/>
      <x:c r="N892" s="10" t="str">
        <x:f>IF(AND(Z892="共同",COUNT(H892:I892)=2),H892-I892,"")</x:f>
      </x:c>
      <x:c r="O892" s="10"/>
      <x:c r="P892" s="10" t="n">
        <x:v>0</x:v>
      </x:c>
      <x:c r="Q892" s="10" t="n">
        <x:v>0</x:v>
      </x:c>
      <x:c r="R892" s="10" t="n">
        <x:v>0</x:v>
      </x:c>
      <x:c r="S892" s="10"/>
      <x:c r="T892" s="10"/>
      <x:c r="U892" s="10" t="str">
        <x:f>IF(AND(ISNUMBER(X892),X892&gt;=0,Y892&lt;&gt;1),X892,"")</x:f>
      </x:c>
      <x:c r="V892" s="10"/>
      <x:c r="W892" s="10"/>
      <x:c r="X892" s="10"/>
      <x:c r="Y892" s="3" t="n">
        <x:v>0</x:v>
      </x:c>
      <x:c r="Z892" s="3" t="str">
        <x:v>新增</x:v>
      </x:c>
      <x:c r="AA892" s="3" t="str">
        <x:v>停售</x:v>
      </x:c>
      <x:c r="AB892" s="12" t="str">
        <x:f>IF(AND(Z892="共同",ISNUMBER(G892),ISNUMBER(AD892)),G892-AD892,"")</x:f>
      </x:c>
      <x:c r="AC892" s="3" t="str">
        <x:v>近90天SKU销量未匹配，未按0处理</x:v>
      </x:c>
      <x:c r="AD892" s="12"/>
      <x:c r="AE892" s="3" t="str">
        <x:v>[13120,"1S01-YL-39"]</x:v>
      </x:c>
      <x:c r="AF892" t="n">
        <x:f>IF(ISNUMBER(H892),1,0)</x:f>
        <x:v>0</x:v>
      </x:c>
      <x:c r="AG892" t="n">
        <x:f>IF(ISNUMBER(I892),1,0)</x:f>
        <x:v>0</x:v>
      </x:c>
      <x:c r="AH892" t="str">
        <x:v>["1S01","1S01-YL","YL","黄色"]</x:v>
      </x:c>
      <x:c r="AI892" t="n">
        <x:f>IF(ISNUMBER(G892),1,0)</x:f>
        <x:v>1</x:v>
      </x:c>
      <x:c r="AJ892" t="n">
        <x:f>IF(ISNUMBER(AD892),1,0)</x:f>
        <x:v>0</x:v>
      </x:c>
    </x:row>
    <x:row r="893" ht="30" customHeight="1">
      <x:c r="A893" s="3" t="str">
        <x:v>1S01-YL-39.5</x:v>
      </x:c>
      <x:c r="B893" s="3" t="str">
        <x:v>1店-MUSSHOE-US</x:v>
      </x:c>
      <x:c r="C893" s="3" t="str">
        <x:v>徐新怡</x:v>
      </x:c>
      <x:c r="D893" s="3" t="str">
        <x:v>1S01</x:v>
      </x:c>
      <x:c r="E893" s="3" t="str">
        <x:f>IF(Z893="移出","已移出",IF(NOT(ISNUMBER(H893)),"数据待核",IF(H893=0,"断货",IF(NOT(ISNUMBER(G893)),"数据待核",IF(G893=0,"零日销待复核",IF(F893&lt;60,"补货提醒",IF(F893&lt;=90,"正常库存",IF(F893&lt;180,"促销",IF(F893&lt;=365,"红线促销","考虑清仓")))))))))</x:f>
        <x:v>数据待核</x:v>
      </x:c>
      <x:c r="F893" s="11" t="str">
        <x:f>IF(AND(ISNUMBER(H893),ISNUMBER(G893),G893&gt;0),H893/G893,"")</x:f>
      </x:c>
      <x:c r="G893" s="12" t="n">
        <x:f>IF(AND(COUNT(P893:R893)=3,MIN(P893:R893)&gt;=0,P893&lt;=Q893,Q893&lt;=R893),P893/7*0.5+Q893/14*0.3+R893/30*0.2,"")</x:f>
        <x:v>0</x:v>
      </x:c>
      <x:c r="H893" s="10" t="str">
        <x:f>IF(ISNUMBER(U893),U893,"")</x:f>
      </x:c>
      <x:c r="I893" s="10"/>
      <x:c r="J893" s="11" t="str">
        <x:f>IF(AND(Z893="共同",ISNUMBER(F893),ISNUMBER(M893)),F893-M893,"")</x:f>
      </x:c>
      <x:c r="K893" s="13" t="str">
        <x:f>IF(AND(ISNUMBER(J893),M893&lt;&gt;0),J893/M893,"")</x:f>
      </x:c>
      <x:c r="L893" s="10"/>
      <x:c r="M893" s="11"/>
      <x:c r="N893" s="10" t="str">
        <x:f>IF(AND(Z893="共同",COUNT(H893:I893)=2),H893-I893,"")</x:f>
      </x:c>
      <x:c r="O893" s="10"/>
      <x:c r="P893" s="10" t="n">
        <x:v>0</x:v>
      </x:c>
      <x:c r="Q893" s="10" t="n">
        <x:v>0</x:v>
      </x:c>
      <x:c r="R893" s="10" t="n">
        <x:v>0</x:v>
      </x:c>
      <x:c r="S893" s="10"/>
      <x:c r="T893" s="10"/>
      <x:c r="U893" s="10" t="str">
        <x:f>IF(AND(ISNUMBER(X893),X893&gt;=0,Y893&lt;&gt;1),X893,"")</x:f>
      </x:c>
      <x:c r="V893" s="10"/>
      <x:c r="W893" s="10"/>
      <x:c r="X893" s="10"/>
      <x:c r="Y893" s="3" t="n">
        <x:v>0</x:v>
      </x:c>
      <x:c r="Z893" s="3" t="str">
        <x:v>新增</x:v>
      </x:c>
      <x:c r="AA893" s="3" t="str">
        <x:v>停售</x:v>
      </x:c>
      <x:c r="AB893" s="12" t="str">
        <x:f>IF(AND(Z893="共同",ISNUMBER(G893),ISNUMBER(AD893)),G893-AD893,"")</x:f>
      </x:c>
      <x:c r="AC893" s="3" t="str">
        <x:v>近90天SKU销量未匹配，未按0处理</x:v>
      </x:c>
      <x:c r="AD893" s="12"/>
      <x:c r="AE893" s="3" t="str">
        <x:v>[13120,"1S01-YL-39.5"]</x:v>
      </x:c>
      <x:c r="AF893" t="n">
        <x:f>IF(ISNUMBER(H893),1,0)</x:f>
        <x:v>0</x:v>
      </x:c>
      <x:c r="AG893" t="n">
        <x:f>IF(ISNUMBER(I893),1,0)</x:f>
        <x:v>0</x:v>
      </x:c>
      <x:c r="AH893" t="str">
        <x:v>["1S01","1S01-YL","YL","黄色"]</x:v>
      </x:c>
      <x:c r="AI893" t="n">
        <x:f>IF(ISNUMBER(G893),1,0)</x:f>
        <x:v>1</x:v>
      </x:c>
      <x:c r="AJ893" t="n">
        <x:f>IF(ISNUMBER(AD893),1,0)</x:f>
        <x:v>0</x:v>
      </x:c>
    </x:row>
    <x:row r="894" ht="30" customHeight="1">
      <x:c r="A894" s="3" t="str">
        <x:v>1S01-YL-40</x:v>
      </x:c>
      <x:c r="B894" s="3" t="str">
        <x:v>1店-MUSSHOE-US</x:v>
      </x:c>
      <x:c r="C894" s="3" t="str">
        <x:v>徐新怡</x:v>
      </x:c>
      <x:c r="D894" s="3" t="str">
        <x:v>1S01</x:v>
      </x:c>
      <x:c r="E894" s="3" t="str">
        <x:f>IF(Z894="移出","已移出",IF(NOT(ISNUMBER(H894)),"数据待核",IF(H894=0,"断货",IF(NOT(ISNUMBER(G894)),"数据待核",IF(G894=0,"零日销待复核",IF(F894&lt;60,"补货提醒",IF(F894&lt;=90,"正常库存",IF(F894&lt;180,"促销",IF(F894&lt;=365,"红线促销","考虑清仓")))))))))</x:f>
        <x:v>数据待核</x:v>
      </x:c>
      <x:c r="F894" s="11" t="str">
        <x:f>IF(AND(ISNUMBER(H894),ISNUMBER(G894),G894&gt;0),H894/G894,"")</x:f>
      </x:c>
      <x:c r="G894" s="12" t="n">
        <x:f>IF(AND(COUNT(P894:R894)=3,MIN(P894:R894)&gt;=0,P894&lt;=Q894,Q894&lt;=R894),P894/7*0.5+Q894/14*0.3+R894/30*0.2,"")</x:f>
        <x:v>0</x:v>
      </x:c>
      <x:c r="H894" s="10" t="str">
        <x:f>IF(ISNUMBER(U894),U894,"")</x:f>
      </x:c>
      <x:c r="I894" s="10"/>
      <x:c r="J894" s="11" t="str">
        <x:f>IF(AND(Z894="共同",ISNUMBER(F894),ISNUMBER(M894)),F894-M894,"")</x:f>
      </x:c>
      <x:c r="K894" s="13" t="str">
        <x:f>IF(AND(ISNUMBER(J894),M894&lt;&gt;0),J894/M894,"")</x:f>
      </x:c>
      <x:c r="L894" s="10"/>
      <x:c r="M894" s="11"/>
      <x:c r="N894" s="10" t="str">
        <x:f>IF(AND(Z894="共同",COUNT(H894:I894)=2),H894-I894,"")</x:f>
      </x:c>
      <x:c r="O894" s="10"/>
      <x:c r="P894" s="10" t="n">
        <x:v>0</x:v>
      </x:c>
      <x:c r="Q894" s="10" t="n">
        <x:v>0</x:v>
      </x:c>
      <x:c r="R894" s="10" t="n">
        <x:v>0</x:v>
      </x:c>
      <x:c r="S894" s="10"/>
      <x:c r="T894" s="10"/>
      <x:c r="U894" s="10" t="str">
        <x:f>IF(AND(ISNUMBER(X894),X894&gt;=0,Y894&lt;&gt;1),X894,"")</x:f>
      </x:c>
      <x:c r="V894" s="10"/>
      <x:c r="W894" s="10"/>
      <x:c r="X894" s="10"/>
      <x:c r="Y894" s="3" t="n">
        <x:v>0</x:v>
      </x:c>
      <x:c r="Z894" s="3" t="str">
        <x:v>新增</x:v>
      </x:c>
      <x:c r="AA894" s="3" t="str">
        <x:v>停售</x:v>
      </x:c>
      <x:c r="AB894" s="12" t="str">
        <x:f>IF(AND(Z894="共同",ISNUMBER(G894),ISNUMBER(AD894)),G894-AD894,"")</x:f>
      </x:c>
      <x:c r="AC894" s="3" t="str">
        <x:v>近90天SKU销量未匹配，未按0处理</x:v>
      </x:c>
      <x:c r="AD894" s="12"/>
      <x:c r="AE894" s="3" t="str">
        <x:v>[13120,"1S01-YL-40"]</x:v>
      </x:c>
      <x:c r="AF894" t="n">
        <x:f>IF(ISNUMBER(H894),1,0)</x:f>
        <x:v>0</x:v>
      </x:c>
      <x:c r="AG894" t="n">
        <x:f>IF(ISNUMBER(I894),1,0)</x:f>
        <x:v>0</x:v>
      </x:c>
      <x:c r="AH894" t="str">
        <x:v>["1S01","1S01-YL","YL","黄色"]</x:v>
      </x:c>
      <x:c r="AI894" t="n">
        <x:f>IF(ISNUMBER(G894),1,0)</x:f>
        <x:v>1</x:v>
      </x:c>
      <x:c r="AJ894" t="n">
        <x:f>IF(ISNUMBER(AD894),1,0)</x:f>
        <x:v>0</x:v>
      </x:c>
    </x:row>
    <x:row r="895" ht="30" customHeight="1">
      <x:c r="A895" s="3" t="str">
        <x:v>1S01-YL-40.5</x:v>
      </x:c>
      <x:c r="B895" s="3" t="str">
        <x:v>1店-MUSSHOE-US</x:v>
      </x:c>
      <x:c r="C895" s="3" t="str">
        <x:v>徐新怡</x:v>
      </x:c>
      <x:c r="D895" s="3" t="str">
        <x:v>1S01</x:v>
      </x:c>
      <x:c r="E895" s="3" t="str">
        <x:f>IF(Z895="移出","已移出",IF(NOT(ISNUMBER(H895)),"数据待核",IF(H895=0,"断货",IF(NOT(ISNUMBER(G895)),"数据待核",IF(G895=0,"零日销待复核",IF(F895&lt;60,"补货提醒",IF(F895&lt;=90,"正常库存",IF(F895&lt;180,"促销",IF(F895&lt;=365,"红线促销","考虑清仓")))))))))</x:f>
        <x:v>数据待核</x:v>
      </x:c>
      <x:c r="F895" s="11" t="str">
        <x:f>IF(AND(ISNUMBER(H895),ISNUMBER(G895),G895&gt;0),H895/G895,"")</x:f>
      </x:c>
      <x:c r="G895" s="12" t="n">
        <x:f>IF(AND(COUNT(P895:R895)=3,MIN(P895:R895)&gt;=0,P895&lt;=Q895,Q895&lt;=R895),P895/7*0.5+Q895/14*0.3+R895/30*0.2,"")</x:f>
        <x:v>0</x:v>
      </x:c>
      <x:c r="H895" s="10" t="str">
        <x:f>IF(ISNUMBER(U895),U895,"")</x:f>
      </x:c>
      <x:c r="I895" s="10"/>
      <x:c r="J895" s="11" t="str">
        <x:f>IF(AND(Z895="共同",ISNUMBER(F895),ISNUMBER(M895)),F895-M895,"")</x:f>
      </x:c>
      <x:c r="K895" s="13" t="str">
        <x:f>IF(AND(ISNUMBER(J895),M895&lt;&gt;0),J895/M895,"")</x:f>
      </x:c>
      <x:c r="L895" s="10"/>
      <x:c r="M895" s="11"/>
      <x:c r="N895" s="10" t="str">
        <x:f>IF(AND(Z895="共同",COUNT(H895:I895)=2),H895-I895,"")</x:f>
      </x:c>
      <x:c r="O895" s="10"/>
      <x:c r="P895" s="10" t="n">
        <x:v>0</x:v>
      </x:c>
      <x:c r="Q895" s="10" t="n">
        <x:v>0</x:v>
      </x:c>
      <x:c r="R895" s="10" t="n">
        <x:v>0</x:v>
      </x:c>
      <x:c r="S895" s="10"/>
      <x:c r="T895" s="10"/>
      <x:c r="U895" s="10" t="str">
        <x:f>IF(AND(ISNUMBER(X895),X895&gt;=0,Y895&lt;&gt;1),X895,"")</x:f>
      </x:c>
      <x:c r="V895" s="10"/>
      <x:c r="W895" s="10"/>
      <x:c r="X895" s="10"/>
      <x:c r="Y895" s="3" t="n">
        <x:v>0</x:v>
      </x:c>
      <x:c r="Z895" s="3" t="str">
        <x:v>新增</x:v>
      </x:c>
      <x:c r="AA895" s="3" t="str">
        <x:v>停售</x:v>
      </x:c>
      <x:c r="AB895" s="12" t="str">
        <x:f>IF(AND(Z895="共同",ISNUMBER(G895),ISNUMBER(AD895)),G895-AD895,"")</x:f>
      </x:c>
      <x:c r="AC895" s="3" t="str">
        <x:v>近90天SKU销量未匹配，未按0处理</x:v>
      </x:c>
      <x:c r="AD895" s="12"/>
      <x:c r="AE895" s="3" t="str">
        <x:v>[13120,"1S01-YL-40.5"]</x:v>
      </x:c>
      <x:c r="AF895" t="n">
        <x:f>IF(ISNUMBER(H895),1,0)</x:f>
        <x:v>0</x:v>
      </x:c>
      <x:c r="AG895" t="n">
        <x:f>IF(ISNUMBER(I895),1,0)</x:f>
        <x:v>0</x:v>
      </x:c>
      <x:c r="AH895" t="str">
        <x:v>["1S01","1S01-YL","YL","黄色"]</x:v>
      </x:c>
      <x:c r="AI895" t="n">
        <x:f>IF(ISNUMBER(G895),1,0)</x:f>
        <x:v>1</x:v>
      </x:c>
      <x:c r="AJ895" t="n">
        <x:f>IF(ISNUMBER(AD895),1,0)</x:f>
        <x:v>0</x:v>
      </x:c>
    </x:row>
    <x:row r="896" ht="30" customHeight="1">
      <x:c r="A896" s="3" t="str">
        <x:v>1S01-YL-41</x:v>
      </x:c>
      <x:c r="B896" s="3" t="str">
        <x:v>1店-MUSSHOE-US</x:v>
      </x:c>
      <x:c r="C896" s="3" t="str">
        <x:v>徐新怡</x:v>
      </x:c>
      <x:c r="D896" s="3" t="str">
        <x:v>1S01</x:v>
      </x:c>
      <x:c r="E896" s="3" t="str">
        <x:f>IF(Z896="移出","已移出",IF(NOT(ISNUMBER(H896)),"数据待核",IF(H896=0,"断货",IF(NOT(ISNUMBER(G896)),"数据待核",IF(G896=0,"零日销待复核",IF(F896&lt;60,"补货提醒",IF(F896&lt;=90,"正常库存",IF(F896&lt;180,"促销",IF(F896&lt;=365,"红线促销","考虑清仓")))))))))</x:f>
        <x:v>数据待核</x:v>
      </x:c>
      <x:c r="F896" s="11" t="str">
        <x:f>IF(AND(ISNUMBER(H896),ISNUMBER(G896),G896&gt;0),H896/G896,"")</x:f>
      </x:c>
      <x:c r="G896" s="12" t="n">
        <x:f>IF(AND(COUNT(P896:R896)=3,MIN(P896:R896)&gt;=0,P896&lt;=Q896,Q896&lt;=R896),P896/7*0.5+Q896/14*0.3+R896/30*0.2,"")</x:f>
        <x:v>0</x:v>
      </x:c>
      <x:c r="H896" s="10" t="str">
        <x:f>IF(ISNUMBER(U896),U896,"")</x:f>
      </x:c>
      <x:c r="I896" s="10"/>
      <x:c r="J896" s="11" t="str">
        <x:f>IF(AND(Z896="共同",ISNUMBER(F896),ISNUMBER(M896)),F896-M896,"")</x:f>
      </x:c>
      <x:c r="K896" s="13" t="str">
        <x:f>IF(AND(ISNUMBER(J896),M896&lt;&gt;0),J896/M896,"")</x:f>
      </x:c>
      <x:c r="L896" s="10"/>
      <x:c r="M896" s="11"/>
      <x:c r="N896" s="10" t="str">
        <x:f>IF(AND(Z896="共同",COUNT(H896:I896)=2),H896-I896,"")</x:f>
      </x:c>
      <x:c r="O896" s="10"/>
      <x:c r="P896" s="10" t="n">
        <x:v>0</x:v>
      </x:c>
      <x:c r="Q896" s="10" t="n">
        <x:v>0</x:v>
      </x:c>
      <x:c r="R896" s="10" t="n">
        <x:v>0</x:v>
      </x:c>
      <x:c r="S896" s="10"/>
      <x:c r="T896" s="10"/>
      <x:c r="U896" s="10" t="str">
        <x:f>IF(AND(ISNUMBER(X896),X896&gt;=0,Y896&lt;&gt;1),X896,"")</x:f>
      </x:c>
      <x:c r="V896" s="10"/>
      <x:c r="W896" s="10"/>
      <x:c r="X896" s="10"/>
      <x:c r="Y896" s="3" t="n">
        <x:v>0</x:v>
      </x:c>
      <x:c r="Z896" s="3" t="str">
        <x:v>新增</x:v>
      </x:c>
      <x:c r="AA896" s="3" t="str">
        <x:v>停售</x:v>
      </x:c>
      <x:c r="AB896" s="12" t="str">
        <x:f>IF(AND(Z896="共同",ISNUMBER(G896),ISNUMBER(AD896)),G896-AD896,"")</x:f>
      </x:c>
      <x:c r="AC896" s="3" t="str">
        <x:v>近90天SKU销量未匹配，未按0处理</x:v>
      </x:c>
      <x:c r="AD896" s="12"/>
      <x:c r="AE896" s="3" t="str">
        <x:v>[13120,"1S01-YL-41"]</x:v>
      </x:c>
      <x:c r="AF896" t="n">
        <x:f>IF(ISNUMBER(H896),1,0)</x:f>
        <x:v>0</x:v>
      </x:c>
      <x:c r="AG896" t="n">
        <x:f>IF(ISNUMBER(I896),1,0)</x:f>
        <x:v>0</x:v>
      </x:c>
      <x:c r="AH896" t="str">
        <x:v>["1S01","1S01-YL","YL","黄色"]</x:v>
      </x:c>
      <x:c r="AI896" t="n">
        <x:f>IF(ISNUMBER(G896),1,0)</x:f>
        <x:v>1</x:v>
      </x:c>
      <x:c r="AJ896" t="n">
        <x:f>IF(ISNUMBER(AD896),1,0)</x:f>
        <x:v>0</x:v>
      </x:c>
    </x:row>
    <x:row r="897" ht="30" customHeight="1">
      <x:c r="A897" s="3" t="str">
        <x:v>1S01-YL-41.5</x:v>
      </x:c>
      <x:c r="B897" s="3" t="str">
        <x:v>1店-MUSSHOE-US</x:v>
      </x:c>
      <x:c r="C897" s="3" t="str">
        <x:v>徐新怡</x:v>
      </x:c>
      <x:c r="D897" s="3" t="str">
        <x:v>1S01</x:v>
      </x:c>
      <x:c r="E897" s="3" t="str">
        <x:f>IF(Z897="移出","已移出",IF(NOT(ISNUMBER(H897)),"数据待核",IF(H897=0,"断货",IF(NOT(ISNUMBER(G897)),"数据待核",IF(G897=0,"零日销待复核",IF(F897&lt;60,"补货提醒",IF(F897&lt;=90,"正常库存",IF(F897&lt;180,"促销",IF(F897&lt;=365,"红线促销","考虑清仓")))))))))</x:f>
        <x:v>数据待核</x:v>
      </x:c>
      <x:c r="F897" s="11" t="str">
        <x:f>IF(AND(ISNUMBER(H897),ISNUMBER(G897),G897&gt;0),H897/G897,"")</x:f>
      </x:c>
      <x:c r="G897" s="12" t="n">
        <x:f>IF(AND(COUNT(P897:R897)=3,MIN(P897:R897)&gt;=0,P897&lt;=Q897,Q897&lt;=R897),P897/7*0.5+Q897/14*0.3+R897/30*0.2,"")</x:f>
        <x:v>0</x:v>
      </x:c>
      <x:c r="H897" s="10" t="str">
        <x:f>IF(ISNUMBER(U897),U897,"")</x:f>
      </x:c>
      <x:c r="I897" s="10"/>
      <x:c r="J897" s="11" t="str">
        <x:f>IF(AND(Z897="共同",ISNUMBER(F897),ISNUMBER(M897)),F897-M897,"")</x:f>
      </x:c>
      <x:c r="K897" s="13" t="str">
        <x:f>IF(AND(ISNUMBER(J897),M897&lt;&gt;0),J897/M897,"")</x:f>
      </x:c>
      <x:c r="L897" s="10"/>
      <x:c r="M897" s="11"/>
      <x:c r="N897" s="10" t="str">
        <x:f>IF(AND(Z897="共同",COUNT(H897:I897)=2),H897-I897,"")</x:f>
      </x:c>
      <x:c r="O897" s="10"/>
      <x:c r="P897" s="10" t="n">
        <x:v>0</x:v>
      </x:c>
      <x:c r="Q897" s="10" t="n">
        <x:v>0</x:v>
      </x:c>
      <x:c r="R897" s="10" t="n">
        <x:v>0</x:v>
      </x:c>
      <x:c r="S897" s="10"/>
      <x:c r="T897" s="10"/>
      <x:c r="U897" s="10" t="str">
        <x:f>IF(AND(ISNUMBER(X897),X897&gt;=0,Y897&lt;&gt;1),X897,"")</x:f>
      </x:c>
      <x:c r="V897" s="10"/>
      <x:c r="W897" s="10"/>
      <x:c r="X897" s="10"/>
      <x:c r="Y897" s="3" t="n">
        <x:v>0</x:v>
      </x:c>
      <x:c r="Z897" s="3" t="str">
        <x:v>新增</x:v>
      </x:c>
      <x:c r="AA897" s="3" t="str">
        <x:v>停售</x:v>
      </x:c>
      <x:c r="AB897" s="12" t="str">
        <x:f>IF(AND(Z897="共同",ISNUMBER(G897),ISNUMBER(AD897)),G897-AD897,"")</x:f>
      </x:c>
      <x:c r="AC897" s="3" t="str">
        <x:v>近90天SKU销量未匹配，未按0处理</x:v>
      </x:c>
      <x:c r="AD897" s="12"/>
      <x:c r="AE897" s="3" t="str">
        <x:v>[13120,"1S01-YL-41.5"]</x:v>
      </x:c>
      <x:c r="AF897" t="n">
        <x:f>IF(ISNUMBER(H897),1,0)</x:f>
        <x:v>0</x:v>
      </x:c>
      <x:c r="AG897" t="n">
        <x:f>IF(ISNUMBER(I897),1,0)</x:f>
        <x:v>0</x:v>
      </x:c>
      <x:c r="AH897" t="str">
        <x:v>["1S01","1S01-YL","YL","黄色"]</x:v>
      </x:c>
      <x:c r="AI897" t="n">
        <x:f>IF(ISNUMBER(G897),1,0)</x:f>
        <x:v>1</x:v>
      </x:c>
      <x:c r="AJ897" t="n">
        <x:f>IF(ISNUMBER(AD897),1,0)</x:f>
        <x:v>0</x:v>
      </x:c>
    </x:row>
    <x:row r="898" ht="30" customHeight="1">
      <x:c r="A898" s="3" t="str">
        <x:v>1S01-YL-42</x:v>
      </x:c>
      <x:c r="B898" s="3" t="str">
        <x:v>1店-MUSSHOE-US</x:v>
      </x:c>
      <x:c r="C898" s="3" t="str">
        <x:v>徐新怡</x:v>
      </x:c>
      <x:c r="D898" s="3" t="str">
        <x:v>1S01</x:v>
      </x:c>
      <x:c r="E898" s="3" t="str">
        <x:f>IF(Z898="移出","已移出",IF(NOT(ISNUMBER(H898)),"数据待核",IF(H898=0,"断货",IF(NOT(ISNUMBER(G898)),"数据待核",IF(G898=0,"零日销待复核",IF(F898&lt;60,"补货提醒",IF(F898&lt;=90,"正常库存",IF(F898&lt;180,"促销",IF(F898&lt;=365,"红线促销","考虑清仓")))))))))</x:f>
        <x:v>数据待核</x:v>
      </x:c>
      <x:c r="F898" s="11" t="str">
        <x:f>IF(AND(ISNUMBER(H898),ISNUMBER(G898),G898&gt;0),H898/G898,"")</x:f>
      </x:c>
      <x:c r="G898" s="12" t="n">
        <x:f>IF(AND(COUNT(P898:R898)=3,MIN(P898:R898)&gt;=0,P898&lt;=Q898,Q898&lt;=R898),P898/7*0.5+Q898/14*0.3+R898/30*0.2,"")</x:f>
        <x:v>0</x:v>
      </x:c>
      <x:c r="H898" s="10" t="str">
        <x:f>IF(ISNUMBER(U898),U898,"")</x:f>
      </x:c>
      <x:c r="I898" s="10"/>
      <x:c r="J898" s="11" t="str">
        <x:f>IF(AND(Z898="共同",ISNUMBER(F898),ISNUMBER(M898)),F898-M898,"")</x:f>
      </x:c>
      <x:c r="K898" s="13" t="str">
        <x:f>IF(AND(ISNUMBER(J898),M898&lt;&gt;0),J898/M898,"")</x:f>
      </x:c>
      <x:c r="L898" s="10"/>
      <x:c r="M898" s="11"/>
      <x:c r="N898" s="10" t="str">
        <x:f>IF(AND(Z898="共同",COUNT(H898:I898)=2),H898-I898,"")</x:f>
      </x:c>
      <x:c r="O898" s="10"/>
      <x:c r="P898" s="10" t="n">
        <x:v>0</x:v>
      </x:c>
      <x:c r="Q898" s="10" t="n">
        <x:v>0</x:v>
      </x:c>
      <x:c r="R898" s="10" t="n">
        <x:v>0</x:v>
      </x:c>
      <x:c r="S898" s="10"/>
      <x:c r="T898" s="10"/>
      <x:c r="U898" s="10" t="str">
        <x:f>IF(AND(ISNUMBER(X898),X898&gt;=0,Y898&lt;&gt;1),X898,"")</x:f>
      </x:c>
      <x:c r="V898" s="10"/>
      <x:c r="W898" s="10"/>
      <x:c r="X898" s="10"/>
      <x:c r="Y898" s="3" t="n">
        <x:v>0</x:v>
      </x:c>
      <x:c r="Z898" s="3" t="str">
        <x:v>新增</x:v>
      </x:c>
      <x:c r="AA898" s="3" t="str">
        <x:v>停售</x:v>
      </x:c>
      <x:c r="AB898" s="12" t="str">
        <x:f>IF(AND(Z898="共同",ISNUMBER(G898),ISNUMBER(AD898)),G898-AD898,"")</x:f>
      </x:c>
      <x:c r="AC898" s="3" t="str">
        <x:v>近90天SKU销量未匹配，未按0处理</x:v>
      </x:c>
      <x:c r="AD898" s="12"/>
      <x:c r="AE898" s="3" t="str">
        <x:v>[13120,"1S01-YL-42"]</x:v>
      </x:c>
      <x:c r="AF898" t="n">
        <x:f>IF(ISNUMBER(H898),1,0)</x:f>
        <x:v>0</x:v>
      </x:c>
      <x:c r="AG898" t="n">
        <x:f>IF(ISNUMBER(I898),1,0)</x:f>
        <x:v>0</x:v>
      </x:c>
      <x:c r="AH898" t="str">
        <x:v>["1S01","1S01-YL","YL","黄色"]</x:v>
      </x:c>
      <x:c r="AI898" t="n">
        <x:f>IF(ISNUMBER(G898),1,0)</x:f>
        <x:v>1</x:v>
      </x:c>
      <x:c r="AJ898" t="n">
        <x:f>IF(ISNUMBER(AD898),1,0)</x:f>
        <x:v>0</x:v>
      </x:c>
    </x:row>
    <x:row r="899" ht="30" customHeight="1">
      <x:c r="A899" s="3" t="str">
        <x:v>2311062-BR-V-O-11</x:v>
      </x:c>
      <x:c r="B899" s="3" t="str">
        <x:v>4店-彬郁-US</x:v>
      </x:c>
      <x:c r="C899" s="3" t="str">
        <x:v>陈晨</x:v>
      </x:c>
      <x:c r="D899" s="3" t="str">
        <x:v>2311062</x:v>
      </x:c>
      <x:c r="E899" s="3" t="str">
        <x:f>IF(Z899="移出","已移出",IF(NOT(ISNUMBER(H899)),"数据待核",IF(H899=0,"断货",IF(NOT(ISNUMBER(G899)),"数据待核",IF(G899=0,"零日销待复核",IF(F899&lt;60,"补货提醒",IF(F899&lt;=90,"正常库存",IF(F899&lt;180,"促销",IF(F899&lt;=365,"红线促销","考虑清仓")))))))))</x:f>
        <x:v>数据待核</x:v>
      </x:c>
      <x:c r="F899" s="11" t="str">
        <x:f>IF(AND(ISNUMBER(H899),ISNUMBER(G899),G899&gt;0),H899/G899,"")</x:f>
      </x:c>
      <x:c r="G899" s="12" t="str">
        <x:f>IF(AND(COUNT(P899:R899)=3,MIN(P899:R899)&gt;=0,P899&lt;=Q899,Q899&lt;=R899),P899/7*0.5+Q899/14*0.3+R899/30*0.2,"")</x:f>
      </x:c>
      <x:c r="H899" s="10" t="n">
        <x:f>IF(ISNUMBER(U899),U899,"")</x:f>
        <x:v>23</x:v>
      </x:c>
      <x:c r="I899" s="10" t="n">
        <x:v>16</x:v>
      </x:c>
      <x:c r="J899" s="11" t="str">
        <x:f>IF(AND(Z899="共同",ISNUMBER(F899),ISNUMBER(M899)),F899-M899,"")</x:f>
      </x:c>
      <x:c r="K899" s="13" t="str">
        <x:f>IF(AND(ISNUMBER(J899),M899&lt;&gt;0),J899/M899,"")</x:f>
      </x:c>
      <x:c r="L899" s="10" t="str">
        <x:v>数据待核</x:v>
      </x:c>
      <x:c r="M899" s="11"/>
      <x:c r="N899" s="10" t="n">
        <x:f>IF(AND(Z899="共同",COUNT(H899:I899)=2),H899-I899,"")</x:f>
        <x:v>7</x:v>
      </x:c>
      <x:c r="O899" s="10" t="n">
        <x:v>8</x:v>
      </x:c>
      <x:c r="P899" s="10"/>
      <x:c r="Q899" s="10"/>
      <x:c r="R899" s="10"/>
      <x:c r="S899" s="10" t="n">
        <x:v>27</x:v>
      </x:c>
      <x:c r="T899" s="10" t="n">
        <x:v>0</x:v>
      </x:c>
      <x:c r="U899" s="10" t="n">
        <x:f>IF(AND(ISNUMBER(X899),X899&gt;=0,Y899&lt;&gt;1),X899,"")</x:f>
        <x:v>23</x:v>
      </x:c>
      <x:c r="V899" s="10" t="n">
        <x:v>2</x:v>
      </x:c>
      <x:c r="W899" s="10" t="n">
        <x:v>12</x:v>
      </x:c>
      <x:c r="X899" s="10" t="n">
        <x:v>23</x:v>
      </x:c>
      <x:c r="Y899" s="3" t="n">
        <x:v>0</x:v>
      </x:c>
      <x:c r="Z899" s="3" t="str">
        <x:v>共同</x:v>
      </x:c>
      <x:c r="AA899" s="3" t="str">
        <x:v>在售</x:v>
      </x:c>
      <x:c r="AB899" s="12" t="str">
        <x:f>IF(AND(Z899="共同",ISNUMBER(G899),ISNUMBER(AD899)),G899-AD899,"")</x:f>
      </x:c>
      <x:c r="AC899" s="3" t="str">
        <x:v>近90天SKU销量未匹配，未按0处理</x:v>
      </x:c>
      <x:c r="AD899" s="12"/>
      <x:c r="AE899" s="3" t="str">
        <x:v>[13306,"2311062-BR-V-O-11"]</x:v>
      </x:c>
      <x:c r="AF899" t="n">
        <x:f>IF(ISNUMBER(H899),1,0)</x:f>
        <x:v>1</x:v>
      </x:c>
      <x:c r="AG899" t="n">
        <x:f>IF(ISNUMBER(I899),1,0)</x:f>
        <x:v>1</x:v>
      </x:c>
      <x:c r="AH899" t="str">
        <x:v>["2311062","2311062-BR-V-O","BR-V","棕色锦纶"]</x:v>
      </x:c>
      <x:c r="AI899" t="n">
        <x:f>IF(ISNUMBER(G899),1,0)</x:f>
        <x:v>0</x:v>
      </x:c>
      <x:c r="AJ899" t="n">
        <x:f>IF(ISNUMBER(AD899),1,0)</x:f>
        <x:v>0</x:v>
      </x:c>
    </x:row>
    <x:row r="900" ht="30" customHeight="1">
      <x:c r="A900" s="3" t="str">
        <x:v>2311062-ND-P-O-10</x:v>
      </x:c>
      <x:c r="B900" s="3" t="str">
        <x:v>4店-彬郁-US</x:v>
      </x:c>
      <x:c r="C900" s="3" t="str">
        <x:v>陈晨</x:v>
      </x:c>
      <x:c r="D900" s="3" t="str">
        <x:v>2311062</x:v>
      </x:c>
      <x:c r="E900" s="3" t="str">
        <x:f>IF(Z900="移出","已移出",IF(NOT(ISNUMBER(H900)),"数据待核",IF(H900=0,"断货",IF(NOT(ISNUMBER(G900)),"数据待核",IF(G900=0,"零日销待复核",IF(F900&lt;60,"补货提醒",IF(F900&lt;=90,"正常库存",IF(F900&lt;180,"促销",IF(F900&lt;=365,"红线促销","考虑清仓")))))))))</x:f>
        <x:v>数据待核</x:v>
      </x:c>
      <x:c r="F900" s="11" t="str">
        <x:f>IF(AND(ISNUMBER(H900),ISNUMBER(G900),G900&gt;0),H900/G900,"")</x:f>
      </x:c>
      <x:c r="G900" s="12" t="str">
        <x:f>IF(AND(COUNT(P900:R900)=3,MIN(P900:R900)&gt;=0,P900&lt;=Q900,Q900&lt;=R900),P900/7*0.5+Q900/14*0.3+R900/30*0.2,"")</x:f>
      </x:c>
      <x:c r="H900" s="10" t="n">
        <x:f>IF(ISNUMBER(U900),U900,"")</x:f>
        <x:v>96</x:v>
      </x:c>
      <x:c r="I900" s="10" t="n">
        <x:v>87</x:v>
      </x:c>
      <x:c r="J900" s="11" t="str">
        <x:f>IF(AND(Z900="共同",ISNUMBER(F900),ISNUMBER(M900)),F900-M900,"")</x:f>
      </x:c>
      <x:c r="K900" s="13" t="str">
        <x:f>IF(AND(ISNUMBER(J900),M900&lt;&gt;0),J900/M900,"")</x:f>
      </x:c>
      <x:c r="L900" s="10" t="str">
        <x:v>数据待核</x:v>
      </x:c>
      <x:c r="M900" s="11"/>
      <x:c r="N900" s="10" t="n">
        <x:f>IF(AND(Z900="共同",COUNT(H900:I900)=2),H900-I900,"")</x:f>
        <x:v>9</x:v>
      </x:c>
      <x:c r="O900" s="10" t="n">
        <x:v>47</x:v>
      </x:c>
      <x:c r="P900" s="10"/>
      <x:c r="Q900" s="10"/>
      <x:c r="R900" s="10"/>
      <x:c r="S900" s="10" t="n">
        <x:v>102</x:v>
      </x:c>
      <x:c r="T900" s="10" t="n">
        <x:v>0</x:v>
      </x:c>
      <x:c r="U900" s="10" t="n">
        <x:f>IF(AND(ISNUMBER(X900),X900&gt;=0,Y900&lt;&gt;1),X900,"")</x:f>
        <x:v>96</x:v>
      </x:c>
      <x:c r="V900" s="10" t="n">
        <x:v>0</x:v>
      </x:c>
      <x:c r="W900" s="10" t="n">
        <x:v>0</x:v>
      </x:c>
      <x:c r="X900" s="10" t="n">
        <x:v>96</x:v>
      </x:c>
      <x:c r="Y900" s="3" t="n">
        <x:v>0</x:v>
      </x:c>
      <x:c r="Z900" s="3" t="str">
        <x:v>共同</x:v>
      </x:c>
      <x:c r="AA900" s="3" t="str">
        <x:v>在售</x:v>
      </x:c>
      <x:c r="AB900" s="12" t="str">
        <x:f>IF(AND(Z900="共同",ISNUMBER(G900),ISNUMBER(AD900)),G900-AD900,"")</x:f>
      </x:c>
      <x:c r="AC900" s="3" t="str">
        <x:v>近90天SKU销量未匹配，未按0处理</x:v>
      </x:c>
      <x:c r="AD900" s="12"/>
      <x:c r="AE900" s="3" t="str">
        <x:v>[13306,"2311062-ND-P-O-10"]</x:v>
      </x:c>
      <x:c r="AF900" t="n">
        <x:f>IF(ISNUMBER(H900),1,0)</x:f>
        <x:v>1</x:v>
      </x:c>
      <x:c r="AG900" t="n">
        <x:f>IF(ISNUMBER(I900),1,0)</x:f>
        <x:v>1</x:v>
      </x:c>
      <x:c r="AH900" t="str">
        <x:v>["2311062","2311062-ND-P-O","ND-P","裸色 PU"]</x:v>
      </x:c>
      <x:c r="AI900" t="n">
        <x:f>IF(ISNUMBER(G900),1,0)</x:f>
        <x:v>0</x:v>
      </x:c>
      <x:c r="AJ900" t="n">
        <x:f>IF(ISNUMBER(AD900),1,0)</x:f>
        <x:v>0</x:v>
      </x:c>
    </x:row>
    <x:row r="901" ht="30" customHeight="1">
      <x:c r="A901" s="3" t="str">
        <x:v>2311062-ND-P-O-11</x:v>
      </x:c>
      <x:c r="B901" s="3" t="str">
        <x:v>4店-彬郁-US</x:v>
      </x:c>
      <x:c r="C901" s="3" t="str">
        <x:v>陈晨</x:v>
      </x:c>
      <x:c r="D901" s="3" t="str">
        <x:v>2311062</x:v>
      </x:c>
      <x:c r="E901" s="3" t="str">
        <x:f>IF(Z901="移出","已移出",IF(NOT(ISNUMBER(H901)),"数据待核",IF(H901=0,"断货",IF(NOT(ISNUMBER(G901)),"数据待核",IF(G901=0,"零日销待复核",IF(F901&lt;60,"补货提醒",IF(F901&lt;=90,"正常库存",IF(F901&lt;180,"促销",IF(F901&lt;=365,"红线促销","考虑清仓")))))))))</x:f>
        <x:v>数据待核</x:v>
      </x:c>
      <x:c r="F901" s="11" t="str">
        <x:f>IF(AND(ISNUMBER(H901),ISNUMBER(G901),G901&gt;0),H901/G901,"")</x:f>
      </x:c>
      <x:c r="G901" s="12" t="str">
        <x:f>IF(AND(COUNT(P901:R901)=3,MIN(P901:R901)&gt;=0,P901&lt;=Q901,Q901&lt;=R901),P901/7*0.5+Q901/14*0.3+R901/30*0.2,"")</x:f>
      </x:c>
      <x:c r="H901" s="10" t="n">
        <x:f>IF(ISNUMBER(U901),U901,"")</x:f>
        <x:v>16</x:v>
      </x:c>
      <x:c r="I901" s="10" t="n">
        <x:v>7</x:v>
      </x:c>
      <x:c r="J901" s="11" t="str">
        <x:f>IF(AND(Z901="共同",ISNUMBER(F901),ISNUMBER(M901)),F901-M901,"")</x:f>
      </x:c>
      <x:c r="K901" s="13" t="str">
        <x:f>IF(AND(ISNUMBER(J901),M901&lt;&gt;0),J901/M901,"")</x:f>
      </x:c>
      <x:c r="L901" s="10" t="str">
        <x:v>数据待核</x:v>
      </x:c>
      <x:c r="M901" s="11"/>
      <x:c r="N901" s="10" t="n">
        <x:f>IF(AND(Z901="共同",COUNT(H901:I901)=2),H901-I901,"")</x:f>
        <x:v>9</x:v>
      </x:c>
      <x:c r="O901" s="10" t="n">
        <x:v>16</x:v>
      </x:c>
      <x:c r="P901" s="10"/>
      <x:c r="Q901" s="10"/>
      <x:c r="R901" s="10"/>
      <x:c r="S901" s="10" t="n">
        <x:v>18</x:v>
      </x:c>
      <x:c r="T901" s="10" t="n">
        <x:v>0</x:v>
      </x:c>
      <x:c r="U901" s="10" t="n">
        <x:f>IF(AND(ISNUMBER(X901),X901&gt;=0,Y901&lt;&gt;1),X901,"")</x:f>
        <x:v>16</x:v>
      </x:c>
      <x:c r="V901" s="10" t="n">
        <x:v>3</x:v>
      </x:c>
      <x:c r="W901" s="10" t="n">
        <x:v>3</x:v>
      </x:c>
      <x:c r="X901" s="10" t="n">
        <x:v>16</x:v>
      </x:c>
      <x:c r="Y901" s="3" t="n">
        <x:v>0</x:v>
      </x:c>
      <x:c r="Z901" s="3" t="str">
        <x:v>共同</x:v>
      </x:c>
      <x:c r="AA901" s="3" t="str">
        <x:v>在售</x:v>
      </x:c>
      <x:c r="AB901" s="12" t="str">
        <x:f>IF(AND(Z901="共同",ISNUMBER(G901),ISNUMBER(AD901)),G901-AD901,"")</x:f>
      </x:c>
      <x:c r="AC901" s="3" t="str">
        <x:v>近90天SKU销量未匹配，未按0处理</x:v>
      </x:c>
      <x:c r="AD901" s="12"/>
      <x:c r="AE901" s="3" t="str">
        <x:v>[13306,"2311062-ND-P-O-11"]</x:v>
      </x:c>
      <x:c r="AF901" t="n">
        <x:f>IF(ISNUMBER(H901),1,0)</x:f>
        <x:v>1</x:v>
      </x:c>
      <x:c r="AG901" t="n">
        <x:f>IF(ISNUMBER(I901),1,0)</x:f>
        <x:v>1</x:v>
      </x:c>
      <x:c r="AH901" t="str">
        <x:v>["2311062","2311062-ND-P-O","ND-P","裸色 PU"]</x:v>
      </x:c>
      <x:c r="AI901" t="n">
        <x:f>IF(ISNUMBER(G901),1,0)</x:f>
        <x:v>0</x:v>
      </x:c>
      <x:c r="AJ901" t="n">
        <x:f>IF(ISNUMBER(AD901),1,0)</x:f>
        <x:v>0</x:v>
      </x:c>
    </x:row>
    <x:row r="902" ht="30" customHeight="1">
      <x:c r="A902" s="3" t="str">
        <x:v>2311062-RD-P-O-11</x:v>
      </x:c>
      <x:c r="B902" s="3" t="str">
        <x:v>店铺待核</x:v>
      </x:c>
      <x:c r="C902" s="3" t="str">
        <x:v>陈晨</x:v>
      </x:c>
      <x:c r="D902" s="3" t="str">
        <x:v>2311062</x:v>
      </x:c>
      <x:c r="E902" s="3" t="str">
        <x:f>IF(Z902="移出","已移出",IF(NOT(ISNUMBER(H902)),"数据待核",IF(H902=0,"断货",IF(NOT(ISNUMBER(G902)),"数据待核",IF(G902=0,"零日销待复核",IF(F902&lt;60,"补货提醒",IF(F902&lt;=90,"正常库存",IF(F902&lt;180,"促销",IF(F902&lt;=365,"红线促销","考虑清仓")))))))))</x:f>
        <x:v>数据待核</x:v>
      </x:c>
      <x:c r="F902" s="11" t="str">
        <x:f>IF(AND(ISNUMBER(H902),ISNUMBER(G902),G902&gt;0),H902/G902,"")</x:f>
      </x:c>
      <x:c r="G902" s="12" t="str">
        <x:f>IF(AND(COUNT(P902:R902)=3,MIN(P902:R902)&gt;=0,P902&lt;=Q902,Q902&lt;=R902),P902/7*0.5+Q902/14*0.3+R902/30*0.2,"")</x:f>
      </x:c>
      <x:c r="H902" s="10" t="str">
        <x:f>IF(ISNUMBER(U902),U902,"")</x:f>
      </x:c>
      <x:c r="I902" s="10"/>
      <x:c r="J902" s="11" t="str">
        <x:f>IF(AND(Z902="共同",ISNUMBER(F902),ISNUMBER(M902)),F902-M902,"")</x:f>
      </x:c>
      <x:c r="K902" s="13" t="str">
        <x:f>IF(AND(ISNUMBER(J902),M902&lt;&gt;0),J902/M902,"")</x:f>
      </x:c>
      <x:c r="L902" s="10"/>
      <x:c r="M902" s="11"/>
      <x:c r="N902" s="10" t="str">
        <x:f>IF(AND(Z902="共同",COUNT(H902:I902)=2),H902-I902,"")</x:f>
      </x:c>
      <x:c r="O902" s="10"/>
      <x:c r="P902" s="10"/>
      <x:c r="Q902" s="10"/>
      <x:c r="R902" s="10"/>
      <x:c r="S902" s="10"/>
      <x:c r="T902" s="10"/>
      <x:c r="U902" s="10" t="str">
        <x:f>IF(AND(ISNUMBER(X902),X902&gt;=0,Y902&lt;&gt;1),X902,"")</x:f>
      </x:c>
      <x:c r="V902" s="10"/>
      <x:c r="W902" s="10"/>
      <x:c r="X902" s="10"/>
      <x:c r="Y902" s="3" t="n">
        <x:v>0</x:v>
      </x:c>
      <x:c r="Z902" s="3" t="str">
        <x:v>新增</x:v>
      </x:c>
      <x:c r="AA902" s="3" t="str">
        <x:v>未匹配Listing</x:v>
      </x:c>
      <x:c r="AB902" s="12" t="str">
        <x:f>IF(AND(Z902="共同",ISNUMBER(G902),ISNUMBER(AD902)),G902-AD902,"")</x:f>
      </x:c>
      <x:c r="AC902" s="3" t="str">
        <x:v>领星完整SKU未匹配Listing，店铺待核</x:v>
      </x:c>
      <x:c r="AD902" s="12"/>
      <x:c r="AE902" s="3" t="str">
        <x:v>[null,"2311062-RD-P-O-11"]</x:v>
      </x:c>
      <x:c r="AF902" t="n">
        <x:f>IF(ISNUMBER(H902),1,0)</x:f>
        <x:v>0</x:v>
      </x:c>
      <x:c r="AG902" t="n">
        <x:f>IF(ISNUMBER(I902),1,0)</x:f>
        <x:v>0</x:v>
      </x:c>
      <x:c r="AH902" t="str">
        <x:v>["2311062","2311062-RD-P-O","RD-P","酒红 PU"]</x:v>
      </x:c>
      <x:c r="AI902" t="n">
        <x:f>IF(ISNUMBER(G902),1,0)</x:f>
        <x:v>0</x:v>
      </x:c>
      <x:c r="AJ902" t="n">
        <x:f>IF(ISNUMBER(AD902),1,0)</x:f>
        <x:v>0</x:v>
      </x:c>
    </x:row>
    <x:row r="903" ht="30" customHeight="1">
      <x:c r="A903" s="3" t="str">
        <x:v>2311062-SL-P-O-10</x:v>
      </x:c>
      <x:c r="B903" s="3" t="str">
        <x:v>4店-彬郁-US</x:v>
      </x:c>
      <x:c r="C903" s="3" t="str">
        <x:v>陈晨</x:v>
      </x:c>
      <x:c r="D903" s="3" t="str">
        <x:v>2311062</x:v>
      </x:c>
      <x:c r="E903" s="3" t="str">
        <x:f>IF(Z903="移出","已移出",IF(NOT(ISNUMBER(H903)),"数据待核",IF(H903=0,"断货",IF(NOT(ISNUMBER(G903)),"数据待核",IF(G903=0,"零日销待复核",IF(F903&lt;60,"补货提醒",IF(F903&lt;=90,"正常库存",IF(F903&lt;180,"促销",IF(F903&lt;=365,"红线促销","考虑清仓")))))))))</x:f>
        <x:v>数据待核</x:v>
      </x:c>
      <x:c r="F903" s="11" t="str">
        <x:f>IF(AND(ISNUMBER(H903),ISNUMBER(G903),G903&gt;0),H903/G903,"")</x:f>
      </x:c>
      <x:c r="G903" s="12" t="str">
        <x:f>IF(AND(COUNT(P903:R903)=3,MIN(P903:R903)&gt;=0,P903&lt;=Q903,Q903&lt;=R903),P903/7*0.5+Q903/14*0.3+R903/30*0.2,"")</x:f>
      </x:c>
      <x:c r="H903" s="10" t="n">
        <x:f>IF(ISNUMBER(U903),U903,"")</x:f>
        <x:v>7</x:v>
      </x:c>
      <x:c r="I903" s="10" t="n">
        <x:v>1</x:v>
      </x:c>
      <x:c r="J903" s="11" t="str">
        <x:f>IF(AND(Z903="共同",ISNUMBER(F903),ISNUMBER(M903)),F903-M903,"")</x:f>
      </x:c>
      <x:c r="K903" s="13" t="str">
        <x:f>IF(AND(ISNUMBER(J903),M903&lt;&gt;0),J903/M903,"")</x:f>
      </x:c>
      <x:c r="L903" s="10" t="str">
        <x:v>数据待核</x:v>
      </x:c>
      <x:c r="M903" s="11"/>
      <x:c r="N903" s="10" t="n">
        <x:f>IF(AND(Z903="共同",COUNT(H903:I903)=2),H903-I903,"")</x:f>
        <x:v>6</x:v>
      </x:c>
      <x:c r="O903" s="10" t="n">
        <x:v>0</x:v>
      </x:c>
      <x:c r="P903" s="10"/>
      <x:c r="Q903" s="10"/>
      <x:c r="R903" s="10"/>
      <x:c r="S903" s="10" t="n">
        <x:v>18</x:v>
      </x:c>
      <x:c r="T903" s="10" t="n">
        <x:v>0</x:v>
      </x:c>
      <x:c r="U903" s="10" t="n">
        <x:f>IF(AND(ISNUMBER(X903),X903&gt;=0,Y903&lt;&gt;1),X903,"")</x:f>
        <x:v>7</x:v>
      </x:c>
      <x:c r="V903" s="10" t="n">
        <x:v>0</x:v>
      </x:c>
      <x:c r="W903" s="10" t="n">
        <x:v>0</x:v>
      </x:c>
      <x:c r="X903" s="10" t="n">
        <x:v>7</x:v>
      </x:c>
      <x:c r="Y903" s="3" t="n">
        <x:v>0</x:v>
      </x:c>
      <x:c r="Z903" s="3" t="str">
        <x:v>共同</x:v>
      </x:c>
      <x:c r="AA903" s="3" t="str">
        <x:v>在售</x:v>
      </x:c>
      <x:c r="AB903" s="12" t="str">
        <x:f>IF(AND(Z903="共同",ISNUMBER(G903),ISNUMBER(AD903)),G903-AD903,"")</x:f>
      </x:c>
      <x:c r="AC903" s="3" t="str">
        <x:v>近90天SKU销量未匹配，未按0处理</x:v>
      </x:c>
      <x:c r="AD903" s="12"/>
      <x:c r="AE903" s="3" t="str">
        <x:v>[13306,"2311062-SL-P-O-10"]</x:v>
      </x:c>
      <x:c r="AF903" t="n">
        <x:f>IF(ISNUMBER(H903),1,0)</x:f>
        <x:v>1</x:v>
      </x:c>
      <x:c r="AG903" t="n">
        <x:f>IF(ISNUMBER(I903),1,0)</x:f>
        <x:v>1</x:v>
      </x:c>
      <x:c r="AH903" t="str">
        <x:v>["2311062","2311062-SL-P-O","SL-P","银色 PU"]</x:v>
      </x:c>
      <x:c r="AI903" t="n">
        <x:f>IF(ISNUMBER(G903),1,0)</x:f>
        <x:v>0</x:v>
      </x:c>
      <x:c r="AJ903" t="n">
        <x:f>IF(ISNUMBER(AD903),1,0)</x:f>
        <x:v>0</x:v>
      </x:c>
    </x:row>
    <x:row r="904" ht="30" customHeight="1">
      <x:c r="A904" s="3" t="str">
        <x:v>2311062-SL-P-O-11</x:v>
      </x:c>
      <x:c r="B904" s="3" t="str">
        <x:v>4店-彬郁-US</x:v>
      </x:c>
      <x:c r="C904" s="3" t="str">
        <x:v>陈晨</x:v>
      </x:c>
      <x:c r="D904" s="3" t="str">
        <x:v>2311062</x:v>
      </x:c>
      <x:c r="E904" s="3" t="str">
        <x:f>IF(Z904="移出","已移出",IF(NOT(ISNUMBER(H904)),"数据待核",IF(H904=0,"断货",IF(NOT(ISNUMBER(G904)),"数据待核",IF(G904=0,"零日销待复核",IF(F904&lt;60,"补货提醒",IF(F904&lt;=90,"正常库存",IF(F904&lt;180,"促销",IF(F904&lt;=365,"红线促销","考虑清仓")))))))))</x:f>
        <x:v>数据待核</x:v>
      </x:c>
      <x:c r="F904" s="11" t="str">
        <x:f>IF(AND(ISNUMBER(H904),ISNUMBER(G904),G904&gt;0),H904/G904,"")</x:f>
      </x:c>
      <x:c r="G904" s="12" t="str">
        <x:f>IF(AND(COUNT(P904:R904)=3,MIN(P904:R904)&gt;=0,P904&lt;=Q904,Q904&lt;=R904),P904/7*0.5+Q904/14*0.3+R904/30*0.2,"")</x:f>
      </x:c>
      <x:c r="H904" s="10" t="n">
        <x:f>IF(ISNUMBER(U904),U904,"")</x:f>
        <x:v>10</x:v>
      </x:c>
      <x:c r="I904" s="10" t="n">
        <x:v>6</x:v>
      </x:c>
      <x:c r="J904" s="11" t="str">
        <x:f>IF(AND(Z904="共同",ISNUMBER(F904),ISNUMBER(M904)),F904-M904,"")</x:f>
      </x:c>
      <x:c r="K904" s="13" t="str">
        <x:f>IF(AND(ISNUMBER(J904),M904&lt;&gt;0),J904/M904,"")</x:f>
      </x:c>
      <x:c r="L904" s="10" t="str">
        <x:v>数据待核</x:v>
      </x:c>
      <x:c r="M904" s="11"/>
      <x:c r="N904" s="10" t="n">
        <x:f>IF(AND(Z904="共同",COUNT(H904:I904)=2),H904-I904,"")</x:f>
        <x:v>4</x:v>
      </x:c>
      <x:c r="O904" s="10" t="n">
        <x:v>0</x:v>
      </x:c>
      <x:c r="P904" s="10"/>
      <x:c r="Q904" s="10"/>
      <x:c r="R904" s="10"/>
      <x:c r="S904" s="10" t="n">
        <x:v>14</x:v>
      </x:c>
      <x:c r="T904" s="10" t="n">
        <x:v>0</x:v>
      </x:c>
      <x:c r="U904" s="10" t="n">
        <x:f>IF(AND(ISNUMBER(X904),X904&gt;=0,Y904&lt;&gt;1),X904,"")</x:f>
        <x:v>10</x:v>
      </x:c>
      <x:c r="V904" s="10" t="n">
        <x:v>0</x:v>
      </x:c>
      <x:c r="W904" s="10" t="n">
        <x:v>0</x:v>
      </x:c>
      <x:c r="X904" s="10" t="n">
        <x:v>10</x:v>
      </x:c>
      <x:c r="Y904" s="3" t="n">
        <x:v>0</x:v>
      </x:c>
      <x:c r="Z904" s="3" t="str">
        <x:v>共同</x:v>
      </x:c>
      <x:c r="AA904" s="3" t="str">
        <x:v>在售</x:v>
      </x:c>
      <x:c r="AB904" s="12" t="str">
        <x:f>IF(AND(Z904="共同",ISNUMBER(G904),ISNUMBER(AD904)),G904-AD904,"")</x:f>
      </x:c>
      <x:c r="AC904" s="3" t="str">
        <x:v>近90天SKU销量未匹配，未按0处理</x:v>
      </x:c>
      <x:c r="AD904" s="12"/>
      <x:c r="AE904" s="3" t="str">
        <x:v>[13306,"2311062-SL-P-O-11"]</x:v>
      </x:c>
      <x:c r="AF904" t="n">
        <x:f>IF(ISNUMBER(H904),1,0)</x:f>
        <x:v>1</x:v>
      </x:c>
      <x:c r="AG904" t="n">
        <x:f>IF(ISNUMBER(I904),1,0)</x:f>
        <x:v>1</x:v>
      </x:c>
      <x:c r="AH904" t="str">
        <x:v>["2311062","2311062-SL-P-O","SL-P","银色 PU"]</x:v>
      </x:c>
      <x:c r="AI904" t="n">
        <x:f>IF(ISNUMBER(G904),1,0)</x:f>
        <x:v>0</x:v>
      </x:c>
      <x:c r="AJ904" t="n">
        <x:f>IF(ISNUMBER(AD904),1,0)</x:f>
        <x:v>0</x:v>
      </x:c>
    </x:row>
    <x:row r="905" ht="30" customHeight="1">
      <x:c r="A905" s="3" t="str">
        <x:v>2311062-SL-P-O-7</x:v>
      </x:c>
      <x:c r="B905" s="3" t="str">
        <x:v>4店-彬郁-US</x:v>
      </x:c>
      <x:c r="C905" s="3" t="str">
        <x:v>陈晨</x:v>
      </x:c>
      <x:c r="D905" s="3" t="str">
        <x:v>2311062</x:v>
      </x:c>
      <x:c r="E905" s="3" t="str">
        <x:f>IF(Z905="移出","已移出",IF(NOT(ISNUMBER(H905)),"数据待核",IF(H905=0,"断货",IF(NOT(ISNUMBER(G905)),"数据待核",IF(G905=0,"零日销待复核",IF(F905&lt;60,"补货提醒",IF(F905&lt;=90,"正常库存",IF(F905&lt;180,"促销",IF(F905&lt;=365,"红线促销","考虑清仓")))))))))</x:f>
        <x:v>数据待核</x:v>
      </x:c>
      <x:c r="F905" s="11" t="str">
        <x:f>IF(AND(ISNUMBER(H905),ISNUMBER(G905),G905&gt;0),H905/G905,"")</x:f>
      </x:c>
      <x:c r="G905" s="12" t="str">
        <x:f>IF(AND(COUNT(P905:R905)=3,MIN(P905:R905)&gt;=0,P905&lt;=Q905,Q905&lt;=R905),P905/7*0.5+Q905/14*0.3+R905/30*0.2,"")</x:f>
      </x:c>
      <x:c r="H905" s="10" t="n">
        <x:f>IF(ISNUMBER(U905),U905,"")</x:f>
        <x:v>19</x:v>
      </x:c>
      <x:c r="I905" s="10" t="n">
        <x:v>4</x:v>
      </x:c>
      <x:c r="J905" s="11" t="str">
        <x:f>IF(AND(Z905="共同",ISNUMBER(F905),ISNUMBER(M905)),F905-M905,"")</x:f>
      </x:c>
      <x:c r="K905" s="13" t="str">
        <x:f>IF(AND(ISNUMBER(J905),M905&lt;&gt;0),J905/M905,"")</x:f>
      </x:c>
      <x:c r="L905" s="10" t="str">
        <x:v>数据待核</x:v>
      </x:c>
      <x:c r="M905" s="11"/>
      <x:c r="N905" s="10" t="n">
        <x:f>IF(AND(Z905="共同",COUNT(H905:I905)=2),H905-I905,"")</x:f>
        <x:v>15</x:v>
      </x:c>
      <x:c r="O905" s="10" t="n">
        <x:v>0</x:v>
      </x:c>
      <x:c r="P905" s="10"/>
      <x:c r="Q905" s="10"/>
      <x:c r="R905" s="10"/>
      <x:c r="S905" s="10" t="n">
        <x:v>42</x:v>
      </x:c>
      <x:c r="T905" s="10" t="n">
        <x:v>0</x:v>
      </x:c>
      <x:c r="U905" s="10" t="n">
        <x:f>IF(AND(ISNUMBER(X905),X905&gt;=0,Y905&lt;&gt;1),X905,"")</x:f>
        <x:v>19</x:v>
      </x:c>
      <x:c r="V905" s="10" t="n">
        <x:v>0</x:v>
      </x:c>
      <x:c r="W905" s="10" t="n">
        <x:v>0</x:v>
      </x:c>
      <x:c r="X905" s="10" t="n">
        <x:v>19</x:v>
      </x:c>
      <x:c r="Y905" s="3" t="n">
        <x:v>0</x:v>
      </x:c>
      <x:c r="Z905" s="3" t="str">
        <x:v>共同</x:v>
      </x:c>
      <x:c r="AA905" s="3" t="str">
        <x:v>在售</x:v>
      </x:c>
      <x:c r="AB905" s="12" t="str">
        <x:f>IF(AND(Z905="共同",ISNUMBER(G905),ISNUMBER(AD905)),G905-AD905,"")</x:f>
      </x:c>
      <x:c r="AC905" s="3" t="str">
        <x:v>近90天SKU销量未匹配，未按0处理</x:v>
      </x:c>
      <x:c r="AD905" s="12"/>
      <x:c r="AE905" s="3" t="str">
        <x:v>[13306,"2311062-SL-P-O-7"]</x:v>
      </x:c>
      <x:c r="AF905" t="n">
        <x:f>IF(ISNUMBER(H905),1,0)</x:f>
        <x:v>1</x:v>
      </x:c>
      <x:c r="AG905" t="n">
        <x:f>IF(ISNUMBER(I905),1,0)</x:f>
        <x:v>1</x:v>
      </x:c>
      <x:c r="AH905" t="str">
        <x:v>["2311062","2311062-SL-P-O","SL-P","银色 PU"]</x:v>
      </x:c>
      <x:c r="AI905" t="n">
        <x:f>IF(ISNUMBER(G905),1,0)</x:f>
        <x:v>0</x:v>
      </x:c>
      <x:c r="AJ905" t="n">
        <x:f>IF(ISNUMBER(AD905),1,0)</x:f>
        <x:v>0</x:v>
      </x:c>
    </x:row>
    <x:row r="906" ht="30" customHeight="1">
      <x:c r="A906" s="3" t="str">
        <x:v>2311062-TN-P-O-10</x:v>
      </x:c>
      <x:c r="B906" s="3" t="str">
        <x:v>店铺待核</x:v>
      </x:c>
      <x:c r="C906" s="3" t="str">
        <x:v>陈晨</x:v>
      </x:c>
      <x:c r="D906" s="3" t="str">
        <x:v>2311062</x:v>
      </x:c>
      <x:c r="E906" s="3" t="str">
        <x:f>IF(Z906="移出","已移出",IF(NOT(ISNUMBER(H906)),"数据待核",IF(H906=0,"断货",IF(NOT(ISNUMBER(G906)),"数据待核",IF(G906=0,"零日销待复核",IF(F906&lt;60,"补货提醒",IF(F906&lt;=90,"正常库存",IF(F906&lt;180,"促销",IF(F906&lt;=365,"红线促销","考虑清仓")))))))))</x:f>
        <x:v>数据待核</x:v>
      </x:c>
      <x:c r="F906" s="11" t="str">
        <x:f>IF(AND(ISNUMBER(H906),ISNUMBER(G906),G906&gt;0),H906/G906,"")</x:f>
      </x:c>
      <x:c r="G906" s="12" t="str">
        <x:f>IF(AND(COUNT(P906:R906)=3,MIN(P906:R906)&gt;=0,P906&lt;=Q906,Q906&lt;=R906),P906/7*0.5+Q906/14*0.3+R906/30*0.2,"")</x:f>
      </x:c>
      <x:c r="H906" s="10" t="str">
        <x:f>IF(ISNUMBER(U906),U906,"")</x:f>
      </x:c>
      <x:c r="I906" s="10"/>
      <x:c r="J906" s="11" t="str">
        <x:f>IF(AND(Z906="共同",ISNUMBER(F906),ISNUMBER(M906)),F906-M906,"")</x:f>
      </x:c>
      <x:c r="K906" s="13" t="str">
        <x:f>IF(AND(ISNUMBER(J906),M906&lt;&gt;0),J906/M906,"")</x:f>
      </x:c>
      <x:c r="L906" s="10"/>
      <x:c r="M906" s="11"/>
      <x:c r="N906" s="10" t="str">
        <x:f>IF(AND(Z906="共同",COUNT(H906:I906)=2),H906-I906,"")</x:f>
      </x:c>
      <x:c r="O906" s="10"/>
      <x:c r="P906" s="10"/>
      <x:c r="Q906" s="10"/>
      <x:c r="R906" s="10"/>
      <x:c r="S906" s="10"/>
      <x:c r="T906" s="10"/>
      <x:c r="U906" s="10" t="str">
        <x:f>IF(AND(ISNUMBER(X906),X906&gt;=0,Y906&lt;&gt;1),X906,"")</x:f>
      </x:c>
      <x:c r="V906" s="10"/>
      <x:c r="W906" s="10"/>
      <x:c r="X906" s="10"/>
      <x:c r="Y906" s="3" t="n">
        <x:v>0</x:v>
      </x:c>
      <x:c r="Z906" s="3" t="str">
        <x:v>新增</x:v>
      </x:c>
      <x:c r="AA906" s="3" t="str">
        <x:v>未匹配Listing</x:v>
      </x:c>
      <x:c r="AB906" s="12" t="str">
        <x:f>IF(AND(Z906="共同",ISNUMBER(G906),ISNUMBER(AD906)),G906-AD906,"")</x:f>
      </x:c>
      <x:c r="AC906" s="3" t="str">
        <x:v>领星完整SKU未匹配Listing，店铺待核</x:v>
      </x:c>
      <x:c r="AD906" s="12"/>
      <x:c r="AE906" s="3" t="str">
        <x:v>[null,"2311062-TN-P-O-10"]</x:v>
      </x:c>
      <x:c r="AF906" t="n">
        <x:f>IF(ISNUMBER(H906),1,0)</x:f>
        <x:v>0</x:v>
      </x:c>
      <x:c r="AG906" t="n">
        <x:f>IF(ISNUMBER(I906),1,0)</x:f>
        <x:v>0</x:v>
      </x:c>
      <x:c r="AH906" t="str">
        <x:v>["2311062","2311062-TN-P-O","TN-P","驼色 PU"]</x:v>
      </x:c>
      <x:c r="AI906" t="n">
        <x:f>IF(ISNUMBER(G906),1,0)</x:f>
        <x:v>0</x:v>
      </x:c>
      <x:c r="AJ906" t="n">
        <x:f>IF(ISNUMBER(AD906),1,0)</x:f>
        <x:v>0</x:v>
      </x:c>
    </x:row>
    <x:row r="907" ht="30" customHeight="1">
      <x:c r="A907" s="3" t="str">
        <x:v>2311062-TN-P-O-11</x:v>
      </x:c>
      <x:c r="B907" s="3" t="str">
        <x:v>店铺待核</x:v>
      </x:c>
      <x:c r="C907" s="3" t="str">
        <x:v>陈晨</x:v>
      </x:c>
      <x:c r="D907" s="3" t="str">
        <x:v>2311062</x:v>
      </x:c>
      <x:c r="E907" s="3" t="str">
        <x:f>IF(Z907="移出","已移出",IF(NOT(ISNUMBER(H907)),"数据待核",IF(H907=0,"断货",IF(NOT(ISNUMBER(G907)),"数据待核",IF(G907=0,"零日销待复核",IF(F907&lt;60,"补货提醒",IF(F907&lt;=90,"正常库存",IF(F907&lt;180,"促销",IF(F907&lt;=365,"红线促销","考虑清仓")))))))))</x:f>
        <x:v>数据待核</x:v>
      </x:c>
      <x:c r="F907" s="11" t="str">
        <x:f>IF(AND(ISNUMBER(H907),ISNUMBER(G907),G907&gt;0),H907/G907,"")</x:f>
      </x:c>
      <x:c r="G907" s="12" t="str">
        <x:f>IF(AND(COUNT(P907:R907)=3,MIN(P907:R907)&gt;=0,P907&lt;=Q907,Q907&lt;=R907),P907/7*0.5+Q907/14*0.3+R907/30*0.2,"")</x:f>
      </x:c>
      <x:c r="H907" s="10" t="str">
        <x:f>IF(ISNUMBER(U907),U907,"")</x:f>
      </x:c>
      <x:c r="I907" s="10"/>
      <x:c r="J907" s="11" t="str">
        <x:f>IF(AND(Z907="共同",ISNUMBER(F907),ISNUMBER(M907)),F907-M907,"")</x:f>
      </x:c>
      <x:c r="K907" s="13" t="str">
        <x:f>IF(AND(ISNUMBER(J907),M907&lt;&gt;0),J907/M907,"")</x:f>
      </x:c>
      <x:c r="L907" s="10"/>
      <x:c r="M907" s="11"/>
      <x:c r="N907" s="10" t="str">
        <x:f>IF(AND(Z907="共同",COUNT(H907:I907)=2),H907-I907,"")</x:f>
      </x:c>
      <x:c r="O907" s="10"/>
      <x:c r="P907" s="10"/>
      <x:c r="Q907" s="10"/>
      <x:c r="R907" s="10"/>
      <x:c r="S907" s="10"/>
      <x:c r="T907" s="10"/>
      <x:c r="U907" s="10" t="str">
        <x:f>IF(AND(ISNUMBER(X907),X907&gt;=0,Y907&lt;&gt;1),X907,"")</x:f>
      </x:c>
      <x:c r="V907" s="10"/>
      <x:c r="W907" s="10"/>
      <x:c r="X907" s="10"/>
      <x:c r="Y907" s="3" t="n">
        <x:v>0</x:v>
      </x:c>
      <x:c r="Z907" s="3" t="str">
        <x:v>新增</x:v>
      </x:c>
      <x:c r="AA907" s="3" t="str">
        <x:v>未匹配Listing</x:v>
      </x:c>
      <x:c r="AB907" s="12" t="str">
        <x:f>IF(AND(Z907="共同",ISNUMBER(G907),ISNUMBER(AD907)),G907-AD907,"")</x:f>
      </x:c>
      <x:c r="AC907" s="3" t="str">
        <x:v>领星完整SKU未匹配Listing，店铺待核</x:v>
      </x:c>
      <x:c r="AD907" s="12"/>
      <x:c r="AE907" s="3" t="str">
        <x:v>[null,"2311062-TN-P-O-11"]</x:v>
      </x:c>
      <x:c r="AF907" t="n">
        <x:f>IF(ISNUMBER(H907),1,0)</x:f>
        <x:v>0</x:v>
      </x:c>
      <x:c r="AG907" t="n">
        <x:f>IF(ISNUMBER(I907),1,0)</x:f>
        <x:v>0</x:v>
      </x:c>
      <x:c r="AH907" t="str">
        <x:v>["2311062","2311062-TN-P-O","TN-P","驼色 PU"]</x:v>
      </x:c>
      <x:c r="AI907" t="n">
        <x:f>IF(ISNUMBER(G907),1,0)</x:f>
        <x:v>0</x:v>
      </x:c>
      <x:c r="AJ907" t="n">
        <x:f>IF(ISNUMBER(AD907),1,0)</x:f>
        <x:v>0</x:v>
      </x:c>
    </x:row>
    <x:row r="908" ht="30" customHeight="1">
      <x:c r="A908" s="3" t="str">
        <x:v>8392-BK-38.5</x:v>
      </x:c>
      <x:c r="B908" s="3" t="str">
        <x:v>店铺待核</x:v>
      </x:c>
      <x:c r="C908" s="3" t="str">
        <x:v>徐新怡</x:v>
      </x:c>
      <x:c r="D908" s="3" t="str">
        <x:v>8392</x:v>
      </x:c>
      <x:c r="E908" s="3" t="str">
        <x:f>IF(Z908="移出","已移出",IF(NOT(ISNUMBER(H908)),"数据待核",IF(H908=0,"断货",IF(NOT(ISNUMBER(G908)),"数据待核",IF(G908=0,"零日销待复核",IF(F908&lt;60,"补货提醒",IF(F908&lt;=90,"正常库存",IF(F908&lt;180,"促销",IF(F908&lt;=365,"红线促销","考虑清仓")))))))))</x:f>
        <x:v>数据待核</x:v>
      </x:c>
      <x:c r="F908" s="11" t="str">
        <x:f>IF(AND(ISNUMBER(H908),ISNUMBER(G908),G908&gt;0),H908/G908,"")</x:f>
      </x:c>
      <x:c r="G908" s="12" t="str">
        <x:f>IF(AND(COUNT(P908:R908)=3,MIN(P908:R908)&gt;=0,P908&lt;=Q908,Q908&lt;=R908),P908/7*0.5+Q908/14*0.3+R908/30*0.2,"")</x:f>
      </x:c>
      <x:c r="H908" s="10" t="str">
        <x:f>IF(ISNUMBER(U908),U908,"")</x:f>
      </x:c>
      <x:c r="I908" s="10"/>
      <x:c r="J908" s="11" t="str">
        <x:f>IF(AND(Z908="共同",ISNUMBER(F908),ISNUMBER(M908)),F908-M908,"")</x:f>
      </x:c>
      <x:c r="K908" s="13" t="str">
        <x:f>IF(AND(ISNUMBER(J908),M908&lt;&gt;0),J908/M908,"")</x:f>
      </x:c>
      <x:c r="L908" s="10"/>
      <x:c r="M908" s="11"/>
      <x:c r="N908" s="10" t="str">
        <x:f>IF(AND(Z908="共同",COUNT(H908:I908)=2),H908-I908,"")</x:f>
      </x:c>
      <x:c r="O908" s="10" t="n">
        <x:v>0</x:v>
      </x:c>
      <x:c r="P908" s="10"/>
      <x:c r="Q908" s="10"/>
      <x:c r="R908" s="10"/>
      <x:c r="S908" s="10"/>
      <x:c r="T908" s="10"/>
      <x:c r="U908" s="10" t="str">
        <x:f>IF(AND(ISNUMBER(X908),X908&gt;=0,Y908&lt;&gt;1),X908,"")</x:f>
      </x:c>
      <x:c r="V908" s="10"/>
      <x:c r="W908" s="10"/>
      <x:c r="X908" s="10"/>
      <x:c r="Y908" s="3" t="n">
        <x:v>0</x:v>
      </x:c>
      <x:c r="Z908" s="3" t="str">
        <x:v>新增</x:v>
      </x:c>
      <x:c r="AA908" s="3" t="str">
        <x:v>未匹配Listing</x:v>
      </x:c>
      <x:c r="AB908" s="12" t="str">
        <x:f>IF(AND(Z908="共同",ISNUMBER(G908),ISNUMBER(AD908)),G908-AD908,"")</x:f>
      </x:c>
      <x:c r="AC908" s="3" t="str">
        <x:v>领星完整SKU未匹配Listing，店铺待核</x:v>
      </x:c>
      <x:c r="AD908" s="12"/>
      <x:c r="AE908" s="3" t="str">
        <x:v>[null,"8392-BK-38.5"]</x:v>
      </x:c>
      <x:c r="AF908" t="n">
        <x:f>IF(ISNUMBER(H908),1,0)</x:f>
        <x:v>0</x:v>
      </x:c>
      <x:c r="AG908" t="n">
        <x:f>IF(ISNUMBER(I908),1,0)</x:f>
        <x:v>0</x:v>
      </x:c>
      <x:c r="AH908" t="str">
        <x:v>["8392","8392-BK","BK","黑色"]</x:v>
      </x:c>
      <x:c r="AI908" t="n">
        <x:f>IF(ISNUMBER(G908),1,0)</x:f>
        <x:v>0</x:v>
      </x:c>
      <x:c r="AJ908" t="n">
        <x:f>IF(ISNUMBER(AD908),1,0)</x:f>
        <x:v>0</x:v>
      </x:c>
    </x:row>
    <x:row r="909" ht="30" customHeight="1">
      <x:c r="A909" s="3" t="str">
        <x:v>8392-BK-40.5</x:v>
      </x:c>
      <x:c r="B909" s="3" t="str">
        <x:v>店铺待核</x:v>
      </x:c>
      <x:c r="C909" s="3" t="str">
        <x:v>徐新怡</x:v>
      </x:c>
      <x:c r="D909" s="3" t="str">
        <x:v>8392</x:v>
      </x:c>
      <x:c r="E909" s="3" t="str">
        <x:f>IF(Z909="移出","已移出",IF(NOT(ISNUMBER(H909)),"数据待核",IF(H909=0,"断货",IF(NOT(ISNUMBER(G909)),"数据待核",IF(G909=0,"零日销待复核",IF(F909&lt;60,"补货提醒",IF(F909&lt;=90,"正常库存",IF(F909&lt;180,"促销",IF(F909&lt;=365,"红线促销","考虑清仓")))))))))</x:f>
        <x:v>数据待核</x:v>
      </x:c>
      <x:c r="F909" s="11" t="str">
        <x:f>IF(AND(ISNUMBER(H909),ISNUMBER(G909),G909&gt;0),H909/G909,"")</x:f>
      </x:c>
      <x:c r="G909" s="12" t="str">
        <x:f>IF(AND(COUNT(P909:R909)=3,MIN(P909:R909)&gt;=0,P909&lt;=Q909,Q909&lt;=R909),P909/7*0.5+Q909/14*0.3+R909/30*0.2,"")</x:f>
      </x:c>
      <x:c r="H909" s="10" t="str">
        <x:f>IF(ISNUMBER(U909),U909,"")</x:f>
      </x:c>
      <x:c r="I909" s="10"/>
      <x:c r="J909" s="11" t="str">
        <x:f>IF(AND(Z909="共同",ISNUMBER(F909),ISNUMBER(M909)),F909-M909,"")</x:f>
      </x:c>
      <x:c r="K909" s="13" t="str">
        <x:f>IF(AND(ISNUMBER(J909),M909&lt;&gt;0),J909/M909,"")</x:f>
      </x:c>
      <x:c r="L909" s="10"/>
      <x:c r="M909" s="11"/>
      <x:c r="N909" s="10" t="str">
        <x:f>IF(AND(Z909="共同",COUNT(H909:I909)=2),H909-I909,"")</x:f>
      </x:c>
      <x:c r="O909" s="10" t="n">
        <x:v>0</x:v>
      </x:c>
      <x:c r="P909" s="10"/>
      <x:c r="Q909" s="10"/>
      <x:c r="R909" s="10"/>
      <x:c r="S909" s="10"/>
      <x:c r="T909" s="10"/>
      <x:c r="U909" s="10" t="str">
        <x:f>IF(AND(ISNUMBER(X909),X909&gt;=0,Y909&lt;&gt;1),X909,"")</x:f>
      </x:c>
      <x:c r="V909" s="10"/>
      <x:c r="W909" s="10"/>
      <x:c r="X909" s="10"/>
      <x:c r="Y909" s="3" t="n">
        <x:v>0</x:v>
      </x:c>
      <x:c r="Z909" s="3" t="str">
        <x:v>新增</x:v>
      </x:c>
      <x:c r="AA909" s="3" t="str">
        <x:v>未匹配Listing</x:v>
      </x:c>
      <x:c r="AB909" s="12" t="str">
        <x:f>IF(AND(Z909="共同",ISNUMBER(G909),ISNUMBER(AD909)),G909-AD909,"")</x:f>
      </x:c>
      <x:c r="AC909" s="3" t="str">
        <x:v>领星完整SKU未匹配Listing，店铺待核</x:v>
      </x:c>
      <x:c r="AD909" s="12"/>
      <x:c r="AE909" s="3" t="str">
        <x:v>[null,"8392-BK-40.5"]</x:v>
      </x:c>
      <x:c r="AF909" t="n">
        <x:f>IF(ISNUMBER(H909),1,0)</x:f>
        <x:v>0</x:v>
      </x:c>
      <x:c r="AG909" t="n">
        <x:f>IF(ISNUMBER(I909),1,0)</x:f>
        <x:v>0</x:v>
      </x:c>
      <x:c r="AH909" t="str">
        <x:v>["8392","8392-BK","BK","黑色"]</x:v>
      </x:c>
      <x:c r="AI909" t="n">
        <x:f>IF(ISNUMBER(G909),1,0)</x:f>
        <x:v>0</x:v>
      </x:c>
      <x:c r="AJ909" t="n">
        <x:f>IF(ISNUMBER(AD909),1,0)</x:f>
        <x:v>0</x:v>
      </x:c>
    </x:row>
    <x:row r="910" ht="30" customHeight="1">
      <x:c r="A910" s="3" t="str">
        <x:v>8392-BK-41.5</x:v>
      </x:c>
      <x:c r="B910" s="3" t="str">
        <x:v>店铺待核</x:v>
      </x:c>
      <x:c r="C910" s="3" t="str">
        <x:v>徐新怡</x:v>
      </x:c>
      <x:c r="D910" s="3" t="str">
        <x:v>8392</x:v>
      </x:c>
      <x:c r="E910" s="3" t="str">
        <x:f>IF(Z910="移出","已移出",IF(NOT(ISNUMBER(H910)),"数据待核",IF(H910=0,"断货",IF(NOT(ISNUMBER(G910)),"数据待核",IF(G910=0,"零日销待复核",IF(F910&lt;60,"补货提醒",IF(F910&lt;=90,"正常库存",IF(F910&lt;180,"促销",IF(F910&lt;=365,"红线促销","考虑清仓")))))))))</x:f>
        <x:v>数据待核</x:v>
      </x:c>
      <x:c r="F910" s="11" t="str">
        <x:f>IF(AND(ISNUMBER(H910),ISNUMBER(G910),G910&gt;0),H910/G910,"")</x:f>
      </x:c>
      <x:c r="G910" s="12" t="str">
        <x:f>IF(AND(COUNT(P910:R910)=3,MIN(P910:R910)&gt;=0,P910&lt;=Q910,Q910&lt;=R910),P910/7*0.5+Q910/14*0.3+R910/30*0.2,"")</x:f>
      </x:c>
      <x:c r="H910" s="10" t="str">
        <x:f>IF(ISNUMBER(U910),U910,"")</x:f>
      </x:c>
      <x:c r="I910" s="10"/>
      <x:c r="J910" s="11" t="str">
        <x:f>IF(AND(Z910="共同",ISNUMBER(F910),ISNUMBER(M910)),F910-M910,"")</x:f>
      </x:c>
      <x:c r="K910" s="13" t="str">
        <x:f>IF(AND(ISNUMBER(J910),M910&lt;&gt;0),J910/M910,"")</x:f>
      </x:c>
      <x:c r="L910" s="10"/>
      <x:c r="M910" s="11"/>
      <x:c r="N910" s="10" t="str">
        <x:f>IF(AND(Z910="共同",COUNT(H910:I910)=2),H910-I910,"")</x:f>
      </x:c>
      <x:c r="O910" s="10" t="n">
        <x:v>0</x:v>
      </x:c>
      <x:c r="P910" s="10"/>
      <x:c r="Q910" s="10"/>
      <x:c r="R910" s="10"/>
      <x:c r="S910" s="10"/>
      <x:c r="T910" s="10"/>
      <x:c r="U910" s="10" t="str">
        <x:f>IF(AND(ISNUMBER(X910),X910&gt;=0,Y910&lt;&gt;1),X910,"")</x:f>
      </x:c>
      <x:c r="V910" s="10"/>
      <x:c r="W910" s="10"/>
      <x:c r="X910" s="10"/>
      <x:c r="Y910" s="3" t="n">
        <x:v>0</x:v>
      </x:c>
      <x:c r="Z910" s="3" t="str">
        <x:v>新增</x:v>
      </x:c>
      <x:c r="AA910" s="3" t="str">
        <x:v>未匹配Listing</x:v>
      </x:c>
      <x:c r="AB910" s="12" t="str">
        <x:f>IF(AND(Z910="共同",ISNUMBER(G910),ISNUMBER(AD910)),G910-AD910,"")</x:f>
      </x:c>
      <x:c r="AC910" s="3" t="str">
        <x:v>领星完整SKU未匹配Listing，店铺待核</x:v>
      </x:c>
      <x:c r="AD910" s="12"/>
      <x:c r="AE910" s="3" t="str">
        <x:v>[null,"8392-BK-41.5"]</x:v>
      </x:c>
      <x:c r="AF910" t="n">
        <x:f>IF(ISNUMBER(H910),1,0)</x:f>
        <x:v>0</x:v>
      </x:c>
      <x:c r="AG910" t="n">
        <x:f>IF(ISNUMBER(I910),1,0)</x:f>
        <x:v>0</x:v>
      </x:c>
      <x:c r="AH910" t="str">
        <x:v>["8392","8392-BK","BK","黑色"]</x:v>
      </x:c>
      <x:c r="AI910" t="n">
        <x:f>IF(ISNUMBER(G910),1,0)</x:f>
        <x:v>0</x:v>
      </x:c>
      <x:c r="AJ910" t="n">
        <x:f>IF(ISNUMBER(AD910),1,0)</x:f>
        <x:v>0</x:v>
      </x:c>
    </x:row>
    <x:row r="911" ht="30" customHeight="1">
      <x:c r="A911" s="3" t="str">
        <x:v>8392-GY-S-K-37</x:v>
      </x:c>
      <x:c r="B911" s="3" t="str">
        <x:v>店铺待核</x:v>
      </x:c>
      <x:c r="C911" s="3" t="str">
        <x:v>徐新怡</x:v>
      </x:c>
      <x:c r="D911" s="3" t="str">
        <x:v>8392</x:v>
      </x:c>
      <x:c r="E911" s="3" t="str">
        <x:f>IF(Z911="移出","已移出",IF(NOT(ISNUMBER(H911)),"数据待核",IF(H911=0,"断货",IF(NOT(ISNUMBER(G911)),"数据待核",IF(G911=0,"零日销待复核",IF(F911&lt;60,"补货提醒",IF(F911&lt;=90,"正常库存",IF(F911&lt;180,"促销",IF(F911&lt;=365,"红线促销","考虑清仓")))))))))</x:f>
        <x:v>数据待核</x:v>
      </x:c>
      <x:c r="F911" s="11" t="str">
        <x:f>IF(AND(ISNUMBER(H911),ISNUMBER(G911),G911&gt;0),H911/G911,"")</x:f>
      </x:c>
      <x:c r="G911" s="12" t="str">
        <x:f>IF(AND(COUNT(P911:R911)=3,MIN(P911:R911)&gt;=0,P911&lt;=Q911,Q911&lt;=R911),P911/7*0.5+Q911/14*0.3+R911/30*0.2,"")</x:f>
      </x:c>
      <x:c r="H911" s="10" t="str">
        <x:f>IF(ISNUMBER(U911),U911,"")</x:f>
      </x:c>
      <x:c r="I911" s="10"/>
      <x:c r="J911" s="11" t="str">
        <x:f>IF(AND(Z911="共同",ISNUMBER(F911),ISNUMBER(M911)),F911-M911,"")</x:f>
      </x:c>
      <x:c r="K911" s="13" t="str">
        <x:f>IF(AND(ISNUMBER(J911),M911&lt;&gt;0),J911/M911,"")</x:f>
      </x:c>
      <x:c r="L911" s="10"/>
      <x:c r="M911" s="11"/>
      <x:c r="N911" s="10" t="str">
        <x:f>IF(AND(Z911="共同",COUNT(H911:I911)=2),H911-I911,"")</x:f>
      </x:c>
      <x:c r="O911" s="10"/>
      <x:c r="P911" s="10"/>
      <x:c r="Q911" s="10"/>
      <x:c r="R911" s="10"/>
      <x:c r="S911" s="10"/>
      <x:c r="T911" s="10"/>
      <x:c r="U911" s="10" t="str">
        <x:f>IF(AND(ISNUMBER(X911),X911&gt;=0,Y911&lt;&gt;1),X911,"")</x:f>
      </x:c>
      <x:c r="V911" s="10"/>
      <x:c r="W911" s="10"/>
      <x:c r="X911" s="10"/>
      <x:c r="Y911" s="3" t="n">
        <x:v>0</x:v>
      </x:c>
      <x:c r="Z911" s="3" t="str">
        <x:v>新增</x:v>
      </x:c>
      <x:c r="AA911" s="3" t="str">
        <x:v>未匹配Listing</x:v>
      </x:c>
      <x:c r="AB911" s="12" t="str">
        <x:f>IF(AND(Z911="共同",ISNUMBER(G911),ISNUMBER(AD911)),G911-AD911,"")</x:f>
      </x:c>
      <x:c r="AC911" s="3" t="str">
        <x:v>领星完整SKU未匹配Listing，店铺待核</x:v>
      </x:c>
      <x:c r="AD911" s="12"/>
      <x:c r="AE911" s="3" t="str">
        <x:v>[null,"8392-GY-S-K-37"]</x:v>
      </x:c>
      <x:c r="AF911" t="n">
        <x:f>IF(ISNUMBER(H911),1,0)</x:f>
        <x:v>0</x:v>
      </x:c>
      <x:c r="AG911" t="n">
        <x:f>IF(ISNUMBER(I911),1,0)</x:f>
        <x:v>0</x:v>
      </x:c>
      <x:c r="AH911" t="str">
        <x:v>["8392","8392-GY-S-K","GY","灰色"]</x:v>
      </x:c>
      <x:c r="AI911" t="n">
        <x:f>IF(ISNUMBER(G911),1,0)</x:f>
        <x:v>0</x:v>
      </x:c>
      <x:c r="AJ911" t="n">
        <x:f>IF(ISNUMBER(AD911),1,0)</x:f>
        <x:v>0</x:v>
      </x:c>
    </x:row>
    <x:row r="912" ht="30" customHeight="1">
      <x:c r="A912" s="3" t="str">
        <x:v>8392-GY-S-K-37.5</x:v>
      </x:c>
      <x:c r="B912" s="3" t="str">
        <x:v>店铺待核</x:v>
      </x:c>
      <x:c r="C912" s="3" t="str">
        <x:v>徐新怡</x:v>
      </x:c>
      <x:c r="D912" s="3" t="str">
        <x:v>8392</x:v>
      </x:c>
      <x:c r="E912" s="3" t="str">
        <x:f>IF(Z912="移出","已移出",IF(NOT(ISNUMBER(H912)),"数据待核",IF(H912=0,"断货",IF(NOT(ISNUMBER(G912)),"数据待核",IF(G912=0,"零日销待复核",IF(F912&lt;60,"补货提醒",IF(F912&lt;=90,"正常库存",IF(F912&lt;180,"促销",IF(F912&lt;=365,"红线促销","考虑清仓")))))))))</x:f>
        <x:v>数据待核</x:v>
      </x:c>
      <x:c r="F912" s="11" t="str">
        <x:f>IF(AND(ISNUMBER(H912),ISNUMBER(G912),G912&gt;0),H912/G912,"")</x:f>
      </x:c>
      <x:c r="G912" s="12" t="str">
        <x:f>IF(AND(COUNT(P912:R912)=3,MIN(P912:R912)&gt;=0,P912&lt;=Q912,Q912&lt;=R912),P912/7*0.5+Q912/14*0.3+R912/30*0.2,"")</x:f>
      </x:c>
      <x:c r="H912" s="10" t="str">
        <x:f>IF(ISNUMBER(U912),U912,"")</x:f>
      </x:c>
      <x:c r="I912" s="10"/>
      <x:c r="J912" s="11" t="str">
        <x:f>IF(AND(Z912="共同",ISNUMBER(F912),ISNUMBER(M912)),F912-M912,"")</x:f>
      </x:c>
      <x:c r="K912" s="13" t="str">
        <x:f>IF(AND(ISNUMBER(J912),M912&lt;&gt;0),J912/M912,"")</x:f>
      </x:c>
      <x:c r="L912" s="10"/>
      <x:c r="M912" s="11"/>
      <x:c r="N912" s="10" t="str">
        <x:f>IF(AND(Z912="共同",COUNT(H912:I912)=2),H912-I912,"")</x:f>
      </x:c>
      <x:c r="O912" s="10"/>
      <x:c r="P912" s="10"/>
      <x:c r="Q912" s="10"/>
      <x:c r="R912" s="10"/>
      <x:c r="S912" s="10"/>
      <x:c r="T912" s="10"/>
      <x:c r="U912" s="10" t="str">
        <x:f>IF(AND(ISNUMBER(X912),X912&gt;=0,Y912&lt;&gt;1),X912,"")</x:f>
      </x:c>
      <x:c r="V912" s="10"/>
      <x:c r="W912" s="10"/>
      <x:c r="X912" s="10"/>
      <x:c r="Y912" s="3" t="n">
        <x:v>0</x:v>
      </x:c>
      <x:c r="Z912" s="3" t="str">
        <x:v>新增</x:v>
      </x:c>
      <x:c r="AA912" s="3" t="str">
        <x:v>未匹配Listing</x:v>
      </x:c>
      <x:c r="AB912" s="12" t="str">
        <x:f>IF(AND(Z912="共同",ISNUMBER(G912),ISNUMBER(AD912)),G912-AD912,"")</x:f>
      </x:c>
      <x:c r="AC912" s="3" t="str">
        <x:v>领星完整SKU未匹配Listing，店铺待核</x:v>
      </x:c>
      <x:c r="AD912" s="12"/>
      <x:c r="AE912" s="3" t="str">
        <x:v>[null,"8392-GY-S-K-37.5"]</x:v>
      </x:c>
      <x:c r="AF912" t="n">
        <x:f>IF(ISNUMBER(H912),1,0)</x:f>
        <x:v>0</x:v>
      </x:c>
      <x:c r="AG912" t="n">
        <x:f>IF(ISNUMBER(I912),1,0)</x:f>
        <x:v>0</x:v>
      </x:c>
      <x:c r="AH912" t="str">
        <x:v>["8392","8392-GY-S-K","GY","灰色"]</x:v>
      </x:c>
      <x:c r="AI912" t="n">
        <x:f>IF(ISNUMBER(G912),1,0)</x:f>
        <x:v>0</x:v>
      </x:c>
      <x:c r="AJ912" t="n">
        <x:f>IF(ISNUMBER(AD912),1,0)</x:f>
        <x:v>0</x:v>
      </x:c>
    </x:row>
    <x:row r="913" ht="30" customHeight="1">
      <x:c r="A913" s="3" t="str">
        <x:v>8392-GY-S-K-38</x:v>
      </x:c>
      <x:c r="B913" s="3" t="str">
        <x:v>店铺待核</x:v>
      </x:c>
      <x:c r="C913" s="3" t="str">
        <x:v>徐新怡</x:v>
      </x:c>
      <x:c r="D913" s="3" t="str">
        <x:v>8392</x:v>
      </x:c>
      <x:c r="E913" s="3" t="str">
        <x:f>IF(Z913="移出","已移出",IF(NOT(ISNUMBER(H913)),"数据待核",IF(H913=0,"断货",IF(NOT(ISNUMBER(G913)),"数据待核",IF(G913=0,"零日销待复核",IF(F913&lt;60,"补货提醒",IF(F913&lt;=90,"正常库存",IF(F913&lt;180,"促销",IF(F913&lt;=365,"红线促销","考虑清仓")))))))))</x:f>
        <x:v>数据待核</x:v>
      </x:c>
      <x:c r="F913" s="11" t="str">
        <x:f>IF(AND(ISNUMBER(H913),ISNUMBER(G913),G913&gt;0),H913/G913,"")</x:f>
      </x:c>
      <x:c r="G913" s="12" t="str">
        <x:f>IF(AND(COUNT(P913:R913)=3,MIN(P913:R913)&gt;=0,P913&lt;=Q913,Q913&lt;=R913),P913/7*0.5+Q913/14*0.3+R913/30*0.2,"")</x:f>
      </x:c>
      <x:c r="H913" s="10" t="str">
        <x:f>IF(ISNUMBER(U913),U913,"")</x:f>
      </x:c>
      <x:c r="I913" s="10"/>
      <x:c r="J913" s="11" t="str">
        <x:f>IF(AND(Z913="共同",ISNUMBER(F913),ISNUMBER(M913)),F913-M913,"")</x:f>
      </x:c>
      <x:c r="K913" s="13" t="str">
        <x:f>IF(AND(ISNUMBER(J913),M913&lt;&gt;0),J913/M913,"")</x:f>
      </x:c>
      <x:c r="L913" s="10"/>
      <x:c r="M913" s="11"/>
      <x:c r="N913" s="10" t="str">
        <x:f>IF(AND(Z913="共同",COUNT(H913:I913)=2),H913-I913,"")</x:f>
      </x:c>
      <x:c r="O913" s="10"/>
      <x:c r="P913" s="10"/>
      <x:c r="Q913" s="10"/>
      <x:c r="R913" s="10"/>
      <x:c r="S913" s="10"/>
      <x:c r="T913" s="10"/>
      <x:c r="U913" s="10" t="str">
        <x:f>IF(AND(ISNUMBER(X913),X913&gt;=0,Y913&lt;&gt;1),X913,"")</x:f>
      </x:c>
      <x:c r="V913" s="10"/>
      <x:c r="W913" s="10"/>
      <x:c r="X913" s="10"/>
      <x:c r="Y913" s="3" t="n">
        <x:v>0</x:v>
      </x:c>
      <x:c r="Z913" s="3" t="str">
        <x:v>新增</x:v>
      </x:c>
      <x:c r="AA913" s="3" t="str">
        <x:v>未匹配Listing</x:v>
      </x:c>
      <x:c r="AB913" s="12" t="str">
        <x:f>IF(AND(Z913="共同",ISNUMBER(G913),ISNUMBER(AD913)),G913-AD913,"")</x:f>
      </x:c>
      <x:c r="AC913" s="3" t="str">
        <x:v>领星完整SKU未匹配Listing，店铺待核</x:v>
      </x:c>
      <x:c r="AD913" s="12"/>
      <x:c r="AE913" s="3" t="str">
        <x:v>[null,"8392-GY-S-K-38"]</x:v>
      </x:c>
      <x:c r="AF913" t="n">
        <x:f>IF(ISNUMBER(H913),1,0)</x:f>
        <x:v>0</x:v>
      </x:c>
      <x:c r="AG913" t="n">
        <x:f>IF(ISNUMBER(I913),1,0)</x:f>
        <x:v>0</x:v>
      </x:c>
      <x:c r="AH913" t="str">
        <x:v>["8392","8392-GY-S-K","GY","灰色"]</x:v>
      </x:c>
      <x:c r="AI913" t="n">
        <x:f>IF(ISNUMBER(G913),1,0)</x:f>
        <x:v>0</x:v>
      </x:c>
      <x:c r="AJ913" t="n">
        <x:f>IF(ISNUMBER(AD913),1,0)</x:f>
        <x:v>0</x:v>
      </x:c>
    </x:row>
    <x:row r="914" ht="30" customHeight="1">
      <x:c r="A914" s="3" t="str">
        <x:v>8392-GY-S-K-38.5</x:v>
      </x:c>
      <x:c r="B914" s="3" t="str">
        <x:v>店铺待核</x:v>
      </x:c>
      <x:c r="C914" s="3" t="str">
        <x:v>徐新怡</x:v>
      </x:c>
      <x:c r="D914" s="3" t="str">
        <x:v>8392</x:v>
      </x:c>
      <x:c r="E914" s="3" t="str">
        <x:f>IF(Z914="移出","已移出",IF(NOT(ISNUMBER(H914)),"数据待核",IF(H914=0,"断货",IF(NOT(ISNUMBER(G914)),"数据待核",IF(G914=0,"零日销待复核",IF(F914&lt;60,"补货提醒",IF(F914&lt;=90,"正常库存",IF(F914&lt;180,"促销",IF(F914&lt;=365,"红线促销","考虑清仓")))))))))</x:f>
        <x:v>数据待核</x:v>
      </x:c>
      <x:c r="F914" s="11" t="str">
        <x:f>IF(AND(ISNUMBER(H914),ISNUMBER(G914),G914&gt;0),H914/G914,"")</x:f>
      </x:c>
      <x:c r="G914" s="12" t="str">
        <x:f>IF(AND(COUNT(P914:R914)=3,MIN(P914:R914)&gt;=0,P914&lt;=Q914,Q914&lt;=R914),P914/7*0.5+Q914/14*0.3+R914/30*0.2,"")</x:f>
      </x:c>
      <x:c r="H914" s="10" t="str">
        <x:f>IF(ISNUMBER(U914),U914,"")</x:f>
      </x:c>
      <x:c r="I914" s="10"/>
      <x:c r="J914" s="11" t="str">
        <x:f>IF(AND(Z914="共同",ISNUMBER(F914),ISNUMBER(M914)),F914-M914,"")</x:f>
      </x:c>
      <x:c r="K914" s="13" t="str">
        <x:f>IF(AND(ISNUMBER(J914),M914&lt;&gt;0),J914/M914,"")</x:f>
      </x:c>
      <x:c r="L914" s="10"/>
      <x:c r="M914" s="11"/>
      <x:c r="N914" s="10" t="str">
        <x:f>IF(AND(Z914="共同",COUNT(H914:I914)=2),H914-I914,"")</x:f>
      </x:c>
      <x:c r="O914" s="10"/>
      <x:c r="P914" s="10"/>
      <x:c r="Q914" s="10"/>
      <x:c r="R914" s="10"/>
      <x:c r="S914" s="10"/>
      <x:c r="T914" s="10"/>
      <x:c r="U914" s="10" t="str">
        <x:f>IF(AND(ISNUMBER(X914),X914&gt;=0,Y914&lt;&gt;1),X914,"")</x:f>
      </x:c>
      <x:c r="V914" s="10"/>
      <x:c r="W914" s="10"/>
      <x:c r="X914" s="10"/>
      <x:c r="Y914" s="3" t="n">
        <x:v>0</x:v>
      </x:c>
      <x:c r="Z914" s="3" t="str">
        <x:v>新增</x:v>
      </x:c>
      <x:c r="AA914" s="3" t="str">
        <x:v>未匹配Listing</x:v>
      </x:c>
      <x:c r="AB914" s="12" t="str">
        <x:f>IF(AND(Z914="共同",ISNUMBER(G914),ISNUMBER(AD914)),G914-AD914,"")</x:f>
      </x:c>
      <x:c r="AC914" s="3" t="str">
        <x:v>领星完整SKU未匹配Listing，店铺待核</x:v>
      </x:c>
      <x:c r="AD914" s="12"/>
      <x:c r="AE914" s="3" t="str">
        <x:v>[null,"8392-GY-S-K-38.5"]</x:v>
      </x:c>
      <x:c r="AF914" t="n">
        <x:f>IF(ISNUMBER(H914),1,0)</x:f>
        <x:v>0</x:v>
      </x:c>
      <x:c r="AG914" t="n">
        <x:f>IF(ISNUMBER(I914),1,0)</x:f>
        <x:v>0</x:v>
      </x:c>
      <x:c r="AH914" t="str">
        <x:v>["8392","8392-GY-S-K","GY","灰色"]</x:v>
      </x:c>
      <x:c r="AI914" t="n">
        <x:f>IF(ISNUMBER(G914),1,0)</x:f>
        <x:v>0</x:v>
      </x:c>
      <x:c r="AJ914" t="n">
        <x:f>IF(ISNUMBER(AD914),1,0)</x:f>
        <x:v>0</x:v>
      </x:c>
    </x:row>
    <x:row r="915" ht="30" customHeight="1">
      <x:c r="A915" s="3" t="str">
        <x:v>8392-GY-S-K-39</x:v>
      </x:c>
      <x:c r="B915" s="3" t="str">
        <x:v>店铺待核</x:v>
      </x:c>
      <x:c r="C915" s="3" t="str">
        <x:v>徐新怡</x:v>
      </x:c>
      <x:c r="D915" s="3" t="str">
        <x:v>8392</x:v>
      </x:c>
      <x:c r="E915" s="3" t="str">
        <x:f>IF(Z915="移出","已移出",IF(NOT(ISNUMBER(H915)),"数据待核",IF(H915=0,"断货",IF(NOT(ISNUMBER(G915)),"数据待核",IF(G915=0,"零日销待复核",IF(F915&lt;60,"补货提醒",IF(F915&lt;=90,"正常库存",IF(F915&lt;180,"促销",IF(F915&lt;=365,"红线促销","考虑清仓")))))))))</x:f>
        <x:v>数据待核</x:v>
      </x:c>
      <x:c r="F915" s="11" t="str">
        <x:f>IF(AND(ISNUMBER(H915),ISNUMBER(G915),G915&gt;0),H915/G915,"")</x:f>
      </x:c>
      <x:c r="G915" s="12" t="str">
        <x:f>IF(AND(COUNT(P915:R915)=3,MIN(P915:R915)&gt;=0,P915&lt;=Q915,Q915&lt;=R915),P915/7*0.5+Q915/14*0.3+R915/30*0.2,"")</x:f>
      </x:c>
      <x:c r="H915" s="10" t="str">
        <x:f>IF(ISNUMBER(U915),U915,"")</x:f>
      </x:c>
      <x:c r="I915" s="10"/>
      <x:c r="J915" s="11" t="str">
        <x:f>IF(AND(Z915="共同",ISNUMBER(F915),ISNUMBER(M915)),F915-M915,"")</x:f>
      </x:c>
      <x:c r="K915" s="13" t="str">
        <x:f>IF(AND(ISNUMBER(J915),M915&lt;&gt;0),J915/M915,"")</x:f>
      </x:c>
      <x:c r="L915" s="10"/>
      <x:c r="M915" s="11"/>
      <x:c r="N915" s="10" t="str">
        <x:f>IF(AND(Z915="共同",COUNT(H915:I915)=2),H915-I915,"")</x:f>
      </x:c>
      <x:c r="O915" s="10"/>
      <x:c r="P915" s="10"/>
      <x:c r="Q915" s="10"/>
      <x:c r="R915" s="10"/>
      <x:c r="S915" s="10"/>
      <x:c r="T915" s="10"/>
      <x:c r="U915" s="10" t="str">
        <x:f>IF(AND(ISNUMBER(X915),X915&gt;=0,Y915&lt;&gt;1),X915,"")</x:f>
      </x:c>
      <x:c r="V915" s="10"/>
      <x:c r="W915" s="10"/>
      <x:c r="X915" s="10"/>
      <x:c r="Y915" s="3" t="n">
        <x:v>0</x:v>
      </x:c>
      <x:c r="Z915" s="3" t="str">
        <x:v>新增</x:v>
      </x:c>
      <x:c r="AA915" s="3" t="str">
        <x:v>未匹配Listing</x:v>
      </x:c>
      <x:c r="AB915" s="12" t="str">
        <x:f>IF(AND(Z915="共同",ISNUMBER(G915),ISNUMBER(AD915)),G915-AD915,"")</x:f>
      </x:c>
      <x:c r="AC915" s="3" t="str">
        <x:v>领星完整SKU未匹配Listing，店铺待核</x:v>
      </x:c>
      <x:c r="AD915" s="12"/>
      <x:c r="AE915" s="3" t="str">
        <x:v>[null,"8392-GY-S-K-39"]</x:v>
      </x:c>
      <x:c r="AF915" t="n">
        <x:f>IF(ISNUMBER(H915),1,0)</x:f>
        <x:v>0</x:v>
      </x:c>
      <x:c r="AG915" t="n">
        <x:f>IF(ISNUMBER(I915),1,0)</x:f>
        <x:v>0</x:v>
      </x:c>
      <x:c r="AH915" t="str">
        <x:v>["8392","8392-GY-S-K","GY","灰色"]</x:v>
      </x:c>
      <x:c r="AI915" t="n">
        <x:f>IF(ISNUMBER(G915),1,0)</x:f>
        <x:v>0</x:v>
      </x:c>
      <x:c r="AJ915" t="n">
        <x:f>IF(ISNUMBER(AD915),1,0)</x:f>
        <x:v>0</x:v>
      </x:c>
    </x:row>
    <x:row r="916" ht="30" customHeight="1">
      <x:c r="A916" s="3" t="str">
        <x:v>8392-GY-S-K-39.5</x:v>
      </x:c>
      <x:c r="B916" s="3" t="str">
        <x:v>店铺待核</x:v>
      </x:c>
      <x:c r="C916" s="3" t="str">
        <x:v>徐新怡</x:v>
      </x:c>
      <x:c r="D916" s="3" t="str">
        <x:v>8392</x:v>
      </x:c>
      <x:c r="E916" s="3" t="str">
        <x:f>IF(Z916="移出","已移出",IF(NOT(ISNUMBER(H916)),"数据待核",IF(H916=0,"断货",IF(NOT(ISNUMBER(G916)),"数据待核",IF(G916=0,"零日销待复核",IF(F916&lt;60,"补货提醒",IF(F916&lt;=90,"正常库存",IF(F916&lt;180,"促销",IF(F916&lt;=365,"红线促销","考虑清仓")))))))))</x:f>
        <x:v>数据待核</x:v>
      </x:c>
      <x:c r="F916" s="11" t="str">
        <x:f>IF(AND(ISNUMBER(H916),ISNUMBER(G916),G916&gt;0),H916/G916,"")</x:f>
      </x:c>
      <x:c r="G916" s="12" t="str">
        <x:f>IF(AND(COUNT(P916:R916)=3,MIN(P916:R916)&gt;=0,P916&lt;=Q916,Q916&lt;=R916),P916/7*0.5+Q916/14*0.3+R916/30*0.2,"")</x:f>
      </x:c>
      <x:c r="H916" s="10" t="str">
        <x:f>IF(ISNUMBER(U916),U916,"")</x:f>
      </x:c>
      <x:c r="I916" s="10"/>
      <x:c r="J916" s="11" t="str">
        <x:f>IF(AND(Z916="共同",ISNUMBER(F916),ISNUMBER(M916)),F916-M916,"")</x:f>
      </x:c>
      <x:c r="K916" s="13" t="str">
        <x:f>IF(AND(ISNUMBER(J916),M916&lt;&gt;0),J916/M916,"")</x:f>
      </x:c>
      <x:c r="L916" s="10"/>
      <x:c r="M916" s="11"/>
      <x:c r="N916" s="10" t="str">
        <x:f>IF(AND(Z916="共同",COUNT(H916:I916)=2),H916-I916,"")</x:f>
      </x:c>
      <x:c r="O916" s="10" t="n">
        <x:v>0</x:v>
      </x:c>
      <x:c r="P916" s="10"/>
      <x:c r="Q916" s="10"/>
      <x:c r="R916" s="10"/>
      <x:c r="S916" s="10"/>
      <x:c r="T916" s="10"/>
      <x:c r="U916" s="10" t="str">
        <x:f>IF(AND(ISNUMBER(X916),X916&gt;=0,Y916&lt;&gt;1),X916,"")</x:f>
      </x:c>
      <x:c r="V916" s="10"/>
      <x:c r="W916" s="10"/>
      <x:c r="X916" s="10"/>
      <x:c r="Y916" s="3" t="n">
        <x:v>0</x:v>
      </x:c>
      <x:c r="Z916" s="3" t="str">
        <x:v>新增</x:v>
      </x:c>
      <x:c r="AA916" s="3" t="str">
        <x:v>未匹配Listing</x:v>
      </x:c>
      <x:c r="AB916" s="12" t="str">
        <x:f>IF(AND(Z916="共同",ISNUMBER(G916),ISNUMBER(AD916)),G916-AD916,"")</x:f>
      </x:c>
      <x:c r="AC916" s="3" t="str">
        <x:v>领星完整SKU未匹配Listing，店铺待核</x:v>
      </x:c>
      <x:c r="AD916" s="12"/>
      <x:c r="AE916" s="3" t="str">
        <x:v>[null,"8392-GY-S-K-39.5"]</x:v>
      </x:c>
      <x:c r="AF916" t="n">
        <x:f>IF(ISNUMBER(H916),1,0)</x:f>
        <x:v>0</x:v>
      </x:c>
      <x:c r="AG916" t="n">
        <x:f>IF(ISNUMBER(I916),1,0)</x:f>
        <x:v>0</x:v>
      </x:c>
      <x:c r="AH916" t="str">
        <x:v>["8392","8392-GY-S-K","GY","灰色"]</x:v>
      </x:c>
      <x:c r="AI916" t="n">
        <x:f>IF(ISNUMBER(G916),1,0)</x:f>
        <x:v>0</x:v>
      </x:c>
      <x:c r="AJ916" t="n">
        <x:f>IF(ISNUMBER(AD916),1,0)</x:f>
        <x:v>0</x:v>
      </x:c>
    </x:row>
    <x:row r="917" ht="30" customHeight="1">
      <x:c r="A917" s="3" t="str">
        <x:v>8392-GY-S-K-40.5</x:v>
      </x:c>
      <x:c r="B917" s="3" t="str">
        <x:v>店铺待核</x:v>
      </x:c>
      <x:c r="C917" s="3" t="str">
        <x:v>徐新怡</x:v>
      </x:c>
      <x:c r="D917" s="3" t="str">
        <x:v>8392</x:v>
      </x:c>
      <x:c r="E917" s="3" t="str">
        <x:f>IF(Z917="移出","已移出",IF(NOT(ISNUMBER(H917)),"数据待核",IF(H917=0,"断货",IF(NOT(ISNUMBER(G917)),"数据待核",IF(G917=0,"零日销待复核",IF(F917&lt;60,"补货提醒",IF(F917&lt;=90,"正常库存",IF(F917&lt;180,"促销",IF(F917&lt;=365,"红线促销","考虑清仓")))))))))</x:f>
        <x:v>数据待核</x:v>
      </x:c>
      <x:c r="F917" s="11" t="str">
        <x:f>IF(AND(ISNUMBER(H917),ISNUMBER(G917),G917&gt;0),H917/G917,"")</x:f>
      </x:c>
      <x:c r="G917" s="12" t="str">
        <x:f>IF(AND(COUNT(P917:R917)=3,MIN(P917:R917)&gt;=0,P917&lt;=Q917,Q917&lt;=R917),P917/7*0.5+Q917/14*0.3+R917/30*0.2,"")</x:f>
      </x:c>
      <x:c r="H917" s="10" t="str">
        <x:f>IF(ISNUMBER(U917),U917,"")</x:f>
      </x:c>
      <x:c r="I917" s="10"/>
      <x:c r="J917" s="11" t="str">
        <x:f>IF(AND(Z917="共同",ISNUMBER(F917),ISNUMBER(M917)),F917-M917,"")</x:f>
      </x:c>
      <x:c r="K917" s="13" t="str">
        <x:f>IF(AND(ISNUMBER(J917),M917&lt;&gt;0),J917/M917,"")</x:f>
      </x:c>
      <x:c r="L917" s="10"/>
      <x:c r="M917" s="11"/>
      <x:c r="N917" s="10" t="str">
        <x:f>IF(AND(Z917="共同",COUNT(H917:I917)=2),H917-I917,"")</x:f>
      </x:c>
      <x:c r="O917" s="10"/>
      <x:c r="P917" s="10"/>
      <x:c r="Q917" s="10"/>
      <x:c r="R917" s="10"/>
      <x:c r="S917" s="10"/>
      <x:c r="T917" s="10"/>
      <x:c r="U917" s="10" t="str">
        <x:f>IF(AND(ISNUMBER(X917),X917&gt;=0,Y917&lt;&gt;1),X917,"")</x:f>
      </x:c>
      <x:c r="V917" s="10"/>
      <x:c r="W917" s="10"/>
      <x:c r="X917" s="10"/>
      <x:c r="Y917" s="3" t="n">
        <x:v>0</x:v>
      </x:c>
      <x:c r="Z917" s="3" t="str">
        <x:v>新增</x:v>
      </x:c>
      <x:c r="AA917" s="3" t="str">
        <x:v>未匹配Listing</x:v>
      </x:c>
      <x:c r="AB917" s="12" t="str">
        <x:f>IF(AND(Z917="共同",ISNUMBER(G917),ISNUMBER(AD917)),G917-AD917,"")</x:f>
      </x:c>
      <x:c r="AC917" s="3" t="str">
        <x:v>领星完整SKU未匹配Listing，店铺待核</x:v>
      </x:c>
      <x:c r="AD917" s="12"/>
      <x:c r="AE917" s="3" t="str">
        <x:v>[null,"8392-GY-S-K-40.5"]</x:v>
      </x:c>
      <x:c r="AF917" t="n">
        <x:f>IF(ISNUMBER(H917),1,0)</x:f>
        <x:v>0</x:v>
      </x:c>
      <x:c r="AG917" t="n">
        <x:f>IF(ISNUMBER(I917),1,0)</x:f>
        <x:v>0</x:v>
      </x:c>
      <x:c r="AH917" t="str">
        <x:v>["8392","8392-GY-S-K","GY","灰色"]</x:v>
      </x:c>
      <x:c r="AI917" t="n">
        <x:f>IF(ISNUMBER(G917),1,0)</x:f>
        <x:v>0</x:v>
      </x:c>
      <x:c r="AJ917" t="n">
        <x:f>IF(ISNUMBER(AD917),1,0)</x:f>
        <x:v>0</x:v>
      </x:c>
    </x:row>
    <x:row r="918" ht="30" customHeight="1">
      <x:c r="A918" s="3" t="str">
        <x:v>8392-GY-S-K-41.5</x:v>
      </x:c>
      <x:c r="B918" s="3" t="str">
        <x:v>店铺待核</x:v>
      </x:c>
      <x:c r="C918" s="3" t="str">
        <x:v>徐新怡</x:v>
      </x:c>
      <x:c r="D918" s="3" t="str">
        <x:v>8392</x:v>
      </x:c>
      <x:c r="E918" s="3" t="str">
        <x:f>IF(Z918="移出","已移出",IF(NOT(ISNUMBER(H918)),"数据待核",IF(H918=0,"断货",IF(NOT(ISNUMBER(G918)),"数据待核",IF(G918=0,"零日销待复核",IF(F918&lt;60,"补货提醒",IF(F918&lt;=90,"正常库存",IF(F918&lt;180,"促销",IF(F918&lt;=365,"红线促销","考虑清仓")))))))))</x:f>
        <x:v>数据待核</x:v>
      </x:c>
      <x:c r="F918" s="11" t="str">
        <x:f>IF(AND(ISNUMBER(H918),ISNUMBER(G918),G918&gt;0),H918/G918,"")</x:f>
      </x:c>
      <x:c r="G918" s="12" t="str">
        <x:f>IF(AND(COUNT(P918:R918)=3,MIN(P918:R918)&gt;=0,P918&lt;=Q918,Q918&lt;=R918),P918/7*0.5+Q918/14*0.3+R918/30*0.2,"")</x:f>
      </x:c>
      <x:c r="H918" s="10" t="str">
        <x:f>IF(ISNUMBER(U918),U918,"")</x:f>
      </x:c>
      <x:c r="I918" s="10"/>
      <x:c r="J918" s="11" t="str">
        <x:f>IF(AND(Z918="共同",ISNUMBER(F918),ISNUMBER(M918)),F918-M918,"")</x:f>
      </x:c>
      <x:c r="K918" s="13" t="str">
        <x:f>IF(AND(ISNUMBER(J918),M918&lt;&gt;0),J918/M918,"")</x:f>
      </x:c>
      <x:c r="L918" s="10"/>
      <x:c r="M918" s="11"/>
      <x:c r="N918" s="10" t="str">
        <x:f>IF(AND(Z918="共同",COUNT(H918:I918)=2),H918-I918,"")</x:f>
      </x:c>
      <x:c r="O918" s="10"/>
      <x:c r="P918" s="10"/>
      <x:c r="Q918" s="10"/>
      <x:c r="R918" s="10"/>
      <x:c r="S918" s="10"/>
      <x:c r="T918" s="10"/>
      <x:c r="U918" s="10" t="str">
        <x:f>IF(AND(ISNUMBER(X918),X918&gt;=0,Y918&lt;&gt;1),X918,"")</x:f>
      </x:c>
      <x:c r="V918" s="10"/>
      <x:c r="W918" s="10"/>
      <x:c r="X918" s="10"/>
      <x:c r="Y918" s="3" t="n">
        <x:v>0</x:v>
      </x:c>
      <x:c r="Z918" s="3" t="str">
        <x:v>新增</x:v>
      </x:c>
      <x:c r="AA918" s="3" t="str">
        <x:v>未匹配Listing</x:v>
      </x:c>
      <x:c r="AB918" s="12" t="str">
        <x:f>IF(AND(Z918="共同",ISNUMBER(G918),ISNUMBER(AD918)),G918-AD918,"")</x:f>
      </x:c>
      <x:c r="AC918" s="3" t="str">
        <x:v>领星完整SKU未匹配Listing，店铺待核</x:v>
      </x:c>
      <x:c r="AD918" s="12"/>
      <x:c r="AE918" s="3" t="str">
        <x:v>[null,"8392-GY-S-K-41.5"]</x:v>
      </x:c>
      <x:c r="AF918" t="n">
        <x:f>IF(ISNUMBER(H918),1,0)</x:f>
        <x:v>0</x:v>
      </x:c>
      <x:c r="AG918" t="n">
        <x:f>IF(ISNUMBER(I918),1,0)</x:f>
        <x:v>0</x:v>
      </x:c>
      <x:c r="AH918" t="str">
        <x:v>["8392","8392-GY-S-K","GY","灰色"]</x:v>
      </x:c>
      <x:c r="AI918" t="n">
        <x:f>IF(ISNUMBER(G918),1,0)</x:f>
        <x:v>0</x:v>
      </x:c>
      <x:c r="AJ918" t="n">
        <x:f>IF(ISNUMBER(AD918),1,0)</x:f>
        <x:v>0</x:v>
      </x:c>
    </x:row>
    <x:row r="919" ht="30" customHeight="1">
      <x:c r="A919" s="3" t="str">
        <x:v>8392-GY-S-K-42</x:v>
      </x:c>
      <x:c r="B919" s="3" t="str">
        <x:v>店铺待核</x:v>
      </x:c>
      <x:c r="C919" s="3" t="str">
        <x:v>徐新怡</x:v>
      </x:c>
      <x:c r="D919" s="3" t="str">
        <x:v>8392</x:v>
      </x:c>
      <x:c r="E919" s="3" t="str">
        <x:f>IF(Z919="移出","已移出",IF(NOT(ISNUMBER(H919)),"数据待核",IF(H919=0,"断货",IF(NOT(ISNUMBER(G919)),"数据待核",IF(G919=0,"零日销待复核",IF(F919&lt;60,"补货提醒",IF(F919&lt;=90,"正常库存",IF(F919&lt;180,"促销",IF(F919&lt;=365,"红线促销","考虑清仓")))))))))</x:f>
        <x:v>数据待核</x:v>
      </x:c>
      <x:c r="F919" s="11" t="str">
        <x:f>IF(AND(ISNUMBER(H919),ISNUMBER(G919),G919&gt;0),H919/G919,"")</x:f>
      </x:c>
      <x:c r="G919" s="12" t="str">
        <x:f>IF(AND(COUNT(P919:R919)=3,MIN(P919:R919)&gt;=0,P919&lt;=Q919,Q919&lt;=R919),P919/7*0.5+Q919/14*0.3+R919/30*0.2,"")</x:f>
      </x:c>
      <x:c r="H919" s="10" t="str">
        <x:f>IF(ISNUMBER(U919),U919,"")</x:f>
      </x:c>
      <x:c r="I919" s="10"/>
      <x:c r="J919" s="11" t="str">
        <x:f>IF(AND(Z919="共同",ISNUMBER(F919),ISNUMBER(M919)),F919-M919,"")</x:f>
      </x:c>
      <x:c r="K919" s="13" t="str">
        <x:f>IF(AND(ISNUMBER(J919),M919&lt;&gt;0),J919/M919,"")</x:f>
      </x:c>
      <x:c r="L919" s="10"/>
      <x:c r="M919" s="11"/>
      <x:c r="N919" s="10" t="str">
        <x:f>IF(AND(Z919="共同",COUNT(H919:I919)=2),H919-I919,"")</x:f>
      </x:c>
      <x:c r="O919" s="10"/>
      <x:c r="P919" s="10"/>
      <x:c r="Q919" s="10"/>
      <x:c r="R919" s="10"/>
      <x:c r="S919" s="10"/>
      <x:c r="T919" s="10"/>
      <x:c r="U919" s="10" t="str">
        <x:f>IF(AND(ISNUMBER(X919),X919&gt;=0,Y919&lt;&gt;1),X919,"")</x:f>
      </x:c>
      <x:c r="V919" s="10"/>
      <x:c r="W919" s="10"/>
      <x:c r="X919" s="10"/>
      <x:c r="Y919" s="3" t="n">
        <x:v>0</x:v>
      </x:c>
      <x:c r="Z919" s="3" t="str">
        <x:v>新增</x:v>
      </x:c>
      <x:c r="AA919" s="3" t="str">
        <x:v>未匹配Listing</x:v>
      </x:c>
      <x:c r="AB919" s="12" t="str">
        <x:f>IF(AND(Z919="共同",ISNUMBER(G919),ISNUMBER(AD919)),G919-AD919,"")</x:f>
      </x:c>
      <x:c r="AC919" s="3" t="str">
        <x:v>领星完整SKU未匹配Listing，店铺待核</x:v>
      </x:c>
      <x:c r="AD919" s="12"/>
      <x:c r="AE919" s="3" t="str">
        <x:v>[null,"8392-GY-S-K-42"]</x:v>
      </x:c>
      <x:c r="AF919" t="n">
        <x:f>IF(ISNUMBER(H919),1,0)</x:f>
        <x:v>0</x:v>
      </x:c>
      <x:c r="AG919" t="n">
        <x:f>IF(ISNUMBER(I919),1,0)</x:f>
        <x:v>0</x:v>
      </x:c>
      <x:c r="AH919" t="str">
        <x:v>["8392","8392-GY-S-K","GY","灰色"]</x:v>
      </x:c>
      <x:c r="AI919" t="n">
        <x:f>IF(ISNUMBER(G919),1,0)</x:f>
        <x:v>0</x:v>
      </x:c>
      <x:c r="AJ919" t="n">
        <x:f>IF(ISNUMBER(AD919),1,0)</x:f>
        <x:v>0</x:v>
      </x:c>
    </x:row>
    <x:row r="920" ht="30" customHeight="1">
      <x:c r="A920" s="3" t="str">
        <x:v>8392-LP-37.5</x:v>
      </x:c>
      <x:c r="B920" s="3" t="str">
        <x:v>店铺待核</x:v>
      </x:c>
      <x:c r="C920" s="3" t="str">
        <x:v>徐新怡</x:v>
      </x:c>
      <x:c r="D920" s="3" t="str">
        <x:v>8392</x:v>
      </x:c>
      <x:c r="E920" s="3" t="str">
        <x:f>IF(Z920="移出","已移出",IF(NOT(ISNUMBER(H920)),"数据待核",IF(H920=0,"断货",IF(NOT(ISNUMBER(G920)),"数据待核",IF(G920=0,"零日销待复核",IF(F920&lt;60,"补货提醒",IF(F920&lt;=90,"正常库存",IF(F920&lt;180,"促销",IF(F920&lt;=365,"红线促销","考虑清仓")))))))))</x:f>
        <x:v>数据待核</x:v>
      </x:c>
      <x:c r="F920" s="11" t="str">
        <x:f>IF(AND(ISNUMBER(H920),ISNUMBER(G920),G920&gt;0),H920/G920,"")</x:f>
      </x:c>
      <x:c r="G920" s="12" t="str">
        <x:f>IF(AND(COUNT(P920:R920)=3,MIN(P920:R920)&gt;=0,P920&lt;=Q920,Q920&lt;=R920),P920/7*0.5+Q920/14*0.3+R920/30*0.2,"")</x:f>
      </x:c>
      <x:c r="H920" s="10" t="str">
        <x:f>IF(ISNUMBER(U920),U920,"")</x:f>
      </x:c>
      <x:c r="I920" s="10"/>
      <x:c r="J920" s="11" t="str">
        <x:f>IF(AND(Z920="共同",ISNUMBER(F920),ISNUMBER(M920)),F920-M920,"")</x:f>
      </x:c>
      <x:c r="K920" s="13" t="str">
        <x:f>IF(AND(ISNUMBER(J920),M920&lt;&gt;0),J920/M920,"")</x:f>
      </x:c>
      <x:c r="L920" s="10"/>
      <x:c r="M920" s="11"/>
      <x:c r="N920" s="10" t="str">
        <x:f>IF(AND(Z920="共同",COUNT(H920:I920)=2),H920-I920,"")</x:f>
      </x:c>
      <x:c r="O920" s="10" t="n">
        <x:v>0</x:v>
      </x:c>
      <x:c r="P920" s="10"/>
      <x:c r="Q920" s="10"/>
      <x:c r="R920" s="10"/>
      <x:c r="S920" s="10"/>
      <x:c r="T920" s="10"/>
      <x:c r="U920" s="10" t="str">
        <x:f>IF(AND(ISNUMBER(X920),X920&gt;=0,Y920&lt;&gt;1),X920,"")</x:f>
      </x:c>
      <x:c r="V920" s="10"/>
      <x:c r="W920" s="10"/>
      <x:c r="X920" s="10"/>
      <x:c r="Y920" s="3" t="n">
        <x:v>0</x:v>
      </x:c>
      <x:c r="Z920" s="3" t="str">
        <x:v>新增</x:v>
      </x:c>
      <x:c r="AA920" s="3" t="str">
        <x:v>未匹配Listing</x:v>
      </x:c>
      <x:c r="AB920" s="12" t="str">
        <x:f>IF(AND(Z920="共同",ISNUMBER(G920),ISNUMBER(AD920)),G920-AD920,"")</x:f>
      </x:c>
      <x:c r="AC920" s="3" t="str">
        <x:v>领星完整SKU未匹配Listing，店铺待核</x:v>
      </x:c>
      <x:c r="AD920" s="12"/>
      <x:c r="AE920" s="3" t="str">
        <x:v>[null,"8392-LP-37.5"]</x:v>
      </x:c>
      <x:c r="AF920" t="n">
        <x:f>IF(ISNUMBER(H920),1,0)</x:f>
        <x:v>0</x:v>
      </x:c>
      <x:c r="AG920" t="n">
        <x:f>IF(ISNUMBER(I920),1,0)</x:f>
        <x:v>0</x:v>
      </x:c>
      <x:c r="AH920" t="str">
        <x:v>["8392","8392-LP","LP","豹纹"]</x:v>
      </x:c>
      <x:c r="AI920" t="n">
        <x:f>IF(ISNUMBER(G920),1,0)</x:f>
        <x:v>0</x:v>
      </x:c>
      <x:c r="AJ920" t="n">
        <x:f>IF(ISNUMBER(AD920),1,0)</x:f>
        <x:v>0</x:v>
      </x:c>
    </x:row>
    <x:row r="921" ht="30" customHeight="1">
      <x:c r="A921" s="3" t="str">
        <x:v>8392-LP-40.5</x:v>
      </x:c>
      <x:c r="B921" s="3" t="str">
        <x:v>店铺待核</x:v>
      </x:c>
      <x:c r="C921" s="3" t="str">
        <x:v>徐新怡</x:v>
      </x:c>
      <x:c r="D921" s="3" t="str">
        <x:v>8392</x:v>
      </x:c>
      <x:c r="E921" s="3" t="str">
        <x:f>IF(Z921="移出","已移出",IF(NOT(ISNUMBER(H921)),"数据待核",IF(H921=0,"断货",IF(NOT(ISNUMBER(G921)),"数据待核",IF(G921=0,"零日销待复核",IF(F921&lt;60,"补货提醒",IF(F921&lt;=90,"正常库存",IF(F921&lt;180,"促销",IF(F921&lt;=365,"红线促销","考虑清仓")))))))))</x:f>
        <x:v>数据待核</x:v>
      </x:c>
      <x:c r="F921" s="11" t="str">
        <x:f>IF(AND(ISNUMBER(H921),ISNUMBER(G921),G921&gt;0),H921/G921,"")</x:f>
      </x:c>
      <x:c r="G921" s="12" t="str">
        <x:f>IF(AND(COUNT(P921:R921)=3,MIN(P921:R921)&gt;=0,P921&lt;=Q921,Q921&lt;=R921),P921/7*0.5+Q921/14*0.3+R921/30*0.2,"")</x:f>
      </x:c>
      <x:c r="H921" s="10" t="str">
        <x:f>IF(ISNUMBER(U921),U921,"")</x:f>
      </x:c>
      <x:c r="I921" s="10"/>
      <x:c r="J921" s="11" t="str">
        <x:f>IF(AND(Z921="共同",ISNUMBER(F921),ISNUMBER(M921)),F921-M921,"")</x:f>
      </x:c>
      <x:c r="K921" s="13" t="str">
        <x:f>IF(AND(ISNUMBER(J921),M921&lt;&gt;0),J921/M921,"")</x:f>
      </x:c>
      <x:c r="L921" s="10"/>
      <x:c r="M921" s="11"/>
      <x:c r="N921" s="10" t="str">
        <x:f>IF(AND(Z921="共同",COUNT(H921:I921)=2),H921-I921,"")</x:f>
      </x:c>
      <x:c r="O921" s="10" t="n">
        <x:v>0</x:v>
      </x:c>
      <x:c r="P921" s="10"/>
      <x:c r="Q921" s="10"/>
      <x:c r="R921" s="10"/>
      <x:c r="S921" s="10"/>
      <x:c r="T921" s="10"/>
      <x:c r="U921" s="10" t="str">
        <x:f>IF(AND(ISNUMBER(X921),X921&gt;=0,Y921&lt;&gt;1),X921,"")</x:f>
      </x:c>
      <x:c r="V921" s="10"/>
      <x:c r="W921" s="10"/>
      <x:c r="X921" s="10"/>
      <x:c r="Y921" s="3" t="n">
        <x:v>0</x:v>
      </x:c>
      <x:c r="Z921" s="3" t="str">
        <x:v>新增</x:v>
      </x:c>
      <x:c r="AA921" s="3" t="str">
        <x:v>未匹配Listing</x:v>
      </x:c>
      <x:c r="AB921" s="12" t="str">
        <x:f>IF(AND(Z921="共同",ISNUMBER(G921),ISNUMBER(AD921)),G921-AD921,"")</x:f>
      </x:c>
      <x:c r="AC921" s="3" t="str">
        <x:v>领星完整SKU未匹配Listing，店铺待核</x:v>
      </x:c>
      <x:c r="AD921" s="12"/>
      <x:c r="AE921" s="3" t="str">
        <x:v>[null,"8392-LP-40.5"]</x:v>
      </x:c>
      <x:c r="AF921" t="n">
        <x:f>IF(ISNUMBER(H921),1,0)</x:f>
        <x:v>0</x:v>
      </x:c>
      <x:c r="AG921" t="n">
        <x:f>IF(ISNUMBER(I921),1,0)</x:f>
        <x:v>0</x:v>
      </x:c>
      <x:c r="AH921" t="str">
        <x:v>["8392","8392-LP","LP","豹纹"]</x:v>
      </x:c>
      <x:c r="AI921" t="n">
        <x:f>IF(ISNUMBER(G921),1,0)</x:f>
        <x:v>0</x:v>
      </x:c>
      <x:c r="AJ921" t="n">
        <x:f>IF(ISNUMBER(AD921),1,0)</x:f>
        <x:v>0</x:v>
      </x:c>
    </x:row>
    <x:row r="922" ht="30" customHeight="1">
      <x:c r="A922" s="3" t="str">
        <x:v>8392-LP-41.5</x:v>
      </x:c>
      <x:c r="B922" s="3" t="str">
        <x:v>店铺待核</x:v>
      </x:c>
      <x:c r="C922" s="3" t="str">
        <x:v>徐新怡</x:v>
      </x:c>
      <x:c r="D922" s="3" t="str">
        <x:v>8392</x:v>
      </x:c>
      <x:c r="E922" s="3" t="str">
        <x:f>IF(Z922="移出","已移出",IF(NOT(ISNUMBER(H922)),"数据待核",IF(H922=0,"断货",IF(NOT(ISNUMBER(G922)),"数据待核",IF(G922=0,"零日销待复核",IF(F922&lt;60,"补货提醒",IF(F922&lt;=90,"正常库存",IF(F922&lt;180,"促销",IF(F922&lt;=365,"红线促销","考虑清仓")))))))))</x:f>
        <x:v>数据待核</x:v>
      </x:c>
      <x:c r="F922" s="11" t="str">
        <x:f>IF(AND(ISNUMBER(H922),ISNUMBER(G922),G922&gt;0),H922/G922,"")</x:f>
      </x:c>
      <x:c r="G922" s="12" t="str">
        <x:f>IF(AND(COUNT(P922:R922)=3,MIN(P922:R922)&gt;=0,P922&lt;=Q922,Q922&lt;=R922),P922/7*0.5+Q922/14*0.3+R922/30*0.2,"")</x:f>
      </x:c>
      <x:c r="H922" s="10" t="str">
        <x:f>IF(ISNUMBER(U922),U922,"")</x:f>
      </x:c>
      <x:c r="I922" s="10"/>
      <x:c r="J922" s="11" t="str">
        <x:f>IF(AND(Z922="共同",ISNUMBER(F922),ISNUMBER(M922)),F922-M922,"")</x:f>
      </x:c>
      <x:c r="K922" s="13" t="str">
        <x:f>IF(AND(ISNUMBER(J922),M922&lt;&gt;0),J922/M922,"")</x:f>
      </x:c>
      <x:c r="L922" s="10"/>
      <x:c r="M922" s="11"/>
      <x:c r="N922" s="10" t="str">
        <x:f>IF(AND(Z922="共同",COUNT(H922:I922)=2),H922-I922,"")</x:f>
      </x:c>
      <x:c r="O922" s="10" t="n">
        <x:v>0</x:v>
      </x:c>
      <x:c r="P922" s="10"/>
      <x:c r="Q922" s="10"/>
      <x:c r="R922" s="10"/>
      <x:c r="S922" s="10"/>
      <x:c r="T922" s="10"/>
      <x:c r="U922" s="10" t="str">
        <x:f>IF(AND(ISNUMBER(X922),X922&gt;=0,Y922&lt;&gt;1),X922,"")</x:f>
      </x:c>
      <x:c r="V922" s="10"/>
      <x:c r="W922" s="10"/>
      <x:c r="X922" s="10"/>
      <x:c r="Y922" s="3" t="n">
        <x:v>0</x:v>
      </x:c>
      <x:c r="Z922" s="3" t="str">
        <x:v>新增</x:v>
      </x:c>
      <x:c r="AA922" s="3" t="str">
        <x:v>未匹配Listing</x:v>
      </x:c>
      <x:c r="AB922" s="12" t="str">
        <x:f>IF(AND(Z922="共同",ISNUMBER(G922),ISNUMBER(AD922)),G922-AD922,"")</x:f>
      </x:c>
      <x:c r="AC922" s="3" t="str">
        <x:v>领星完整SKU未匹配Listing，店铺待核</x:v>
      </x:c>
      <x:c r="AD922" s="12"/>
      <x:c r="AE922" s="3" t="str">
        <x:v>[null,"8392-LP-41.5"]</x:v>
      </x:c>
      <x:c r="AF922" t="n">
        <x:f>IF(ISNUMBER(H922),1,0)</x:f>
        <x:v>0</x:v>
      </x:c>
      <x:c r="AG922" t="n">
        <x:f>IF(ISNUMBER(I922),1,0)</x:f>
        <x:v>0</x:v>
      </x:c>
      <x:c r="AH922" t="str">
        <x:v>["8392","8392-LP","LP","豹纹"]</x:v>
      </x:c>
      <x:c r="AI922" t="n">
        <x:f>IF(ISNUMBER(G922),1,0)</x:f>
        <x:v>0</x:v>
      </x:c>
      <x:c r="AJ922" t="n">
        <x:f>IF(ISNUMBER(AD922),1,0)</x:f>
        <x:v>0</x:v>
      </x:c>
    </x:row>
    <x:row r="923" ht="30" customHeight="1">
      <x:c r="A923" s="3" t="str">
        <x:v>8392-ND-37.5</x:v>
      </x:c>
      <x:c r="B923" s="3" t="str">
        <x:v>店铺待核</x:v>
      </x:c>
      <x:c r="C923" s="3" t="str">
        <x:v>徐新怡</x:v>
      </x:c>
      <x:c r="D923" s="3" t="str">
        <x:v>8392</x:v>
      </x:c>
      <x:c r="E923" s="3" t="str">
        <x:f>IF(Z923="移出","已移出",IF(NOT(ISNUMBER(H923)),"数据待核",IF(H923=0,"断货",IF(NOT(ISNUMBER(G923)),"数据待核",IF(G923=0,"零日销待复核",IF(F923&lt;60,"补货提醒",IF(F923&lt;=90,"正常库存",IF(F923&lt;180,"促销",IF(F923&lt;=365,"红线促销","考虑清仓")))))))))</x:f>
        <x:v>数据待核</x:v>
      </x:c>
      <x:c r="F923" s="11" t="str">
        <x:f>IF(AND(ISNUMBER(H923),ISNUMBER(G923),G923&gt;0),H923/G923,"")</x:f>
      </x:c>
      <x:c r="G923" s="12" t="str">
        <x:f>IF(AND(COUNT(P923:R923)=3,MIN(P923:R923)&gt;=0,P923&lt;=Q923,Q923&lt;=R923),P923/7*0.5+Q923/14*0.3+R923/30*0.2,"")</x:f>
      </x:c>
      <x:c r="H923" s="10" t="str">
        <x:f>IF(ISNUMBER(U923),U923,"")</x:f>
      </x:c>
      <x:c r="I923" s="10"/>
      <x:c r="J923" s="11" t="str">
        <x:f>IF(AND(Z923="共同",ISNUMBER(F923),ISNUMBER(M923)),F923-M923,"")</x:f>
      </x:c>
      <x:c r="K923" s="13" t="str">
        <x:f>IF(AND(ISNUMBER(J923),M923&lt;&gt;0),J923/M923,"")</x:f>
      </x:c>
      <x:c r="L923" s="10"/>
      <x:c r="M923" s="11"/>
      <x:c r="N923" s="10" t="str">
        <x:f>IF(AND(Z923="共同",COUNT(H923:I923)=2),H923-I923,"")</x:f>
      </x:c>
      <x:c r="O923" s="10" t="n">
        <x:v>0</x:v>
      </x:c>
      <x:c r="P923" s="10"/>
      <x:c r="Q923" s="10"/>
      <x:c r="R923" s="10"/>
      <x:c r="S923" s="10"/>
      <x:c r="T923" s="10"/>
      <x:c r="U923" s="10" t="str">
        <x:f>IF(AND(ISNUMBER(X923),X923&gt;=0,Y923&lt;&gt;1),X923,"")</x:f>
      </x:c>
      <x:c r="V923" s="10"/>
      <x:c r="W923" s="10"/>
      <x:c r="X923" s="10"/>
      <x:c r="Y923" s="3" t="n">
        <x:v>0</x:v>
      </x:c>
      <x:c r="Z923" s="3" t="str">
        <x:v>新增</x:v>
      </x:c>
      <x:c r="AA923" s="3" t="str">
        <x:v>未匹配Listing</x:v>
      </x:c>
      <x:c r="AB923" s="12" t="str">
        <x:f>IF(AND(Z923="共同",ISNUMBER(G923),ISNUMBER(AD923)),G923-AD923,"")</x:f>
      </x:c>
      <x:c r="AC923" s="3" t="str">
        <x:v>领星完整SKU未匹配Listing，店铺待核</x:v>
      </x:c>
      <x:c r="AD923" s="12"/>
      <x:c r="AE923" s="3" t="str">
        <x:v>[null,"8392-ND-37.5"]</x:v>
      </x:c>
      <x:c r="AF923" t="n">
        <x:f>IF(ISNUMBER(H923),1,0)</x:f>
        <x:v>0</x:v>
      </x:c>
      <x:c r="AG923" t="n">
        <x:f>IF(ISNUMBER(I923),1,0)</x:f>
        <x:v>0</x:v>
      </x:c>
      <x:c r="AH923" t="str">
        <x:v>["8392","8392-ND","ND","裸色"]</x:v>
      </x:c>
      <x:c r="AI923" t="n">
        <x:f>IF(ISNUMBER(G923),1,0)</x:f>
        <x:v>0</x:v>
      </x:c>
      <x:c r="AJ923" t="n">
        <x:f>IF(ISNUMBER(AD923),1,0)</x:f>
        <x:v>0</x:v>
      </x:c>
    </x:row>
    <x:row r="924" ht="30" customHeight="1">
      <x:c r="A924" s="3" t="str">
        <x:v>8392-ND-39.5</x:v>
      </x:c>
      <x:c r="B924" s="3" t="str">
        <x:v>店铺待核</x:v>
      </x:c>
      <x:c r="C924" s="3" t="str">
        <x:v>徐新怡</x:v>
      </x:c>
      <x:c r="D924" s="3" t="str">
        <x:v>8392</x:v>
      </x:c>
      <x:c r="E924" s="3" t="str">
        <x:f>IF(Z924="移出","已移出",IF(NOT(ISNUMBER(H924)),"数据待核",IF(H924=0,"断货",IF(NOT(ISNUMBER(G924)),"数据待核",IF(G924=0,"零日销待复核",IF(F924&lt;60,"补货提醒",IF(F924&lt;=90,"正常库存",IF(F924&lt;180,"促销",IF(F924&lt;=365,"红线促销","考虑清仓")))))))))</x:f>
        <x:v>数据待核</x:v>
      </x:c>
      <x:c r="F924" s="11" t="str">
        <x:f>IF(AND(ISNUMBER(H924),ISNUMBER(G924),G924&gt;0),H924/G924,"")</x:f>
      </x:c>
      <x:c r="G924" s="12" t="str">
        <x:f>IF(AND(COUNT(P924:R924)=3,MIN(P924:R924)&gt;=0,P924&lt;=Q924,Q924&lt;=R924),P924/7*0.5+Q924/14*0.3+R924/30*0.2,"")</x:f>
      </x:c>
      <x:c r="H924" s="10" t="str">
        <x:f>IF(ISNUMBER(U924),U924,"")</x:f>
      </x:c>
      <x:c r="I924" s="10"/>
      <x:c r="J924" s="11" t="str">
        <x:f>IF(AND(Z924="共同",ISNUMBER(F924),ISNUMBER(M924)),F924-M924,"")</x:f>
      </x:c>
      <x:c r="K924" s="13" t="str">
        <x:f>IF(AND(ISNUMBER(J924),M924&lt;&gt;0),J924/M924,"")</x:f>
      </x:c>
      <x:c r="L924" s="10"/>
      <x:c r="M924" s="11"/>
      <x:c r="N924" s="10" t="str">
        <x:f>IF(AND(Z924="共同",COUNT(H924:I924)=2),H924-I924,"")</x:f>
      </x:c>
      <x:c r="O924" s="10" t="n">
        <x:v>0</x:v>
      </x:c>
      <x:c r="P924" s="10"/>
      <x:c r="Q924" s="10"/>
      <x:c r="R924" s="10"/>
      <x:c r="S924" s="10"/>
      <x:c r="T924" s="10"/>
      <x:c r="U924" s="10" t="str">
        <x:f>IF(AND(ISNUMBER(X924),X924&gt;=0,Y924&lt;&gt;1),X924,"")</x:f>
      </x:c>
      <x:c r="V924" s="10"/>
      <x:c r="W924" s="10"/>
      <x:c r="X924" s="10"/>
      <x:c r="Y924" s="3" t="n">
        <x:v>0</x:v>
      </x:c>
      <x:c r="Z924" s="3" t="str">
        <x:v>新增</x:v>
      </x:c>
      <x:c r="AA924" s="3" t="str">
        <x:v>未匹配Listing</x:v>
      </x:c>
      <x:c r="AB924" s="12" t="str">
        <x:f>IF(AND(Z924="共同",ISNUMBER(G924),ISNUMBER(AD924)),G924-AD924,"")</x:f>
      </x:c>
      <x:c r="AC924" s="3" t="str">
        <x:v>领星完整SKU未匹配Listing，店铺待核</x:v>
      </x:c>
      <x:c r="AD924" s="12"/>
      <x:c r="AE924" s="3" t="str">
        <x:v>[null,"8392-ND-39.5"]</x:v>
      </x:c>
      <x:c r="AF924" t="n">
        <x:f>IF(ISNUMBER(H924),1,0)</x:f>
        <x:v>0</x:v>
      </x:c>
      <x:c r="AG924" t="n">
        <x:f>IF(ISNUMBER(I924),1,0)</x:f>
        <x:v>0</x:v>
      </x:c>
      <x:c r="AH924" t="str">
        <x:v>["8392","8392-ND","ND","裸色"]</x:v>
      </x:c>
      <x:c r="AI924" t="n">
        <x:f>IF(ISNUMBER(G924),1,0)</x:f>
        <x:v>0</x:v>
      </x:c>
      <x:c r="AJ924" t="n">
        <x:f>IF(ISNUMBER(AD924),1,0)</x:f>
        <x:v>0</x:v>
      </x:c>
    </x:row>
    <x:row r="925" ht="30" customHeight="1">
      <x:c r="A925" s="3" t="str">
        <x:v>8392-ND-40.5</x:v>
      </x:c>
      <x:c r="B925" s="3" t="str">
        <x:v>店铺待核</x:v>
      </x:c>
      <x:c r="C925" s="3" t="str">
        <x:v>徐新怡</x:v>
      </x:c>
      <x:c r="D925" s="3" t="str">
        <x:v>8392</x:v>
      </x:c>
      <x:c r="E925" s="3" t="str">
        <x:f>IF(Z925="移出","已移出",IF(NOT(ISNUMBER(H925)),"数据待核",IF(H925=0,"断货",IF(NOT(ISNUMBER(G925)),"数据待核",IF(G925=0,"零日销待复核",IF(F925&lt;60,"补货提醒",IF(F925&lt;=90,"正常库存",IF(F925&lt;180,"促销",IF(F925&lt;=365,"红线促销","考虑清仓")))))))))</x:f>
        <x:v>数据待核</x:v>
      </x:c>
      <x:c r="F925" s="11" t="str">
        <x:f>IF(AND(ISNUMBER(H925),ISNUMBER(G925),G925&gt;0),H925/G925,"")</x:f>
      </x:c>
      <x:c r="G925" s="12" t="str">
        <x:f>IF(AND(COUNT(P925:R925)=3,MIN(P925:R925)&gt;=0,P925&lt;=Q925,Q925&lt;=R925),P925/7*0.5+Q925/14*0.3+R925/30*0.2,"")</x:f>
      </x:c>
      <x:c r="H925" s="10" t="str">
        <x:f>IF(ISNUMBER(U925),U925,"")</x:f>
      </x:c>
      <x:c r="I925" s="10"/>
      <x:c r="J925" s="11" t="str">
        <x:f>IF(AND(Z925="共同",ISNUMBER(F925),ISNUMBER(M925)),F925-M925,"")</x:f>
      </x:c>
      <x:c r="K925" s="13" t="str">
        <x:f>IF(AND(ISNUMBER(J925),M925&lt;&gt;0),J925/M925,"")</x:f>
      </x:c>
      <x:c r="L925" s="10"/>
      <x:c r="M925" s="11"/>
      <x:c r="N925" s="10" t="str">
        <x:f>IF(AND(Z925="共同",COUNT(H925:I925)=2),H925-I925,"")</x:f>
      </x:c>
      <x:c r="O925" s="10" t="n">
        <x:v>0</x:v>
      </x:c>
      <x:c r="P925" s="10"/>
      <x:c r="Q925" s="10"/>
      <x:c r="R925" s="10"/>
      <x:c r="S925" s="10"/>
      <x:c r="T925" s="10"/>
      <x:c r="U925" s="10" t="str">
        <x:f>IF(AND(ISNUMBER(X925),X925&gt;=0,Y925&lt;&gt;1),X925,"")</x:f>
      </x:c>
      <x:c r="V925" s="10"/>
      <x:c r="W925" s="10"/>
      <x:c r="X925" s="10"/>
      <x:c r="Y925" s="3" t="n">
        <x:v>0</x:v>
      </x:c>
      <x:c r="Z925" s="3" t="str">
        <x:v>新增</x:v>
      </x:c>
      <x:c r="AA925" s="3" t="str">
        <x:v>未匹配Listing</x:v>
      </x:c>
      <x:c r="AB925" s="12" t="str">
        <x:f>IF(AND(Z925="共同",ISNUMBER(G925),ISNUMBER(AD925)),G925-AD925,"")</x:f>
      </x:c>
      <x:c r="AC925" s="3" t="str">
        <x:v>领星完整SKU未匹配Listing，店铺待核</x:v>
      </x:c>
      <x:c r="AD925" s="12"/>
      <x:c r="AE925" s="3" t="str">
        <x:v>[null,"8392-ND-40.5"]</x:v>
      </x:c>
      <x:c r="AF925" t="n">
        <x:f>IF(ISNUMBER(H925),1,0)</x:f>
        <x:v>0</x:v>
      </x:c>
      <x:c r="AG925" t="n">
        <x:f>IF(ISNUMBER(I925),1,0)</x:f>
        <x:v>0</x:v>
      </x:c>
      <x:c r="AH925" t="str">
        <x:v>["8392","8392-ND","ND","裸色"]</x:v>
      </x:c>
      <x:c r="AI925" t="n">
        <x:f>IF(ISNUMBER(G925),1,0)</x:f>
        <x:v>0</x:v>
      </x:c>
      <x:c r="AJ925" t="n">
        <x:f>IF(ISNUMBER(AD925),1,0)</x:f>
        <x:v>0</x:v>
      </x:c>
    </x:row>
    <x:row r="926" ht="30" customHeight="1">
      <x:c r="A926" s="3" t="str">
        <x:v>8392-ND-41.5</x:v>
      </x:c>
      <x:c r="B926" s="3" t="str">
        <x:v>店铺待核</x:v>
      </x:c>
      <x:c r="C926" s="3" t="str">
        <x:v>徐新怡</x:v>
      </x:c>
      <x:c r="D926" s="3" t="str">
        <x:v>8392</x:v>
      </x:c>
      <x:c r="E926" s="3" t="str">
        <x:f>IF(Z926="移出","已移出",IF(NOT(ISNUMBER(H926)),"数据待核",IF(H926=0,"断货",IF(NOT(ISNUMBER(G926)),"数据待核",IF(G926=0,"零日销待复核",IF(F926&lt;60,"补货提醒",IF(F926&lt;=90,"正常库存",IF(F926&lt;180,"促销",IF(F926&lt;=365,"红线促销","考虑清仓")))))))))</x:f>
        <x:v>数据待核</x:v>
      </x:c>
      <x:c r="F926" s="11" t="str">
        <x:f>IF(AND(ISNUMBER(H926),ISNUMBER(G926),G926&gt;0),H926/G926,"")</x:f>
      </x:c>
      <x:c r="G926" s="12" t="str">
        <x:f>IF(AND(COUNT(P926:R926)=3,MIN(P926:R926)&gt;=0,P926&lt;=Q926,Q926&lt;=R926),P926/7*0.5+Q926/14*0.3+R926/30*0.2,"")</x:f>
      </x:c>
      <x:c r="H926" s="10" t="str">
        <x:f>IF(ISNUMBER(U926),U926,"")</x:f>
      </x:c>
      <x:c r="I926" s="10"/>
      <x:c r="J926" s="11" t="str">
        <x:f>IF(AND(Z926="共同",ISNUMBER(F926),ISNUMBER(M926)),F926-M926,"")</x:f>
      </x:c>
      <x:c r="K926" s="13" t="str">
        <x:f>IF(AND(ISNUMBER(J926),M926&lt;&gt;0),J926/M926,"")</x:f>
      </x:c>
      <x:c r="L926" s="10"/>
      <x:c r="M926" s="11"/>
      <x:c r="N926" s="10" t="str">
        <x:f>IF(AND(Z926="共同",COUNT(H926:I926)=2),H926-I926,"")</x:f>
      </x:c>
      <x:c r="O926" s="10" t="n">
        <x:v>0</x:v>
      </x:c>
      <x:c r="P926" s="10"/>
      <x:c r="Q926" s="10"/>
      <x:c r="R926" s="10"/>
      <x:c r="S926" s="10"/>
      <x:c r="T926" s="10"/>
      <x:c r="U926" s="10" t="str">
        <x:f>IF(AND(ISNUMBER(X926),X926&gt;=0,Y926&lt;&gt;1),X926,"")</x:f>
      </x:c>
      <x:c r="V926" s="10"/>
      <x:c r="W926" s="10"/>
      <x:c r="X926" s="10"/>
      <x:c r="Y926" s="3" t="n">
        <x:v>0</x:v>
      </x:c>
      <x:c r="Z926" s="3" t="str">
        <x:v>新增</x:v>
      </x:c>
      <x:c r="AA926" s="3" t="str">
        <x:v>未匹配Listing</x:v>
      </x:c>
      <x:c r="AB926" s="12" t="str">
        <x:f>IF(AND(Z926="共同",ISNUMBER(G926),ISNUMBER(AD926)),G926-AD926,"")</x:f>
      </x:c>
      <x:c r="AC926" s="3" t="str">
        <x:v>领星完整SKU未匹配Listing，店铺待核</x:v>
      </x:c>
      <x:c r="AD926" s="12"/>
      <x:c r="AE926" s="3" t="str">
        <x:v>[null,"8392-ND-41.5"]</x:v>
      </x:c>
      <x:c r="AF926" t="n">
        <x:f>IF(ISNUMBER(H926),1,0)</x:f>
        <x:v>0</x:v>
      </x:c>
      <x:c r="AG926" t="n">
        <x:f>IF(ISNUMBER(I926),1,0)</x:f>
        <x:v>0</x:v>
      </x:c>
      <x:c r="AH926" t="str">
        <x:v>["8392","8392-ND","ND","裸色"]</x:v>
      </x:c>
      <x:c r="AI926" t="n">
        <x:f>IF(ISNUMBER(G926),1,0)</x:f>
        <x:v>0</x:v>
      </x:c>
      <x:c r="AJ926" t="n">
        <x:f>IF(ISNUMBER(AD926),1,0)</x:f>
        <x:v>0</x:v>
      </x:c>
    </x:row>
    <x:row r="927" ht="30" customHeight="1">
      <x:c r="A927" s="3" t="str">
        <x:v>8392-NY-S-K-37.5</x:v>
      </x:c>
      <x:c r="B927" s="3" t="str">
        <x:v>店铺待核</x:v>
      </x:c>
      <x:c r="C927" s="3" t="str">
        <x:v>徐新怡</x:v>
      </x:c>
      <x:c r="D927" s="3" t="str">
        <x:v>8392</x:v>
      </x:c>
      <x:c r="E927" s="3" t="str">
        <x:f>IF(Z927="移出","已移出",IF(NOT(ISNUMBER(H927)),"数据待核",IF(H927=0,"断货",IF(NOT(ISNUMBER(G927)),"数据待核",IF(G927=0,"零日销待复核",IF(F927&lt;60,"补货提醒",IF(F927&lt;=90,"正常库存",IF(F927&lt;180,"促销",IF(F927&lt;=365,"红线促销","考虑清仓")))))))))</x:f>
        <x:v>数据待核</x:v>
      </x:c>
      <x:c r="F927" s="11" t="str">
        <x:f>IF(AND(ISNUMBER(H927),ISNUMBER(G927),G927&gt;0),H927/G927,"")</x:f>
      </x:c>
      <x:c r="G927" s="12" t="str">
        <x:f>IF(AND(COUNT(P927:R927)=3,MIN(P927:R927)&gt;=0,P927&lt;=Q927,Q927&lt;=R927),P927/7*0.5+Q927/14*0.3+R927/30*0.2,"")</x:f>
      </x:c>
      <x:c r="H927" s="10" t="str">
        <x:f>IF(ISNUMBER(U927),U927,"")</x:f>
      </x:c>
      <x:c r="I927" s="10"/>
      <x:c r="J927" s="11" t="str">
        <x:f>IF(AND(Z927="共同",ISNUMBER(F927),ISNUMBER(M927)),F927-M927,"")</x:f>
      </x:c>
      <x:c r="K927" s="13" t="str">
        <x:f>IF(AND(ISNUMBER(J927),M927&lt;&gt;0),J927/M927,"")</x:f>
      </x:c>
      <x:c r="L927" s="10"/>
      <x:c r="M927" s="11"/>
      <x:c r="N927" s="10" t="str">
        <x:f>IF(AND(Z927="共同",COUNT(H927:I927)=2),H927-I927,"")</x:f>
      </x:c>
      <x:c r="O927" s="10"/>
      <x:c r="P927" s="10"/>
      <x:c r="Q927" s="10"/>
      <x:c r="R927" s="10"/>
      <x:c r="S927" s="10"/>
      <x:c r="T927" s="10"/>
      <x:c r="U927" s="10" t="str">
        <x:f>IF(AND(ISNUMBER(X927),X927&gt;=0,Y927&lt;&gt;1),X927,"")</x:f>
      </x:c>
      <x:c r="V927" s="10"/>
      <x:c r="W927" s="10"/>
      <x:c r="X927" s="10"/>
      <x:c r="Y927" s="3" t="n">
        <x:v>0</x:v>
      </x:c>
      <x:c r="Z927" s="3" t="str">
        <x:v>新增</x:v>
      </x:c>
      <x:c r="AA927" s="3" t="str">
        <x:v>未匹配Listing</x:v>
      </x:c>
      <x:c r="AB927" s="12" t="str">
        <x:f>IF(AND(Z927="共同",ISNUMBER(G927),ISNUMBER(AD927)),G927-AD927,"")</x:f>
      </x:c>
      <x:c r="AC927" s="3" t="str">
        <x:v>领星完整SKU未匹配Listing，店铺待核</x:v>
      </x:c>
      <x:c r="AD927" s="12"/>
      <x:c r="AE927" s="3" t="str">
        <x:v>[null,"8392-NY-S-K-37.5"]</x:v>
      </x:c>
      <x:c r="AF927" t="n">
        <x:f>IF(ISNUMBER(H927),1,0)</x:f>
        <x:v>0</x:v>
      </x:c>
      <x:c r="AG927" t="n">
        <x:f>IF(ISNUMBER(I927),1,0)</x:f>
        <x:v>0</x:v>
      </x:c>
      <x:c r="AH927" t="str">
        <x:v>["8392","8392-NY-S-K","NY","藏青色"]</x:v>
      </x:c>
      <x:c r="AI927" t="n">
        <x:f>IF(ISNUMBER(G927),1,0)</x:f>
        <x:v>0</x:v>
      </x:c>
      <x:c r="AJ927" t="n">
        <x:f>IF(ISNUMBER(AD927),1,0)</x:f>
        <x:v>0</x:v>
      </x:c>
    </x:row>
    <x:row r="928" ht="30" customHeight="1">
      <x:c r="A928" s="3" t="str">
        <x:v>8392-NY-S-K-38.5</x:v>
      </x:c>
      <x:c r="B928" s="3" t="str">
        <x:v>店铺待核</x:v>
      </x:c>
      <x:c r="C928" s="3" t="str">
        <x:v>徐新怡</x:v>
      </x:c>
      <x:c r="D928" s="3" t="str">
        <x:v>8392</x:v>
      </x:c>
      <x:c r="E928" s="3" t="str">
        <x:f>IF(Z928="移出","已移出",IF(NOT(ISNUMBER(H928)),"数据待核",IF(H928=0,"断货",IF(NOT(ISNUMBER(G928)),"数据待核",IF(G928=0,"零日销待复核",IF(F928&lt;60,"补货提醒",IF(F928&lt;=90,"正常库存",IF(F928&lt;180,"促销",IF(F928&lt;=365,"红线促销","考虑清仓")))))))))</x:f>
        <x:v>数据待核</x:v>
      </x:c>
      <x:c r="F928" s="11" t="str">
        <x:f>IF(AND(ISNUMBER(H928),ISNUMBER(G928),G928&gt;0),H928/G928,"")</x:f>
      </x:c>
      <x:c r="G928" s="12" t="str">
        <x:f>IF(AND(COUNT(P928:R928)=3,MIN(P928:R928)&gt;=0,P928&lt;=Q928,Q928&lt;=R928),P928/7*0.5+Q928/14*0.3+R928/30*0.2,"")</x:f>
      </x:c>
      <x:c r="H928" s="10" t="str">
        <x:f>IF(ISNUMBER(U928),U928,"")</x:f>
      </x:c>
      <x:c r="I928" s="10"/>
      <x:c r="J928" s="11" t="str">
        <x:f>IF(AND(Z928="共同",ISNUMBER(F928),ISNUMBER(M928)),F928-M928,"")</x:f>
      </x:c>
      <x:c r="K928" s="13" t="str">
        <x:f>IF(AND(ISNUMBER(J928),M928&lt;&gt;0),J928/M928,"")</x:f>
      </x:c>
      <x:c r="L928" s="10"/>
      <x:c r="M928" s="11"/>
      <x:c r="N928" s="10" t="str">
        <x:f>IF(AND(Z928="共同",COUNT(H928:I928)=2),H928-I928,"")</x:f>
      </x:c>
      <x:c r="O928" s="10" t="n">
        <x:v>0</x:v>
      </x:c>
      <x:c r="P928" s="10"/>
      <x:c r="Q928" s="10"/>
      <x:c r="R928" s="10"/>
      <x:c r="S928" s="10"/>
      <x:c r="T928" s="10"/>
      <x:c r="U928" s="10" t="str">
        <x:f>IF(AND(ISNUMBER(X928),X928&gt;=0,Y928&lt;&gt;1),X928,"")</x:f>
      </x:c>
      <x:c r="V928" s="10"/>
      <x:c r="W928" s="10"/>
      <x:c r="X928" s="10"/>
      <x:c r="Y928" s="3" t="n">
        <x:v>0</x:v>
      </x:c>
      <x:c r="Z928" s="3" t="str">
        <x:v>新增</x:v>
      </x:c>
      <x:c r="AA928" s="3" t="str">
        <x:v>未匹配Listing</x:v>
      </x:c>
      <x:c r="AB928" s="12" t="str">
        <x:f>IF(AND(Z928="共同",ISNUMBER(G928),ISNUMBER(AD928)),G928-AD928,"")</x:f>
      </x:c>
      <x:c r="AC928" s="3" t="str">
        <x:v>领星完整SKU未匹配Listing，店铺待核</x:v>
      </x:c>
      <x:c r="AD928" s="12"/>
      <x:c r="AE928" s="3" t="str">
        <x:v>[null,"8392-NY-S-K-38.5"]</x:v>
      </x:c>
      <x:c r="AF928" t="n">
        <x:f>IF(ISNUMBER(H928),1,0)</x:f>
        <x:v>0</x:v>
      </x:c>
      <x:c r="AG928" t="n">
        <x:f>IF(ISNUMBER(I928),1,0)</x:f>
        <x:v>0</x:v>
      </x:c>
      <x:c r="AH928" t="str">
        <x:v>["8392","8392-NY-S-K","NY","藏青色"]</x:v>
      </x:c>
      <x:c r="AI928" t="n">
        <x:f>IF(ISNUMBER(G928),1,0)</x:f>
        <x:v>0</x:v>
      </x:c>
      <x:c r="AJ928" t="n">
        <x:f>IF(ISNUMBER(AD928),1,0)</x:f>
        <x:v>0</x:v>
      </x:c>
    </x:row>
    <x:row r="929" ht="30" customHeight="1">
      <x:c r="A929" s="3" t="str">
        <x:v>8392-NY-S-K-39.5</x:v>
      </x:c>
      <x:c r="B929" s="3" t="str">
        <x:v>店铺待核</x:v>
      </x:c>
      <x:c r="C929" s="3" t="str">
        <x:v>徐新怡</x:v>
      </x:c>
      <x:c r="D929" s="3" t="str">
        <x:v>8392</x:v>
      </x:c>
      <x:c r="E929" s="3" t="str">
        <x:f>IF(Z929="移出","已移出",IF(NOT(ISNUMBER(H929)),"数据待核",IF(H929=0,"断货",IF(NOT(ISNUMBER(G929)),"数据待核",IF(G929=0,"零日销待复核",IF(F929&lt;60,"补货提醒",IF(F929&lt;=90,"正常库存",IF(F929&lt;180,"促销",IF(F929&lt;=365,"红线促销","考虑清仓")))))))))</x:f>
        <x:v>数据待核</x:v>
      </x:c>
      <x:c r="F929" s="11" t="str">
        <x:f>IF(AND(ISNUMBER(H929),ISNUMBER(G929),G929&gt;0),H929/G929,"")</x:f>
      </x:c>
      <x:c r="G929" s="12" t="str">
        <x:f>IF(AND(COUNT(P929:R929)=3,MIN(P929:R929)&gt;=0,P929&lt;=Q929,Q929&lt;=R929),P929/7*0.5+Q929/14*0.3+R929/30*0.2,"")</x:f>
      </x:c>
      <x:c r="H929" s="10" t="str">
        <x:f>IF(ISNUMBER(U929),U929,"")</x:f>
      </x:c>
      <x:c r="I929" s="10"/>
      <x:c r="J929" s="11" t="str">
        <x:f>IF(AND(Z929="共同",ISNUMBER(F929),ISNUMBER(M929)),F929-M929,"")</x:f>
      </x:c>
      <x:c r="K929" s="13" t="str">
        <x:f>IF(AND(ISNUMBER(J929),M929&lt;&gt;0),J929/M929,"")</x:f>
      </x:c>
      <x:c r="L929" s="10"/>
      <x:c r="M929" s="11"/>
      <x:c r="N929" s="10" t="str">
        <x:f>IF(AND(Z929="共同",COUNT(H929:I929)=2),H929-I929,"")</x:f>
      </x:c>
      <x:c r="O929" s="10"/>
      <x:c r="P929" s="10"/>
      <x:c r="Q929" s="10"/>
      <x:c r="R929" s="10"/>
      <x:c r="S929" s="10"/>
      <x:c r="T929" s="10"/>
      <x:c r="U929" s="10" t="str">
        <x:f>IF(AND(ISNUMBER(X929),X929&gt;=0,Y929&lt;&gt;1),X929,"")</x:f>
      </x:c>
      <x:c r="V929" s="10"/>
      <x:c r="W929" s="10"/>
      <x:c r="X929" s="10"/>
      <x:c r="Y929" s="3" t="n">
        <x:v>0</x:v>
      </x:c>
      <x:c r="Z929" s="3" t="str">
        <x:v>新增</x:v>
      </x:c>
      <x:c r="AA929" s="3" t="str">
        <x:v>未匹配Listing</x:v>
      </x:c>
      <x:c r="AB929" s="12" t="str">
        <x:f>IF(AND(Z929="共同",ISNUMBER(G929),ISNUMBER(AD929)),G929-AD929,"")</x:f>
      </x:c>
      <x:c r="AC929" s="3" t="str">
        <x:v>领星完整SKU未匹配Listing，店铺待核</x:v>
      </x:c>
      <x:c r="AD929" s="12"/>
      <x:c r="AE929" s="3" t="str">
        <x:v>[null,"8392-NY-S-K-39.5"]</x:v>
      </x:c>
      <x:c r="AF929" t="n">
        <x:f>IF(ISNUMBER(H929),1,0)</x:f>
        <x:v>0</x:v>
      </x:c>
      <x:c r="AG929" t="n">
        <x:f>IF(ISNUMBER(I929),1,0)</x:f>
        <x:v>0</x:v>
      </x:c>
      <x:c r="AH929" t="str">
        <x:v>["8392","8392-NY-S-K","NY","藏青色"]</x:v>
      </x:c>
      <x:c r="AI929" t="n">
        <x:f>IF(ISNUMBER(G929),1,0)</x:f>
        <x:v>0</x:v>
      </x:c>
      <x:c r="AJ929" t="n">
        <x:f>IF(ISNUMBER(AD929),1,0)</x:f>
        <x:v>0</x:v>
      </x:c>
    </x:row>
    <x:row r="930" ht="30" customHeight="1">
      <x:c r="A930" s="3" t="str">
        <x:v>8392-RD-S-K-37.5</x:v>
      </x:c>
      <x:c r="B930" s="3" t="str">
        <x:v>店铺待核</x:v>
      </x:c>
      <x:c r="C930" s="3" t="str">
        <x:v>徐新怡</x:v>
      </x:c>
      <x:c r="D930" s="3" t="str">
        <x:v>8392</x:v>
      </x:c>
      <x:c r="E930" s="3" t="str">
        <x:f>IF(Z930="移出","已移出",IF(NOT(ISNUMBER(H930)),"数据待核",IF(H930=0,"断货",IF(NOT(ISNUMBER(G930)),"数据待核",IF(G930=0,"零日销待复核",IF(F930&lt;60,"补货提醒",IF(F930&lt;=90,"正常库存",IF(F930&lt;180,"促销",IF(F930&lt;=365,"红线促销","考虑清仓")))))))))</x:f>
        <x:v>数据待核</x:v>
      </x:c>
      <x:c r="F930" s="11" t="str">
        <x:f>IF(AND(ISNUMBER(H930),ISNUMBER(G930),G930&gt;0),H930/G930,"")</x:f>
      </x:c>
      <x:c r="G930" s="12" t="str">
        <x:f>IF(AND(COUNT(P930:R930)=3,MIN(P930:R930)&gt;=0,P930&lt;=Q930,Q930&lt;=R930),P930/7*0.5+Q930/14*0.3+R930/30*0.2,"")</x:f>
      </x:c>
      <x:c r="H930" s="10" t="str">
        <x:f>IF(ISNUMBER(U930),U930,"")</x:f>
      </x:c>
      <x:c r="I930" s="10"/>
      <x:c r="J930" s="11" t="str">
        <x:f>IF(AND(Z930="共同",ISNUMBER(F930),ISNUMBER(M930)),F930-M930,"")</x:f>
      </x:c>
      <x:c r="K930" s="13" t="str">
        <x:f>IF(AND(ISNUMBER(J930),M930&lt;&gt;0),J930/M930,"")</x:f>
      </x:c>
      <x:c r="L930" s="10"/>
      <x:c r="M930" s="11"/>
      <x:c r="N930" s="10" t="str">
        <x:f>IF(AND(Z930="共同",COUNT(H930:I930)=2),H930-I930,"")</x:f>
      </x:c>
      <x:c r="O930" s="10"/>
      <x:c r="P930" s="10"/>
      <x:c r="Q930" s="10"/>
      <x:c r="R930" s="10"/>
      <x:c r="S930" s="10"/>
      <x:c r="T930" s="10"/>
      <x:c r="U930" s="10" t="str">
        <x:f>IF(AND(ISNUMBER(X930),X930&gt;=0,Y930&lt;&gt;1),X930,"")</x:f>
      </x:c>
      <x:c r="V930" s="10"/>
      <x:c r="W930" s="10"/>
      <x:c r="X930" s="10"/>
      <x:c r="Y930" s="3" t="n">
        <x:v>0</x:v>
      </x:c>
      <x:c r="Z930" s="3" t="str">
        <x:v>新增</x:v>
      </x:c>
      <x:c r="AA930" s="3" t="str">
        <x:v>未匹配Listing</x:v>
      </x:c>
      <x:c r="AB930" s="12" t="str">
        <x:f>IF(AND(Z930="共同",ISNUMBER(G930),ISNUMBER(AD930)),G930-AD930,"")</x:f>
      </x:c>
      <x:c r="AC930" s="3" t="str">
        <x:v>领星完整SKU未匹配Listing，店铺待核</x:v>
      </x:c>
      <x:c r="AD930" s="12"/>
      <x:c r="AE930" s="3" t="str">
        <x:v>[null,"8392-RD-S-K-37.5"]</x:v>
      </x:c>
      <x:c r="AF930" t="n">
        <x:f>IF(ISNUMBER(H930),1,0)</x:f>
        <x:v>0</x:v>
      </x:c>
      <x:c r="AG930" t="n">
        <x:f>IF(ISNUMBER(I930),1,0)</x:f>
        <x:v>0</x:v>
      </x:c>
      <x:c r="AH930" t="str">
        <x:v>["8392","8392-RD-S-K","RD","红色"]</x:v>
      </x:c>
      <x:c r="AI930" t="n">
        <x:f>IF(ISNUMBER(G930),1,0)</x:f>
        <x:v>0</x:v>
      </x:c>
      <x:c r="AJ930" t="n">
        <x:f>IF(ISNUMBER(AD930),1,0)</x:f>
        <x:v>0</x:v>
      </x:c>
    </x:row>
    <x:row r="931" ht="30" customHeight="1">
      <x:c r="A931" s="3" t="str">
        <x:v>8392-RD-S-K-38.5</x:v>
      </x:c>
      <x:c r="B931" s="3" t="str">
        <x:v>店铺待核</x:v>
      </x:c>
      <x:c r="C931" s="3" t="str">
        <x:v>徐新怡</x:v>
      </x:c>
      <x:c r="D931" s="3" t="str">
        <x:v>8392</x:v>
      </x:c>
      <x:c r="E931" s="3" t="str">
        <x:f>IF(Z931="移出","已移出",IF(NOT(ISNUMBER(H931)),"数据待核",IF(H931=0,"断货",IF(NOT(ISNUMBER(G931)),"数据待核",IF(G931=0,"零日销待复核",IF(F931&lt;60,"补货提醒",IF(F931&lt;=90,"正常库存",IF(F931&lt;180,"促销",IF(F931&lt;=365,"红线促销","考虑清仓")))))))))</x:f>
        <x:v>数据待核</x:v>
      </x:c>
      <x:c r="F931" s="11" t="str">
        <x:f>IF(AND(ISNUMBER(H931),ISNUMBER(G931),G931&gt;0),H931/G931,"")</x:f>
      </x:c>
      <x:c r="G931" s="12" t="str">
        <x:f>IF(AND(COUNT(P931:R931)=3,MIN(P931:R931)&gt;=0,P931&lt;=Q931,Q931&lt;=R931),P931/7*0.5+Q931/14*0.3+R931/30*0.2,"")</x:f>
      </x:c>
      <x:c r="H931" s="10" t="str">
        <x:f>IF(ISNUMBER(U931),U931,"")</x:f>
      </x:c>
      <x:c r="I931" s="10"/>
      <x:c r="J931" s="11" t="str">
        <x:f>IF(AND(Z931="共同",ISNUMBER(F931),ISNUMBER(M931)),F931-M931,"")</x:f>
      </x:c>
      <x:c r="K931" s="13" t="str">
        <x:f>IF(AND(ISNUMBER(J931),M931&lt;&gt;0),J931/M931,"")</x:f>
      </x:c>
      <x:c r="L931" s="10"/>
      <x:c r="M931" s="11"/>
      <x:c r="N931" s="10" t="str">
        <x:f>IF(AND(Z931="共同",COUNT(H931:I931)=2),H931-I931,"")</x:f>
      </x:c>
      <x:c r="O931" s="10" t="n">
        <x:v>0</x:v>
      </x:c>
      <x:c r="P931" s="10"/>
      <x:c r="Q931" s="10"/>
      <x:c r="R931" s="10"/>
      <x:c r="S931" s="10"/>
      <x:c r="T931" s="10"/>
      <x:c r="U931" s="10" t="str">
        <x:f>IF(AND(ISNUMBER(X931),X931&gt;=0,Y931&lt;&gt;1),X931,"")</x:f>
      </x:c>
      <x:c r="V931" s="10"/>
      <x:c r="W931" s="10"/>
      <x:c r="X931" s="10"/>
      <x:c r="Y931" s="3" t="n">
        <x:v>0</x:v>
      </x:c>
      <x:c r="Z931" s="3" t="str">
        <x:v>新增</x:v>
      </x:c>
      <x:c r="AA931" s="3" t="str">
        <x:v>未匹配Listing</x:v>
      </x:c>
      <x:c r="AB931" s="12" t="str">
        <x:f>IF(AND(Z931="共同",ISNUMBER(G931),ISNUMBER(AD931)),G931-AD931,"")</x:f>
      </x:c>
      <x:c r="AC931" s="3" t="str">
        <x:v>领星完整SKU未匹配Listing，店铺待核</x:v>
      </x:c>
      <x:c r="AD931" s="12"/>
      <x:c r="AE931" s="3" t="str">
        <x:v>[null,"8392-RD-S-K-38.5"]</x:v>
      </x:c>
      <x:c r="AF931" t="n">
        <x:f>IF(ISNUMBER(H931),1,0)</x:f>
        <x:v>0</x:v>
      </x:c>
      <x:c r="AG931" t="n">
        <x:f>IF(ISNUMBER(I931),1,0)</x:f>
        <x:v>0</x:v>
      </x:c>
      <x:c r="AH931" t="str">
        <x:v>["8392","8392-RD-S-K","RD","红色"]</x:v>
      </x:c>
      <x:c r="AI931" t="n">
        <x:f>IF(ISNUMBER(G931),1,0)</x:f>
        <x:v>0</x:v>
      </x:c>
      <x:c r="AJ931" t="n">
        <x:f>IF(ISNUMBER(AD931),1,0)</x:f>
        <x:v>0</x:v>
      </x:c>
    </x:row>
    <x:row r="932" ht="30" customHeight="1">
      <x:c r="A932" s="3" t="str">
        <x:v>8392-RD-S-K-39.5</x:v>
      </x:c>
      <x:c r="B932" s="3" t="str">
        <x:v>店铺待核</x:v>
      </x:c>
      <x:c r="C932" s="3" t="str">
        <x:v>徐新怡</x:v>
      </x:c>
      <x:c r="D932" s="3" t="str">
        <x:v>8392</x:v>
      </x:c>
      <x:c r="E932" s="3" t="str">
        <x:f>IF(Z932="移出","已移出",IF(NOT(ISNUMBER(H932)),"数据待核",IF(H932=0,"断货",IF(NOT(ISNUMBER(G932)),"数据待核",IF(G932=0,"零日销待复核",IF(F932&lt;60,"补货提醒",IF(F932&lt;=90,"正常库存",IF(F932&lt;180,"促销",IF(F932&lt;=365,"红线促销","考虑清仓")))))))))</x:f>
        <x:v>数据待核</x:v>
      </x:c>
      <x:c r="F932" s="11" t="str">
        <x:f>IF(AND(ISNUMBER(H932),ISNUMBER(G932),G932&gt;0),H932/G932,"")</x:f>
      </x:c>
      <x:c r="G932" s="12" t="str">
        <x:f>IF(AND(COUNT(P932:R932)=3,MIN(P932:R932)&gt;=0,P932&lt;=Q932,Q932&lt;=R932),P932/7*0.5+Q932/14*0.3+R932/30*0.2,"")</x:f>
      </x:c>
      <x:c r="H932" s="10" t="str">
        <x:f>IF(ISNUMBER(U932),U932,"")</x:f>
      </x:c>
      <x:c r="I932" s="10"/>
      <x:c r="J932" s="11" t="str">
        <x:f>IF(AND(Z932="共同",ISNUMBER(F932),ISNUMBER(M932)),F932-M932,"")</x:f>
      </x:c>
      <x:c r="K932" s="13" t="str">
        <x:f>IF(AND(ISNUMBER(J932),M932&lt;&gt;0),J932/M932,"")</x:f>
      </x:c>
      <x:c r="L932" s="10"/>
      <x:c r="M932" s="11"/>
      <x:c r="N932" s="10" t="str">
        <x:f>IF(AND(Z932="共同",COUNT(H932:I932)=2),H932-I932,"")</x:f>
      </x:c>
      <x:c r="O932" s="10"/>
      <x:c r="P932" s="10"/>
      <x:c r="Q932" s="10"/>
      <x:c r="R932" s="10"/>
      <x:c r="S932" s="10"/>
      <x:c r="T932" s="10"/>
      <x:c r="U932" s="10" t="str">
        <x:f>IF(AND(ISNUMBER(X932),X932&gt;=0,Y932&lt;&gt;1),X932,"")</x:f>
      </x:c>
      <x:c r="V932" s="10"/>
      <x:c r="W932" s="10"/>
      <x:c r="X932" s="10"/>
      <x:c r="Y932" s="3" t="n">
        <x:v>0</x:v>
      </x:c>
      <x:c r="Z932" s="3" t="str">
        <x:v>新增</x:v>
      </x:c>
      <x:c r="AA932" s="3" t="str">
        <x:v>未匹配Listing</x:v>
      </x:c>
      <x:c r="AB932" s="12" t="str">
        <x:f>IF(AND(Z932="共同",ISNUMBER(G932),ISNUMBER(AD932)),G932-AD932,"")</x:f>
      </x:c>
      <x:c r="AC932" s="3" t="str">
        <x:v>领星完整SKU未匹配Listing，店铺待核</x:v>
      </x:c>
      <x:c r="AD932" s="12"/>
      <x:c r="AE932" s="3" t="str">
        <x:v>[null,"8392-RD-S-K-39.5"]</x:v>
      </x:c>
      <x:c r="AF932" t="n">
        <x:f>IF(ISNUMBER(H932),1,0)</x:f>
        <x:v>0</x:v>
      </x:c>
      <x:c r="AG932" t="n">
        <x:f>IF(ISNUMBER(I932),1,0)</x:f>
        <x:v>0</x:v>
      </x:c>
      <x:c r="AH932" t="str">
        <x:v>["8392","8392-RD-S-K","RD","红色"]</x:v>
      </x:c>
      <x:c r="AI932" t="n">
        <x:f>IF(ISNUMBER(G932),1,0)</x:f>
        <x:v>0</x:v>
      </x:c>
      <x:c r="AJ932" t="n">
        <x:f>IF(ISNUMBER(AD932),1,0)</x:f>
        <x:v>0</x:v>
      </x:c>
    </x:row>
    <x:row r="933" ht="30" customHeight="1">
      <x:c r="A933" s="3" t="str">
        <x:v>8392-RD-S-K-40</x:v>
      </x:c>
      <x:c r="B933" s="3" t="str">
        <x:v>店铺待核</x:v>
      </x:c>
      <x:c r="C933" s="3" t="str">
        <x:v>徐新怡</x:v>
      </x:c>
      <x:c r="D933" s="3" t="str">
        <x:v>8392</x:v>
      </x:c>
      <x:c r="E933" s="3" t="str">
        <x:f>IF(Z933="移出","已移出",IF(NOT(ISNUMBER(H933)),"数据待核",IF(H933=0,"断货",IF(NOT(ISNUMBER(G933)),"数据待核",IF(G933=0,"零日销待复核",IF(F933&lt;60,"补货提醒",IF(F933&lt;=90,"正常库存",IF(F933&lt;180,"促销",IF(F933&lt;=365,"红线促销","考虑清仓")))))))))</x:f>
        <x:v>数据待核</x:v>
      </x:c>
      <x:c r="F933" s="11" t="str">
        <x:f>IF(AND(ISNUMBER(H933),ISNUMBER(G933),G933&gt;0),H933/G933,"")</x:f>
      </x:c>
      <x:c r="G933" s="12" t="str">
        <x:f>IF(AND(COUNT(P933:R933)=3,MIN(P933:R933)&gt;=0,P933&lt;=Q933,Q933&lt;=R933),P933/7*0.5+Q933/14*0.3+R933/30*0.2,"")</x:f>
      </x:c>
      <x:c r="H933" s="10" t="str">
        <x:f>IF(ISNUMBER(U933),U933,"")</x:f>
      </x:c>
      <x:c r="I933" s="10"/>
      <x:c r="J933" s="11" t="str">
        <x:f>IF(AND(Z933="共同",ISNUMBER(F933),ISNUMBER(M933)),F933-M933,"")</x:f>
      </x:c>
      <x:c r="K933" s="13" t="str">
        <x:f>IF(AND(ISNUMBER(J933),M933&lt;&gt;0),J933/M933,"")</x:f>
      </x:c>
      <x:c r="L933" s="10"/>
      <x:c r="M933" s="11"/>
      <x:c r="N933" s="10" t="str">
        <x:f>IF(AND(Z933="共同",COUNT(H933:I933)=2),H933-I933,"")</x:f>
      </x:c>
      <x:c r="O933" s="10" t="n">
        <x:v>0</x:v>
      </x:c>
      <x:c r="P933" s="10"/>
      <x:c r="Q933" s="10"/>
      <x:c r="R933" s="10"/>
      <x:c r="S933" s="10"/>
      <x:c r="T933" s="10"/>
      <x:c r="U933" s="10" t="str">
        <x:f>IF(AND(ISNUMBER(X933),X933&gt;=0,Y933&lt;&gt;1),X933,"")</x:f>
      </x:c>
      <x:c r="V933" s="10"/>
      <x:c r="W933" s="10"/>
      <x:c r="X933" s="10"/>
      <x:c r="Y933" s="3" t="n">
        <x:v>0</x:v>
      </x:c>
      <x:c r="Z933" s="3" t="str">
        <x:v>新增</x:v>
      </x:c>
      <x:c r="AA933" s="3" t="str">
        <x:v>未匹配Listing</x:v>
      </x:c>
      <x:c r="AB933" s="12" t="str">
        <x:f>IF(AND(Z933="共同",ISNUMBER(G933),ISNUMBER(AD933)),G933-AD933,"")</x:f>
      </x:c>
      <x:c r="AC933" s="3" t="str">
        <x:v>领星完整SKU未匹配Listing，店铺待核</x:v>
      </x:c>
      <x:c r="AD933" s="12"/>
      <x:c r="AE933" s="3" t="str">
        <x:v>[null,"8392-RD-S-K-40"]</x:v>
      </x:c>
      <x:c r="AF933" t="n">
        <x:f>IF(ISNUMBER(H933),1,0)</x:f>
        <x:v>0</x:v>
      </x:c>
      <x:c r="AG933" t="n">
        <x:f>IF(ISNUMBER(I933),1,0)</x:f>
        <x:v>0</x:v>
      </x:c>
      <x:c r="AH933" t="str">
        <x:v>["8392","8392-RD-S-K","RD","红色"]</x:v>
      </x:c>
      <x:c r="AI933" t="n">
        <x:f>IF(ISNUMBER(G933),1,0)</x:f>
        <x:v>0</x:v>
      </x:c>
      <x:c r="AJ933" t="n">
        <x:f>IF(ISNUMBER(AD933),1,0)</x:f>
        <x:v>0</x:v>
      </x:c>
    </x:row>
    <x:row r="934" ht="30" customHeight="1">
      <x:c r="A934" s="3" t="str">
        <x:v>8392-RD-S-K-40.5</x:v>
      </x:c>
      <x:c r="B934" s="3" t="str">
        <x:v>店铺待核</x:v>
      </x:c>
      <x:c r="C934" s="3" t="str">
        <x:v>徐新怡</x:v>
      </x:c>
      <x:c r="D934" s="3" t="str">
        <x:v>8392</x:v>
      </x:c>
      <x:c r="E934" s="3" t="str">
        <x:f>IF(Z934="移出","已移出",IF(NOT(ISNUMBER(H934)),"数据待核",IF(H934=0,"断货",IF(NOT(ISNUMBER(G934)),"数据待核",IF(G934=0,"零日销待复核",IF(F934&lt;60,"补货提醒",IF(F934&lt;=90,"正常库存",IF(F934&lt;180,"促销",IF(F934&lt;=365,"红线促销","考虑清仓")))))))))</x:f>
        <x:v>数据待核</x:v>
      </x:c>
      <x:c r="F934" s="11" t="str">
        <x:f>IF(AND(ISNUMBER(H934),ISNUMBER(G934),G934&gt;0),H934/G934,"")</x:f>
      </x:c>
      <x:c r="G934" s="12" t="str">
        <x:f>IF(AND(COUNT(P934:R934)=3,MIN(P934:R934)&gt;=0,P934&lt;=Q934,Q934&lt;=R934),P934/7*0.5+Q934/14*0.3+R934/30*0.2,"")</x:f>
      </x:c>
      <x:c r="H934" s="10" t="str">
        <x:f>IF(ISNUMBER(U934),U934,"")</x:f>
      </x:c>
      <x:c r="I934" s="10"/>
      <x:c r="J934" s="11" t="str">
        <x:f>IF(AND(Z934="共同",ISNUMBER(F934),ISNUMBER(M934)),F934-M934,"")</x:f>
      </x:c>
      <x:c r="K934" s="13" t="str">
        <x:f>IF(AND(ISNUMBER(J934),M934&lt;&gt;0),J934/M934,"")</x:f>
      </x:c>
      <x:c r="L934" s="10"/>
      <x:c r="M934" s="11"/>
      <x:c r="N934" s="10" t="str">
        <x:f>IF(AND(Z934="共同",COUNT(H934:I934)=2),H934-I934,"")</x:f>
      </x:c>
      <x:c r="O934" s="10"/>
      <x:c r="P934" s="10"/>
      <x:c r="Q934" s="10"/>
      <x:c r="R934" s="10"/>
      <x:c r="S934" s="10"/>
      <x:c r="T934" s="10"/>
      <x:c r="U934" s="10" t="str">
        <x:f>IF(AND(ISNUMBER(X934),X934&gt;=0,Y934&lt;&gt;1),X934,"")</x:f>
      </x:c>
      <x:c r="V934" s="10"/>
      <x:c r="W934" s="10"/>
      <x:c r="X934" s="10"/>
      <x:c r="Y934" s="3" t="n">
        <x:v>0</x:v>
      </x:c>
      <x:c r="Z934" s="3" t="str">
        <x:v>新增</x:v>
      </x:c>
      <x:c r="AA934" s="3" t="str">
        <x:v>未匹配Listing</x:v>
      </x:c>
      <x:c r="AB934" s="12" t="str">
        <x:f>IF(AND(Z934="共同",ISNUMBER(G934),ISNUMBER(AD934)),G934-AD934,"")</x:f>
      </x:c>
      <x:c r="AC934" s="3" t="str">
        <x:v>领星完整SKU未匹配Listing，店铺待核</x:v>
      </x:c>
      <x:c r="AD934" s="12"/>
      <x:c r="AE934" s="3" t="str">
        <x:v>[null,"8392-RD-S-K-40.5"]</x:v>
      </x:c>
      <x:c r="AF934" t="n">
        <x:f>IF(ISNUMBER(H934),1,0)</x:f>
        <x:v>0</x:v>
      </x:c>
      <x:c r="AG934" t="n">
        <x:f>IF(ISNUMBER(I934),1,0)</x:f>
        <x:v>0</x:v>
      </x:c>
      <x:c r="AH934" t="str">
        <x:v>["8392","8392-RD-S-K","RD","红色"]</x:v>
      </x:c>
      <x:c r="AI934" t="n">
        <x:f>IF(ISNUMBER(G934),1,0)</x:f>
        <x:v>0</x:v>
      </x:c>
      <x:c r="AJ934" t="n">
        <x:f>IF(ISNUMBER(AD934),1,0)</x:f>
        <x:v>0</x:v>
      </x:c>
    </x:row>
    <x:row r="935" ht="30" customHeight="1">
      <x:c r="A935" s="3" t="str">
        <x:v>8392-RD-S-K-41.5</x:v>
      </x:c>
      <x:c r="B935" s="3" t="str">
        <x:v>店铺待核</x:v>
      </x:c>
      <x:c r="C935" s="3" t="str">
        <x:v>徐新怡</x:v>
      </x:c>
      <x:c r="D935" s="3" t="str">
        <x:v>8392</x:v>
      </x:c>
      <x:c r="E935" s="3" t="str">
        <x:f>IF(Z935="移出","已移出",IF(NOT(ISNUMBER(H935)),"数据待核",IF(H935=0,"断货",IF(NOT(ISNUMBER(G935)),"数据待核",IF(G935=0,"零日销待复核",IF(F935&lt;60,"补货提醒",IF(F935&lt;=90,"正常库存",IF(F935&lt;180,"促销",IF(F935&lt;=365,"红线促销","考虑清仓")))))))))</x:f>
        <x:v>数据待核</x:v>
      </x:c>
      <x:c r="F935" s="11" t="str">
        <x:f>IF(AND(ISNUMBER(H935),ISNUMBER(G935),G935&gt;0),H935/G935,"")</x:f>
      </x:c>
      <x:c r="G935" s="12" t="str">
        <x:f>IF(AND(COUNT(P935:R935)=3,MIN(P935:R935)&gt;=0,P935&lt;=Q935,Q935&lt;=R935),P935/7*0.5+Q935/14*0.3+R935/30*0.2,"")</x:f>
      </x:c>
      <x:c r="H935" s="10" t="str">
        <x:f>IF(ISNUMBER(U935),U935,"")</x:f>
      </x:c>
      <x:c r="I935" s="10"/>
      <x:c r="J935" s="11" t="str">
        <x:f>IF(AND(Z935="共同",ISNUMBER(F935),ISNUMBER(M935)),F935-M935,"")</x:f>
      </x:c>
      <x:c r="K935" s="13" t="str">
        <x:f>IF(AND(ISNUMBER(J935),M935&lt;&gt;0),J935/M935,"")</x:f>
      </x:c>
      <x:c r="L935" s="10"/>
      <x:c r="M935" s="11"/>
      <x:c r="N935" s="10" t="str">
        <x:f>IF(AND(Z935="共同",COUNT(H935:I935)=2),H935-I935,"")</x:f>
      </x:c>
      <x:c r="O935" s="10"/>
      <x:c r="P935" s="10"/>
      <x:c r="Q935" s="10"/>
      <x:c r="R935" s="10"/>
      <x:c r="S935" s="10"/>
      <x:c r="T935" s="10"/>
      <x:c r="U935" s="10" t="str">
        <x:f>IF(AND(ISNUMBER(X935),X935&gt;=0,Y935&lt;&gt;1),X935,"")</x:f>
      </x:c>
      <x:c r="V935" s="10"/>
      <x:c r="W935" s="10"/>
      <x:c r="X935" s="10"/>
      <x:c r="Y935" s="3" t="n">
        <x:v>0</x:v>
      </x:c>
      <x:c r="Z935" s="3" t="str">
        <x:v>新增</x:v>
      </x:c>
      <x:c r="AA935" s="3" t="str">
        <x:v>未匹配Listing</x:v>
      </x:c>
      <x:c r="AB935" s="12" t="str">
        <x:f>IF(AND(Z935="共同",ISNUMBER(G935),ISNUMBER(AD935)),G935-AD935,"")</x:f>
      </x:c>
      <x:c r="AC935" s="3" t="str">
        <x:v>领星完整SKU未匹配Listing，店铺待核</x:v>
      </x:c>
      <x:c r="AD935" s="12"/>
      <x:c r="AE935" s="3" t="str">
        <x:v>[null,"8392-RD-S-K-41.5"]</x:v>
      </x:c>
      <x:c r="AF935" t="n">
        <x:f>IF(ISNUMBER(H935),1,0)</x:f>
        <x:v>0</x:v>
      </x:c>
      <x:c r="AG935" t="n">
        <x:f>IF(ISNUMBER(I935),1,0)</x:f>
        <x:v>0</x:v>
      </x:c>
      <x:c r="AH935" t="str">
        <x:v>["8392","8392-RD-S-K","RD","红色"]</x:v>
      </x:c>
      <x:c r="AI935" t="n">
        <x:f>IF(ISNUMBER(G935),1,0)</x:f>
        <x:v>0</x:v>
      </x:c>
      <x:c r="AJ935" t="n">
        <x:f>IF(ISNUMBER(AD935),1,0)</x:f>
        <x:v>0</x:v>
      </x:c>
    </x:row>
    <x:row r="936" ht="30" customHeight="1">
      <x:c r="A936" s="3" t="str">
        <x:v>8392-RD-S-K-42</x:v>
      </x:c>
      <x:c r="B936" s="3" t="str">
        <x:v>店铺待核</x:v>
      </x:c>
      <x:c r="C936" s="3" t="str">
        <x:v>徐新怡</x:v>
      </x:c>
      <x:c r="D936" s="3" t="str">
        <x:v>8392</x:v>
      </x:c>
      <x:c r="E936" s="3" t="str">
        <x:f>IF(Z936="移出","已移出",IF(NOT(ISNUMBER(H936)),"数据待核",IF(H936=0,"断货",IF(NOT(ISNUMBER(G936)),"数据待核",IF(G936=0,"零日销待复核",IF(F936&lt;60,"补货提醒",IF(F936&lt;=90,"正常库存",IF(F936&lt;180,"促销",IF(F936&lt;=365,"红线促销","考虑清仓")))))))))</x:f>
        <x:v>数据待核</x:v>
      </x:c>
      <x:c r="F936" s="11" t="str">
        <x:f>IF(AND(ISNUMBER(H936),ISNUMBER(G936),G936&gt;0),H936/G936,"")</x:f>
      </x:c>
      <x:c r="G936" s="12" t="str">
        <x:f>IF(AND(COUNT(P936:R936)=3,MIN(P936:R936)&gt;=0,P936&lt;=Q936,Q936&lt;=R936),P936/7*0.5+Q936/14*0.3+R936/30*0.2,"")</x:f>
      </x:c>
      <x:c r="H936" s="10" t="str">
        <x:f>IF(ISNUMBER(U936),U936,"")</x:f>
      </x:c>
      <x:c r="I936" s="10"/>
      <x:c r="J936" s="11" t="str">
        <x:f>IF(AND(Z936="共同",ISNUMBER(F936),ISNUMBER(M936)),F936-M936,"")</x:f>
      </x:c>
      <x:c r="K936" s="13" t="str">
        <x:f>IF(AND(ISNUMBER(J936),M936&lt;&gt;0),J936/M936,"")</x:f>
      </x:c>
      <x:c r="L936" s="10"/>
      <x:c r="M936" s="11"/>
      <x:c r="N936" s="10" t="str">
        <x:f>IF(AND(Z936="共同",COUNT(H936:I936)=2),H936-I936,"")</x:f>
      </x:c>
      <x:c r="O936" s="10" t="n">
        <x:v>0</x:v>
      </x:c>
      <x:c r="P936" s="10"/>
      <x:c r="Q936" s="10"/>
      <x:c r="R936" s="10"/>
      <x:c r="S936" s="10"/>
      <x:c r="T936" s="10"/>
      <x:c r="U936" s="10" t="str">
        <x:f>IF(AND(ISNUMBER(X936),X936&gt;=0,Y936&lt;&gt;1),X936,"")</x:f>
      </x:c>
      <x:c r="V936" s="10"/>
      <x:c r="W936" s="10"/>
      <x:c r="X936" s="10"/>
      <x:c r="Y936" s="3" t="n">
        <x:v>0</x:v>
      </x:c>
      <x:c r="Z936" s="3" t="str">
        <x:v>新增</x:v>
      </x:c>
      <x:c r="AA936" s="3" t="str">
        <x:v>未匹配Listing</x:v>
      </x:c>
      <x:c r="AB936" s="12" t="str">
        <x:f>IF(AND(Z936="共同",ISNUMBER(G936),ISNUMBER(AD936)),G936-AD936,"")</x:f>
      </x:c>
      <x:c r="AC936" s="3" t="str">
        <x:v>领星完整SKU未匹配Listing，店铺待核</x:v>
      </x:c>
      <x:c r="AD936" s="12"/>
      <x:c r="AE936" s="3" t="str">
        <x:v>[null,"8392-RD-S-K-42"]</x:v>
      </x:c>
      <x:c r="AF936" t="n">
        <x:f>IF(ISNUMBER(H936),1,0)</x:f>
        <x:v>0</x:v>
      </x:c>
      <x:c r="AG936" t="n">
        <x:f>IF(ISNUMBER(I936),1,0)</x:f>
        <x:v>0</x:v>
      </x:c>
      <x:c r="AH936" t="str">
        <x:v>["8392","8392-RD-S-K","RD","红色"]</x:v>
      </x:c>
      <x:c r="AI936" t="n">
        <x:f>IF(ISNUMBER(G936),1,0)</x:f>
        <x:v>0</x:v>
      </x:c>
      <x:c r="AJ936" t="n">
        <x:f>IF(ISNUMBER(AD936),1,0)</x:f>
        <x:v>0</x:v>
      </x:c>
    </x:row>
    <x:row r="937" ht="30" customHeight="1">
      <x:c r="A937" s="3" t="str">
        <x:v>8392-TN-42</x:v>
      </x:c>
      <x:c r="B937" s="3" t="str">
        <x:v>店铺待核</x:v>
      </x:c>
      <x:c r="C937" s="3" t="str">
        <x:v>徐新怡</x:v>
      </x:c>
      <x:c r="D937" s="3" t="str">
        <x:v>8392</x:v>
      </x:c>
      <x:c r="E937" s="3" t="str">
        <x:f>IF(Z937="移出","已移出",IF(NOT(ISNUMBER(H937)),"数据待核",IF(H937=0,"断货",IF(NOT(ISNUMBER(G937)),"数据待核",IF(G937=0,"零日销待复核",IF(F937&lt;60,"补货提醒",IF(F937&lt;=90,"正常库存",IF(F937&lt;180,"促销",IF(F937&lt;=365,"红线促销","考虑清仓")))))))))</x:f>
        <x:v>数据待核</x:v>
      </x:c>
      <x:c r="F937" s="11" t="str">
        <x:f>IF(AND(ISNUMBER(H937),ISNUMBER(G937),G937&gt;0),H937/G937,"")</x:f>
      </x:c>
      <x:c r="G937" s="12" t="str">
        <x:f>IF(AND(COUNT(P937:R937)=3,MIN(P937:R937)&gt;=0,P937&lt;=Q937,Q937&lt;=R937),P937/7*0.5+Q937/14*0.3+R937/30*0.2,"")</x:f>
      </x:c>
      <x:c r="H937" s="10" t="str">
        <x:f>IF(ISNUMBER(U937),U937,"")</x:f>
      </x:c>
      <x:c r="I937" s="10"/>
      <x:c r="J937" s="11" t="str">
        <x:f>IF(AND(Z937="共同",ISNUMBER(F937),ISNUMBER(M937)),F937-M937,"")</x:f>
      </x:c>
      <x:c r="K937" s="13" t="str">
        <x:f>IF(AND(ISNUMBER(J937),M937&lt;&gt;0),J937/M937,"")</x:f>
      </x:c>
      <x:c r="L937" s="10"/>
      <x:c r="M937" s="11"/>
      <x:c r="N937" s="10" t="str">
        <x:f>IF(AND(Z937="共同",COUNT(H937:I937)=2),H937-I937,"")</x:f>
      </x:c>
      <x:c r="O937" s="10" t="n">
        <x:v>0</x:v>
      </x:c>
      <x:c r="P937" s="10"/>
      <x:c r="Q937" s="10"/>
      <x:c r="R937" s="10"/>
      <x:c r="S937" s="10"/>
      <x:c r="T937" s="10"/>
      <x:c r="U937" s="10" t="str">
        <x:f>IF(AND(ISNUMBER(X937),X937&gt;=0,Y937&lt;&gt;1),X937,"")</x:f>
      </x:c>
      <x:c r="V937" s="10"/>
      <x:c r="W937" s="10"/>
      <x:c r="X937" s="10"/>
      <x:c r="Y937" s="3" t="n">
        <x:v>0</x:v>
      </x:c>
      <x:c r="Z937" s="3" t="str">
        <x:v>新增</x:v>
      </x:c>
      <x:c r="AA937" s="3" t="str">
        <x:v>未匹配Listing</x:v>
      </x:c>
      <x:c r="AB937" s="12" t="str">
        <x:f>IF(AND(Z937="共同",ISNUMBER(G937),ISNUMBER(AD937)),G937-AD937,"")</x:f>
      </x:c>
      <x:c r="AC937" s="3" t="str">
        <x:v>领星完整SKU未匹配Listing，店铺待核</x:v>
      </x:c>
      <x:c r="AD937" s="12"/>
      <x:c r="AE937" s="3" t="str">
        <x:v>[null,"8392-TN-42"]</x:v>
      </x:c>
      <x:c r="AF937" t="n">
        <x:f>IF(ISNUMBER(H937),1,0)</x:f>
        <x:v>0</x:v>
      </x:c>
      <x:c r="AG937" t="n">
        <x:f>IF(ISNUMBER(I937),1,0)</x:f>
        <x:v>0</x:v>
      </x:c>
      <x:c r="AH937" t="str">
        <x:v>["8392","8392-TN","TN","驼色"]</x:v>
      </x:c>
      <x:c r="AI937" t="n">
        <x:f>IF(ISNUMBER(G937),1,0)</x:f>
        <x:v>0</x:v>
      </x:c>
      <x:c r="AJ937" t="n">
        <x:f>IF(ISNUMBER(AD937),1,0)</x:f>
        <x:v>0</x:v>
      </x:c>
    </x:row>
    <x:row r="938" ht="30" customHeight="1">
      <x:c r="A938" s="3" t="str">
        <x:v>1S01-DPB-7</x:v>
      </x:c>
      <x:c r="B938" s="3" t="str">
        <x:v>3店-SANDIEX-US</x:v>
      </x:c>
      <x:c r="C938" s="3" t="str">
        <x:v>徐新怡</x:v>
      </x:c>
      <x:c r="D938" s="3" t="str">
        <x:v>1S01</x:v>
      </x:c>
      <x:c r="E938" s="3" t="str">
        <x:f>IF(Z938="移出","已移出",IF(NOT(ISNUMBER(H938)),"数据待核",IF(H938=0,"断货",IF(NOT(ISNUMBER(G938)),"数据待核",IF(G938=0,"零日销待复核",IF(F938&lt;60,"补货提醒",IF(F938&lt;=90,"正常库存",IF(F938&lt;180,"促销",IF(F938&lt;=365,"红线促销","考虑清仓")))))))))</x:f>
        <x:v>正常库存</x:v>
      </x:c>
      <x:c r="F938" s="11" t="n">
        <x:f>IF(AND(ISNUMBER(H938),ISNUMBER(G938),G938&gt;0),H938/G938,"")</x:f>
        <x:v>78.04054054054055</x:v>
      </x:c>
      <x:c r="G938" s="12" t="n">
        <x:f>IF(AND(COUNT(P938:R938)=3,MIN(P938:R938)&gt;=0,P938&lt;=Q938,Q938&lt;=R938),P938/7*0.5+Q938/14*0.3+R938/30*0.2,"")</x:f>
        <x:v>0.2819047619047619</x:v>
      </x:c>
      <x:c r="H938" s="10" t="n">
        <x:f>IF(ISNUMBER(U938),U938,"")</x:f>
        <x:v>22</x:v>
      </x:c>
      <x:c r="I938" s="10" t="n">
        <x:v>25</x:v>
      </x:c>
      <x:c r="J938" s="11" t="n">
        <x:f>IF(AND(Z938="共同",ISNUMBER(F938),ISNUMBER(M938)),F938-M938,"")</x:f>
        <x:v>-48.771053662358014</x:v>
      </x:c>
      <x:c r="K938" s="13" t="n">
        <x:f>IF(AND(ISNUMBER(J938),M938&lt;&gt;0),J938/M938,"")</x:f>
        <x:v>-0.3845945945945946</x:v>
      </x:c>
      <x:c r="L938" s="10" t="str">
        <x:v>促销</x:v>
      </x:c>
      <x:c r="M938" s="11" t="n">
        <x:v>126.81159420289856</x:v>
      </x:c>
      <x:c r="N938" s="10" t="n">
        <x:f>IF(AND(Z938="共同",COUNT(H938:I938)=2),H938-I938,"")</x:f>
        <x:v>-3</x:v>
      </x:c>
      <x:c r="O938" s="10" t="n">
        <x:v>40</x:v>
      </x:c>
      <x:c r="P938" s="10" t="n">
        <x:v>2</x:v>
      </x:c>
      <x:c r="Q938" s="10" t="n">
        <x:v>4</x:v>
      </x:c>
      <x:c r="R938" s="10" t="n">
        <x:v>8</x:v>
      </x:c>
      <x:c r="S938" s="10" t="n">
        <x:v>22</x:v>
      </x:c>
      <x:c r="T938" s="10" t="n">
        <x:v>0</x:v>
      </x:c>
      <x:c r="U938" s="10" t="n">
        <x:f>IF(AND(ISNUMBER(X938),X938&gt;=0,Y938&lt;&gt;1),X938,"")</x:f>
        <x:v>22</x:v>
      </x:c>
      <x:c r="V938" s="10" t="n">
        <x:v>0</x:v>
      </x:c>
      <x:c r="W938" s="10" t="n">
        <x:v>19</x:v>
      </x:c>
      <x:c r="X938" s="10" t="n">
        <x:v>22</x:v>
      </x:c>
      <x:c r="Y938" s="3" t="n">
        <x:v>0</x:v>
      </x:c>
      <x:c r="Z938" s="3" t="str">
        <x:v>共同</x:v>
      </x:c>
      <x:c r="AA938" s="3" t="str">
        <x:v>在售</x:v>
      </x:c>
      <x:c r="AB938" s="12" t="n">
        <x:f>IF(AND(Z938="共同",ISNUMBER(G938),ISNUMBER(AD938)),G938-AD938,"")</x:f>
        <x:v>0.08476190476190476</x:v>
      </x:c>
      <x:c r="AC938" s="3" t="str"/>
      <x:c r="AD938" s="12" t="n">
        <x:v>0.19714285714285712</x:v>
      </x:c>
      <x:c r="AE938" s="3" t="str">
        <x:v>[6574,"1S01-DPB-7"]</x:v>
      </x:c>
      <x:c r="AF938" t="n">
        <x:f>IF(ISNUMBER(H938),1,0)</x:f>
        <x:v>1</x:v>
      </x:c>
      <x:c r="AG938" t="n">
        <x:f>IF(ISNUMBER(I938),1,0)</x:f>
        <x:v>1</x:v>
      </x:c>
      <x:c r="AH938" t="str">
        <x:v>["1S01","1S01-DPB","DPB","米色"]</x:v>
      </x:c>
      <x:c r="AI938" t="n">
        <x:f>IF(ISNUMBER(G938),1,0)</x:f>
        <x:v>1</x:v>
      </x:c>
      <x:c r="AJ938" t="n">
        <x:f>IF(ISNUMBER(AD938),1,0)</x:f>
        <x:v>1</x:v>
      </x:c>
    </x:row>
    <x:row r="939" ht="30" customHeight="1">
      <x:c r="A939" s="3" t="str">
        <x:v>1S01-SP-39</x:v>
      </x:c>
      <x:c r="B939" s="3" t="str">
        <x:v>3店-SANDIEX-US</x:v>
      </x:c>
      <x:c r="C939" s="3" t="str">
        <x:v>徐新怡</x:v>
      </x:c>
      <x:c r="D939" s="3" t="str">
        <x:v>1S01</x:v>
      </x:c>
      <x:c r="E939" s="3" t="str">
        <x:f>IF(Z939="移出","已移出",IF(NOT(ISNUMBER(H939)),"数据待核",IF(H939=0,"断货",IF(NOT(ISNUMBER(G939)),"数据待核",IF(G939=0,"零日销待复核",IF(F939&lt;60,"补货提醒",IF(F939&lt;=90,"正常库存",IF(F939&lt;180,"促销",IF(F939&lt;=365,"红线促销","考虑清仓")))))))))</x:f>
        <x:v>正常库存</x:v>
      </x:c>
      <x:c r="F939" s="11" t="n">
        <x:f>IF(AND(ISNUMBER(H939),ISNUMBER(G939),G939&gt;0),H939/G939,"")</x:f>
        <x:v>67.74193548387098</x:v>
      </x:c>
      <x:c r="G939" s="12" t="n">
        <x:f>IF(AND(COUNT(P939:R939)=3,MIN(P939:R939)&gt;=0,P939&lt;=Q939,Q939&lt;=R939),P939/7*0.5+Q939/14*0.3+R939/30*0.2,"")</x:f>
        <x:v>0.13285714285714284</x:v>
      </x:c>
      <x:c r="H939" s="10" t="n">
        <x:f>IF(ISNUMBER(U939),U939,"")</x:f>
        <x:v>9</x:v>
      </x:c>
      <x:c r="I939" s="10" t="n">
        <x:v>9</x:v>
      </x:c>
      <x:c r="J939" s="11" t="n">
        <x:f>IF(AND(Z939="共同",ISNUMBER(F939),ISNUMBER(M939)),F939-M939,"")</x:f>
        <x:v>47.86811844917065</x:v>
      </x:c>
      <x:c r="K939" s="13" t="n">
        <x:f>IF(AND(ISNUMBER(J939),M939&lt;&gt;0),J939/M939,"")</x:f>
        <x:v>2.408602150537634</x:v>
      </x:c>
      <x:c r="L939" s="10" t="str">
        <x:v>补货提醒</x:v>
      </x:c>
      <x:c r="M939" s="11" t="n">
        <x:v>19.87381703470032</x:v>
      </x:c>
      <x:c r="N939" s="10" t="n">
        <x:f>IF(AND(Z939="共同",COUNT(H939:I939)=2),H939-I939,"")</x:f>
        <x:v>0</x:v>
      </x:c>
      <x:c r="O939" s="10" t="n">
        <x:v>0</x:v>
      </x:c>
      <x:c r="P939" s="10" t="n">
        <x:v>1</x:v>
      </x:c>
      <x:c r="Q939" s="10" t="n">
        <x:v>1</x:v>
      </x:c>
      <x:c r="R939" s="10" t="n">
        <x:v>6</x:v>
      </x:c>
      <x:c r="S939" s="10" t="n">
        <x:v>9</x:v>
      </x:c>
      <x:c r="T939" s="10" t="n">
        <x:v>0</x:v>
      </x:c>
      <x:c r="U939" s="10" t="n">
        <x:f>IF(AND(ISNUMBER(X939),X939&gt;=0,Y939&lt;&gt;1),X939,"")</x:f>
        <x:v>9</x:v>
      </x:c>
      <x:c r="V939" s="10" t="n">
        <x:v>0</x:v>
      </x:c>
      <x:c r="W939" s="10" t="n">
        <x:v>10</x:v>
      </x:c>
      <x:c r="X939" s="10" t="n">
        <x:v>9</x:v>
      </x:c>
      <x:c r="Y939" s="3" t="n">
        <x:v>0</x:v>
      </x:c>
      <x:c r="Z939" s="3" t="str">
        <x:v>共同</x:v>
      </x:c>
      <x:c r="AA939" s="3" t="str">
        <x:v>在售</x:v>
      </x:c>
      <x:c r="AB939" s="12" t="n">
        <x:f>IF(AND(Z939="共同",ISNUMBER(G939),ISNUMBER(AD939)),G939-AD939,"")</x:f>
        <x:v>-0.3199999999999999</x:v>
      </x:c>
      <x:c r="AC939" s="3" t="str"/>
      <x:c r="AD939" s="12" t="n">
        <x:v>0.45285714285714274</x:v>
      </x:c>
      <x:c r="AE939" s="3" t="str">
        <x:v>[6574,"1S01-SP-39"]</x:v>
      </x:c>
      <x:c r="AF939" t="n">
        <x:f>IF(ISNUMBER(H939),1,0)</x:f>
        <x:v>1</x:v>
      </x:c>
      <x:c r="AG939" t="n">
        <x:f>IF(ISNUMBER(I939),1,0)</x:f>
        <x:v>1</x:v>
      </x:c>
      <x:c r="AH939" t="str">
        <x:v>["1S01","1S01-SP","SP","黑白蛇纹"]</x:v>
      </x:c>
      <x:c r="AI939" t="n">
        <x:f>IF(ISNUMBER(G939),1,0)</x:f>
        <x:v>1</x:v>
      </x:c>
      <x:c r="AJ939" t="n">
        <x:f>IF(ISNUMBER(AD939),1,0)</x:f>
        <x:v>1</x:v>
      </x:c>
    </x:row>
    <x:row r="940" ht="30" customHeight="1">
      <x:c r="A940" s="3" t="str">
        <x:v>1S01-TN-40</x:v>
      </x:c>
      <x:c r="B940" s="3" t="str">
        <x:v>3店-SANDIEX-US</x:v>
      </x:c>
      <x:c r="C940" s="3" t="str">
        <x:v>徐新怡</x:v>
      </x:c>
      <x:c r="D940" s="3" t="str">
        <x:v>1S01</x:v>
      </x:c>
      <x:c r="E940" s="3" t="str">
        <x:f>IF(Z940="移出","已移出",IF(NOT(ISNUMBER(H940)),"数据待核",IF(H940=0,"断货",IF(NOT(ISNUMBER(G940)),"数据待核",IF(G940=0,"零日销待复核",IF(F940&lt;60,"补货提醒",IF(F940&lt;=90,"正常库存",IF(F940&lt;180,"促销",IF(F940&lt;=365,"红线促销","考虑清仓")))))))))</x:f>
        <x:v>正常库存</x:v>
      </x:c>
      <x:c r="F940" s="11" t="n">
        <x:f>IF(AND(ISNUMBER(H940),ISNUMBER(G940),G940&gt;0),H940/G940,"")</x:f>
        <x:v>68.29268292682927</x:v>
      </x:c>
      <x:c r="G940" s="12" t="n">
        <x:f>IF(AND(COUNT(P940:R940)=3,MIN(P940:R940)&gt;=0,P940&lt;=Q940,Q940&lt;=R940),P940/7*0.5+Q940/14*0.3+R940/30*0.2,"")</x:f>
        <x:v>0.1757142857142857</x:v>
      </x:c>
      <x:c r="H940" s="10" t="n">
        <x:f>IF(ISNUMBER(U940),U940,"")</x:f>
        <x:v>12</x:v>
      </x:c>
      <x:c r="I940" s="10" t="n">
        <x:v>17</x:v>
      </x:c>
      <x:c r="J940" s="11" t="n">
        <x:f>IF(AND(Z940="共同",ISNUMBER(F940),ISNUMBER(M940)),F940-M940,"")</x:f>
        <x:v>-2.4003863801014234</x:v>
      </x:c>
      <x:c r="K940" s="13" t="n">
        <x:f>IF(AND(ISNUMBER(J940),M940&lt;&gt;0),J940/M940,"")</x:f>
        <x:v>-0.033955045432807245</x:v>
      </x:c>
      <x:c r="L940" s="10" t="str">
        <x:v>正常库存</x:v>
      </x:c>
      <x:c r="M940" s="11" t="n">
        <x:v>70.6930693069307</x:v>
      </x:c>
      <x:c r="N940" s="10" t="n">
        <x:f>IF(AND(Z940="共同",COUNT(H940:I940)=2),H940-I940,"")</x:f>
        <x:v>-5</x:v>
      </x:c>
      <x:c r="O940" s="10" t="n">
        <x:v>81</x:v>
      </x:c>
      <x:c r="P940" s="10" t="n">
        <x:v>1</x:v>
      </x:c>
      <x:c r="Q940" s="10" t="n">
        <x:v>3</x:v>
      </x:c>
      <x:c r="R940" s="10" t="n">
        <x:v>6</x:v>
      </x:c>
      <x:c r="S940" s="10" t="n">
        <x:v>13</x:v>
      </x:c>
      <x:c r="T940" s="10" t="n">
        <x:v>0</x:v>
      </x:c>
      <x:c r="U940" s="10" t="n">
        <x:f>IF(AND(ISNUMBER(X940),X940&gt;=0,Y940&lt;&gt;1),X940,"")</x:f>
        <x:v>12</x:v>
      </x:c>
      <x:c r="V940" s="10" t="n">
        <x:v>0</x:v>
      </x:c>
      <x:c r="W940" s="10" t="n">
        <x:v>0</x:v>
      </x:c>
      <x:c r="X940" s="10" t="n">
        <x:v>12</x:v>
      </x:c>
      <x:c r="Y940" s="3" t="n">
        <x:v>0</x:v>
      </x:c>
      <x:c r="Z940" s="3" t="str">
        <x:v>共同</x:v>
      </x:c>
      <x:c r="AA940" s="3" t="str">
        <x:v>在售</x:v>
      </x:c>
      <x:c r="AB940" s="12" t="n">
        <x:f>IF(AND(Z940="共同",ISNUMBER(G940),ISNUMBER(AD940)),G940-AD940,"")</x:f>
        <x:v>-0.06476190476190474</x:v>
      </x:c>
      <x:c r="AC940" s="3" t="str"/>
      <x:c r="AD940" s="12" t="n">
        <x:v>0.24047619047619045</x:v>
      </x:c>
      <x:c r="AE940" s="3" t="str">
        <x:v>[6574,"1S01-TN-40"]</x:v>
      </x:c>
      <x:c r="AF940" t="n">
        <x:f>IF(ISNUMBER(H940),1,0)</x:f>
        <x:v>1</x:v>
      </x:c>
      <x:c r="AG940" t="n">
        <x:f>IF(ISNUMBER(I940),1,0)</x:f>
        <x:v>1</x:v>
      </x:c>
      <x:c r="AH940" t="str">
        <x:v>["1S01","1S01-TN","TN","驼色"]</x:v>
      </x:c>
      <x:c r="AI940" t="n">
        <x:f>IF(ISNUMBER(G940),1,0)</x:f>
        <x:v>1</x:v>
      </x:c>
      <x:c r="AJ940" t="n">
        <x:f>IF(ISNUMBER(AD940),1,0)</x:f>
        <x:v>1</x:v>
      </x:c>
    </x:row>
    <x:row r="941" ht="30" customHeight="1">
      <x:c r="A941" s="3" t="str">
        <x:v>2302153-BK-P-Z-9.5</x:v>
      </x:c>
      <x:c r="B941" s="3" t="str">
        <x:v>3店-SANDIEX-US</x:v>
      </x:c>
      <x:c r="C941" s="3" t="str">
        <x:v>徐新怡</x:v>
      </x:c>
      <x:c r="D941" s="3" t="str">
        <x:v>2302153</x:v>
      </x:c>
      <x:c r="E941" s="3" t="str">
        <x:f>IF(Z941="移出","已移出",IF(NOT(ISNUMBER(H941)),"数据待核",IF(H941=0,"断货",IF(NOT(ISNUMBER(G941)),"数据待核",IF(G941=0,"零日销待复核",IF(F941&lt;60,"补货提醒",IF(F941&lt;=90,"正常库存",IF(F941&lt;180,"促销",IF(F941&lt;=365,"红线促销","考虑清仓")))))))))</x:f>
        <x:v>正常库存</x:v>
      </x:c>
      <x:c r="F941" s="11" t="n">
        <x:f>IF(AND(ISNUMBER(H941),ISNUMBER(G941),G941&gt;0),H941/G941,"")</x:f>
        <x:v>70.34313725490196</x:v>
      </x:c>
      <x:c r="G941" s="12" t="n">
        <x:f>IF(AND(COUNT(P941:R941)=3,MIN(P941:R941)&gt;=0,P941&lt;=Q941,Q941&lt;=R941),P941/7*0.5+Q941/14*0.3+R941/30*0.2,"")</x:f>
        <x:v>1.1657142857142857</x:v>
      </x:c>
      <x:c r="H941" s="10" t="n">
        <x:f>IF(ISNUMBER(U941),U941,"")</x:f>
        <x:v>82</x:v>
      </x:c>
      <x:c r="I941" s="10" t="n">
        <x:v>92</x:v>
      </x:c>
      <x:c r="J941" s="11" t="n">
        <x:f>IF(AND(Z941="共同",ISNUMBER(F941),ISNUMBER(M941)),F941-M941,"")</x:f>
        <x:v>19.501031991744064</x:v>
      </x:c>
      <x:c r="K941" s="13" t="n">
        <x:f>IF(AND(ISNUMBER(J941),M941&lt;&gt;0),J941/M941,"")</x:f>
        <x:v>0.38356067064506955</x:v>
      </x:c>
      <x:c r="L941" s="10" t="str">
        <x:v>补货提醒</x:v>
      </x:c>
      <x:c r="M941" s="11" t="n">
        <x:v>50.8421052631579</x:v>
      </x:c>
      <x:c r="N941" s="10" t="n">
        <x:f>IF(AND(Z941="共同",COUNT(H941:I941)=2),H941-I941,"")</x:f>
        <x:v>-10</x:v>
      </x:c>
      <x:c r="O941" s="10" t="n">
        <x:v>124</x:v>
      </x:c>
      <x:c r="P941" s="10" t="n">
        <x:v>7</x:v>
      </x:c>
      <x:c r="Q941" s="10" t="n">
        <x:v>18</x:v>
      </x:c>
      <x:c r="R941" s="10" t="n">
        <x:v>42</x:v>
      </x:c>
      <x:c r="S941" s="10" t="n">
        <x:v>83</x:v>
      </x:c>
      <x:c r="T941" s="10" t="n">
        <x:v>0</x:v>
      </x:c>
      <x:c r="U941" s="10" t="n">
        <x:f>IF(AND(ISNUMBER(X941),X941&gt;=0,Y941&lt;&gt;1),X941,"")</x:f>
        <x:v>82</x:v>
      </x:c>
      <x:c r="V941" s="10" t="n">
        <x:v>1</x:v>
      </x:c>
      <x:c r="W941" s="10" t="n">
        <x:v>41</x:v>
      </x:c>
      <x:c r="X941" s="10" t="n">
        <x:v>82</x:v>
      </x:c>
      <x:c r="Y941" s="3" t="n">
        <x:v>0</x:v>
      </x:c>
      <x:c r="Z941" s="3" t="str">
        <x:v>共同</x:v>
      </x:c>
      <x:c r="AA941" s="3" t="str">
        <x:v>在售</x:v>
      </x:c>
      <x:c r="AB941" s="12" t="n">
        <x:f>IF(AND(Z941="共同",ISNUMBER(G941),ISNUMBER(AD941)),G941-AD941,"")</x:f>
        <x:v>-0.6438095238095238</x:v>
      </x:c>
      <x:c r="AC941" s="3" t="str"/>
      <x:c r="AD941" s="12" t="n">
        <x:v>1.8095238095238095</x:v>
      </x:c>
      <x:c r="AE941" s="3" t="str">
        <x:v>[6574,"2302153-BK-P-Z-9.5"]</x:v>
      </x:c>
      <x:c r="AF941" t="n">
        <x:f>IF(ISNUMBER(H941),1,0)</x:f>
        <x:v>1</x:v>
      </x:c>
      <x:c r="AG941" t="n">
        <x:f>IF(ISNUMBER(I941),1,0)</x:f>
        <x:v>1</x:v>
      </x:c>
      <x:c r="AH941" t="str">
        <x:v>["2302153","2302153-BK-P-Z","BK-P","黑色"]</x:v>
      </x:c>
      <x:c r="AI941" t="n">
        <x:f>IF(ISNUMBER(G941),1,0)</x:f>
        <x:v>1</x:v>
      </x:c>
      <x:c r="AJ941" t="n">
        <x:f>IF(ISNUMBER(AD941),1,0)</x:f>
        <x:v>1</x:v>
      </x:c>
    </x:row>
    <x:row r="942" ht="30" customHeight="1">
      <x:c r="A942" s="3" t="str">
        <x:v>2302153-BK-S-Z-10</x:v>
      </x:c>
      <x:c r="B942" s="3" t="str">
        <x:v>3店-SANDIEX-US</x:v>
      </x:c>
      <x:c r="C942" s="3" t="str">
        <x:v>徐新怡</x:v>
      </x:c>
      <x:c r="D942" s="3" t="str">
        <x:v>2302153</x:v>
      </x:c>
      <x:c r="E942" s="3" t="str">
        <x:f>IF(Z942="移出","已移出",IF(NOT(ISNUMBER(H942)),"数据待核",IF(H942=0,"断货",IF(NOT(ISNUMBER(G942)),"数据待核",IF(G942=0,"零日销待复核",IF(F942&lt;60,"补货提醒",IF(F942&lt;=90,"正常库存",IF(F942&lt;180,"促销",IF(F942&lt;=365,"红线促销","考虑清仓")))))))))</x:f>
        <x:v>正常库存</x:v>
      </x:c>
      <x:c r="F942" s="11" t="n">
        <x:f>IF(AND(ISNUMBER(H942),ISNUMBER(G942),G942&gt;0),H942/G942,"")</x:f>
        <x:v>83.88625592417061</x:v>
      </x:c>
      <x:c r="G942" s="12" t="n">
        <x:f>IF(AND(COUNT(P942:R942)=3,MIN(P942:R942)&gt;=0,P942&lt;=Q942,Q942&lt;=R942),P942/7*0.5+Q942/14*0.3+R942/30*0.2,"")</x:f>
        <x:v>1.4066666666666667</x:v>
      </x:c>
      <x:c r="H942" s="10" t="n">
        <x:f>IF(ISNUMBER(U942),U942,"")</x:f>
        <x:v>118</x:v>
      </x:c>
      <x:c r="I942" s="10" t="n">
        <x:v>152</x:v>
      </x:c>
      <x:c r="J942" s="11" t="n">
        <x:f>IF(AND(Z942="共同",ISNUMBER(F942),ISNUMBER(M942)),F942-M942,"")</x:f>
        <x:v>-45.92260946826535</x:v>
      </x:c>
      <x:c r="K942" s="13" t="n">
        <x:f>IF(AND(ISNUMBER(J942),M942&lt;&gt;0),J942/M942,"")</x:f>
        <x:v>-0.35377097958165565</x:v>
      </x:c>
      <x:c r="L942" s="10" t="str">
        <x:v>促销</x:v>
      </x:c>
      <x:c r="M942" s="11" t="n">
        <x:v>129.80886539243596</x:v>
      </x:c>
      <x:c r="N942" s="10" t="n">
        <x:f>IF(AND(Z942="共同",COUNT(H942:I942)=2),H942-I942,"")</x:f>
        <x:v>-34</x:v>
      </x:c>
      <x:c r="O942" s="10" t="n">
        <x:v>17</x:v>
      </x:c>
      <x:c r="P942" s="10" t="n">
        <x:v>12</x:v>
      </x:c>
      <x:c r="Q942" s="10" t="n">
        <x:v>16</x:v>
      </x:c>
      <x:c r="R942" s="10" t="n">
        <x:v>31</x:v>
      </x:c>
      <x:c r="S942" s="10" t="n">
        <x:v>144</x:v>
      </x:c>
      <x:c r="T942" s="10" t="n">
        <x:v>0</x:v>
      </x:c>
      <x:c r="U942" s="10" t="n">
        <x:f>IF(AND(ISNUMBER(X942),X942&gt;=0,Y942&lt;&gt;1),X942,"")</x:f>
        <x:v>118</x:v>
      </x:c>
      <x:c r="V942" s="10" t="n">
        <x:v>0</x:v>
      </x:c>
      <x:c r="W942" s="10" t="n">
        <x:v>0</x:v>
      </x:c>
      <x:c r="X942" s="10" t="n">
        <x:v>118</x:v>
      </x:c>
      <x:c r="Y942" s="3" t="n">
        <x:v>0</x:v>
      </x:c>
      <x:c r="Z942" s="3" t="str">
        <x:v>共同</x:v>
      </x:c>
      <x:c r="AA942" s="3" t="str">
        <x:v>在售</x:v>
      </x:c>
      <x:c r="AB942" s="12" t="n">
        <x:f>IF(AND(Z942="共同",ISNUMBER(G942),ISNUMBER(AD942)),G942-AD942,"")</x:f>
        <x:v>0.23571428571428577</x:v>
      </x:c>
      <x:c r="AC942" s="3" t="str"/>
      <x:c r="AD942" s="12" t="n">
        <x:v>1.170952380952381</x:v>
      </x:c>
      <x:c r="AE942" s="3" t="str">
        <x:v>[6574,"2302153-BK-S-Z-10"]</x:v>
      </x:c>
      <x:c r="AF942" t="n">
        <x:f>IF(ISNUMBER(H942),1,0)</x:f>
        <x:v>1</x:v>
      </x:c>
      <x:c r="AG942" t="n">
        <x:f>IF(ISNUMBER(I942),1,0)</x:f>
        <x:v>1</x:v>
      </x:c>
      <x:c r="AH942" t="str">
        <x:v>["2302153","2302153-BK-S-Z","BK","黑色"]</x:v>
      </x:c>
      <x:c r="AI942" t="n">
        <x:f>IF(ISNUMBER(G942),1,0)</x:f>
        <x:v>1</x:v>
      </x:c>
      <x:c r="AJ942" t="n">
        <x:f>IF(ISNUMBER(AD942),1,0)</x:f>
        <x:v>1</x:v>
      </x:c>
    </x:row>
    <x:row r="943" ht="30" customHeight="1">
      <x:c r="A943" s="3" t="str">
        <x:v>2302153-BK-S-Z-6.5</x:v>
      </x:c>
      <x:c r="B943" s="3" t="str">
        <x:v>3店-SANDIEX-US</x:v>
      </x:c>
      <x:c r="C943" s="3" t="str">
        <x:v>徐新怡</x:v>
      </x:c>
      <x:c r="D943" s="3" t="str">
        <x:v>2302153</x:v>
      </x:c>
      <x:c r="E943" s="3" t="str">
        <x:f>IF(Z943="移出","已移出",IF(NOT(ISNUMBER(H943)),"数据待核",IF(H943=0,"断货",IF(NOT(ISNUMBER(G943)),"数据待核",IF(G943=0,"零日销待复核",IF(F943&lt;60,"补货提醒",IF(F943&lt;=90,"正常库存",IF(F943&lt;180,"促销",IF(F943&lt;=365,"红线促销","考虑清仓")))))))))</x:f>
        <x:v>正常库存</x:v>
      </x:c>
      <x:c r="F943" s="11" t="n">
        <x:f>IF(AND(ISNUMBER(H943),ISNUMBER(G943),G943&gt;0),H943/G943,"")</x:f>
        <x:v>69.31311329170383</x:v>
      </x:c>
      <x:c r="G943" s="12" t="n">
        <x:f>IF(AND(COUNT(P943:R943)=3,MIN(P943:R943)&gt;=0,P943&lt;=Q943,Q943&lt;=R943),P943/7*0.5+Q943/14*0.3+R943/30*0.2,"")</x:f>
        <x:v>0.5338095238095238</x:v>
      </x:c>
      <x:c r="H943" s="10" t="n">
        <x:f>IF(ISNUMBER(U943),U943,"")</x:f>
        <x:v>37</x:v>
      </x:c>
      <x:c r="I943" s="10" t="n">
        <x:v>43</x:v>
      </x:c>
      <x:c r="J943" s="11" t="n">
        <x:f>IF(AND(Z943="共同",ISNUMBER(F943),ISNUMBER(M943)),F943-M943,"")</x:f>
        <x:v>-13.303538126411453</x:v>
      </x:c>
      <x:c r="K943" s="13" t="n">
        <x:f>IF(AND(ISNUMBER(J943),M943&lt;&gt;0),J943/M943,"")</x:f>
        <x:v>-0.16102732195091604</x:v>
      </x:c>
      <x:c r="L943" s="10" t="str">
        <x:v>正常库存</x:v>
      </x:c>
      <x:c r="M943" s="11" t="n">
        <x:v>82.61665141811528</x:v>
      </x:c>
      <x:c r="N943" s="10" t="n">
        <x:f>IF(AND(Z943="共同",COUNT(H943:I943)=2),H943-I943,"")</x:f>
        <x:v>-6</x:v>
      </x:c>
      <x:c r="O943" s="10" t="n">
        <x:v>54</x:v>
      </x:c>
      <x:c r="P943" s="10" t="n">
        <x:v>3</x:v>
      </x:c>
      <x:c r="Q943" s="10" t="n">
        <x:v>9</x:v>
      </x:c>
      <x:c r="R943" s="10" t="n">
        <x:v>19</x:v>
      </x:c>
      <x:c r="S943" s="10" t="n">
        <x:v>41</x:v>
      </x:c>
      <x:c r="T943" s="10" t="n">
        <x:v>0</x:v>
      </x:c>
      <x:c r="U943" s="10" t="n">
        <x:f>IF(AND(ISNUMBER(X943),X943&gt;=0,Y943&lt;&gt;1),X943,"")</x:f>
        <x:v>37</x:v>
      </x:c>
      <x:c r="V943" s="10" t="n">
        <x:v>0</x:v>
      </x:c>
      <x:c r="W943" s="10" t="n">
        <x:v>10</x:v>
      </x:c>
      <x:c r="X943" s="10" t="n">
        <x:v>37</x:v>
      </x:c>
      <x:c r="Y943" s="3" t="n">
        <x:v>0</x:v>
      </x:c>
      <x:c r="Z943" s="3" t="str">
        <x:v>共同</x:v>
      </x:c>
      <x:c r="AA943" s="3" t="str">
        <x:v>在售</x:v>
      </x:c>
      <x:c r="AB943" s="12" t="n">
        <x:f>IF(AND(Z943="共同",ISNUMBER(G943),ISNUMBER(AD943)),G943-AD943,"")</x:f>
        <x:v>0.01333333333333342</x:v>
      </x:c>
      <x:c r="AC943" s="3" t="str"/>
      <x:c r="AD943" s="12" t="n">
        <x:v>0.5204761904761904</x:v>
      </x:c>
      <x:c r="AE943" s="3" t="str">
        <x:v>[6574,"2302153-BK-S-Z-6.5"]</x:v>
      </x:c>
      <x:c r="AF943" t="n">
        <x:f>IF(ISNUMBER(H943),1,0)</x:f>
        <x:v>1</x:v>
      </x:c>
      <x:c r="AG943" t="n">
        <x:f>IF(ISNUMBER(I943),1,0)</x:f>
        <x:v>1</x:v>
      </x:c>
      <x:c r="AH943" t="str">
        <x:v>["2302153","2302153-BK-S-Z","BK","黑色"]</x:v>
      </x:c>
      <x:c r="AI943" t="n">
        <x:f>IF(ISNUMBER(G943),1,0)</x:f>
        <x:v>1</x:v>
      </x:c>
      <x:c r="AJ943" t="n">
        <x:f>IF(ISNUMBER(AD943),1,0)</x:f>
        <x:v>1</x:v>
      </x:c>
    </x:row>
    <x:row r="944" ht="30" customHeight="1">
      <x:c r="A944" s="3" t="str">
        <x:v>2302153-CC-P-Z-6</x:v>
      </x:c>
      <x:c r="B944" s="3" t="str">
        <x:v>3店-SANDIEX-US</x:v>
      </x:c>
      <x:c r="C944" s="3" t="str">
        <x:v>徐新怡</x:v>
      </x:c>
      <x:c r="D944" s="3" t="str">
        <x:v>2302153</x:v>
      </x:c>
      <x:c r="E944" s="3" t="str">
        <x:f>IF(Z944="移出","已移出",IF(NOT(ISNUMBER(H944)),"数据待核",IF(H944=0,"断货",IF(NOT(ISNUMBER(G944)),"数据待核",IF(G944=0,"零日销待复核",IF(F944&lt;60,"补货提醒",IF(F944&lt;=90,"正常库存",IF(F944&lt;180,"促销",IF(F944&lt;=365,"红线促销","考虑清仓")))))))))</x:f>
        <x:v>正常库存</x:v>
      </x:c>
      <x:c r="F944" s="11" t="n">
        <x:f>IF(AND(ISNUMBER(H944),ISNUMBER(G944),G944&gt;0),H944/G944,"")</x:f>
        <x:v>69.42148760330579</x:v>
      </x:c>
      <x:c r="G944" s="12" t="n">
        <x:f>IF(AND(COUNT(P944:R944)=3,MIN(P944:R944)&gt;=0,P944&lt;=Q944,Q944&lt;=R944),P944/7*0.5+Q944/14*0.3+R944/30*0.2,"")</x:f>
        <x:v>0.23047619047619047</x:v>
      </x:c>
      <x:c r="H944" s="10" t="n">
        <x:f>IF(ISNUMBER(U944),U944,"")</x:f>
        <x:v>16</x:v>
      </x:c>
      <x:c r="I944" s="10" t="n">
        <x:v>12</x:v>
      </x:c>
      <x:c r="J944" s="11" t="n">
        <x:f>IF(AND(Z944="共同",ISNUMBER(F944),ISNUMBER(M944)),F944-M944,"")</x:f>
        <x:v>48.69780339277948</x:v>
      </x:c>
      <x:c r="K944" s="13" t="n">
        <x:f>IF(AND(ISNUMBER(J944),M944&lt;&gt;0),J944/M944,"")</x:f>
        <x:v>2.349862258953169</x:v>
      </x:c>
      <x:c r="L944" s="10" t="str">
        <x:v>补货提醒</x:v>
      </x:c>
      <x:c r="M944" s="11" t="n">
        <x:v>20.72368421052631</x:v>
      </x:c>
      <x:c r="N944" s="10" t="n">
        <x:f>IF(AND(Z944="共同",COUNT(H944:I944)=2),H944-I944,"")</x:f>
        <x:v>4</x:v>
      </x:c>
      <x:c r="O944" s="10" t="n">
        <x:v>24</x:v>
      </x:c>
      <x:c r="P944" s="10" t="n">
        <x:v>1</x:v>
      </x:c>
      <x:c r="Q944" s="10" t="n">
        <x:v>4</x:v>
      </x:c>
      <x:c r="R944" s="10" t="n">
        <x:v>11</x:v>
      </x:c>
      <x:c r="S944" s="10" t="n">
        <x:v>32</x:v>
      </x:c>
      <x:c r="T944" s="10" t="n">
        <x:v>0</x:v>
      </x:c>
      <x:c r="U944" s="10" t="n">
        <x:f>IF(AND(ISNUMBER(X944),X944&gt;=0,Y944&lt;&gt;1),X944,"")</x:f>
        <x:v>16</x:v>
      </x:c>
      <x:c r="V944" s="10" t="n">
        <x:v>0</x:v>
      </x:c>
      <x:c r="W944" s="10" t="n">
        <x:v>43</x:v>
      </x:c>
      <x:c r="X944" s="10" t="n">
        <x:v>16</x:v>
      </x:c>
      <x:c r="Y944" s="3" t="n">
        <x:v>0</x:v>
      </x:c>
      <x:c r="Z944" s="3" t="str">
        <x:v>共同</x:v>
      </x:c>
      <x:c r="AA944" s="3" t="str">
        <x:v>在售</x:v>
      </x:c>
      <x:c r="AB944" s="12" t="n">
        <x:f>IF(AND(Z944="共同",ISNUMBER(G944),ISNUMBER(AD944)),G944-AD944,"")</x:f>
        <x:v>-0.34857142857142864</x:v>
      </x:c>
      <x:c r="AC944" s="3" t="str"/>
      <x:c r="AD944" s="12" t="n">
        <x:v>0.5790476190476191</x:v>
      </x:c>
      <x:c r="AE944" s="3" t="str">
        <x:v>[6574,"2302153-CC-P-Z-6"]</x:v>
      </x:c>
      <x:c r="AF944" t="n">
        <x:f>IF(ISNUMBER(H944),1,0)</x:f>
        <x:v>1</x:v>
      </x:c>
      <x:c r="AG944" t="n">
        <x:f>IF(ISNUMBER(I944),1,0)</x:f>
        <x:v>1</x:v>
      </x:c>
      <x:c r="AH944" t="str">
        <x:v>["2302153","2302153-CC-P-Z","CC-P","驼色"]</x:v>
      </x:c>
      <x:c r="AI944" t="n">
        <x:f>IF(ISNUMBER(G944),1,0)</x:f>
        <x:v>1</x:v>
      </x:c>
      <x:c r="AJ944" t="n">
        <x:f>IF(ISNUMBER(AD944),1,0)</x:f>
        <x:v>1</x:v>
      </x:c>
    </x:row>
    <x:row r="945" ht="30" customHeight="1">
      <x:c r="A945" s="3" t="str">
        <x:v>230918-BW-S-Z-6</x:v>
      </x:c>
      <x:c r="B945" s="3" t="str">
        <x:v>1店-MUSSHOE-US</x:v>
      </x:c>
      <x:c r="C945" s="3" t="str">
        <x:v>艾年</x:v>
      </x:c>
      <x:c r="D945" s="3" t="str">
        <x:v>230918</x:v>
      </x:c>
      <x:c r="E945" s="3" t="str">
        <x:f>IF(Z945="移出","已移出",IF(NOT(ISNUMBER(H945)),"数据待核",IF(H945=0,"断货",IF(NOT(ISNUMBER(G945)),"数据待核",IF(G945=0,"零日销待复核",IF(F945&lt;60,"补货提醒",IF(F945&lt;=90,"正常库存",IF(F945&lt;180,"促销",IF(F945&lt;=365,"红线促销","考虑清仓")))))))))</x:f>
        <x:v>正常库存</x:v>
      </x:c>
      <x:c r="F945" s="11" t="n">
        <x:f>IF(AND(ISNUMBER(H945),ISNUMBER(G945),G945&gt;0),H945/G945,"")</x:f>
        <x:v>84.36154949784792</x:v>
      </x:c>
      <x:c r="G945" s="12" t="n">
        <x:f>IF(AND(COUNT(P945:R945)=3,MIN(P945:R945)&gt;=0,P945&lt;=Q945,Q945&lt;=R945),P945/7*0.5+Q945/14*0.3+R945/30*0.2,"")</x:f>
        <x:v>0.3319047619047619</x:v>
      </x:c>
      <x:c r="H945" s="10" t="n">
        <x:f>IF(ISNUMBER(U945),U945,"")</x:f>
        <x:v>28</x:v>
      </x:c>
      <x:c r="I945" s="10" t="n">
        <x:v>5</x:v>
      </x:c>
      <x:c r="J945" s="11" t="n">
        <x:f>IF(AND(Z945="共同",ISNUMBER(F945),ISNUMBER(M945)),F945-M945,"")</x:f>
        <x:v>72.68190544890464</x:v>
      </x:c>
      <x:c r="K945" s="13" t="n">
        <x:f>IF(AND(ISNUMBER(J945),M945&lt;&gt;0),J945/M945,"")</x:f>
        <x:v>6.2229555236728835</x:v>
      </x:c>
      <x:c r="L945" s="10" t="str">
        <x:v>补货提醒</x:v>
      </x:c>
      <x:c r="M945" s="11" t="n">
        <x:v>11.67964404894327</x:v>
      </x:c>
      <x:c r="N945" s="10" t="n">
        <x:f>IF(AND(Z945="共同",COUNT(H945:I945)=2),H945-I945,"")</x:f>
        <x:v>23</x:v>
      </x:c>
      <x:c r="O945" s="10" t="n">
        <x:v>29</x:v>
      </x:c>
      <x:c r="P945" s="10" t="n">
        <x:v>3</x:v>
      </x:c>
      <x:c r="Q945" s="10" t="n">
        <x:v>3</x:v>
      </x:c>
      <x:c r="R945" s="10" t="n">
        <x:v>8</x:v>
      </x:c>
      <x:c r="S945" s="10" t="n">
        <x:v>41</x:v>
      </x:c>
      <x:c r="T945" s="10" t="n">
        <x:v>0</x:v>
      </x:c>
      <x:c r="U945" s="10" t="n">
        <x:f>IF(AND(ISNUMBER(X945),X945&gt;=0,Y945&lt;&gt;1),X945,"")</x:f>
        <x:v>28</x:v>
      </x:c>
      <x:c r="V945" s="10" t="n">
        <x:v>0</x:v>
      </x:c>
      <x:c r="W945" s="10" t="n">
        <x:v>61</x:v>
      </x:c>
      <x:c r="X945" s="10" t="n">
        <x:v>28</x:v>
      </x:c>
      <x:c r="Y945" s="3" t="n">
        <x:v>0</x:v>
      </x:c>
      <x:c r="Z945" s="3" t="str">
        <x:v>共同</x:v>
      </x:c>
      <x:c r="AA945" s="3" t="str">
        <x:v>在售</x:v>
      </x:c>
      <x:c r="AB945" s="12" t="n">
        <x:f>IF(AND(Z945="共同",ISNUMBER(G945),ISNUMBER(AD945)),G945-AD945,"")</x:f>
        <x:v>-0.09619047619047616</x:v>
      </x:c>
      <x:c r="AC945" s="3" t="str"/>
      <x:c r="AD945" s="12" t="n">
        <x:v>0.4280952380952381</x:v>
      </x:c>
      <x:c r="AE945" s="3" t="str">
        <x:v>[13120,"230918-BW-S-Z-6"]</x:v>
      </x:c>
      <x:c r="AF945" t="n">
        <x:f>IF(ISNUMBER(H945),1,0)</x:f>
        <x:v>1</x:v>
      </x:c>
      <x:c r="AG945" t="n">
        <x:f>IF(ISNUMBER(I945),1,0)</x:f>
        <x:v>1</x:v>
      </x:c>
      <x:c r="AH945" t="str">
        <x:v>["230918","230918-BW-S-Z","BW","米白色PU"]</x:v>
      </x:c>
      <x:c r="AI945" t="n">
        <x:f>IF(ISNUMBER(G945),1,0)</x:f>
        <x:v>1</x:v>
      </x:c>
      <x:c r="AJ945" t="n">
        <x:f>IF(ISNUMBER(AD945),1,0)</x:f>
        <x:v>1</x:v>
      </x:c>
    </x:row>
    <x:row r="946" ht="30" customHeight="1">
      <x:c r="A946" s="3" t="str">
        <x:v>230918-BW-S-Z-8</x:v>
      </x:c>
      <x:c r="B946" s="3" t="str">
        <x:v>1店-MUSSHOE-US</x:v>
      </x:c>
      <x:c r="C946" s="3" t="str">
        <x:v>艾年</x:v>
      </x:c>
      <x:c r="D946" s="3" t="str">
        <x:v>230918</x:v>
      </x:c>
      <x:c r="E946" s="3" t="str">
        <x:f>IF(Z946="移出","已移出",IF(NOT(ISNUMBER(H946)),"数据待核",IF(H946=0,"断货",IF(NOT(ISNUMBER(G946)),"数据待核",IF(G946=0,"零日销待复核",IF(F946&lt;60,"补货提醒",IF(F946&lt;=90,"正常库存",IF(F946&lt;180,"促销",IF(F946&lt;=365,"红线促销","考虑清仓")))))))))</x:f>
        <x:v>正常库存</x:v>
      </x:c>
      <x:c r="F946" s="11" t="n">
        <x:f>IF(AND(ISNUMBER(H946),ISNUMBER(G946),G946&gt;0),H946/G946,"")</x:f>
        <x:v>74.71745500209292</x:v>
      </x:c>
      <x:c r="G946" s="12" t="n">
        <x:f>IF(AND(COUNT(P946:R946)=3,MIN(P946:R946)&gt;=0,P946&lt;=Q946,Q946&lt;=R946),P946/7*0.5+Q946/14*0.3+R946/30*0.2,"")</x:f>
        <x:v>1.1376190476190478</x:v>
      </x:c>
      <x:c r="H946" s="10" t="n">
        <x:f>IF(ISNUMBER(U946),U946,"")</x:f>
        <x:v>85</x:v>
      </x:c>
      <x:c r="I946" s="10" t="n">
        <x:v>21</x:v>
      </x:c>
      <x:c r="J946" s="11" t="n">
        <x:f>IF(AND(Z946="共同",ISNUMBER(F946),ISNUMBER(M946)),F946-M946,"")</x:f>
        <x:v>49.29958756693442</x:v>
      </x:c>
      <x:c r="K946" s="13" t="n">
        <x:f>IF(AND(ISNUMBER(J946),M946&lt;&gt;0),J946/M946,"")</x:f>
        <x:v>1.9395642727580777</x:v>
      </x:c>
      <x:c r="L946" s="10" t="str">
        <x:v>补货提醒</x:v>
      </x:c>
      <x:c r="M946" s="11" t="n">
        <x:v>25.4178674351585</x:v>
      </x:c>
      <x:c r="N946" s="10" t="n">
        <x:f>IF(AND(Z946="共同",COUNT(H946:I946)=2),H946-I946,"")</x:f>
        <x:v>64</x:v>
      </x:c>
      <x:c r="O946" s="10" t="n">
        <x:v>150</x:v>
      </x:c>
      <x:c r="P946" s="10" t="n">
        <x:v>9</x:v>
      </x:c>
      <x:c r="Q946" s="10" t="n">
        <x:v>15</x:v>
      </x:c>
      <x:c r="R946" s="10" t="n">
        <x:v>26</x:v>
      </x:c>
      <x:c r="S946" s="10" t="n">
        <x:v>89</x:v>
      </x:c>
      <x:c r="T946" s="10" t="n">
        <x:v>1</x:v>
      </x:c>
      <x:c r="U946" s="10" t="n">
        <x:f>IF(AND(ISNUMBER(X946),X946&gt;=0,Y946&lt;&gt;1),X946,"")</x:f>
        <x:v>85</x:v>
      </x:c>
      <x:c r="V946" s="10" t="n">
        <x:v>0</x:v>
      </x:c>
      <x:c r="W946" s="10" t="n">
        <x:v>41</x:v>
      </x:c>
      <x:c r="X946" s="10" t="n">
        <x:v>85</x:v>
      </x:c>
      <x:c r="Y946" s="3" t="n">
        <x:v>0</x:v>
      </x:c>
      <x:c r="Z946" s="3" t="str">
        <x:v>共同</x:v>
      </x:c>
      <x:c r="AA946" s="3" t="str">
        <x:v>在售</x:v>
      </x:c>
      <x:c r="AB946" s="12" t="n">
        <x:f>IF(AND(Z946="共同",ISNUMBER(G946),ISNUMBER(AD946)),G946-AD946,"")</x:f>
        <x:v>0.3114285714285715</x:v>
      </x:c>
      <x:c r="AC946" s="3" t="str"/>
      <x:c r="AD946" s="12" t="n">
        <x:v>0.8261904761904763</x:v>
      </x:c>
      <x:c r="AE946" s="3" t="str">
        <x:v>[13120,"230918-BW-S-Z-8"]</x:v>
      </x:c>
      <x:c r="AF946" t="n">
        <x:f>IF(ISNUMBER(H946),1,0)</x:f>
        <x:v>1</x:v>
      </x:c>
      <x:c r="AG946" t="n">
        <x:f>IF(ISNUMBER(I946),1,0)</x:f>
        <x:v>1</x:v>
      </x:c>
      <x:c r="AH946" t="str">
        <x:v>["230918","230918-BW-S-Z","BW","米白色PU"]</x:v>
      </x:c>
      <x:c r="AI946" t="n">
        <x:f>IF(ISNUMBER(G946),1,0)</x:f>
        <x:v>1</x:v>
      </x:c>
      <x:c r="AJ946" t="n">
        <x:f>IF(ISNUMBER(AD946),1,0)</x:f>
        <x:v>1</x:v>
      </x:c>
    </x:row>
    <x:row r="947" ht="30" customHeight="1">
      <x:c r="A947" s="3" t="str">
        <x:v>230918-TN-P-Z-8</x:v>
      </x:c>
      <x:c r="B947" s="3" t="str">
        <x:v>1店-MUSSHOE-US</x:v>
      </x:c>
      <x:c r="C947" s="3" t="str">
        <x:v>艾年</x:v>
      </x:c>
      <x:c r="D947" s="3" t="str">
        <x:v>230918</x:v>
      </x:c>
      <x:c r="E947" s="3" t="str">
        <x:f>IF(Z947="移出","已移出",IF(NOT(ISNUMBER(H947)),"数据待核",IF(H947=0,"断货",IF(NOT(ISNUMBER(G947)),"数据待核",IF(G947=0,"零日销待复核",IF(F947&lt;60,"补货提醒",IF(F947&lt;=90,"正常库存",IF(F947&lt;180,"促销",IF(F947&lt;=365,"红线促销","考虑清仓")))))))))</x:f>
        <x:v>正常库存</x:v>
      </x:c>
      <x:c r="F947" s="11" t="n">
        <x:f>IF(AND(ISNUMBER(H947),ISNUMBER(G947),G947&gt;0),H947/G947,"")</x:f>
        <x:v>61.83556405353728</x:v>
      </x:c>
      <x:c r="G947" s="12" t="n">
        <x:f>IF(AND(COUNT(P947:R947)=3,MIN(P947:R947)&gt;=0,P947&lt;=Q947,Q947&lt;=R947),P947/7*0.5+Q947/14*0.3+R947/30*0.2,"")</x:f>
        <x:v>1.2452380952380953</x:v>
      </x:c>
      <x:c r="H947" s="10" t="n">
        <x:f>IF(ISNUMBER(U947),U947,"")</x:f>
        <x:v>77</x:v>
      </x:c>
      <x:c r="I947" s="10" t="n">
        <x:v>89</x:v>
      </x:c>
      <x:c r="J947" s="11" t="n">
        <x:f>IF(AND(Z947="共同",ISNUMBER(F947),ISNUMBER(M947)),F947-M947,"")</x:f>
        <x:v>-8.401189046800937</x:v>
      </x:c>
      <x:c r="K947" s="13" t="n">
        <x:f>IF(AND(ISNUMBER(J947),M947&lt;&gt;0),J947/M947,"")</x:f>
        <x:v>-0.11961243474337771</x:v>
      </x:c>
      <x:c r="L947" s="10" t="str">
        <x:v>正常库存</x:v>
      </x:c>
      <x:c r="M947" s="11" t="n">
        <x:v>70.23675310033822</x:v>
      </x:c>
      <x:c r="N947" s="10" t="n">
        <x:f>IF(AND(Z947="共同",COUNT(H947:I947)=2),H947-I947,"")</x:f>
        <x:v>-12</x:v>
      </x:c>
      <x:c r="O947" s="10" t="n">
        <x:v>89</x:v>
      </x:c>
      <x:c r="P947" s="10" t="n">
        <x:v>8</x:v>
      </x:c>
      <x:c r="Q947" s="10" t="n">
        <x:v>19</x:v>
      </x:c>
      <x:c r="R947" s="10" t="n">
        <x:v>40</x:v>
      </x:c>
      <x:c r="S947" s="10" t="n">
        <x:v>81</x:v>
      </x:c>
      <x:c r="T947" s="10" t="n">
        <x:v>2</x:v>
      </x:c>
      <x:c r="U947" s="10" t="n">
        <x:f>IF(AND(ISNUMBER(X947),X947&gt;=0,Y947&lt;&gt;1),X947,"")</x:f>
        <x:v>77</x:v>
      </x:c>
      <x:c r="V947" s="10" t="n">
        <x:v>0</x:v>
      </x:c>
      <x:c r="W947" s="10" t="n">
        <x:v>20</x:v>
      </x:c>
      <x:c r="X947" s="10" t="n">
        <x:v>77</x:v>
      </x:c>
      <x:c r="Y947" s="3" t="n">
        <x:v>0</x:v>
      </x:c>
      <x:c r="Z947" s="3" t="str">
        <x:v>共同</x:v>
      </x:c>
      <x:c r="AA947" s="3" t="str">
        <x:v>在售</x:v>
      </x:c>
      <x:c r="AB947" s="12" t="n">
        <x:f>IF(AND(Z947="共同",ISNUMBER(G947),ISNUMBER(AD947)),G947-AD947,"")</x:f>
        <x:v>-0.02190476190476187</x:v>
      </x:c>
      <x:c r="AC947" s="3" t="str"/>
      <x:c r="AD947" s="12" t="n">
        <x:v>1.2671428571428571</x:v>
      </x:c>
      <x:c r="AE947" s="3" t="str">
        <x:v>[13120,"230918-TN-P-Z-8"]</x:v>
      </x:c>
      <x:c r="AF947" t="n">
        <x:f>IF(ISNUMBER(H947),1,0)</x:f>
        <x:v>1</x:v>
      </x:c>
      <x:c r="AG947" t="n">
        <x:f>IF(ISNUMBER(I947),1,0)</x:f>
        <x:v>1</x:v>
      </x:c>
      <x:c r="AH947" t="str">
        <x:v>["230918","230918-TN-P-Z","TN-P","驼色PU"]</x:v>
      </x:c>
      <x:c r="AI947" t="n">
        <x:f>IF(ISNUMBER(G947),1,0)</x:f>
        <x:v>1</x:v>
      </x:c>
      <x:c r="AJ947" t="n">
        <x:f>IF(ISNUMBER(AD947),1,0)</x:f>
        <x:v>1</x:v>
      </x:c>
    </x:row>
    <x:row r="948" ht="30" customHeight="1">
      <x:c r="A948" s="3" t="str">
        <x:v>230918-TN-P-Z-9</x:v>
      </x:c>
      <x:c r="B948" s="3" t="str">
        <x:v>1店-MUSSHOE-US</x:v>
      </x:c>
      <x:c r="C948" s="3" t="str">
        <x:v>艾年</x:v>
      </x:c>
      <x:c r="D948" s="3" t="str">
        <x:v>230918</x:v>
      </x:c>
      <x:c r="E948" s="3" t="str">
        <x:f>IF(Z948="移出","已移出",IF(NOT(ISNUMBER(H948)),"数据待核",IF(H948=0,"断货",IF(NOT(ISNUMBER(G948)),"数据待核",IF(G948=0,"零日销待复核",IF(F948&lt;60,"补货提醒",IF(F948&lt;=90,"正常库存",IF(F948&lt;180,"促销",IF(F948&lt;=365,"红线促销","考虑清仓")))))))))</x:f>
        <x:v>正常库存</x:v>
      </x:c>
      <x:c r="F948" s="11" t="n">
        <x:f>IF(AND(ISNUMBER(H948),ISNUMBER(G948),G948&gt;0),H948/G948,"")</x:f>
        <x:v>83.8917525773196</x:v>
      </x:c>
      <x:c r="G948" s="12" t="n">
        <x:f>IF(AND(COUNT(P948:R948)=3,MIN(P948:R948)&gt;=0,P948&lt;=Q948,Q948&lt;=R948),P948/7*0.5+Q948/14*0.3+R948/30*0.2,"")</x:f>
        <x:v>0.739047619047619</x:v>
      </x:c>
      <x:c r="H948" s="10" t="n">
        <x:f>IF(ISNUMBER(U948),U948,"")</x:f>
        <x:v>62</x:v>
      </x:c>
      <x:c r="I948" s="10" t="n">
        <x:v>33</x:v>
      </x:c>
      <x:c r="J948" s="11" t="n">
        <x:f>IF(AND(Z948="共同",ISNUMBER(F948),ISNUMBER(M948)),F948-M948,"")</x:f>
        <x:v>28.49606912408219</x:v>
      </x:c>
      <x:c r="K948" s="13" t="n">
        <x:f>IF(AND(ISNUMBER(J948),M948&lt;&gt;0),J948/M948,"")</x:f>
        <x:v>0.5144095595126525</x:v>
      </x:c>
      <x:c r="L948" s="10" t="str">
        <x:v>补货提醒</x:v>
      </x:c>
      <x:c r="M948" s="11" t="n">
        <x:v>55.3956834532374</x:v>
      </x:c>
      <x:c r="N948" s="10" t="n">
        <x:f>IF(AND(Z948="共同",COUNT(H948:I948)=2),H948-I948,"")</x:f>
        <x:v>29</x:v>
      </x:c>
      <x:c r="O948" s="10" t="n">
        <x:v>75</x:v>
      </x:c>
      <x:c r="P948" s="10" t="n">
        <x:v>4</x:v>
      </x:c>
      <x:c r="Q948" s="10" t="n">
        <x:v>14</x:v>
      </x:c>
      <x:c r="R948" s="10" t="n">
        <x:v>23</x:v>
      </x:c>
      <x:c r="S948" s="10" t="n">
        <x:v>72</x:v>
      </x:c>
      <x:c r="T948" s="10" t="n">
        <x:v>0</x:v>
      </x:c>
      <x:c r="U948" s="10" t="n">
        <x:f>IF(AND(ISNUMBER(X948),X948&gt;=0,Y948&lt;&gt;1),X948,"")</x:f>
        <x:v>62</x:v>
      </x:c>
      <x:c r="V948" s="10" t="n">
        <x:v>0</x:v>
      </x:c>
      <x:c r="W948" s="10" t="n">
        <x:v>27</x:v>
      </x:c>
      <x:c r="X948" s="10" t="n">
        <x:v>62</x:v>
      </x:c>
      <x:c r="Y948" s="3" t="n">
        <x:v>0</x:v>
      </x:c>
      <x:c r="Z948" s="3" t="str">
        <x:v>共同</x:v>
      </x:c>
      <x:c r="AA948" s="3" t="str">
        <x:v>在售</x:v>
      </x:c>
      <x:c r="AB948" s="12" t="n">
        <x:f>IF(AND(Z948="共同",ISNUMBER(G948),ISNUMBER(AD948)),G948-AD948,"")</x:f>
        <x:v>0.1433333333333332</x:v>
      </x:c>
      <x:c r="AC948" s="3" t="str"/>
      <x:c r="AD948" s="12" t="n">
        <x:v>0.5957142857142858</x:v>
      </x:c>
      <x:c r="AE948" s="3" t="str">
        <x:v>[13120,"230918-TN-P-Z-9"]</x:v>
      </x:c>
      <x:c r="AF948" t="n">
        <x:f>IF(ISNUMBER(H948),1,0)</x:f>
        <x:v>1</x:v>
      </x:c>
      <x:c r="AG948" t="n">
        <x:f>IF(ISNUMBER(I948),1,0)</x:f>
        <x:v>1</x:v>
      </x:c>
      <x:c r="AH948" t="str">
        <x:v>["230918","230918-TN-P-Z","TN-P","驼色PU"]</x:v>
      </x:c>
      <x:c r="AI948" t="n">
        <x:f>IF(ISNUMBER(G948),1,0)</x:f>
        <x:v>1</x:v>
      </x:c>
      <x:c r="AJ948" t="n">
        <x:f>IF(ISNUMBER(AD948),1,0)</x:f>
        <x:v>1</x:v>
      </x:c>
    </x:row>
    <x:row r="949" ht="30" customHeight="1">
      <x:c r="A949" s="3" t="str">
        <x:v>2311062-BK-P-O-9</x:v>
      </x:c>
      <x:c r="B949" s="3" t="str">
        <x:v>4店-彬郁-US</x:v>
      </x:c>
      <x:c r="C949" s="3" t="str">
        <x:v>陈晨</x:v>
      </x:c>
      <x:c r="D949" s="3" t="str">
        <x:v>2311062</x:v>
      </x:c>
      <x:c r="E949" s="3" t="str">
        <x:f>IF(Z949="移出","已移出",IF(NOT(ISNUMBER(H949)),"数据待核",IF(H949=0,"断货",IF(NOT(ISNUMBER(G949)),"数据待核",IF(G949=0,"零日销待复核",IF(F949&lt;60,"补货提醒",IF(F949&lt;=90,"正常库存",IF(F949&lt;180,"促销",IF(F949&lt;=365,"红线促销","考虑清仓")))))))))</x:f>
        <x:v>正常库存</x:v>
      </x:c>
      <x:c r="F949" s="11" t="n">
        <x:f>IF(AND(ISNUMBER(H949),ISNUMBER(G949),G949&gt;0),H949/G949,"")</x:f>
        <x:v>64.63223787167449</x:v>
      </x:c>
      <x:c r="G949" s="12" t="n">
        <x:f>IF(AND(COUNT(P949:R949)=3,MIN(P949:R949)&gt;=0,P949&lt;=Q949,Q949&lt;=R949),P949/7*0.5+Q949/14*0.3+R949/30*0.2,"")</x:f>
        <x:v>1.8257142857142858</x:v>
      </x:c>
      <x:c r="H949" s="10" t="n">
        <x:f>IF(ISNUMBER(U949),U949,"")</x:f>
        <x:v>118</x:v>
      </x:c>
      <x:c r="I949" s="10" t="n">
        <x:v>116</x:v>
      </x:c>
      <x:c r="J949" s="11" t="n">
        <x:f>IF(AND(Z949="共同",ISNUMBER(F949),ISNUMBER(M949)),F949-M949,"")</x:f>
        <x:v>-24.500583204066444</x:v>
      </x:c>
      <x:c r="K949" s="13" t="n">
        <x:f>IF(AND(ISNUMBER(J949),M949&lt;&gt;0),J949/M949,"")</x:f>
        <x:v>-0.2748772327451297</x:v>
      </x:c>
      <x:c r="L949" s="10" t="str">
        <x:v>正常库存</x:v>
      </x:c>
      <x:c r="M949" s="11" t="n">
        <x:v>89.13282107574094</x:v>
      </x:c>
      <x:c r="N949" s="10" t="n">
        <x:f>IF(AND(Z949="共同",COUNT(H949:I949)=2),H949-I949,"")</x:f>
        <x:v>2</x:v>
      </x:c>
      <x:c r="O949" s="10" t="n">
        <x:v>0</x:v>
      </x:c>
      <x:c r="P949" s="10" t="n">
        <x:v>13</x:v>
      </x:c>
      <x:c r="Q949" s="10" t="n">
        <x:v>26</x:v>
      </x:c>
      <x:c r="R949" s="10" t="n">
        <x:v>51</x:v>
      </x:c>
      <x:c r="S949" s="10" t="n">
        <x:v>141</x:v>
      </x:c>
      <x:c r="T949" s="10" t="n">
        <x:v>0</x:v>
      </x:c>
      <x:c r="U949" s="10" t="n">
        <x:f>IF(AND(ISNUMBER(X949),X949&gt;=0,Y949&lt;&gt;1),X949,"")</x:f>
        <x:v>118</x:v>
      </x:c>
      <x:c r="V949" s="10" t="n">
        <x:v>0</x:v>
      </x:c>
      <x:c r="W949" s="10" t="n">
        <x:v>80</x:v>
      </x:c>
      <x:c r="X949" s="10" t="n">
        <x:v>118</x:v>
      </x:c>
      <x:c r="Y949" s="3" t="n">
        <x:v>0</x:v>
      </x:c>
      <x:c r="Z949" s="3" t="str">
        <x:v>共同</x:v>
      </x:c>
      <x:c r="AA949" s="3" t="str">
        <x:v>在售</x:v>
      </x:c>
      <x:c r="AB949" s="12" t="n">
        <x:f>IF(AND(Z949="共同",ISNUMBER(G949),ISNUMBER(AD949)),G949-AD949,"")</x:f>
        <x:v>0.5242857142857142</x:v>
      </x:c>
      <x:c r="AC949" s="3" t="str"/>
      <x:c r="AD949" s="12" t="n">
        <x:v>1.3014285714285716</x:v>
      </x:c>
      <x:c r="AE949" s="3" t="str">
        <x:v>[13306,"2311062-BK-P-O-9"]</x:v>
      </x:c>
      <x:c r="AF949" t="n">
        <x:f>IF(ISNUMBER(H949),1,0)</x:f>
        <x:v>1</x:v>
      </x:c>
      <x:c r="AG949" t="n">
        <x:f>IF(ISNUMBER(I949),1,0)</x:f>
        <x:v>1</x:v>
      </x:c>
      <x:c r="AH949" t="str">
        <x:v>["2311062","2311062-BK-P-O","BK-P","黑色 PU"]</x:v>
      </x:c>
      <x:c r="AI949" t="n">
        <x:f>IF(ISNUMBER(G949),1,0)</x:f>
        <x:v>1</x:v>
      </x:c>
      <x:c r="AJ949" t="n">
        <x:f>IF(ISNUMBER(AD949),1,0)</x:f>
        <x:v>1</x:v>
      </x:c>
    </x:row>
    <x:row r="950" ht="30" customHeight="1">
      <x:c r="A950" s="3" t="str">
        <x:v>2311062-GD-P-O-11</x:v>
      </x:c>
      <x:c r="B950" s="3" t="str">
        <x:v>4店-彬郁-US</x:v>
      </x:c>
      <x:c r="C950" s="3" t="str">
        <x:v>陈晨</x:v>
      </x:c>
      <x:c r="D950" s="3" t="str">
        <x:v>2311062</x:v>
      </x:c>
      <x:c r="E950" s="3" t="str">
        <x:f>IF(Z950="移出","已移出",IF(NOT(ISNUMBER(H950)),"数据待核",IF(H950=0,"断货",IF(NOT(ISNUMBER(G950)),"数据待核",IF(G950=0,"零日销待复核",IF(F950&lt;60,"补货提醒",IF(F950&lt;=90,"正常库存",IF(F950&lt;180,"促销",IF(F950&lt;=365,"红线促销","考虑清仓")))))))))</x:f>
        <x:v>正常库存</x:v>
      </x:c>
      <x:c r="F950" s="11" t="n">
        <x:f>IF(AND(ISNUMBER(H950),ISNUMBER(G950),G950&gt;0),H950/G950,"")</x:f>
        <x:v>73.42657342657343</x:v>
      </x:c>
      <x:c r="G950" s="12" t="n">
        <x:f>IF(AND(COUNT(P950:R950)=3,MIN(P950:R950)&gt;=0,P950&lt;=Q950,Q950&lt;=R950),P950/7*0.5+Q950/14*0.3+R950/30*0.2,"")</x:f>
        <x:v>0.2723809523809524</x:v>
      </x:c>
      <x:c r="H950" s="10" t="n">
        <x:f>IF(ISNUMBER(U950),U950,"")</x:f>
        <x:v>20</x:v>
      </x:c>
      <x:c r="I950" s="10" t="n">
        <x:v>0</x:v>
      </x:c>
      <x:c r="J950" s="11" t="n">
        <x:f>IF(AND(Z950="共同",ISNUMBER(F950),ISNUMBER(M950)),F950-M950,"")</x:f>
        <x:v>73.42657342657343</x:v>
      </x:c>
      <x:c r="K950" s="13" t="str">
        <x:f>IF(AND(ISNUMBER(J950),M950&lt;&gt;0),J950/M950,"")</x:f>
      </x:c>
      <x:c r="L950" s="10" t="str">
        <x:v>断货</x:v>
      </x:c>
      <x:c r="M950" s="11" t="n">
        <x:v>0</x:v>
      </x:c>
      <x:c r="N950" s="10" t="n">
        <x:f>IF(AND(Z950="共同",COUNT(H950:I950)=2),H950-I950,"")</x:f>
        <x:v>20</x:v>
      </x:c>
      <x:c r="O950" s="10" t="n">
        <x:v>0</x:v>
      </x:c>
      <x:c r="P950" s="10" t="n">
        <x:v>2</x:v>
      </x:c>
      <x:c r="Q950" s="10" t="n">
        <x:v>2</x:v>
      </x:c>
      <x:c r="R950" s="10" t="n">
        <x:v>13</x:v>
      </x:c>
      <x:c r="S950" s="10" t="n">
        <x:v>62</x:v>
      </x:c>
      <x:c r="T950" s="10" t="n">
        <x:v>0</x:v>
      </x:c>
      <x:c r="U950" s="10" t="n">
        <x:f>IF(AND(ISNUMBER(X950),X950&gt;=0,Y950&lt;&gt;1),X950,"")</x:f>
        <x:v>20</x:v>
      </x:c>
      <x:c r="V950" s="10" t="n">
        <x:v>0</x:v>
      </x:c>
      <x:c r="W950" s="10" t="n">
        <x:v>16</x:v>
      </x:c>
      <x:c r="X950" s="10" t="n">
        <x:v>20</x:v>
      </x:c>
      <x:c r="Y950" s="3" t="n">
        <x:v>0</x:v>
      </x:c>
      <x:c r="Z950" s="3" t="str">
        <x:v>共同</x:v>
      </x:c>
      <x:c r="AA950" s="3" t="str">
        <x:v>在售</x:v>
      </x:c>
      <x:c r="AB950" s="12" t="n">
        <x:f>IF(AND(Z950="共同",ISNUMBER(G950),ISNUMBER(AD950)),G950-AD950,"")</x:f>
        <x:v>-0.22523809523809524</x:v>
      </x:c>
      <x:c r="AC950" s="3" t="str"/>
      <x:c r="AD950" s="12" t="n">
        <x:v>0.4976190476190476</x:v>
      </x:c>
      <x:c r="AE950" s="3" t="str">
        <x:v>[13306,"2311062-GD-P-O-11"]</x:v>
      </x:c>
      <x:c r="AF950" t="n">
        <x:f>IF(ISNUMBER(H950),1,0)</x:f>
        <x:v>1</x:v>
      </x:c>
      <x:c r="AG950" t="n">
        <x:f>IF(ISNUMBER(I950),1,0)</x:f>
        <x:v>1</x:v>
      </x:c>
      <x:c r="AH950" t="str">
        <x:v>["2311062","2311062-GD-P-O","GD-P","金色 PU"]</x:v>
      </x:c>
      <x:c r="AI950" t="n">
        <x:f>IF(ISNUMBER(G950),1,0)</x:f>
        <x:v>1</x:v>
      </x:c>
      <x:c r="AJ950" t="n">
        <x:f>IF(ISNUMBER(AD950),1,0)</x:f>
        <x:v>1</x:v>
      </x:c>
    </x:row>
    <x:row r="951" ht="30" customHeight="1">
      <x:c r="A951" s="3" t="str">
        <x:v>2311062-ND-P-O-8</x:v>
      </x:c>
      <x:c r="B951" s="3" t="str">
        <x:v>4店-彬郁-US</x:v>
      </x:c>
      <x:c r="C951" s="3" t="str">
        <x:v>陈晨</x:v>
      </x:c>
      <x:c r="D951" s="3" t="str">
        <x:v>2311062</x:v>
      </x:c>
      <x:c r="E951" s="3" t="str">
        <x:f>IF(Z951="移出","已移出",IF(NOT(ISNUMBER(H951)),"数据待核",IF(H951=0,"断货",IF(NOT(ISNUMBER(G951)),"数据待核",IF(G951=0,"零日销待复核",IF(F951&lt;60,"补货提醒",IF(F951&lt;=90,"正常库存",IF(F951&lt;180,"促销",IF(F951&lt;=365,"红线促销","考虑清仓")))))))))</x:f>
        <x:v>正常库存</x:v>
      </x:c>
      <x:c r="F951" s="11" t="n">
        <x:f>IF(AND(ISNUMBER(H951),ISNUMBER(G951),G951&gt;0),H951/G951,"")</x:f>
        <x:v>66.52136006974716</x:v>
      </x:c>
      <x:c r="G951" s="12" t="n">
        <x:f>IF(AND(COUNT(P951:R951)=3,MIN(P951:R951)&gt;=0,P951&lt;=Q951,Q951&lt;=R951),P951/7*0.5+Q951/14*0.3+R951/30*0.2,"")</x:f>
        <x:v>1.6385714285714286</x:v>
      </x:c>
      <x:c r="H951" s="10" t="n">
        <x:f>IF(ISNUMBER(U951),U951,"")</x:f>
        <x:v>109</x:v>
      </x:c>
      <x:c r="I951" s="10" t="n">
        <x:v>103</x:v>
      </x:c>
      <x:c r="J951" s="11" t="n">
        <x:f>IF(AND(Z951="共同",ISNUMBER(F951),ISNUMBER(M951)),F951-M951,"")</x:f>
        <x:v>-15.379435083603838</x:v>
      </x:c>
      <x:c r="K951" s="13" t="n">
        <x:f>IF(AND(ISNUMBER(J951),M951&lt;&gt;0),J951/M951,"")</x:f>
        <x:v>-0.1877812670170954</x:v>
      </x:c>
      <x:c r="L951" s="10" t="str">
        <x:v>正常库存</x:v>
      </x:c>
      <x:c r="M951" s="11" t="n">
        <x:v>81.900795153351</x:v>
      </x:c>
      <x:c r="N951" s="10" t="n">
        <x:f>IF(AND(Z951="共同",COUNT(H951:I951)=2),H951-I951,"")</x:f>
        <x:v>6</x:v>
      </x:c>
      <x:c r="O951" s="10" t="n">
        <x:v>58</x:v>
      </x:c>
      <x:c r="P951" s="10" t="n">
        <x:v>13</x:v>
      </x:c>
      <x:c r="Q951" s="10" t="n">
        <x:v>21</x:v>
      </x:c>
      <x:c r="R951" s="10" t="n">
        <x:v>39</x:v>
      </x:c>
      <x:c r="S951" s="10" t="n">
        <x:v>147</x:v>
      </x:c>
      <x:c r="T951" s="10" t="n">
        <x:v>1</x:v>
      </x:c>
      <x:c r="U951" s="10" t="n">
        <x:f>IF(AND(ISNUMBER(X951),X951&gt;=0,Y951&lt;&gt;1),X951,"")</x:f>
        <x:v>109</x:v>
      </x:c>
      <x:c r="V951" s="10" t="n">
        <x:v>12</x:v>
      </x:c>
      <x:c r="W951" s="10" t="n">
        <x:v>82</x:v>
      </x:c>
      <x:c r="X951" s="10" t="n">
        <x:v>109</x:v>
      </x:c>
      <x:c r="Y951" s="3" t="n">
        <x:v>0</x:v>
      </x:c>
      <x:c r="Z951" s="3" t="str">
        <x:v>共同</x:v>
      </x:c>
      <x:c r="AA951" s="3" t="str">
        <x:v>在售</x:v>
      </x:c>
      <x:c r="AB951" s="12" t="n">
        <x:f>IF(AND(Z951="共同",ISNUMBER(G951),ISNUMBER(AD951)),G951-AD951,"")</x:f>
        <x:v>0.38095238095238093</x:v>
      </x:c>
      <x:c r="AC951" s="3" t="str"/>
      <x:c r="AD951" s="12" t="n">
        <x:v>1.2576190476190476</x:v>
      </x:c>
      <x:c r="AE951" s="3" t="str">
        <x:v>[13306,"2311062-ND-P-O-8"]</x:v>
      </x:c>
      <x:c r="AF951" t="n">
        <x:f>IF(ISNUMBER(H951),1,0)</x:f>
        <x:v>1</x:v>
      </x:c>
      <x:c r="AG951" t="n">
        <x:f>IF(ISNUMBER(I951),1,0)</x:f>
        <x:v>1</x:v>
      </x:c>
      <x:c r="AH951" t="str">
        <x:v>["2311062","2311062-ND-P-O","ND-P","裸色 PU"]</x:v>
      </x:c>
      <x:c r="AI951" t="n">
        <x:f>IF(ISNUMBER(G951),1,0)</x:f>
        <x:v>1</x:v>
      </x:c>
      <x:c r="AJ951" t="n">
        <x:f>IF(ISNUMBER(AD951),1,0)</x:f>
        <x:v>1</x:v>
      </x:c>
    </x:row>
    <x:row r="952" ht="30" customHeight="1">
      <x:c r="A952" s="3" t="str">
        <x:v>2311062-ND-P-O-9</x:v>
      </x:c>
      <x:c r="B952" s="3" t="str">
        <x:v>4店-彬郁-US</x:v>
      </x:c>
      <x:c r="C952" s="3" t="str">
        <x:v>陈晨</x:v>
      </x:c>
      <x:c r="D952" s="3" t="str">
        <x:v>2311062</x:v>
      </x:c>
      <x:c r="E952" s="3" t="str">
        <x:f>IF(Z952="移出","已移出",IF(NOT(ISNUMBER(H952)),"数据待核",IF(H952=0,"断货",IF(NOT(ISNUMBER(G952)),"数据待核",IF(G952=0,"零日销待复核",IF(F952&lt;60,"补货提醒",IF(F952&lt;=90,"正常库存",IF(F952&lt;180,"促销",IF(F952&lt;=365,"红线促销","考虑清仓")))))))))</x:f>
        <x:v>正常库存</x:v>
      </x:c>
      <x:c r="F952" s="11" t="n">
        <x:f>IF(AND(ISNUMBER(H952),ISNUMBER(G952),G952&gt;0),H952/G952,"")</x:f>
        <x:v>81.70449282075035</x:v>
      </x:c>
      <x:c r="G952" s="12" t="n">
        <x:f>IF(AND(COUNT(P952:R952)=3,MIN(P952:R952)&gt;=0,P952&lt;=Q952,Q952&lt;=R952),P952/7*0.5+Q952/14*0.3+R952/30*0.2,"")</x:f>
        <x:v>1.0280952380952382</x:v>
      </x:c>
      <x:c r="H952" s="10" t="n">
        <x:f>IF(ISNUMBER(U952),U952,"")</x:f>
        <x:v>84</x:v>
      </x:c>
      <x:c r="I952" s="10" t="n">
        <x:v>80</x:v>
      </x:c>
      <x:c r="J952" s="11" t="n">
        <x:f>IF(AND(Z952="共同",ISNUMBER(F952),ISNUMBER(M952)),F952-M952,"")</x:f>
        <x:v>9.72505837344957</x:v>
      </x:c>
      <x:c r="K952" s="13" t="n">
        <x:f>IF(AND(ISNUMBER(J952),M952&lt;&gt;0),J952/M952,"")</x:f>
        <x:v>0.13510884668828152</x:v>
      </x:c>
      <x:c r="L952" s="10" t="str">
        <x:v>正常库存</x:v>
      </x:c>
      <x:c r="M952" s="11" t="n">
        <x:v>71.97943444730078</x:v>
      </x:c>
      <x:c r="N952" s="10" t="n">
        <x:f>IF(AND(Z952="共同",COUNT(H952:I952)=2),H952-I952,"")</x:f>
        <x:v>4</x:v>
      </x:c>
      <x:c r="O952" s="10" t="n">
        <x:v>11</x:v>
      </x:c>
      <x:c r="P952" s="10" t="n">
        <x:v>7</x:v>
      </x:c>
      <x:c r="Q952" s="10" t="n">
        <x:v>15</x:v>
      </x:c>
      <x:c r="R952" s="10" t="n">
        <x:v>31</x:v>
      </x:c>
      <x:c r="S952" s="10" t="n">
        <x:v>122</x:v>
      </x:c>
      <x:c r="T952" s="10" t="n">
        <x:v>0</x:v>
      </x:c>
      <x:c r="U952" s="10" t="n">
        <x:f>IF(AND(ISNUMBER(X952),X952&gt;=0,Y952&lt;&gt;1),X952,"")</x:f>
        <x:v>84</x:v>
      </x:c>
      <x:c r="V952" s="10" t="n">
        <x:v>0</x:v>
      </x:c>
      <x:c r="W952" s="10" t="n">
        <x:v>0</x:v>
      </x:c>
      <x:c r="X952" s="10" t="n">
        <x:v>84</x:v>
      </x:c>
      <x:c r="Y952" s="3" t="n">
        <x:v>0</x:v>
      </x:c>
      <x:c r="Z952" s="3" t="str">
        <x:v>共同</x:v>
      </x:c>
      <x:c r="AA952" s="3" t="str">
        <x:v>在售</x:v>
      </x:c>
      <x:c r="AB952" s="12" t="n">
        <x:f>IF(AND(Z952="共同",ISNUMBER(G952),ISNUMBER(AD952)),G952-AD952,"")</x:f>
        <x:v>-0.08333333333333326</x:v>
      </x:c>
      <x:c r="AC952" s="3" t="str"/>
      <x:c r="AD952" s="12" t="n">
        <x:v>1.1114285714285714</x:v>
      </x:c>
      <x:c r="AE952" s="3" t="str">
        <x:v>[13306,"2311062-ND-P-O-9"]</x:v>
      </x:c>
      <x:c r="AF952" t="n">
        <x:f>IF(ISNUMBER(H952),1,0)</x:f>
        <x:v>1</x:v>
      </x:c>
      <x:c r="AG952" t="n">
        <x:f>IF(ISNUMBER(I952),1,0)</x:f>
        <x:v>1</x:v>
      </x:c>
      <x:c r="AH952" t="str">
        <x:v>["2311062","2311062-ND-P-O","ND-P","裸色 PU"]</x:v>
      </x:c>
      <x:c r="AI952" t="n">
        <x:f>IF(ISNUMBER(G952),1,0)</x:f>
        <x:v>1</x:v>
      </x:c>
      <x:c r="AJ952" t="n">
        <x:f>IF(ISNUMBER(AD952),1,0)</x:f>
        <x:v>1</x:v>
      </x:c>
    </x:row>
    <x:row r="953" ht="30" customHeight="1">
      <x:c r="A953" s="3" t="str">
        <x:v>2311062-RD-V-O-11</x:v>
      </x:c>
      <x:c r="B953" s="3" t="str">
        <x:v>4店-彬郁-US</x:v>
      </x:c>
      <x:c r="C953" s="3" t="str">
        <x:v>陈晨</x:v>
      </x:c>
      <x:c r="D953" s="3" t="str">
        <x:v>2311062</x:v>
      </x:c>
      <x:c r="E953" s="3" t="str">
        <x:f>IF(Z953="移出","已移出",IF(NOT(ISNUMBER(H953)),"数据待核",IF(H953=0,"断货",IF(NOT(ISNUMBER(G953)),"数据待核",IF(G953=0,"零日销待复核",IF(F953&lt;60,"补货提醒",IF(F953&lt;=90,"正常库存",IF(F953&lt;180,"促销",IF(F953&lt;=365,"红线促销","考虑清仓")))))))))</x:f>
        <x:v>正常库存</x:v>
      </x:c>
      <x:c r="F953" s="11" t="n">
        <x:f>IF(AND(ISNUMBER(H953),ISNUMBER(G953),G953&gt;0),H953/G953,"")</x:f>
        <x:v>63.851351351351354</x:v>
      </x:c>
      <x:c r="G953" s="12" t="n">
        <x:f>IF(AND(COUNT(P953:R953)=3,MIN(P953:R953)&gt;=0,P953&lt;=Q953,Q953&lt;=R953),P953/7*0.5+Q953/14*0.3+R953/30*0.2,"")</x:f>
        <x:v>0.14095238095238094</x:v>
      </x:c>
      <x:c r="H953" s="10" t="n">
        <x:f>IF(ISNUMBER(U953),U953,"")</x:f>
        <x:v>9</x:v>
      </x:c>
      <x:c r="I953" s="10" t="n">
        <x:v>10</x:v>
      </x:c>
      <x:c r="J953" s="11" t="n">
        <x:f>IF(AND(Z953="共同",ISNUMBER(F953),ISNUMBER(M953)),F953-M953,"")</x:f>
        <x:v>-30.31905223609259</x:v>
      </x:c>
      <x:c r="K953" s="13" t="n">
        <x:f>IF(AND(ISNUMBER(J953),M953&lt;&gt;0),J953/M953,"")</x:f>
        <x:v>-0.3219594594594594</x:v>
      </x:c>
      <x:c r="L953" s="10" t="str">
        <x:v>促销</x:v>
      </x:c>
      <x:c r="M953" s="11" t="n">
        <x:v>94.17040358744394</x:v>
      </x:c>
      <x:c r="N953" s="10" t="n">
        <x:f>IF(AND(Z953="共同",COUNT(H953:I953)=2),H953-I953,"")</x:f>
        <x:v>-1</x:v>
      </x:c>
      <x:c r="O953" s="10" t="n">
        <x:v>1</x:v>
      </x:c>
      <x:c r="P953" s="10" t="n">
        <x:v>1</x:v>
      </x:c>
      <x:c r="Q953" s="10" t="n">
        <x:v>2</x:v>
      </x:c>
      <x:c r="R953" s="10" t="n">
        <x:v>4</x:v>
      </x:c>
      <x:c r="S953" s="10" t="n">
        <x:v>9</x:v>
      </x:c>
      <x:c r="T953" s="10" t="n">
        <x:v>0</x:v>
      </x:c>
      <x:c r="U953" s="10" t="n">
        <x:f>IF(AND(ISNUMBER(X953),X953&gt;=0,Y953&lt;&gt;1),X953,"")</x:f>
        <x:v>9</x:v>
      </x:c>
      <x:c r="V953" s="10" t="n">
        <x:v>0</x:v>
      </x:c>
      <x:c r="W953" s="10" t="n">
        <x:v>0</x:v>
      </x:c>
      <x:c r="X953" s="10" t="n">
        <x:v>9</x:v>
      </x:c>
      <x:c r="Y953" s="3" t="n">
        <x:v>0</x:v>
      </x:c>
      <x:c r="Z953" s="3" t="str">
        <x:v>共同</x:v>
      </x:c>
      <x:c r="AA953" s="3" t="str">
        <x:v>在售</x:v>
      </x:c>
      <x:c r="AB953" s="12" t="n">
        <x:f>IF(AND(Z953="共同",ISNUMBER(G953),ISNUMBER(AD953)),G953-AD953,"")</x:f>
        <x:v>0.034761904761904744</x:v>
      </x:c>
      <x:c r="AC953" s="3" t="str"/>
      <x:c r="AD953" s="12" t="n">
        <x:v>0.1061904761904762</x:v>
      </x:c>
      <x:c r="AE953" s="3" t="str">
        <x:v>[13306,"2311062-RD-V-O-11"]</x:v>
      </x:c>
      <x:c r="AF953" t="n">
        <x:f>IF(ISNUMBER(H953),1,0)</x:f>
        <x:v>1</x:v>
      </x:c>
      <x:c r="AG953" t="n">
        <x:f>IF(ISNUMBER(I953),1,0)</x:f>
        <x:v>1</x:v>
      </x:c>
      <x:c r="AH953" t="str">
        <x:v>["2311062","2311062-RD-V-O","RD-V","酒红锦纶"]</x:v>
      </x:c>
      <x:c r="AI953" t="n">
        <x:f>IF(ISNUMBER(G953),1,0)</x:f>
        <x:v>1</x:v>
      </x:c>
      <x:c r="AJ953" t="n">
        <x:f>IF(ISNUMBER(AD953),1,0)</x:f>
        <x:v>1</x:v>
      </x:c>
    </x:row>
    <x:row r="954" ht="30" customHeight="1">
      <x:c r="A954" s="3" t="str">
        <x:v>2311062-TN-P-O-8</x:v>
      </x:c>
      <x:c r="B954" s="3" t="str">
        <x:v>4店-彬郁-US</x:v>
      </x:c>
      <x:c r="C954" s="3" t="str">
        <x:v>陈晨</x:v>
      </x:c>
      <x:c r="D954" s="3" t="str">
        <x:v>2311062</x:v>
      </x:c>
      <x:c r="E954" s="3" t="str">
        <x:f>IF(Z954="移出","已移出",IF(NOT(ISNUMBER(H954)),"数据待核",IF(H954=0,"断货",IF(NOT(ISNUMBER(G954)),"数据待核",IF(G954=0,"零日销待复核",IF(F954&lt;60,"补货提醒",IF(F954&lt;=90,"正常库存",IF(F954&lt;180,"促销",IF(F954&lt;=365,"红线促销","考虑清仓")))))))))</x:f>
        <x:v>正常库存</x:v>
      </x:c>
      <x:c r="F954" s="11" t="n">
        <x:f>IF(AND(ISNUMBER(H954),ISNUMBER(G954),G954&gt;0),H954/G954,"")</x:f>
        <x:v>70.76663858466723</x:v>
      </x:c>
      <x:c r="G954" s="12" t="n">
        <x:f>IF(AND(COUNT(P954:R954)=3,MIN(P954:R954)&gt;=0,P954&lt;=Q954,Q954&lt;=R954),P954/7*0.5+Q954/14*0.3+R954/30*0.2,"")</x:f>
        <x:v>0.5652380952380952</x:v>
      </x:c>
      <x:c r="H954" s="10" t="n">
        <x:f>IF(ISNUMBER(U954),U954,"")</x:f>
        <x:v>40</x:v>
      </x:c>
      <x:c r="I954" s="10" t="n">
        <x:v>47</x:v>
      </x:c>
      <x:c r="J954" s="11" t="n">
        <x:f>IF(AND(Z954="共同",ISNUMBER(F954),ISNUMBER(M954)),F954-M954,"")</x:f>
        <x:v>-147.11415611731957</x:v>
      </x:c>
      <x:c r="K954" s="13" t="n">
        <x:f>IF(AND(ISNUMBER(J954),M954&lt;&gt;0),J954/M954,"")</x:f>
        <x:v>-0.6752047894746277</x:v>
      </x:c>
      <x:c r="L954" s="10" t="str">
        <x:v>红线促销</x:v>
      </x:c>
      <x:c r="M954" s="11" t="n">
        <x:v>217.8807947019868</x:v>
      </x:c>
      <x:c r="N954" s="10" t="n">
        <x:f>IF(AND(Z954="共同",COUNT(H954:I954)=2),H954-I954,"")</x:f>
        <x:v>-7</x:v>
      </x:c>
      <x:c r="O954" s="10" t="n">
        <x:v>0</x:v>
      </x:c>
      <x:c r="P954" s="10" t="n">
        <x:v>4</x:v>
      </x:c>
      <x:c r="Q954" s="10" t="n">
        <x:v>9</x:v>
      </x:c>
      <x:c r="R954" s="10" t="n">
        <x:v>13</x:v>
      </x:c>
      <x:c r="S954" s="10" t="n">
        <x:v>82</x:v>
      </x:c>
      <x:c r="T954" s="10" t="n">
        <x:v>0</x:v>
      </x:c>
      <x:c r="U954" s="10" t="n">
        <x:f>IF(AND(ISNUMBER(X954),X954&gt;=0,Y954&lt;&gt;1),X954,"")</x:f>
        <x:v>40</x:v>
      </x:c>
      <x:c r="V954" s="10" t="n">
        <x:v>0</x:v>
      </x:c>
      <x:c r="W954" s="10" t="n">
        <x:v>36</x:v>
      </x:c>
      <x:c r="X954" s="10" t="n">
        <x:v>40</x:v>
      </x:c>
      <x:c r="Y954" s="3" t="n">
        <x:v>0</x:v>
      </x:c>
      <x:c r="Z954" s="3" t="str">
        <x:v>共同</x:v>
      </x:c>
      <x:c r="AA954" s="3" t="str">
        <x:v>在售</x:v>
      </x:c>
      <x:c r="AB954" s="12" t="n">
        <x:f>IF(AND(Z954="共同",ISNUMBER(G954),ISNUMBER(AD954)),G954-AD954,"")</x:f>
        <x:v>0.3495238095238095</x:v>
      </x:c>
      <x:c r="AC954" s="3" t="str"/>
      <x:c r="AD954" s="12" t="n">
        <x:v>0.2157142857142857</x:v>
      </x:c>
      <x:c r="AE954" s="3" t="str">
        <x:v>[13306,"2311062-TN-P-O-8"]</x:v>
      </x:c>
      <x:c r="AF954" t="n">
        <x:f>IF(ISNUMBER(H954),1,0)</x:f>
        <x:v>1</x:v>
      </x:c>
      <x:c r="AG954" t="n">
        <x:f>IF(ISNUMBER(I954),1,0)</x:f>
        <x:v>1</x:v>
      </x:c>
      <x:c r="AH954" t="str">
        <x:v>["2311062","2311062-TN-P-O","TN-P","驼色 PU"]</x:v>
      </x:c>
      <x:c r="AI954" t="n">
        <x:f>IF(ISNUMBER(G954),1,0)</x:f>
        <x:v>1</x:v>
      </x:c>
      <x:c r="AJ954" t="n">
        <x:f>IF(ISNUMBER(AD954),1,0)</x:f>
        <x:v>1</x:v>
      </x:c>
    </x:row>
    <x:row r="955" ht="30" customHeight="1">
      <x:c r="A955" s="3" t="str">
        <x:v>2311062-WT-P-O-10</x:v>
      </x:c>
      <x:c r="B955" s="3" t="str">
        <x:v>4店-彬郁-US</x:v>
      </x:c>
      <x:c r="C955" s="3" t="str">
        <x:v>陈晨</x:v>
      </x:c>
      <x:c r="D955" s="3" t="str">
        <x:v>2311062</x:v>
      </x:c>
      <x:c r="E955" s="3" t="str">
        <x:f>IF(Z955="移出","已移出",IF(NOT(ISNUMBER(H955)),"数据待核",IF(H955=0,"断货",IF(NOT(ISNUMBER(G955)),"数据待核",IF(G955=0,"零日销待复核",IF(F955&lt;60,"补货提醒",IF(F955&lt;=90,"正常库存",IF(F955&lt;180,"促销",IF(F955&lt;=365,"红线促销","考虑清仓")))))))))</x:f>
        <x:v>正常库存</x:v>
      </x:c>
      <x:c r="F955" s="11" t="n">
        <x:f>IF(AND(ISNUMBER(H955),ISNUMBER(G955),G955&gt;0),H955/G955,"")</x:f>
        <x:v>70.63063063063063</x:v>
      </x:c>
      <x:c r="G955" s="12" t="n">
        <x:f>IF(AND(COUNT(P955:R955)=3,MIN(P955:R955)&gt;=0,P955&lt;=Q955,Q955&lt;=R955),P955/7*0.5+Q955/14*0.3+R955/30*0.2,"")</x:f>
        <x:v>0.7928571428571428</x:v>
      </x:c>
      <x:c r="H955" s="10" t="n">
        <x:f>IF(ISNUMBER(U955),U955,"")</x:f>
        <x:v>56</x:v>
      </x:c>
      <x:c r="I955" s="10" t="n">
        <x:v>44</x:v>
      </x:c>
      <x:c r="J955" s="11" t="n">
        <x:f>IF(AND(Z955="共同",ISNUMBER(F955),ISNUMBER(M955)),F955-M955,"")</x:f>
        <x:v>-11.211707721893717</x:v>
      </x:c>
      <x:c r="K955" s="13" t="n">
        <x:f>IF(AND(ISNUMBER(J955),M955&lt;&gt;0),J955/M955,"")</x:f>
        <x:v>-0.13699153699153688</x:v>
      </x:c>
      <x:c r="L955" s="10" t="str">
        <x:v>正常库存</x:v>
      </x:c>
      <x:c r="M955" s="11" t="n">
        <x:v>81.84233835252435</x:v>
      </x:c>
      <x:c r="N955" s="10" t="n">
        <x:f>IF(AND(Z955="共同",COUNT(H955:I955)=2),H955-I955,"")</x:f>
        <x:v>12</x:v>
      </x:c>
      <x:c r="O955" s="10" t="n">
        <x:v>70</x:v>
      </x:c>
      <x:c r="P955" s="10" t="n">
        <x:v>7</x:v>
      </x:c>
      <x:c r="Q955" s="10" t="n">
        <x:v>9</x:v>
      </x:c>
      <x:c r="R955" s="10" t="n">
        <x:v>15</x:v>
      </x:c>
      <x:c r="S955" s="10" t="n">
        <x:v>84</x:v>
      </x:c>
      <x:c r="T955" s="10" t="n">
        <x:v>3</x:v>
      </x:c>
      <x:c r="U955" s="10" t="n">
        <x:f>IF(AND(ISNUMBER(X955),X955&gt;=0,Y955&lt;&gt;1),X955,"")</x:f>
        <x:v>56</x:v>
      </x:c>
      <x:c r="V955" s="10" t="n">
        <x:v>1</x:v>
      </x:c>
      <x:c r="W955" s="10" t="n">
        <x:v>9</x:v>
      </x:c>
      <x:c r="X955" s="10" t="n">
        <x:v>56</x:v>
      </x:c>
      <x:c r="Y955" s="3" t="n">
        <x:v>0</x:v>
      </x:c>
      <x:c r="Z955" s="3" t="str">
        <x:v>共同</x:v>
      </x:c>
      <x:c r="AA955" s="3" t="str">
        <x:v>在售</x:v>
      </x:c>
      <x:c r="AB955" s="12" t="n">
        <x:f>IF(AND(Z955="共同",ISNUMBER(G955),ISNUMBER(AD955)),G955-AD955,"")</x:f>
        <x:v>0.25523809523809515</x:v>
      </x:c>
      <x:c r="AC955" s="3" t="str"/>
      <x:c r="AD955" s="12" t="n">
        <x:v>0.5376190476190477</x:v>
      </x:c>
      <x:c r="AE955" s="3" t="str">
        <x:v>[13306,"2311062-WT-P-O-10"]</x:v>
      </x:c>
      <x:c r="AF955" t="n">
        <x:f>IF(ISNUMBER(H955),1,0)</x:f>
        <x:v>1</x:v>
      </x:c>
      <x:c r="AG955" t="n">
        <x:f>IF(ISNUMBER(I955),1,0)</x:f>
        <x:v>1</x:v>
      </x:c>
      <x:c r="AH955" t="str">
        <x:v>["2311062","2311062-WT-P-O","WT-P","白色 PU"]</x:v>
      </x:c>
      <x:c r="AI955" t="n">
        <x:f>IF(ISNUMBER(G955),1,0)</x:f>
        <x:v>1</x:v>
      </x:c>
      <x:c r="AJ955" t="n">
        <x:f>IF(ISNUMBER(AD955),1,0)</x:f>
        <x:v>1</x:v>
      </x:c>
    </x:row>
    <x:row r="956" ht="30" customHeight="1">
      <x:c r="A956" s="3" t="str">
        <x:v>2311062-WT-P-O-9</x:v>
      </x:c>
      <x:c r="B956" s="3" t="str">
        <x:v>4店-彬郁-US</x:v>
      </x:c>
      <x:c r="C956" s="3" t="str">
        <x:v>陈晨</x:v>
      </x:c>
      <x:c r="D956" s="3" t="str">
        <x:v>2311062</x:v>
      </x:c>
      <x:c r="E956" s="3" t="str">
        <x:f>IF(Z956="移出","已移出",IF(NOT(ISNUMBER(H956)),"数据待核",IF(H956=0,"断货",IF(NOT(ISNUMBER(G956)),"数据待核",IF(G956=0,"零日销待复核",IF(F956&lt;60,"补货提醒",IF(F956&lt;=90,"正常库存",IF(F956&lt;180,"促销",IF(F956&lt;=365,"红线促销","考虑清仓")))))))))</x:f>
        <x:v>正常库存</x:v>
      </x:c>
      <x:c r="F956" s="11" t="n">
        <x:f>IF(AND(ISNUMBER(H956),ISNUMBER(G956),G956&gt;0),H956/G956,"")</x:f>
        <x:v>68.29906542056074</x:v>
      </x:c>
      <x:c r="G956" s="12" t="n">
        <x:f>IF(AND(COUNT(P956:R956)=3,MIN(P956:R956)&gt;=0,P956&lt;=Q956,Q956&lt;=R956),P956/7*0.5+Q956/14*0.3+R956/30*0.2,"")</x:f>
        <x:v>1.273809523809524</x:v>
      </x:c>
      <x:c r="H956" s="10" t="n">
        <x:f>IF(ISNUMBER(U956),U956,"")</x:f>
        <x:v>87</x:v>
      </x:c>
      <x:c r="I956" s="10" t="n">
        <x:v>77</x:v>
      </x:c>
      <x:c r="J956" s="11" t="n">
        <x:f>IF(AND(Z956="共同",ISNUMBER(F956),ISNUMBER(M956)),F956-M956,"")</x:f>
        <x:v>-21.985691698367233</x:v>
      </x:c>
      <x:c r="K956" s="13" t="n">
        <x:f>IF(AND(ISNUMBER(J956),M956&lt;&gt;0),J956/M956,"")</x:f>
        <x:v>-0.24351498968321408</x:v>
      </x:c>
      <x:c r="L956" s="10" t="str">
        <x:v>促销</x:v>
      </x:c>
      <x:c r="M956" s="11" t="n">
        <x:v>90.28475711892797</x:v>
      </x:c>
      <x:c r="N956" s="10" t="n">
        <x:f>IF(AND(Z956="共同",COUNT(H956:I956)=2),H956-I956,"")</x:f>
        <x:v>10</x:v>
      </x:c>
      <x:c r="O956" s="10" t="n">
        <x:v>143</x:v>
      </x:c>
      <x:c r="P956" s="10" t="n">
        <x:v>11</x:v>
      </x:c>
      <x:c r="Q956" s="10" t="n">
        <x:v>15</x:v>
      </x:c>
      <x:c r="R956" s="10" t="n">
        <x:v>25</x:v>
      </x:c>
      <x:c r="S956" s="10" t="n">
        <x:v>122</x:v>
      </x:c>
      <x:c r="T956" s="10" t="n">
        <x:v>2</x:v>
      </x:c>
      <x:c r="U956" s="10" t="n">
        <x:f>IF(AND(ISNUMBER(X956),X956&gt;=0,Y956&lt;&gt;1),X956,"")</x:f>
        <x:v>87</x:v>
      </x:c>
      <x:c r="V956" s="10" t="n">
        <x:v>3</x:v>
      </x:c>
      <x:c r="W956" s="10" t="n">
        <x:v>103</x:v>
      </x:c>
      <x:c r="X956" s="10" t="n">
        <x:v>87</x:v>
      </x:c>
      <x:c r="Y956" s="3" t="n">
        <x:v>0</x:v>
      </x:c>
      <x:c r="Z956" s="3" t="str">
        <x:v>共同</x:v>
      </x:c>
      <x:c r="AA956" s="3" t="str">
        <x:v>在售</x:v>
      </x:c>
      <x:c r="AB956" s="12" t="n">
        <x:f>IF(AND(Z956="共同",ISNUMBER(G956),ISNUMBER(AD956)),G956-AD956,"")</x:f>
        <x:v>0.4209523809523811</x:v>
      </x:c>
      <x:c r="AC956" s="3" t="str"/>
      <x:c r="AD956" s="12" t="n">
        <x:v>0.8528571428571429</x:v>
      </x:c>
      <x:c r="AE956" s="3" t="str">
        <x:v>[13306,"2311062-WT-P-O-9"]</x:v>
      </x:c>
      <x:c r="AF956" t="n">
        <x:f>IF(ISNUMBER(H956),1,0)</x:f>
        <x:v>1</x:v>
      </x:c>
      <x:c r="AG956" t="n">
        <x:f>IF(ISNUMBER(I956),1,0)</x:f>
        <x:v>1</x:v>
      </x:c>
      <x:c r="AH956" t="str">
        <x:v>["2311062","2311062-WT-P-O","WT-P","白色 PU"]</x:v>
      </x:c>
      <x:c r="AI956" t="n">
        <x:f>IF(ISNUMBER(G956),1,0)</x:f>
        <x:v>1</x:v>
      </x:c>
      <x:c r="AJ956" t="n">
        <x:f>IF(ISNUMBER(AD956),1,0)</x:f>
        <x:v>1</x:v>
      </x:c>
    </x:row>
    <x:row r="957" ht="30" customHeight="1">
      <x:c r="A957" s="3" t="str">
        <x:v>32582-BK-38</x:v>
      </x:c>
      <x:c r="B957" s="3" t="str">
        <x:v>3店-SANDIEX-US</x:v>
      </x:c>
      <x:c r="C957" s="3" t="str">
        <x:v>徐新怡</x:v>
      </x:c>
      <x:c r="D957" s="3" t="str">
        <x:v>32582</x:v>
      </x:c>
      <x:c r="E957" s="3" t="str">
        <x:f>IF(Z957="移出","已移出",IF(NOT(ISNUMBER(H957)),"数据待核",IF(H957=0,"断货",IF(NOT(ISNUMBER(G957)),"数据待核",IF(G957=0,"零日销待复核",IF(F957&lt;60,"补货提醒",IF(F957&lt;=90,"正常库存",IF(F957&lt;180,"促销",IF(F957&lt;=365,"红线促销","考虑清仓")))))))))</x:f>
        <x:v>正常库存</x:v>
      </x:c>
      <x:c r="F957" s="11" t="n">
        <x:f>IF(AND(ISNUMBER(H957),ISNUMBER(G957),G957&gt;0),H957/G957,"")</x:f>
        <x:v>61.93029490616622</x:v>
      </x:c>
      <x:c r="G957" s="12" t="n">
        <x:f>IF(AND(COUNT(P957:R957)=3,MIN(P957:R957)&gt;=0,P957&lt;=Q957,Q957&lt;=R957),P957/7*0.5+Q957/14*0.3+R957/30*0.2,"")</x:f>
        <x:v>0.7104761904761905</x:v>
      </x:c>
      <x:c r="H957" s="10" t="n">
        <x:f>IF(ISNUMBER(U957),U957,"")</x:f>
        <x:v>44</x:v>
      </x:c>
      <x:c r="I957" s="10" t="n">
        <x:v>49</x:v>
      </x:c>
      <x:c r="J957" s="11" t="n">
        <x:f>IF(AND(Z957="共同",ISNUMBER(F957),ISNUMBER(M957)),F957-M957,"")</x:f>
        <x:v>23.304168780040087</x:v>
      </x:c>
      <x:c r="K957" s="13" t="n">
        <x:f>IF(AND(ISNUMBER(J957),M957&lt;&gt;0),J957/M957,"")</x:f>
        <x:v>0.6033265853258191</x:v>
      </x:c>
      <x:c r="L957" s="10" t="str">
        <x:v>补货提醒</x:v>
      </x:c>
      <x:c r="M957" s="11" t="n">
        <x:v>38.62612612612613</x:v>
      </x:c>
      <x:c r="N957" s="10" t="n">
        <x:f>IF(AND(Z957="共同",COUNT(H957:I957)=2),H957-I957,"")</x:f>
        <x:v>-5</x:v>
      </x:c>
      <x:c r="O957" s="10" t="n">
        <x:v>0</x:v>
      </x:c>
      <x:c r="P957" s="10" t="n">
        <x:v>6</x:v>
      </x:c>
      <x:c r="Q957" s="10" t="n">
        <x:v>6</x:v>
      </x:c>
      <x:c r="R957" s="10" t="n">
        <x:v>23</x:v>
      </x:c>
      <x:c r="S957" s="10" t="n">
        <x:v>45</x:v>
      </x:c>
      <x:c r="T957" s="10" t="n">
        <x:v>1</x:v>
      </x:c>
      <x:c r="U957" s="10" t="n">
        <x:f>IF(AND(ISNUMBER(X957),X957&gt;=0,Y957&lt;&gt;1),X957,"")</x:f>
        <x:v>44</x:v>
      </x:c>
      <x:c r="V957" s="10" t="n">
        <x:v>0</x:v>
      </x:c>
      <x:c r="W957" s="10" t="n">
        <x:v>20</x:v>
      </x:c>
      <x:c r="X957" s="10" t="n">
        <x:v>44</x:v>
      </x:c>
      <x:c r="Y957" s="3" t="n">
        <x:v>0</x:v>
      </x:c>
      <x:c r="Z957" s="3" t="str">
        <x:v>共同</x:v>
      </x:c>
      <x:c r="AA957" s="3" t="str">
        <x:v>在售</x:v>
      </x:c>
      <x:c r="AB957" s="12" t="n">
        <x:f>IF(AND(Z957="共同",ISNUMBER(G957),ISNUMBER(AD957)),G957-AD957,"")</x:f>
        <x:v>-0.558095238095238</x:v>
      </x:c>
      <x:c r="AC957" s="3" t="str"/>
      <x:c r="AD957" s="12" t="n">
        <x:v>1.2685714285714285</x:v>
      </x:c>
      <x:c r="AE957" s="3" t="str">
        <x:v>[6574,"32582-BK-38"]</x:v>
      </x:c>
      <x:c r="AF957" t="n">
        <x:f>IF(ISNUMBER(H957),1,0)</x:f>
        <x:v>1</x:v>
      </x:c>
      <x:c r="AG957" t="n">
        <x:f>IF(ISNUMBER(I957),1,0)</x:f>
        <x:v>1</x:v>
      </x:c>
      <x:c r="AH957" t="str">
        <x:v>["32582","32582-BK","BK","黑色"]</x:v>
      </x:c>
      <x:c r="AI957" t="n">
        <x:f>IF(ISNUMBER(G957),1,0)</x:f>
        <x:v>1</x:v>
      </x:c>
      <x:c r="AJ957" t="n">
        <x:f>IF(ISNUMBER(AD957),1,0)</x:f>
        <x:v>1</x:v>
      </x:c>
    </x:row>
    <x:row r="958" ht="30" customHeight="1">
      <x:c r="A958" s="3" t="str">
        <x:v>32582-BK-40</x:v>
      </x:c>
      <x:c r="B958" s="3" t="str">
        <x:v>3店-SANDIEX-US</x:v>
      </x:c>
      <x:c r="C958" s="3" t="str">
        <x:v>徐新怡</x:v>
      </x:c>
      <x:c r="D958" s="3" t="str">
        <x:v>32582</x:v>
      </x:c>
      <x:c r="E958" s="3" t="str">
        <x:f>IF(Z958="移出","已移出",IF(NOT(ISNUMBER(H958)),"数据待核",IF(H958=0,"断货",IF(NOT(ISNUMBER(G958)),"数据待核",IF(G958=0,"零日销待复核",IF(F958&lt;60,"补货提醒",IF(F958&lt;=90,"正常库存",IF(F958&lt;180,"促销",IF(F958&lt;=365,"红线促销","考虑清仓")))))))))</x:f>
        <x:v>正常库存</x:v>
      </x:c>
      <x:c r="F958" s="11" t="n">
        <x:f>IF(AND(ISNUMBER(H958),ISNUMBER(G958),G958&gt;0),H958/G958,"")</x:f>
        <x:v>71.8220338983051</x:v>
      </x:c>
      <x:c r="G958" s="12" t="n">
        <x:f>IF(AND(COUNT(P958:R958)=3,MIN(P958:R958)&gt;=0,P958&lt;=Q958,Q958&lt;=R958),P958/7*0.5+Q958/14*0.3+R958/30*0.2,"")</x:f>
        <x:v>1.5733333333333333</x:v>
      </x:c>
      <x:c r="H958" s="10" t="n">
        <x:f>IF(ISNUMBER(U958),U958,"")</x:f>
        <x:v>113</x:v>
      </x:c>
      <x:c r="I958" s="10" t="n">
        <x:v>131</x:v>
      </x:c>
      <x:c r="J958" s="11" t="n">
        <x:f>IF(AND(Z958="共同",ISNUMBER(F958),ISNUMBER(M958)),F958-M958,"")</x:f>
        <x:v>-21.305928187002962</x:v>
      </x:c>
      <x:c r="K958" s="13" t="n">
        <x:f>IF(AND(ISNUMBER(J958),M958&lt;&gt;0),J958/M958,"")</x:f>
        <x:v>-0.22878121361107506</x:v>
      </x:c>
      <x:c r="L958" s="10" t="str">
        <x:v>促销</x:v>
      </x:c>
      <x:c r="M958" s="11" t="n">
        <x:v>93.12796208530806</x:v>
      </x:c>
      <x:c r="N958" s="10" t="n">
        <x:f>IF(AND(Z958="共同",COUNT(H958:I958)=2),H958-I958,"")</x:f>
        <x:v>-18</x:v>
      </x:c>
      <x:c r="O958" s="10" t="n">
        <x:v>0</x:v>
      </x:c>
      <x:c r="P958" s="10" t="n">
        <x:v>11</x:v>
      </x:c>
      <x:c r="Q958" s="10" t="n">
        <x:v>24</x:v>
      </x:c>
      <x:c r="R958" s="10" t="n">
        <x:v>41</x:v>
      </x:c>
      <x:c r="S958" s="10" t="n">
        <x:v>122</x:v>
      </x:c>
      <x:c r="T958" s="10" t="n">
        <x:v>2</x:v>
      </x:c>
      <x:c r="U958" s="10" t="n">
        <x:f>IF(AND(ISNUMBER(X958),X958&gt;=0,Y958&lt;&gt;1),X958,"")</x:f>
        <x:v>113</x:v>
      </x:c>
      <x:c r="V958" s="10" t="n">
        <x:v>0</x:v>
      </x:c>
      <x:c r="W958" s="10" t="n">
        <x:v>1</x:v>
      </x:c>
      <x:c r="X958" s="10" t="n">
        <x:v>113</x:v>
      </x:c>
      <x:c r="Y958" s="3" t="n">
        <x:v>0</x:v>
      </x:c>
      <x:c r="Z958" s="3" t="str">
        <x:v>共同</x:v>
      </x:c>
      <x:c r="AA958" s="3" t="str">
        <x:v>在售</x:v>
      </x:c>
      <x:c r="AB958" s="12" t="n">
        <x:f>IF(AND(Z958="共同",ISNUMBER(G958),ISNUMBER(AD958)),G958-AD958,"")</x:f>
        <x:v>0.16666666666666652</x:v>
      </x:c>
      <x:c r="AC958" s="3" t="str"/>
      <x:c r="AD958" s="12" t="n">
        <x:v>1.4066666666666667</x:v>
      </x:c>
      <x:c r="AE958" s="3" t="str">
        <x:v>[6574,"32582-BK-40"]</x:v>
      </x:c>
      <x:c r="AF958" t="n">
        <x:f>IF(ISNUMBER(H958),1,0)</x:f>
        <x:v>1</x:v>
      </x:c>
      <x:c r="AG958" t="n">
        <x:f>IF(ISNUMBER(I958),1,0)</x:f>
        <x:v>1</x:v>
      </x:c>
      <x:c r="AH958" t="str">
        <x:v>["32582","32582-BK","BK","黑色"]</x:v>
      </x:c>
      <x:c r="AI958" t="n">
        <x:f>IF(ISNUMBER(G958),1,0)</x:f>
        <x:v>1</x:v>
      </x:c>
      <x:c r="AJ958" t="n">
        <x:f>IF(ISNUMBER(AD958),1,0)</x:f>
        <x:v>1</x:v>
      </x:c>
    </x:row>
    <x:row r="959" ht="30" customHeight="1">
      <x:c r="A959" s="3" t="str">
        <x:v>32582-LD-37.5</x:v>
      </x:c>
      <x:c r="B959" s="3" t="str">
        <x:v>3店-SANDIEX-US</x:v>
      </x:c>
      <x:c r="C959" s="3" t="str">
        <x:v>徐新怡</x:v>
      </x:c>
      <x:c r="D959" s="3" t="str">
        <x:v>32582</x:v>
      </x:c>
      <x:c r="E959" s="3" t="str">
        <x:f>IF(Z959="移出","已移出",IF(NOT(ISNUMBER(H959)),"数据待核",IF(H959=0,"断货",IF(NOT(ISNUMBER(G959)),"数据待核",IF(G959=0,"零日销待复核",IF(F959&lt;60,"补货提醒",IF(F959&lt;=90,"正常库存",IF(F959&lt;180,"促销",IF(F959&lt;=365,"红线促销","考虑清仓")))))))))</x:f>
        <x:v>正常库存</x:v>
      </x:c>
      <x:c r="F959" s="11" t="n">
        <x:f>IF(AND(ISNUMBER(H959),ISNUMBER(G959),G959&gt;0),H959/G959,"")</x:f>
        <x:v>75.53956834532374</x:v>
      </x:c>
      <x:c r="G959" s="12" t="n">
        <x:f>IF(AND(COUNT(P959:R959)=3,MIN(P959:R959)&gt;=0,P959&lt;=Q959,Q959&lt;=R959),P959/7*0.5+Q959/14*0.3+R959/30*0.2,"")</x:f>
        <x:v>0.13238095238095238</x:v>
      </x:c>
      <x:c r="H959" s="10" t="n">
        <x:f>IF(ISNUMBER(U959),U959,"")</x:f>
        <x:v>10</x:v>
      </x:c>
      <x:c r="I959" s="10" t="n">
        <x:v>14</x:v>
      </x:c>
      <x:c r="J959" s="11" t="n">
        <x:f>IF(AND(Z959="共同",ISNUMBER(F959),ISNUMBER(M959)),F959-M959,"")</x:f>
        <x:v>-262.3914661374349</x:v>
      </x:c>
      <x:c r="K959" s="13" t="n">
        <x:f>IF(AND(ISNUMBER(J959),M959&lt;&gt;0),J959/M959,"")</x:f>
        <x:v>-0.776464542651593</x:v>
      </x:c>
      <x:c r="L959" s="10" t="str">
        <x:v>红线促销</x:v>
      </x:c>
      <x:c r="M959" s="11" t="n">
        <x:v>337.93103448275866</x:v>
      </x:c>
      <x:c r="N959" s="10" t="n">
        <x:f>IF(AND(Z959="共同",COUNT(H959:I959)=2),H959-I959,"")</x:f>
        <x:v>-4</x:v>
      </x:c>
      <x:c r="O959" s="10" t="n">
        <x:v>140</x:v>
      </x:c>
      <x:c r="P959" s="10" t="n">
        <x:v>0</x:v>
      </x:c>
      <x:c r="Q959" s="10" t="n">
        <x:v>4</x:v>
      </x:c>
      <x:c r="R959" s="10" t="n">
        <x:v>7</x:v>
      </x:c>
      <x:c r="S959" s="10" t="n">
        <x:v>11</x:v>
      </x:c>
      <x:c r="T959" s="10" t="n">
        <x:v>0</x:v>
      </x:c>
      <x:c r="U959" s="10" t="n">
        <x:f>IF(AND(ISNUMBER(X959),X959&gt;=0,Y959&lt;&gt;1),X959,"")</x:f>
        <x:v>10</x:v>
      </x:c>
      <x:c r="V959" s="10" t="n">
        <x:v>0</x:v>
      </x:c>
      <x:c r="W959" s="10" t="n">
        <x:v>0</x:v>
      </x:c>
      <x:c r="X959" s="10" t="n">
        <x:v>10</x:v>
      </x:c>
      <x:c r="Y959" s="3" t="n">
        <x:v>0</x:v>
      </x:c>
      <x:c r="Z959" s="3" t="str">
        <x:v>共同</x:v>
      </x:c>
      <x:c r="AA959" s="3" t="str">
        <x:v>在售</x:v>
      </x:c>
      <x:c r="AB959" s="12" t="n">
        <x:f>IF(AND(Z959="共同",ISNUMBER(G959),ISNUMBER(AD959)),G959-AD959,"")</x:f>
        <x:v>0.09095238095238095</x:v>
      </x:c>
      <x:c r="AC959" s="3" t="str"/>
      <x:c r="AD959" s="12" t="n">
        <x:v>0.041428571428571426</x:v>
      </x:c>
      <x:c r="AE959" s="3" t="str">
        <x:v>[6574,"32582-LD-37.5"]</x:v>
      </x:c>
      <x:c r="AF959" t="n">
        <x:f>IF(ISNUMBER(H959),1,0)</x:f>
        <x:v>1</x:v>
      </x:c>
      <x:c r="AG959" t="n">
        <x:f>IF(ISNUMBER(I959),1,0)</x:f>
        <x:v>1</x:v>
      </x:c>
      <x:c r="AH959" t="str">
        <x:v>["32582","32582-LD","LD","豹纹"]</x:v>
      </x:c>
      <x:c r="AI959" t="n">
        <x:f>IF(ISNUMBER(G959),1,0)</x:f>
        <x:v>1</x:v>
      </x:c>
      <x:c r="AJ959" t="n">
        <x:f>IF(ISNUMBER(AD959),1,0)</x:f>
        <x:v>1</x:v>
      </x:c>
    </x:row>
    <x:row r="960" ht="30" customHeight="1">
      <x:c r="A960" s="3" t="str">
        <x:v>32582-LD-38.5</x:v>
      </x:c>
      <x:c r="B960" s="3" t="str">
        <x:v>3店-SANDIEX-US</x:v>
      </x:c>
      <x:c r="C960" s="3" t="str">
        <x:v>徐新怡</x:v>
      </x:c>
      <x:c r="D960" s="3" t="str">
        <x:v>32582</x:v>
      </x:c>
      <x:c r="E960" s="3" t="str">
        <x:f>IF(Z960="移出","已移出",IF(NOT(ISNUMBER(H960)),"数据待核",IF(H960=0,"断货",IF(NOT(ISNUMBER(G960)),"数据待核",IF(G960=0,"零日销待复核",IF(F960&lt;60,"补货提醒",IF(F960&lt;=90,"正常库存",IF(F960&lt;180,"促销",IF(F960&lt;=365,"红线促销","考虑清仓")))))))))</x:f>
        <x:v>正常库存</x:v>
      </x:c>
      <x:c r="F960" s="11" t="n">
        <x:f>IF(AND(ISNUMBER(H960),ISNUMBER(G960),G960&gt;0),H960/G960,"")</x:f>
        <x:v>71.67235494880546</x:v>
      </x:c>
      <x:c r="G960" s="12" t="n">
        <x:f>IF(AND(COUNT(P960:R960)=3,MIN(P960:R960)&gt;=0,P960&lt;=Q960,Q960&lt;=R960),P960/7*0.5+Q960/14*0.3+R960/30*0.2,"")</x:f>
        <x:v>0.13952380952380952</x:v>
      </x:c>
      <x:c r="H960" s="10" t="n">
        <x:f>IF(ISNUMBER(U960),U960,"")</x:f>
        <x:v>10</x:v>
      </x:c>
      <x:c r="I960" s="10" t="n">
        <x:v>10</x:v>
      </x:c>
      <x:c r="J960" s="11" t="n">
        <x:f>IF(AND(Z960="共同",ISNUMBER(F960),ISNUMBER(M960)),F960-M960,"")</x:f>
        <x:v>50.22189529609862</x:v>
      </x:c>
      <x:c r="K960" s="13" t="n">
        <x:f>IF(AND(ISNUMBER(J960),M960&lt;&gt;0),J960/M960,"")</x:f>
        <x:v>2.3412969283276452</x:v>
      </x:c>
      <x:c r="L960" s="10" t="str">
        <x:v>补货提醒</x:v>
      </x:c>
      <x:c r="M960" s="11" t="n">
        <x:v>21.450459652706844</x:v>
      </x:c>
      <x:c r="N960" s="10" t="n">
        <x:f>IF(AND(Z960="共同",COUNT(H960:I960)=2),H960-I960,"")</x:f>
        <x:v>0</x:v>
      </x:c>
      <x:c r="O960" s="10" t="n">
        <x:v>133</x:v>
      </x:c>
      <x:c r="P960" s="10" t="n">
        <x:v>1</x:v>
      </x:c>
      <x:c r="Q960" s="10" t="n">
        <x:v>1</x:v>
      </x:c>
      <x:c r="R960" s="10" t="n">
        <x:v>7</x:v>
      </x:c>
      <x:c r="S960" s="10" t="n">
        <x:v>13</x:v>
      </x:c>
      <x:c r="T960" s="10" t="n">
        <x:v>0</x:v>
      </x:c>
      <x:c r="U960" s="10" t="n">
        <x:f>IF(AND(ISNUMBER(X960),X960&gt;=0,Y960&lt;&gt;1),X960,"")</x:f>
        <x:v>10</x:v>
      </x:c>
      <x:c r="V960" s="10" t="n">
        <x:v>0</x:v>
      </x:c>
      <x:c r="W960" s="10" t="n">
        <x:v>0</x:v>
      </x:c>
      <x:c r="X960" s="10" t="n">
        <x:v>10</x:v>
      </x:c>
      <x:c r="Y960" s="3" t="n">
        <x:v>0</x:v>
      </x:c>
      <x:c r="Z960" s="3" t="str">
        <x:v>共同</x:v>
      </x:c>
      <x:c r="AA960" s="3" t="str">
        <x:v>在售</x:v>
      </x:c>
      <x:c r="AB960" s="12" t="n">
        <x:f>IF(AND(Z960="共同",ISNUMBER(G960),ISNUMBER(AD960)),G960-AD960,"")</x:f>
        <x:v>-0.32666666666666666</x:v>
      </x:c>
      <x:c r="AC960" s="3" t="str"/>
      <x:c r="AD960" s="12" t="n">
        <x:v>0.46619047619047616</x:v>
      </x:c>
      <x:c r="AE960" s="3" t="str">
        <x:v>[6574,"32582-LD-38.5"]</x:v>
      </x:c>
      <x:c r="AF960" t="n">
        <x:f>IF(ISNUMBER(H960),1,0)</x:f>
        <x:v>1</x:v>
      </x:c>
      <x:c r="AG960" t="n">
        <x:f>IF(ISNUMBER(I960),1,0)</x:f>
        <x:v>1</x:v>
      </x:c>
      <x:c r="AH960" t="str">
        <x:v>["32582","32582-LD","LD","豹纹"]</x:v>
      </x:c>
      <x:c r="AI960" t="n">
        <x:f>IF(ISNUMBER(G960),1,0)</x:f>
        <x:v>1</x:v>
      </x:c>
      <x:c r="AJ960" t="n">
        <x:f>IF(ISNUMBER(AD960),1,0)</x:f>
        <x:v>1</x:v>
      </x:c>
    </x:row>
    <x:row r="961" ht="30" customHeight="1">
      <x:c r="A961" s="3" t="str">
        <x:v>32582-LPB-38.5</x:v>
      </x:c>
      <x:c r="B961" s="3" t="str">
        <x:v>3店-SANDIEX-US</x:v>
      </x:c>
      <x:c r="C961" s="3" t="str">
        <x:v>徐新怡</x:v>
      </x:c>
      <x:c r="D961" s="3" t="str">
        <x:v>32582</x:v>
      </x:c>
      <x:c r="E961" s="3" t="str">
        <x:f>IF(Z961="移出","已移出",IF(NOT(ISNUMBER(H961)),"数据待核",IF(H961=0,"断货",IF(NOT(ISNUMBER(G961)),"数据待核",IF(G961=0,"零日销待复核",IF(F961&lt;60,"补货提醒",IF(F961&lt;=90,"正常库存",IF(F961&lt;180,"促销",IF(F961&lt;=365,"红线促销","考虑清仓")))))))))</x:f>
        <x:v>正常库存</x:v>
      </x:c>
      <x:c r="F961" s="11" t="n">
        <x:f>IF(AND(ISNUMBER(H961),ISNUMBER(G961),G961&gt;0),H961/G961,"")</x:f>
        <x:v>63.46153846153846</x:v>
      </x:c>
      <x:c r="G961" s="12" t="n">
        <x:f>IF(AND(COUNT(P961:R961)=3,MIN(P961:R961)&gt;=0,P961&lt;=Q961,Q961&lt;=R961),P961/7*0.5+Q961/14*0.3+R961/30*0.2,"")</x:f>
        <x:v>0.3466666666666667</x:v>
      </x:c>
      <x:c r="H961" s="10" t="n">
        <x:f>IF(ISNUMBER(U961),U961,"")</x:f>
        <x:v>22</x:v>
      </x:c>
      <x:c r="I961" s="10" t="n">
        <x:v>24</x:v>
      </x:c>
      <x:c r="J961" s="11" t="n">
        <x:f>IF(AND(Z961="共同",ISNUMBER(F961),ISNUMBER(M961)),F961-M961,"")</x:f>
        <x:v>-99.11910669975191</x:v>
      </x:c>
      <x:c r="K961" s="13" t="n">
        <x:f>IF(AND(ISNUMBER(J961),M961&lt;&gt;0),J961/M961,"")</x:f>
        <x:v>-0.6096611721611723</x:v>
      </x:c>
      <x:c r="L961" s="10" t="str">
        <x:v>促销</x:v>
      </x:c>
      <x:c r="M961" s="11" t="n">
        <x:v>162.58064516129036</x:v>
      </x:c>
      <x:c r="N961" s="10" t="n">
        <x:f>IF(AND(Z961="共同",COUNT(H961:I961)=2),H961-I961,"")</x:f>
        <x:v>-2</x:v>
      </x:c>
      <x:c r="O961" s="10" t="n">
        <x:v>66</x:v>
      </x:c>
      <x:c r="P961" s="10" t="n">
        <x:v>3</x:v>
      </x:c>
      <x:c r="Q961" s="10" t="n">
        <x:v>4</x:v>
      </x:c>
      <x:c r="R961" s="10" t="n">
        <x:v>7</x:v>
      </x:c>
      <x:c r="S961" s="10" t="n">
        <x:v>24</x:v>
      </x:c>
      <x:c r="T961" s="10" t="n">
        <x:v>0</x:v>
      </x:c>
      <x:c r="U961" s="10" t="n">
        <x:f>IF(AND(ISNUMBER(X961),X961&gt;=0,Y961&lt;&gt;1),X961,"")</x:f>
        <x:v>22</x:v>
      </x:c>
      <x:c r="V961" s="10" t="n">
        <x:v>0</x:v>
      </x:c>
      <x:c r="W961" s="10" t="n">
        <x:v>0</x:v>
      </x:c>
      <x:c r="X961" s="10" t="n">
        <x:v>22</x:v>
      </x:c>
      <x:c r="Y961" s="3" t="n">
        <x:v>0</x:v>
      </x:c>
      <x:c r="Z961" s="3" t="str">
        <x:v>共同</x:v>
      </x:c>
      <x:c r="AA961" s="3" t="str">
        <x:v>在售</x:v>
      </x:c>
      <x:c r="AB961" s="12" t="n">
        <x:f>IF(AND(Z961="共同",ISNUMBER(G961),ISNUMBER(AD961)),G961-AD961,"")</x:f>
        <x:v>0.19904761904761908</x:v>
      </x:c>
      <x:c r="AC961" s="3" t="str"/>
      <x:c r="AD961" s="12" t="n">
        <x:v>0.1476190476190476</x:v>
      </x:c>
      <x:c r="AE961" s="3" t="str">
        <x:v>[6574,"32582-LPB-38.5"]</x:v>
      </x:c>
      <x:c r="AF961" t="n">
        <x:f>IF(ISNUMBER(H961),1,0)</x:f>
        <x:v>1</x:v>
      </x:c>
      <x:c r="AG961" t="n">
        <x:f>IF(ISNUMBER(I961),1,0)</x:f>
        <x:v>1</x:v>
      </x:c>
      <x:c r="AH961" t="str">
        <x:v>["32582","32582-LPB","LPB","豹纹黑色内里"]</x:v>
      </x:c>
      <x:c r="AI961" t="n">
        <x:f>IF(ISNUMBER(G961),1,0)</x:f>
        <x:v>1</x:v>
      </x:c>
      <x:c r="AJ961" t="n">
        <x:f>IF(ISNUMBER(AD961),1,0)</x:f>
        <x:v>1</x:v>
      </x:c>
    </x:row>
    <x:row r="962" ht="30" customHeight="1">
      <x:c r="A962" s="3" t="str">
        <x:v>32582-LPB-40.5</x:v>
      </x:c>
      <x:c r="B962" s="3" t="str">
        <x:v>3店-SANDIEX-US</x:v>
      </x:c>
      <x:c r="C962" s="3" t="str">
        <x:v>徐新怡</x:v>
      </x:c>
      <x:c r="D962" s="3" t="str">
        <x:v>32582</x:v>
      </x:c>
      <x:c r="E962" s="3" t="str">
        <x:f>IF(Z962="移出","已移出",IF(NOT(ISNUMBER(H962)),"数据待核",IF(H962=0,"断货",IF(NOT(ISNUMBER(G962)),"数据待核",IF(G962=0,"零日销待复核",IF(F962&lt;60,"补货提醒",IF(F962&lt;=90,"正常库存",IF(F962&lt;180,"促销",IF(F962&lt;=365,"红线促销","考虑清仓")))))))))</x:f>
        <x:v>正常库存</x:v>
      </x:c>
      <x:c r="F962" s="11" t="n">
        <x:f>IF(AND(ISNUMBER(H962),ISNUMBER(G962),G962&gt;0),H962/G962,"")</x:f>
        <x:v>62.264150943396224</x:v>
      </x:c>
      <x:c r="G962" s="12" t="n">
        <x:f>IF(AND(COUNT(P962:R962)=3,MIN(P962:R962)&gt;=0,P962&lt;=Q962,Q962&lt;=R962),P962/7*0.5+Q962/14*0.3+R962/30*0.2,"")</x:f>
        <x:v>0.35333333333333333</x:v>
      </x:c>
      <x:c r="H962" s="10" t="n">
        <x:f>IF(ISNUMBER(U962),U962,"")</x:f>
        <x:v>22</x:v>
      </x:c>
      <x:c r="I962" s="10" t="n">
        <x:v>27</x:v>
      </x:c>
      <x:c r="J962" s="11" t="n">
        <x:f>IF(AND(Z962="共同",ISNUMBER(F962),ISNUMBER(M962)),F962-M962,"")</x:f>
        <x:v>-164.53584905660378</x:v>
      </x:c>
      <x:c r="K962" s="13" t="n">
        <x:f>IF(AND(ISNUMBER(J962),M962&lt;&gt;0),J962/M962,"")</x:f>
        <x:v>-0.7254667065987821</x:v>
      </x:c>
      <x:c r="L962" s="10" t="str">
        <x:v>红线促销</x:v>
      </x:c>
      <x:c r="M962" s="11" t="n">
        <x:v>226.8</x:v>
      </x:c>
      <x:c r="N962" s="10" t="n">
        <x:f>IF(AND(Z962="共同",COUNT(H962:I962)=2),H962-I962,"")</x:f>
        <x:v>-5</x:v>
      </x:c>
      <x:c r="O962" s="10" t="n">
        <x:v>57</x:v>
      </x:c>
      <x:c r="P962" s="10" t="n">
        <x:v>3</x:v>
      </x:c>
      <x:c r="Q962" s="10" t="n">
        <x:v>4</x:v>
      </x:c>
      <x:c r="R962" s="10" t="n">
        <x:v>8</x:v>
      </x:c>
      <x:c r="S962" s="10" t="n">
        <x:v>22</x:v>
      </x:c>
      <x:c r="T962" s="10" t="n">
        <x:v>0</x:v>
      </x:c>
      <x:c r="U962" s="10" t="n">
        <x:f>IF(AND(ISNUMBER(X962),X962&gt;=0,Y962&lt;&gt;1),X962,"")</x:f>
        <x:v>22</x:v>
      </x:c>
      <x:c r="V962" s="10" t="n">
        <x:v>0</x:v>
      </x:c>
      <x:c r="W962" s="10" t="n">
        <x:v>0</x:v>
      </x:c>
      <x:c r="X962" s="10" t="n">
        <x:v>22</x:v>
      </x:c>
      <x:c r="Y962" s="3" t="n">
        <x:v>0</x:v>
      </x:c>
      <x:c r="Z962" s="3" t="str">
        <x:v>共同</x:v>
      </x:c>
      <x:c r="AA962" s="3" t="str">
        <x:v>在售</x:v>
      </x:c>
      <x:c r="AB962" s="12" t="n">
        <x:f>IF(AND(Z962="共同",ISNUMBER(G962),ISNUMBER(AD962)),G962-AD962,"")</x:f>
        <x:v>0.2342857142857143</x:v>
      </x:c>
      <x:c r="AC962" s="3" t="str"/>
      <x:c r="AD962" s="12" t="n">
        <x:v>0.11904761904761904</x:v>
      </x:c>
      <x:c r="AE962" s="3" t="str">
        <x:v>[6574,"32582-LPB-40.5"]</x:v>
      </x:c>
      <x:c r="AF962" t="n">
        <x:f>IF(ISNUMBER(H962),1,0)</x:f>
        <x:v>1</x:v>
      </x:c>
      <x:c r="AG962" t="n">
        <x:f>IF(ISNUMBER(I962),1,0)</x:f>
        <x:v>1</x:v>
      </x:c>
      <x:c r="AH962" t="str">
        <x:v>["32582","32582-LPB","LPB","豹纹黑色内里"]</x:v>
      </x:c>
      <x:c r="AI962" t="n">
        <x:f>IF(ISNUMBER(G962),1,0)</x:f>
        <x:v>1</x:v>
      </x:c>
      <x:c r="AJ962" t="n">
        <x:f>IF(ISNUMBER(AD962),1,0)</x:f>
        <x:v>1</x:v>
      </x:c>
    </x:row>
    <x:row r="963" ht="30" customHeight="1">
      <x:c r="A963" s="3" t="str">
        <x:v>32582-TN-40</x:v>
      </x:c>
      <x:c r="B963" s="3" t="str">
        <x:v>3店-SANDIEX-US</x:v>
      </x:c>
      <x:c r="C963" s="3" t="str">
        <x:v>徐新怡</x:v>
      </x:c>
      <x:c r="D963" s="3" t="str">
        <x:v>32582</x:v>
      </x:c>
      <x:c r="E963" s="3" t="str">
        <x:f>IF(Z963="移出","已移出",IF(NOT(ISNUMBER(H963)),"数据待核",IF(H963=0,"断货",IF(NOT(ISNUMBER(G963)),"数据待核",IF(G963=0,"零日销待复核",IF(F963&lt;60,"补货提醒",IF(F963&lt;=90,"正常库存",IF(F963&lt;180,"促销",IF(F963&lt;=365,"红线促销","考虑清仓")))))))))</x:f>
        <x:v>正常库存</x:v>
      </x:c>
      <x:c r="F963" s="11" t="n">
        <x:f>IF(AND(ISNUMBER(H963),ISNUMBER(G963),G963&gt;0),H963/G963,"")</x:f>
        <x:v>71.01449275362319</x:v>
      </x:c>
      <x:c r="G963" s="12" t="n">
        <x:f>IF(AND(COUNT(P963:R963)=3,MIN(P963:R963)&gt;=0,P963&lt;=Q963,Q963&lt;=R963),P963/7*0.5+Q963/14*0.3+R963/30*0.2,"")</x:f>
        <x:v>0.19714285714285715</x:v>
      </x:c>
      <x:c r="H963" s="10" t="n">
        <x:f>IF(ISNUMBER(U963),U963,"")</x:f>
        <x:v>14</x:v>
      </x:c>
      <x:c r="I963" s="10" t="n">
        <x:v>18</x:v>
      </x:c>
      <x:c r="J963" s="11" t="n">
        <x:f>IF(AND(Z963="共同",ISNUMBER(F963),ISNUMBER(M963)),F963-M963,"")</x:f>
        <x:v>-50.92099111734457</x:v>
      </x:c>
      <x:c r="K963" s="13" t="n">
        <x:f>IF(AND(ISNUMBER(J963),M963&lt;&gt;0),J963/M963,"")</x:f>
        <x:v>-0.41760601180891044</x:v>
      </x:c>
      <x:c r="L963" s="10" t="str">
        <x:v>促销</x:v>
      </x:c>
      <x:c r="M963" s="11" t="n">
        <x:v>121.93548387096776</x:v>
      </x:c>
      <x:c r="N963" s="10" t="n">
        <x:f>IF(AND(Z963="共同",COUNT(H963:I963)=2),H963-I963,"")</x:f>
        <x:v>-4</x:v>
      </x:c>
      <x:c r="O963" s="10" t="n">
        <x:v>131</x:v>
      </x:c>
      <x:c r="P963" s="10" t="n">
        <x:v>1</x:v>
      </x:c>
      <x:c r="Q963" s="10" t="n">
        <x:v>4</x:v>
      </x:c>
      <x:c r="R963" s="10" t="n">
        <x:v>6</x:v>
      </x:c>
      <x:c r="S963" s="10" t="n">
        <x:v>15</x:v>
      </x:c>
      <x:c r="T963" s="10" t="n">
        <x:v>0</x:v>
      </x:c>
      <x:c r="U963" s="10" t="n">
        <x:f>IF(AND(ISNUMBER(X963),X963&gt;=0,Y963&lt;&gt;1),X963,"")</x:f>
        <x:v>14</x:v>
      </x:c>
      <x:c r="V963" s="10" t="n">
        <x:v>0</x:v>
      </x:c>
      <x:c r="W963" s="10" t="n">
        <x:v>0</x:v>
      </x:c>
      <x:c r="X963" s="10" t="n">
        <x:v>14</x:v>
      </x:c>
      <x:c r="Y963" s="3" t="n">
        <x:v>0</x:v>
      </x:c>
      <x:c r="Z963" s="3" t="str">
        <x:v>共同</x:v>
      </x:c>
      <x:c r="AA963" s="3" t="str">
        <x:v>在售</x:v>
      </x:c>
      <x:c r="AB963" s="12" t="n">
        <x:f>IF(AND(Z963="共同",ISNUMBER(G963),ISNUMBER(AD963)),G963-AD963,"")</x:f>
        <x:v>0.04952380952380955</x:v>
      </x:c>
      <x:c r="AC963" s="3" t="str"/>
      <x:c r="AD963" s="12" t="n">
        <x:v>0.1476190476190476</x:v>
      </x:c>
      <x:c r="AE963" s="3" t="str">
        <x:v>[6574,"32582-TN-40"]</x:v>
      </x:c>
      <x:c r="AF963" t="n">
        <x:f>IF(ISNUMBER(H963),1,0)</x:f>
        <x:v>1</x:v>
      </x:c>
      <x:c r="AG963" t="n">
        <x:f>IF(ISNUMBER(I963),1,0)</x:f>
        <x:v>1</x:v>
      </x:c>
      <x:c r="AH963" t="str">
        <x:v>["32582","32582-TN","TN","驼色"]</x:v>
      </x:c>
      <x:c r="AI963" t="n">
        <x:f>IF(ISNUMBER(G963),1,0)</x:f>
        <x:v>1</x:v>
      </x:c>
      <x:c r="AJ963" t="n">
        <x:f>IF(ISNUMBER(AD963),1,0)</x:f>
        <x:v>1</x:v>
      </x:c>
    </x:row>
    <x:row r="964" ht="30" customHeight="1">
      <x:c r="A964" s="3" t="str">
        <x:v>60516-BK-S-K-7</x:v>
      </x:c>
      <x:c r="B964" s="3" t="str">
        <x:v>3店-SANDIEX-US</x:v>
      </x:c>
      <x:c r="C964" s="3" t="str">
        <x:v>徐新怡</x:v>
      </x:c>
      <x:c r="D964" s="3" t="str">
        <x:v>60516</x:v>
      </x:c>
      <x:c r="E964" s="3" t="str">
        <x:f>IF(Z964="移出","已移出",IF(NOT(ISNUMBER(H964)),"数据待核",IF(H964=0,"断货",IF(NOT(ISNUMBER(G964)),"数据待核",IF(G964=0,"零日销待复核",IF(F964&lt;60,"补货提醒",IF(F964&lt;=90,"正常库存",IF(F964&lt;180,"促销",IF(F964&lt;=365,"红线促销","考虑清仓")))))))))</x:f>
        <x:v>正常库存</x:v>
      </x:c>
      <x:c r="F964" s="11" t="n">
        <x:f>IF(AND(ISNUMBER(H964),ISNUMBER(G964),G964&gt;0),H964/G964,"")</x:f>
        <x:v>89.47826086956523</x:v>
      </x:c>
      <x:c r="G964" s="12" t="n">
        <x:f>IF(AND(COUNT(P964:R964)=3,MIN(P964:R964)&gt;=0,P964&lt;=Q964,Q964&lt;=R964),P964/7*0.5+Q964/14*0.3+R964/30*0.2,"")</x:f>
        <x:v>0.5476190476190476</x:v>
      </x:c>
      <x:c r="H964" s="10" t="n">
        <x:f>IF(ISNUMBER(U964),U964,"")</x:f>
        <x:v>49</x:v>
      </x:c>
      <x:c r="I964" s="10" t="n">
        <x:v>40</x:v>
      </x:c>
      <x:c r="J964" s="11" t="n">
        <x:f>IF(AND(Z964="共同",ISNUMBER(F964),ISNUMBER(M964)),F964-M964,"")</x:f>
        <x:v>47.89410245372365</x:v>
      </x:c>
      <x:c r="K964" s="13" t="n">
        <x:f>IF(AND(ISNUMBER(J964),M964&lt;&gt;0),J964/M964,"")</x:f>
        <x:v>1.1517391304347828</x:v>
      </x:c>
      <x:c r="L964" s="10" t="str">
        <x:v>补货提醒</x:v>
      </x:c>
      <x:c r="M964" s="11" t="n">
        <x:v>41.584158415841586</x:v>
      </x:c>
      <x:c r="N964" s="10" t="n">
        <x:f>IF(AND(Z964="共同",COUNT(H964:I964)=2),H964-I964,"")</x:f>
        <x:v>9</x:v>
      </x:c>
      <x:c r="O964" s="10" t="n">
        <x:v>127</x:v>
      </x:c>
      <x:c r="P964" s="10" t="n">
        <x:v>4</x:v>
      </x:c>
      <x:c r="Q964" s="10" t="n">
        <x:v>6</x:v>
      </x:c>
      <x:c r="R964" s="10" t="n">
        <x:v>20</x:v>
      </x:c>
      <x:c r="S964" s="10" t="n">
        <x:v>55</x:v>
      </x:c>
      <x:c r="T964" s="10" t="n">
        <x:v>1</x:v>
      </x:c>
      <x:c r="U964" s="10" t="n">
        <x:f>IF(AND(ISNUMBER(X964),X964&gt;=0,Y964&lt;&gt;1),X964,"")</x:f>
        <x:v>49</x:v>
      </x:c>
      <x:c r="V964" s="10" t="n">
        <x:v>3</x:v>
      </x:c>
      <x:c r="W964" s="10" t="n">
        <x:v>3</x:v>
      </x:c>
      <x:c r="X964" s="10" t="n">
        <x:v>49</x:v>
      </x:c>
      <x:c r="Y964" s="3" t="n">
        <x:v>0</x:v>
      </x:c>
      <x:c r="Z964" s="3" t="str">
        <x:v>共同</x:v>
      </x:c>
      <x:c r="AA964" s="3" t="str">
        <x:v>在售</x:v>
      </x:c>
      <x:c r="AB964" s="12" t="n">
        <x:f>IF(AND(Z964="共同",ISNUMBER(G964),ISNUMBER(AD964)),G964-AD964,"")</x:f>
        <x:v>-0.41428571428571426</x:v>
      </x:c>
      <x:c r="AC964" s="3" t="str"/>
      <x:c r="AD964" s="12" t="n">
        <x:v>0.9619047619047618</x:v>
      </x:c>
      <x:c r="AE964" s="3" t="str">
        <x:v>[6574,"60516-BK-S-K-7"]</x:v>
      </x:c>
      <x:c r="AF964" t="n">
        <x:f>IF(ISNUMBER(H964),1,0)</x:f>
        <x:v>1</x:v>
      </x:c>
      <x:c r="AG964" t="n">
        <x:f>IF(ISNUMBER(I964),1,0)</x:f>
        <x:v>1</x:v>
      </x:c>
      <x:c r="AH964" t="str">
        <x:v>["60516","60516-BK-S-K","BK","黑色"]</x:v>
      </x:c>
      <x:c r="AI964" t="n">
        <x:f>IF(ISNUMBER(G964),1,0)</x:f>
        <x:v>1</x:v>
      </x:c>
      <x:c r="AJ964" t="n">
        <x:f>IF(ISNUMBER(AD964),1,0)</x:f>
        <x:v>1</x:v>
      </x:c>
    </x:row>
    <x:row r="965" ht="30" customHeight="1">
      <x:c r="A965" s="3" t="str">
        <x:v>60516-BK-S-K-8</x:v>
      </x:c>
      <x:c r="B965" s="3" t="str">
        <x:v>3店-SANDIEX-US</x:v>
      </x:c>
      <x:c r="C965" s="3" t="str">
        <x:v>徐新怡</x:v>
      </x:c>
      <x:c r="D965" s="3" t="str">
        <x:v>60516</x:v>
      </x:c>
      <x:c r="E965" s="3" t="str">
        <x:f>IF(Z965="移出","已移出",IF(NOT(ISNUMBER(H965)),"数据待核",IF(H965=0,"断货",IF(NOT(ISNUMBER(G965)),"数据待核",IF(G965=0,"零日销待复核",IF(F965&lt;60,"补货提醒",IF(F965&lt;=90,"正常库存",IF(F965&lt;180,"促销",IF(F965&lt;=365,"红线促销","考虑清仓")))))))))</x:f>
        <x:v>正常库存</x:v>
      </x:c>
      <x:c r="F965" s="11" t="n">
        <x:f>IF(AND(ISNUMBER(H965),ISNUMBER(G965),G965&gt;0),H965/G965,"")</x:f>
        <x:v>63.60397047594808</x:v>
      </x:c>
      <x:c r="G965" s="12" t="n">
        <x:f>IF(AND(COUNT(P965:R965)=3,MIN(P965:R965)&gt;=0,P965&lt;=Q965,Q965&lt;=R965),P965/7*0.5+Q965/14*0.3+R965/30*0.2,"")</x:f>
        <x:v>1.870952380952381</x:v>
      </x:c>
      <x:c r="H965" s="10" t="n">
        <x:f>IF(ISNUMBER(U965),U965,"")</x:f>
        <x:v>119</x:v>
      </x:c>
      <x:c r="I965" s="10" t="n">
        <x:v>136</x:v>
      </x:c>
      <x:c r="J965" s="11" t="n">
        <x:f>IF(AND(Z965="共同",ISNUMBER(F965),ISNUMBER(M965)),F965-M965,"")</x:f>
        <x:v>-34.03705516507757</x:v>
      </x:c>
      <x:c r="K965" s="13" t="n">
        <x:f>IF(AND(ISNUMBER(J965),M965&lt;&gt;0),J965/M965,"")</x:f>
        <x:v>-0.34859378976838895</x:v>
      </x:c>
      <x:c r="L965" s="10" t="str">
        <x:v>促销</x:v>
      </x:c>
      <x:c r="M965" s="11" t="n">
        <x:v>97.64102564102565</x:v>
      </x:c>
      <x:c r="N965" s="10" t="n">
        <x:f>IF(AND(Z965="共同",COUNT(H965:I965)=2),H965-I965,"")</x:f>
        <x:v>-17</x:v>
      </x:c>
      <x:c r="O965" s="10" t="n">
        <x:v>464</x:v>
      </x:c>
      <x:c r="P965" s="10" t="n">
        <x:v>15</x:v>
      </x:c>
      <x:c r="Q965" s="10" t="n">
        <x:v>23</x:v>
      </x:c>
      <x:c r="R965" s="10" t="n">
        <x:v>46</x:v>
      </x:c>
      <x:c r="S965" s="10" t="n">
        <x:v>122</x:v>
      </x:c>
      <x:c r="T965" s="10" t="n">
        <x:v>0</x:v>
      </x:c>
      <x:c r="U965" s="10" t="n">
        <x:f>IF(AND(ISNUMBER(X965),X965&gt;=0,Y965&lt;&gt;1),X965,"")</x:f>
        <x:v>119</x:v>
      </x:c>
      <x:c r="V965" s="10" t="n">
        <x:v>0</x:v>
      </x:c>
      <x:c r="W965" s="10" t="n">
        <x:v>20</x:v>
      </x:c>
      <x:c r="X965" s="10" t="n">
        <x:v>119</x:v>
      </x:c>
      <x:c r="Y965" s="3" t="n">
        <x:v>0</x:v>
      </x:c>
      <x:c r="Z965" s="3" t="str">
        <x:v>共同</x:v>
      </x:c>
      <x:c r="AA965" s="3" t="str">
        <x:v>在售</x:v>
      </x:c>
      <x:c r="AB965" s="12" t="n">
        <x:f>IF(AND(Z965="共同",ISNUMBER(G965),ISNUMBER(AD965)),G965-AD965,"")</x:f>
        <x:v>0.47809523809523813</x:v>
      </x:c>
      <x:c r="AC965" s="3" t="str"/>
      <x:c r="AD965" s="12" t="n">
        <x:v>1.3928571428571428</x:v>
      </x:c>
      <x:c r="AE965" s="3" t="str">
        <x:v>[6574,"60516-BK-S-K-8"]</x:v>
      </x:c>
      <x:c r="AF965" t="n">
        <x:f>IF(ISNUMBER(H965),1,0)</x:f>
        <x:v>1</x:v>
      </x:c>
      <x:c r="AG965" t="n">
        <x:f>IF(ISNUMBER(I965),1,0)</x:f>
        <x:v>1</x:v>
      </x:c>
      <x:c r="AH965" t="str">
        <x:v>["60516","60516-BK-S-K","BK","黑色"]</x:v>
      </x:c>
      <x:c r="AI965" t="n">
        <x:f>IF(ISNUMBER(G965),1,0)</x:f>
        <x:v>1</x:v>
      </x:c>
      <x:c r="AJ965" t="n">
        <x:f>IF(ISNUMBER(AD965),1,0)</x:f>
        <x:v>1</x:v>
      </x:c>
    </x:row>
    <x:row r="966" ht="30" customHeight="1">
      <x:c r="A966" s="3" t="str">
        <x:v>60516-LP-S-K-10.5</x:v>
      </x:c>
      <x:c r="B966" s="3" t="str">
        <x:v>3店-SANDIEX-US</x:v>
      </x:c>
      <x:c r="C966" s="3" t="str">
        <x:v>徐新怡</x:v>
      </x:c>
      <x:c r="D966" s="3" t="str">
        <x:v>60516</x:v>
      </x:c>
      <x:c r="E966" s="3" t="str">
        <x:f>IF(Z966="移出","已移出",IF(NOT(ISNUMBER(H966)),"数据待核",IF(H966=0,"断货",IF(NOT(ISNUMBER(G966)),"数据待核",IF(G966=0,"零日销待复核",IF(F966&lt;60,"补货提醒",IF(F966&lt;=90,"正常库存",IF(F966&lt;180,"促销",IF(F966&lt;=365,"红线促销","考虑清仓")))))))))</x:f>
        <x:v>正常库存</x:v>
      </x:c>
      <x:c r="F966" s="11" t="n">
        <x:f>IF(AND(ISNUMBER(H966),ISNUMBER(G966),G966&gt;0),H966/G966,"")</x:f>
        <x:v>62.376237623762385</x:v>
      </x:c>
      <x:c r="G966" s="12" t="n">
        <x:f>IF(AND(COUNT(P966:R966)=3,MIN(P966:R966)&gt;=0,P966&lt;=Q966,Q966&lt;=R966),P966/7*0.5+Q966/14*0.3+R966/30*0.2,"")</x:f>
        <x:v>0.28857142857142853</x:v>
      </x:c>
      <x:c r="H966" s="10" t="n">
        <x:f>IF(ISNUMBER(U966),U966,"")</x:f>
        <x:v>18</x:v>
      </x:c>
      <x:c r="I966" s="10"/>
      <x:c r="J966" s="11" t="str">
        <x:f>IF(AND(Z966="共同",ISNUMBER(F966),ISNUMBER(M966)),F966-M966,"")</x:f>
      </x:c>
      <x:c r="K966" s="13" t="str">
        <x:f>IF(AND(ISNUMBER(J966),M966&lt;&gt;0),J966/M966,"")</x:f>
      </x:c>
      <x:c r="L966" s="10"/>
      <x:c r="M966" s="11"/>
      <x:c r="N966" s="10" t="str">
        <x:f>IF(AND(Z966="共同",COUNT(H966:I966)=2),H966-I966,"")</x:f>
      </x:c>
      <x:c r="O966" s="10" t="n">
        <x:v>23</x:v>
      </x:c>
      <x:c r="P966" s="10" t="n">
        <x:v>2</x:v>
      </x:c>
      <x:c r="Q966" s="10" t="n">
        <x:v>4</x:v>
      </x:c>
      <x:c r="R966" s="10" t="n">
        <x:v>9</x:v>
      </x:c>
      <x:c r="S966" s="10" t="n">
        <x:v>19</x:v>
      </x:c>
      <x:c r="T966" s="10" t="n">
        <x:v>0</x:v>
      </x:c>
      <x:c r="U966" s="10" t="n">
        <x:f>IF(AND(ISNUMBER(X966),X966&gt;=0,Y966&lt;&gt;1),X966,"")</x:f>
        <x:v>18</x:v>
      </x:c>
      <x:c r="V966" s="10" t="n">
        <x:v>0</x:v>
      </x:c>
      <x:c r="W966" s="10" t="n">
        <x:v>0</x:v>
      </x:c>
      <x:c r="X966" s="10" t="n">
        <x:v>18</x:v>
      </x:c>
      <x:c r="Y966" s="3" t="n">
        <x:v>0</x:v>
      </x:c>
      <x:c r="Z966" s="3" t="str">
        <x:v>新增</x:v>
      </x:c>
      <x:c r="AA966" s="3" t="str">
        <x:v>在售</x:v>
      </x:c>
      <x:c r="AB966" s="12" t="str">
        <x:f>IF(AND(Z966="共同",ISNUMBER(G966),ISNUMBER(AD966)),G966-AD966,"")</x:f>
      </x:c>
      <x:c r="AC966" s="3" t="str"/>
      <x:c r="AD966" s="12"/>
      <x:c r="AE966" s="3" t="str">
        <x:v>[6574,"60516-LP-S-K-10.5"]</x:v>
      </x:c>
      <x:c r="AF966" t="n">
        <x:f>IF(ISNUMBER(H966),1,0)</x:f>
        <x:v>1</x:v>
      </x:c>
      <x:c r="AG966" t="n">
        <x:f>IF(ISNUMBER(I966),1,0)</x:f>
        <x:v>0</x:v>
      </x:c>
      <x:c r="AH966" t="str">
        <x:v>["60516","60516-LP-S-K","LP","豹纹"]</x:v>
      </x:c>
      <x:c r="AI966" t="n">
        <x:f>IF(ISNUMBER(G966),1,0)</x:f>
        <x:v>1</x:v>
      </x:c>
      <x:c r="AJ966" t="n">
        <x:f>IF(ISNUMBER(AD966),1,0)</x:f>
        <x:v>0</x:v>
      </x:c>
    </x:row>
    <x:row r="967" ht="30" customHeight="1">
      <x:c r="A967" s="3" t="str">
        <x:v>60516-LP-S-K-7</x:v>
      </x:c>
      <x:c r="B967" s="3" t="str">
        <x:v>3店-SANDIEX-US</x:v>
      </x:c>
      <x:c r="C967" s="3" t="str">
        <x:v>徐新怡</x:v>
      </x:c>
      <x:c r="D967" s="3" t="str">
        <x:v>60516</x:v>
      </x:c>
      <x:c r="E967" s="3" t="str">
        <x:f>IF(Z967="移出","已移出",IF(NOT(ISNUMBER(H967)),"数据待核",IF(H967=0,"断货",IF(NOT(ISNUMBER(G967)),"数据待核",IF(G967=0,"零日销待复核",IF(F967&lt;60,"补货提醒",IF(F967&lt;=90,"正常库存",IF(F967&lt;180,"促销",IF(F967&lt;=365,"红线促销","考虑清仓")))))))))</x:f>
        <x:v>正常库存</x:v>
      </x:c>
      <x:c r="F967" s="11" t="n">
        <x:f>IF(AND(ISNUMBER(H967),ISNUMBER(G967),G967&gt;0),H967/G967,"")</x:f>
        <x:v>70.8433734939759</x:v>
      </x:c>
      <x:c r="G967" s="12" t="n">
        <x:f>IF(AND(COUNT(P967:R967)=3,MIN(P967:R967)&gt;=0,P967&lt;=Q967,Q967&lt;=R967),P967/7*0.5+Q967/14*0.3+R967/30*0.2,"")</x:f>
        <x:v>0.7904761904761904</x:v>
      </x:c>
      <x:c r="H967" s="10" t="n">
        <x:f>IF(ISNUMBER(U967),U967,"")</x:f>
        <x:v>56</x:v>
      </x:c>
      <x:c r="I967" s="10" t="n">
        <x:v>67</x:v>
      </x:c>
      <x:c r="J967" s="11" t="n">
        <x:f>IF(AND(Z967="共同",ISNUMBER(F967),ISNUMBER(M967)),F967-M967,"")</x:f>
        <x:v>-85.14332273662275</x:v>
      </x:c>
      <x:c r="K967" s="13" t="n">
        <x:f>IF(AND(ISNUMBER(J967),M967&lt;&gt;0),J967/M967,"")</x:f>
        <x:v>-0.5458370796619313</x:v>
      </x:c>
      <x:c r="L967" s="10" t="str">
        <x:v>促销</x:v>
      </x:c>
      <x:c r="M967" s="11" t="n">
        <x:v>155.98669623059865</x:v>
      </x:c>
      <x:c r="N967" s="10" t="n">
        <x:f>IF(AND(Z967="共同",COUNT(H967:I967)=2),H967-I967,"")</x:f>
        <x:v>-11</x:v>
      </x:c>
      <x:c r="O967" s="10" t="n">
        <x:v>40</x:v>
      </x:c>
      <x:c r="P967" s="10" t="n">
        <x:v>5</x:v>
      </x:c>
      <x:c r="Q967" s="10" t="n">
        <x:v>14</x:v>
      </x:c>
      <x:c r="R967" s="10" t="n">
        <x:v>20</x:v>
      </x:c>
      <x:c r="S967" s="10" t="n">
        <x:v>58</x:v>
      </x:c>
      <x:c r="T967" s="10" t="n">
        <x:v>0</x:v>
      </x:c>
      <x:c r="U967" s="10" t="n">
        <x:f>IF(AND(ISNUMBER(X967),X967&gt;=0,Y967&lt;&gt;1),X967,"")</x:f>
        <x:v>56</x:v>
      </x:c>
      <x:c r="V967" s="10" t="n">
        <x:v>0</x:v>
      </x:c>
      <x:c r="W967" s="10" t="n">
        <x:v>0</x:v>
      </x:c>
      <x:c r="X967" s="10" t="n">
        <x:v>56</x:v>
      </x:c>
      <x:c r="Y967" s="3" t="n">
        <x:v>0</x:v>
      </x:c>
      <x:c r="Z967" s="3" t="str">
        <x:v>共同</x:v>
      </x:c>
      <x:c r="AA967" s="3" t="str">
        <x:v>在售</x:v>
      </x:c>
      <x:c r="AB967" s="12" t="n">
        <x:f>IF(AND(Z967="共同",ISNUMBER(G967),ISNUMBER(AD967)),G967-AD967,"")</x:f>
        <x:v>0.3609523809523809</x:v>
      </x:c>
      <x:c r="AC967" s="3" t="str"/>
      <x:c r="AD967" s="12" t="n">
        <x:v>0.42952380952380953</x:v>
      </x:c>
      <x:c r="AE967" s="3" t="str">
        <x:v>[6574,"60516-LP-S-K-7"]</x:v>
      </x:c>
      <x:c r="AF967" t="n">
        <x:f>IF(ISNUMBER(H967),1,0)</x:f>
        <x:v>1</x:v>
      </x:c>
      <x:c r="AG967" t="n">
        <x:f>IF(ISNUMBER(I967),1,0)</x:f>
        <x:v>1</x:v>
      </x:c>
      <x:c r="AH967" t="str">
        <x:v>["60516","60516-LP-S-K","LP","豹纹"]</x:v>
      </x:c>
      <x:c r="AI967" t="n">
        <x:f>IF(ISNUMBER(G967),1,0)</x:f>
        <x:v>1</x:v>
      </x:c>
      <x:c r="AJ967" t="n">
        <x:f>IF(ISNUMBER(AD967),1,0)</x:f>
        <x:v>1</x:v>
      </x:c>
    </x:row>
    <x:row r="968" ht="30" customHeight="1">
      <x:c r="A968" s="3" t="str">
        <x:v>60516-LP-S-K-9.5</x:v>
      </x:c>
      <x:c r="B968" s="3" t="str">
        <x:v>3店-SANDIEX-US</x:v>
      </x:c>
      <x:c r="C968" s="3" t="str">
        <x:v>徐新怡</x:v>
      </x:c>
      <x:c r="D968" s="3" t="str">
        <x:v>60516</x:v>
      </x:c>
      <x:c r="E968" s="3" t="str">
        <x:f>IF(Z968="移出","已移出",IF(NOT(ISNUMBER(H968)),"数据待核",IF(H968=0,"断货",IF(NOT(ISNUMBER(G968)),"数据待核",IF(G968=0,"零日销待复核",IF(F968&lt;60,"补货提醒",IF(F968&lt;=90,"正常库存",IF(F968&lt;180,"促销",IF(F968&lt;=365,"红线促销","考虑清仓")))))))))</x:f>
        <x:v>正常库存</x:v>
      </x:c>
      <x:c r="F968" s="11" t="n">
        <x:f>IF(AND(ISNUMBER(H968),ISNUMBER(G968),G968&gt;0),H968/G968,"")</x:f>
        <x:v>88.57142857142858</x:v>
      </x:c>
      <x:c r="G968" s="12" t="n">
        <x:f>IF(AND(COUNT(P968:R968)=3,MIN(P968:R968)&gt;=0,P968&lt;=Q968,Q968&lt;=R968),P968/7*0.5+Q968/14*0.3+R968/30*0.2,"")</x:f>
        <x:v>0.35</x:v>
      </x:c>
      <x:c r="H968" s="10" t="n">
        <x:f>IF(ISNUMBER(U968),U968,"")</x:f>
        <x:v>31</x:v>
      </x:c>
      <x:c r="I968" s="10"/>
      <x:c r="J968" s="11" t="str">
        <x:f>IF(AND(Z968="共同",ISNUMBER(F968),ISNUMBER(M968)),F968-M968,"")</x:f>
      </x:c>
      <x:c r="K968" s="13" t="str">
        <x:f>IF(AND(ISNUMBER(J968),M968&lt;&gt;0),J968/M968,"")</x:f>
      </x:c>
      <x:c r="L968" s="10"/>
      <x:c r="M968" s="11"/>
      <x:c r="N968" s="10" t="str">
        <x:f>IF(AND(Z968="共同",COUNT(H968:I968)=2),H968-I968,"")</x:f>
      </x:c>
      <x:c r="O968" s="10" t="n">
        <x:v>1</x:v>
      </x:c>
      <x:c r="P968" s="10" t="n">
        <x:v>2</x:v>
      </x:c>
      <x:c r="Q968" s="10" t="n">
        <x:v>5</x:v>
      </x:c>
      <x:c r="R968" s="10" t="n">
        <x:v>15</x:v>
      </x:c>
      <x:c r="S968" s="10" t="n">
        <x:v>33</x:v>
      </x:c>
      <x:c r="T968" s="10" t="n">
        <x:v>0</x:v>
      </x:c>
      <x:c r="U968" s="10" t="n">
        <x:f>IF(AND(ISNUMBER(X968),X968&gt;=0,Y968&lt;&gt;1),X968,"")</x:f>
        <x:v>31</x:v>
      </x:c>
      <x:c r="V968" s="10" t="n">
        <x:v>0</x:v>
      </x:c>
      <x:c r="W968" s="10" t="n">
        <x:v>0</x:v>
      </x:c>
      <x:c r="X968" s="10" t="n">
        <x:v>31</x:v>
      </x:c>
      <x:c r="Y968" s="3" t="n">
        <x:v>0</x:v>
      </x:c>
      <x:c r="Z968" s="3" t="str">
        <x:v>新增</x:v>
      </x:c>
      <x:c r="AA968" s="3" t="str">
        <x:v>在售</x:v>
      </x:c>
      <x:c r="AB968" s="12" t="str">
        <x:f>IF(AND(Z968="共同",ISNUMBER(G968),ISNUMBER(AD968)),G968-AD968,"")</x:f>
      </x:c>
      <x:c r="AC968" s="3" t="str"/>
      <x:c r="AD968" s="12"/>
      <x:c r="AE968" s="3" t="str">
        <x:v>[6574,"60516-LP-S-K-9.5"]</x:v>
      </x:c>
      <x:c r="AF968" t="n">
        <x:f>IF(ISNUMBER(H968),1,0)</x:f>
        <x:v>1</x:v>
      </x:c>
      <x:c r="AG968" t="n">
        <x:f>IF(ISNUMBER(I968),1,0)</x:f>
        <x:v>0</x:v>
      </x:c>
      <x:c r="AH968" t="str">
        <x:v>["60516","60516-LP-S-K","LP","豹纹"]</x:v>
      </x:c>
      <x:c r="AI968" t="n">
        <x:f>IF(ISNUMBER(G968),1,0)</x:f>
        <x:v>1</x:v>
      </x:c>
      <x:c r="AJ968" t="n">
        <x:f>IF(ISNUMBER(AD968),1,0)</x:f>
        <x:v>0</x:v>
      </x:c>
    </x:row>
    <x:row r="969" ht="30" customHeight="1">
      <x:c r="A969" s="3" t="str">
        <x:v>60516-ND-S-K-6.5</x:v>
      </x:c>
      <x:c r="B969" s="3" t="str">
        <x:v>3店-SANDIEX-US</x:v>
      </x:c>
      <x:c r="C969" s="3" t="str">
        <x:v>徐新怡</x:v>
      </x:c>
      <x:c r="D969" s="3" t="str">
        <x:v>60516</x:v>
      </x:c>
      <x:c r="E969" s="3" t="str">
        <x:f>IF(Z969="移出","已移出",IF(NOT(ISNUMBER(H969)),"数据待核",IF(H969=0,"断货",IF(NOT(ISNUMBER(G969)),"数据待核",IF(G969=0,"零日销待复核",IF(F969&lt;60,"补货提醒",IF(F969&lt;=90,"正常库存",IF(F969&lt;180,"促销",IF(F969&lt;=365,"红线促销","考虑清仓")))))))))</x:f>
        <x:v>正常库存</x:v>
      </x:c>
      <x:c r="F969" s="11" t="n">
        <x:f>IF(AND(ISNUMBER(H969),ISNUMBER(G969),G969&gt;0),H969/G969,"")</x:f>
        <x:v>79.00990099009901</x:v>
      </x:c>
      <x:c r="G969" s="12" t="n">
        <x:f>IF(AND(COUNT(P969:R969)=3,MIN(P969:R969)&gt;=0,P969&lt;=Q969,Q969&lt;=R969),P969/7*0.5+Q969/14*0.3+R969/30*0.2,"")</x:f>
        <x:v>0.24047619047619045</x:v>
      </x:c>
      <x:c r="H969" s="10" t="n">
        <x:f>IF(ISNUMBER(U969),U969,"")</x:f>
        <x:v>19</x:v>
      </x:c>
      <x:c r="I969" s="10"/>
      <x:c r="J969" s="11" t="str">
        <x:f>IF(AND(Z969="共同",ISNUMBER(F969),ISNUMBER(M969)),F969-M969,"")</x:f>
      </x:c>
      <x:c r="K969" s="13" t="str">
        <x:f>IF(AND(ISNUMBER(J969),M969&lt;&gt;0),J969/M969,"")</x:f>
      </x:c>
      <x:c r="L969" s="10"/>
      <x:c r="M969" s="11"/>
      <x:c r="N969" s="10" t="str">
        <x:f>IF(AND(Z969="共同",COUNT(H969:I969)=2),H969-I969,"")</x:f>
      </x:c>
      <x:c r="O969" s="10" t="n">
        <x:v>0</x:v>
      </x:c>
      <x:c r="P969" s="10" t="n">
        <x:v>2</x:v>
      </x:c>
      <x:c r="Q969" s="10" t="n">
        <x:v>3</x:v>
      </x:c>
      <x:c r="R969" s="10" t="n">
        <x:v>5</x:v>
      </x:c>
      <x:c r="S969" s="10" t="n">
        <x:v>19</x:v>
      </x:c>
      <x:c r="T969" s="10" t="n">
        <x:v>0</x:v>
      </x:c>
      <x:c r="U969" s="10" t="n">
        <x:f>IF(AND(ISNUMBER(X969),X969&gt;=0,Y969&lt;&gt;1),X969,"")</x:f>
        <x:v>19</x:v>
      </x:c>
      <x:c r="V969" s="10" t="n">
        <x:v>0</x:v>
      </x:c>
      <x:c r="W969" s="10" t="n">
        <x:v>0</x:v>
      </x:c>
      <x:c r="X969" s="10" t="n">
        <x:v>19</x:v>
      </x:c>
      <x:c r="Y969" s="3" t="n">
        <x:v>0</x:v>
      </x:c>
      <x:c r="Z969" s="3" t="str">
        <x:v>新增</x:v>
      </x:c>
      <x:c r="AA969" s="3" t="str">
        <x:v>在售</x:v>
      </x:c>
      <x:c r="AB969" s="12" t="str">
        <x:f>IF(AND(Z969="共同",ISNUMBER(G969),ISNUMBER(AD969)),G969-AD969,"")</x:f>
      </x:c>
      <x:c r="AC969" s="3" t="str"/>
      <x:c r="AD969" s="12"/>
      <x:c r="AE969" s="3" t="str">
        <x:v>[6574,"60516-ND-S-K-6.5"]</x:v>
      </x:c>
      <x:c r="AF969" t="n">
        <x:f>IF(ISNUMBER(H969),1,0)</x:f>
        <x:v>1</x:v>
      </x:c>
      <x:c r="AG969" t="n">
        <x:f>IF(ISNUMBER(I969),1,0)</x:f>
        <x:v>0</x:v>
      </x:c>
      <x:c r="AH969" t="str">
        <x:v>["60516","60516-ND-S-K","ND","裸色"]</x:v>
      </x:c>
      <x:c r="AI969" t="n">
        <x:f>IF(ISNUMBER(G969),1,0)</x:f>
        <x:v>1</x:v>
      </x:c>
      <x:c r="AJ969" t="n">
        <x:f>IF(ISNUMBER(AD969),1,0)</x:f>
        <x:v>0</x:v>
      </x:c>
    </x:row>
    <x:row r="970" ht="30" customHeight="1">
      <x:c r="A970" s="3" t="str">
        <x:v>8392-LP-39</x:v>
      </x:c>
      <x:c r="B970" s="3" t="str">
        <x:v>3店-SANDIEX-US</x:v>
      </x:c>
      <x:c r="C970" s="3" t="str">
        <x:v>徐新怡</x:v>
      </x:c>
      <x:c r="D970" s="3" t="str">
        <x:v>8392</x:v>
      </x:c>
      <x:c r="E970" s="3" t="str">
        <x:f>IF(Z970="移出","已移出",IF(NOT(ISNUMBER(H970)),"数据待核",IF(H970=0,"断货",IF(NOT(ISNUMBER(G970)),"数据待核",IF(G970=0,"零日销待复核",IF(F970&lt;60,"补货提醒",IF(F970&lt;=90,"正常库存",IF(F970&lt;180,"促销",IF(F970&lt;=365,"红线促销","考虑清仓")))))))))</x:f>
        <x:v>正常库存</x:v>
      </x:c>
      <x:c r="F970" s="11" t="n">
        <x:f>IF(AND(ISNUMBER(H970),ISNUMBER(G970),G970&gt;0),H970/G970,"")</x:f>
        <x:v>64.77846326416153</x:v>
      </x:c>
      <x:c r="G970" s="12" t="n">
        <x:f>IF(AND(COUNT(P970:R970)=3,MIN(P970:R970)&gt;=0,P970&lt;=Q970,Q970&lt;=R970),P970/7*0.5+Q970/14*0.3+R970/30*0.2,"")</x:f>
        <x:v>0.849047619047619</x:v>
      </x:c>
      <x:c r="H970" s="10" t="n">
        <x:f>IF(ISNUMBER(U970),U970,"")</x:f>
        <x:v>55</x:v>
      </x:c>
      <x:c r="I970" s="10"/>
      <x:c r="J970" s="11" t="str">
        <x:f>IF(AND(Z970="共同",ISNUMBER(F970),ISNUMBER(M970)),F970-M970,"")</x:f>
      </x:c>
      <x:c r="K970" s="13" t="str">
        <x:f>IF(AND(ISNUMBER(J970),M970&lt;&gt;0),J970/M970,"")</x:f>
      </x:c>
      <x:c r="L970" s="10"/>
      <x:c r="M970" s="11"/>
      <x:c r="N970" s="10" t="str">
        <x:f>IF(AND(Z970="共同",COUNT(H970:I970)=2),H970-I970,"")</x:f>
      </x:c>
      <x:c r="O970" s="10" t="n">
        <x:v>0</x:v>
      </x:c>
      <x:c r="P970" s="10" t="n">
        <x:v>7</x:v>
      </x:c>
      <x:c r="Q970" s="10" t="n">
        <x:v>11</x:v>
      </x:c>
      <x:c r="R970" s="10" t="n">
        <x:v>17</x:v>
      </x:c>
      <x:c r="S970" s="10" t="n">
        <x:v>58</x:v>
      </x:c>
      <x:c r="T970" s="10" t="n">
        <x:v>0</x:v>
      </x:c>
      <x:c r="U970" s="10" t="n">
        <x:f>IF(AND(ISNUMBER(X970),X970&gt;=0,Y970&lt;&gt;1),X970,"")</x:f>
        <x:v>55</x:v>
      </x:c>
      <x:c r="V970" s="10" t="n">
        <x:v>0</x:v>
      </x:c>
      <x:c r="W970" s="10" t="n">
        <x:v>0</x:v>
      </x:c>
      <x:c r="X970" s="10" t="n">
        <x:v>55</x:v>
      </x:c>
      <x:c r="Y970" s="3" t="n">
        <x:v>0</x:v>
      </x:c>
      <x:c r="Z970" s="3" t="str">
        <x:v>新增</x:v>
      </x:c>
      <x:c r="AA970" s="3" t="str">
        <x:v>在售</x:v>
      </x:c>
      <x:c r="AB970" s="12" t="str">
        <x:f>IF(AND(Z970="共同",ISNUMBER(G970),ISNUMBER(AD970)),G970-AD970,"")</x:f>
      </x:c>
      <x:c r="AC970" s="3" t="str"/>
      <x:c r="AD970" s="12"/>
      <x:c r="AE970" s="3" t="str">
        <x:v>[6574,"8392-LP-39"]</x:v>
      </x:c>
      <x:c r="AF970" t="n">
        <x:f>IF(ISNUMBER(H970),1,0)</x:f>
        <x:v>1</x:v>
      </x:c>
      <x:c r="AG970" t="n">
        <x:f>IF(ISNUMBER(I970),1,0)</x:f>
        <x:v>0</x:v>
      </x:c>
      <x:c r="AH970" t="str">
        <x:v>["8392","8392-LP","LP","豹纹"]</x:v>
      </x:c>
      <x:c r="AI970" t="n">
        <x:f>IF(ISNUMBER(G970),1,0)</x:f>
        <x:v>1</x:v>
      </x:c>
      <x:c r="AJ970" t="n">
        <x:f>IF(ISNUMBER(AD970),1,0)</x:f>
        <x:v>0</x:v>
      </x:c>
    </x:row>
    <x:row r="971" ht="30" customHeight="1">
      <x:c r="A971" s="3" t="str">
        <x:v>8392-ND-37</x:v>
      </x:c>
      <x:c r="B971" s="3" t="str">
        <x:v>3店-SANDIEX-US</x:v>
      </x:c>
      <x:c r="C971" s="3" t="str">
        <x:v>徐新怡</x:v>
      </x:c>
      <x:c r="D971" s="3" t="str">
        <x:v>8392</x:v>
      </x:c>
      <x:c r="E971" s="3" t="str">
        <x:f>IF(Z971="移出","已移出",IF(NOT(ISNUMBER(H971)),"数据待核",IF(H971=0,"断货",IF(NOT(ISNUMBER(G971)),"数据待核",IF(G971=0,"零日销待复核",IF(F971&lt;60,"补货提醒",IF(F971&lt;=90,"正常库存",IF(F971&lt;180,"促销",IF(F971&lt;=365,"红线促销","考虑清仓")))))))))</x:f>
        <x:v>正常库存</x:v>
      </x:c>
      <x:c r="F971" s="11" t="n">
        <x:f>IF(AND(ISNUMBER(H971),ISNUMBER(G971),G971&gt;0),H971/G971,"")</x:f>
        <x:v>84.75336322869956</x:v>
      </x:c>
      <x:c r="G971" s="12" t="n">
        <x:f>IF(AND(COUNT(P971:R971)=3,MIN(P971:R971)&gt;=0,P971&lt;=Q971,Q971&lt;=R971),P971/7*0.5+Q971/14*0.3+R971/30*0.2,"")</x:f>
        <x:v>0.10619047619047618</x:v>
      </x:c>
      <x:c r="H971" s="10" t="n">
        <x:f>IF(ISNUMBER(U971),U971,"")</x:f>
        <x:v>9</x:v>
      </x:c>
      <x:c r="I971" s="10"/>
      <x:c r="J971" s="11" t="str">
        <x:f>IF(AND(Z971="共同",ISNUMBER(F971),ISNUMBER(M971)),F971-M971,"")</x:f>
      </x:c>
      <x:c r="K971" s="13" t="str">
        <x:f>IF(AND(ISNUMBER(J971),M971&lt;&gt;0),J971/M971,"")</x:f>
      </x:c>
      <x:c r="L971" s="10"/>
      <x:c r="M971" s="11"/>
      <x:c r="N971" s="10" t="str">
        <x:f>IF(AND(Z971="共同",COUNT(H971:I971)=2),H971-I971,"")</x:f>
      </x:c>
      <x:c r="O971" s="10" t="n">
        <x:v>0</x:v>
      </x:c>
      <x:c r="P971" s="10" t="n">
        <x:v>1</x:v>
      </x:c>
      <x:c r="Q971" s="10" t="n">
        <x:v>1</x:v>
      </x:c>
      <x:c r="R971" s="10" t="n">
        <x:v>2</x:v>
      </x:c>
      <x:c r="S971" s="10" t="n">
        <x:v>9</x:v>
      </x:c>
      <x:c r="T971" s="10" t="n">
        <x:v>0</x:v>
      </x:c>
      <x:c r="U971" s="10" t="n">
        <x:f>IF(AND(ISNUMBER(X971),X971&gt;=0,Y971&lt;&gt;1),X971,"")</x:f>
        <x:v>9</x:v>
      </x:c>
      <x:c r="V971" s="10" t="n">
        <x:v>0</x:v>
      </x:c>
      <x:c r="W971" s="10" t="n">
        <x:v>0</x:v>
      </x:c>
      <x:c r="X971" s="10" t="n">
        <x:v>9</x:v>
      </x:c>
      <x:c r="Y971" s="3" t="n">
        <x:v>0</x:v>
      </x:c>
      <x:c r="Z971" s="3" t="str">
        <x:v>新增</x:v>
      </x:c>
      <x:c r="AA971" s="3" t="str">
        <x:v>在售</x:v>
      </x:c>
      <x:c r="AB971" s="12" t="str">
        <x:f>IF(AND(Z971="共同",ISNUMBER(G971),ISNUMBER(AD971)),G971-AD971,"")</x:f>
      </x:c>
      <x:c r="AC971" s="3" t="str"/>
      <x:c r="AD971" s="12"/>
      <x:c r="AE971" s="3" t="str">
        <x:v>[6574,"8392-ND-37"]</x:v>
      </x:c>
      <x:c r="AF971" t="n">
        <x:f>IF(ISNUMBER(H971),1,0)</x:f>
        <x:v>1</x:v>
      </x:c>
      <x:c r="AG971" t="n">
        <x:f>IF(ISNUMBER(I971),1,0)</x:f>
        <x:v>0</x:v>
      </x:c>
      <x:c r="AH971" t="str">
        <x:v>["8392","8392-ND","ND","裸色"]</x:v>
      </x:c>
      <x:c r="AI971" t="n">
        <x:f>IF(ISNUMBER(G971),1,0)</x:f>
        <x:v>1</x:v>
      </x:c>
      <x:c r="AJ971" t="n">
        <x:f>IF(ISNUMBER(AD971),1,0)</x:f>
        <x:v>0</x:v>
      </x:c>
    </x:row>
    <x:row r="972" ht="30" customHeight="1">
      <x:c r="A972" s="3" t="str">
        <x:v>8392-ND-40</x:v>
      </x:c>
      <x:c r="B972" s="3" t="str">
        <x:v>3店-SANDIEX-US</x:v>
      </x:c>
      <x:c r="C972" s="3" t="str">
        <x:v>徐新怡</x:v>
      </x:c>
      <x:c r="D972" s="3" t="str">
        <x:v>8392</x:v>
      </x:c>
      <x:c r="E972" s="3" t="str">
        <x:f>IF(Z972="移出","已移出",IF(NOT(ISNUMBER(H972)),"数据待核",IF(H972=0,"断货",IF(NOT(ISNUMBER(G972)),"数据待核",IF(G972=0,"零日销待复核",IF(F972&lt;60,"补货提醒",IF(F972&lt;=90,"正常库存",IF(F972&lt;180,"促销",IF(F972&lt;=365,"红线促销","考虑清仓")))))))))</x:f>
        <x:v>正常库存</x:v>
      </x:c>
      <x:c r="F972" s="11" t="n">
        <x:f>IF(AND(ISNUMBER(H972),ISNUMBER(G972),G972&gt;0),H972/G972,"")</x:f>
        <x:v>80.28485757121439</x:v>
      </x:c>
      <x:c r="G972" s="12" t="n">
        <x:f>IF(AND(COUNT(P972:R972)=3,MIN(P972:R972)&gt;=0,P972&lt;=Q972,Q972&lt;=R972),P972/7*0.5+Q972/14*0.3+R972/30*0.2,"")</x:f>
        <x:v>0.6352380952380953</x:v>
      </x:c>
      <x:c r="H972" s="10" t="n">
        <x:f>IF(ISNUMBER(U972),U972,"")</x:f>
        <x:v>51</x:v>
      </x:c>
      <x:c r="I972" s="10"/>
      <x:c r="J972" s="11" t="str">
        <x:f>IF(AND(Z972="共同",ISNUMBER(F972),ISNUMBER(M972)),F972-M972,"")</x:f>
      </x:c>
      <x:c r="K972" s="13" t="str">
        <x:f>IF(AND(ISNUMBER(J972),M972&lt;&gt;0),J972/M972,"")</x:f>
      </x:c>
      <x:c r="L972" s="10"/>
      <x:c r="M972" s="11"/>
      <x:c r="N972" s="10" t="str">
        <x:f>IF(AND(Z972="共同",COUNT(H972:I972)=2),H972-I972,"")</x:f>
      </x:c>
      <x:c r="O972" s="10" t="n">
        <x:v>36</x:v>
      </x:c>
      <x:c r="P972" s="10" t="n">
        <x:v>5</x:v>
      </x:c>
      <x:c r="Q972" s="10" t="n">
        <x:v>8</x:v>
      </x:c>
      <x:c r="R972" s="10" t="n">
        <x:v>16</x:v>
      </x:c>
      <x:c r="S972" s="10" t="n">
        <x:v>52</x:v>
      </x:c>
      <x:c r="T972" s="10" t="n">
        <x:v>1</x:v>
      </x:c>
      <x:c r="U972" s="10" t="n">
        <x:f>IF(AND(ISNUMBER(X972),X972&gt;=0,Y972&lt;&gt;1),X972,"")</x:f>
        <x:v>51</x:v>
      </x:c>
      <x:c r="V972" s="10" t="n">
        <x:v>0</x:v>
      </x:c>
      <x:c r="W972" s="10" t="n">
        <x:v>0</x:v>
      </x:c>
      <x:c r="X972" s="10" t="n">
        <x:v>51</x:v>
      </x:c>
      <x:c r="Y972" s="3" t="n">
        <x:v>0</x:v>
      </x:c>
      <x:c r="Z972" s="3" t="str">
        <x:v>新增</x:v>
      </x:c>
      <x:c r="AA972" s="3" t="str">
        <x:v>在售</x:v>
      </x:c>
      <x:c r="AB972" s="12" t="str">
        <x:f>IF(AND(Z972="共同",ISNUMBER(G972),ISNUMBER(AD972)),G972-AD972,"")</x:f>
      </x:c>
      <x:c r="AC972" s="3" t="str"/>
      <x:c r="AD972" s="12"/>
      <x:c r="AE972" s="3" t="str">
        <x:v>[6574,"8392-ND-40"]</x:v>
      </x:c>
      <x:c r="AF972" t="n">
        <x:f>IF(ISNUMBER(H972),1,0)</x:f>
        <x:v>1</x:v>
      </x:c>
      <x:c r="AG972" t="n">
        <x:f>IF(ISNUMBER(I972),1,0)</x:f>
        <x:v>0</x:v>
      </x:c>
      <x:c r="AH972" t="str">
        <x:v>["8392","8392-ND","ND","裸色"]</x:v>
      </x:c>
      <x:c r="AI972" t="n">
        <x:f>IF(ISNUMBER(G972),1,0)</x:f>
        <x:v>1</x:v>
      </x:c>
      <x:c r="AJ972" t="n">
        <x:f>IF(ISNUMBER(AD972),1,0)</x:f>
        <x:v>0</x:v>
      </x:c>
    </x:row>
    <x:row r="973" ht="30" customHeight="1">
      <x:c r="A973" s="3" t="str">
        <x:v>8392-ND-41</x:v>
      </x:c>
      <x:c r="B973" s="3" t="str">
        <x:v>3店-SANDIEX-US</x:v>
      </x:c>
      <x:c r="C973" s="3" t="str">
        <x:v>徐新怡</x:v>
      </x:c>
      <x:c r="D973" s="3" t="str">
        <x:v>8392</x:v>
      </x:c>
      <x:c r="E973" s="3" t="str">
        <x:f>IF(Z973="移出","已移出",IF(NOT(ISNUMBER(H973)),"数据待核",IF(H973=0,"断货",IF(NOT(ISNUMBER(G973)),"数据待核",IF(G973=0,"零日销待复核",IF(F973&lt;60,"补货提醒",IF(F973&lt;=90,"正常库存",IF(F973&lt;180,"促销",IF(F973&lt;=365,"红线促销","考虑清仓")))))))))</x:f>
        <x:v>正常库存</x:v>
      </x:c>
      <x:c r="F973" s="11" t="n">
        <x:f>IF(AND(ISNUMBER(H973),ISNUMBER(G973),G973&gt;0),H973/G973,"")</x:f>
        <x:v>67.02127659574468</x:v>
      </x:c>
      <x:c r="G973" s="12" t="n">
        <x:f>IF(AND(COUNT(P973:R973)=3,MIN(P973:R973)&gt;=0,P973&lt;=Q973,Q973&lt;=R973),P973/7*0.5+Q973/14*0.3+R973/30*0.2,"")</x:f>
        <x:v>0.13428571428571429</x:v>
      </x:c>
      <x:c r="H973" s="10" t="n">
        <x:f>IF(ISNUMBER(U973),U973,"")</x:f>
        <x:v>9</x:v>
      </x:c>
      <x:c r="I973" s="10"/>
      <x:c r="J973" s="11" t="str">
        <x:f>IF(AND(Z973="共同",ISNUMBER(F973),ISNUMBER(M973)),F973-M973,"")</x:f>
      </x:c>
      <x:c r="K973" s="13" t="str">
        <x:f>IF(AND(ISNUMBER(J973),M973&lt;&gt;0),J973/M973,"")</x:f>
      </x:c>
      <x:c r="L973" s="10"/>
      <x:c r="M973" s="11"/>
      <x:c r="N973" s="10" t="str">
        <x:f>IF(AND(Z973="共同",COUNT(H973:I973)=2),H973-I973,"")</x:f>
      </x:c>
      <x:c r="O973" s="10" t="n">
        <x:v>65</x:v>
      </x:c>
      <x:c r="P973" s="10" t="n">
        <x:v>1</x:v>
      </x:c>
      <x:c r="Q973" s="10" t="n">
        <x:v>2</x:v>
      </x:c>
      <x:c r="R973" s="10" t="n">
        <x:v>3</x:v>
      </x:c>
      <x:c r="S973" s="10" t="n">
        <x:v>38</x:v>
      </x:c>
      <x:c r="T973" s="10" t="n">
        <x:v>0</x:v>
      </x:c>
      <x:c r="U973" s="10" t="n">
        <x:f>IF(AND(ISNUMBER(X973),X973&gt;=0,Y973&lt;&gt;1),X973,"")</x:f>
        <x:v>9</x:v>
      </x:c>
      <x:c r="V973" s="10" t="n">
        <x:v>0</x:v>
      </x:c>
      <x:c r="W973" s="10" t="n">
        <x:v>0</x:v>
      </x:c>
      <x:c r="X973" s="10" t="n">
        <x:v>9</x:v>
      </x:c>
      <x:c r="Y973" s="3" t="n">
        <x:v>0</x:v>
      </x:c>
      <x:c r="Z973" s="3" t="str">
        <x:v>新增</x:v>
      </x:c>
      <x:c r="AA973" s="3" t="str">
        <x:v>在售</x:v>
      </x:c>
      <x:c r="AB973" s="12" t="str">
        <x:f>IF(AND(Z973="共同",ISNUMBER(G973),ISNUMBER(AD973)),G973-AD973,"")</x:f>
      </x:c>
      <x:c r="AC973" s="3" t="str"/>
      <x:c r="AD973" s="12"/>
      <x:c r="AE973" s="3" t="str">
        <x:v>[6574,"8392-ND-41"]</x:v>
      </x:c>
      <x:c r="AF973" t="n">
        <x:f>IF(ISNUMBER(H973),1,0)</x:f>
        <x:v>1</x:v>
      </x:c>
      <x:c r="AG973" t="n">
        <x:f>IF(ISNUMBER(I973),1,0)</x:f>
        <x:v>0</x:v>
      </x:c>
      <x:c r="AH973" t="str">
        <x:v>["8392","8392-ND","ND","裸色"]</x:v>
      </x:c>
      <x:c r="AI973" t="n">
        <x:f>IF(ISNUMBER(G973),1,0)</x:f>
        <x:v>1</x:v>
      </x:c>
      <x:c r="AJ973" t="n">
        <x:f>IF(ISNUMBER(AD973),1,0)</x:f>
        <x:v>0</x:v>
      </x:c>
    </x:row>
    <x:row r="974" ht="30" customHeight="1">
      <x:c r="A974" s="3" t="str">
        <x:v>8392-NY-S-K-41</x:v>
      </x:c>
      <x:c r="B974" s="3" t="str">
        <x:v>3店-SANDIEX-US</x:v>
      </x:c>
      <x:c r="C974" s="3" t="str">
        <x:v>徐新怡</x:v>
      </x:c>
      <x:c r="D974" s="3" t="str">
        <x:v>8392</x:v>
      </x:c>
      <x:c r="E974" s="3" t="str">
        <x:f>IF(Z974="移出","已移出",IF(NOT(ISNUMBER(H974)),"数据待核",IF(H974=0,"断货",IF(NOT(ISNUMBER(G974)),"数据待核",IF(G974=0,"零日销待复核",IF(F974&lt;60,"补货提醒",IF(F974&lt;=90,"正常库存",IF(F974&lt;180,"促销",IF(F974&lt;=365,"红线促销","考虑清仓")))))))))</x:f>
        <x:v>正常库存</x:v>
      </x:c>
      <x:c r="F974" s="11" t="n">
        <x:f>IF(AND(ISNUMBER(H974),ISNUMBER(G974),G974&gt;0),H974/G974,"")</x:f>
        <x:v>64.83221476510067</x:v>
      </x:c>
      <x:c r="G974" s="12" t="n">
        <x:f>IF(AND(COUNT(P974:R974)=3,MIN(P974:R974)&gt;=0,P974&lt;=Q974,Q974&lt;=R974),P974/7*0.5+Q974/14*0.3+R974/30*0.2,"")</x:f>
        <x:v>0.3547619047619047</x:v>
      </x:c>
      <x:c r="H974" s="10" t="n">
        <x:f>IF(ISNUMBER(U974),U974,"")</x:f>
        <x:v>23</x:v>
      </x:c>
      <x:c r="I974" s="10"/>
      <x:c r="J974" s="11" t="str">
        <x:f>IF(AND(Z974="共同",ISNUMBER(F974),ISNUMBER(M974)),F974-M974,"")</x:f>
      </x:c>
      <x:c r="K974" s="13" t="str">
        <x:f>IF(AND(ISNUMBER(J974),M974&lt;&gt;0),J974/M974,"")</x:f>
      </x:c>
      <x:c r="L974" s="10"/>
      <x:c r="M974" s="11"/>
      <x:c r="N974" s="10" t="str">
        <x:f>IF(AND(Z974="共同",COUNT(H974:I974)=2),H974-I974,"")</x:f>
      </x:c>
      <x:c r="O974" s="10" t="n">
        <x:v>0</x:v>
      </x:c>
      <x:c r="P974" s="10" t="n">
        <x:v>3</x:v>
      </x:c>
      <x:c r="Q974" s="10" t="n">
        <x:v>5</x:v>
      </x:c>
      <x:c r="R974" s="10" t="n">
        <x:v>5</x:v>
      </x:c>
      <x:c r="S974" s="10" t="n">
        <x:v>23</x:v>
      </x:c>
      <x:c r="T974" s="10" t="n">
        <x:v>0</x:v>
      </x:c>
      <x:c r="U974" s="10" t="n">
        <x:f>IF(AND(ISNUMBER(X974),X974&gt;=0,Y974&lt;&gt;1),X974,"")</x:f>
        <x:v>23</x:v>
      </x:c>
      <x:c r="V974" s="10" t="n">
        <x:v>0</x:v>
      </x:c>
      <x:c r="W974" s="10" t="n">
        <x:v>0</x:v>
      </x:c>
      <x:c r="X974" s="10" t="n">
        <x:v>23</x:v>
      </x:c>
      <x:c r="Y974" s="3" t="n">
        <x:v>0</x:v>
      </x:c>
      <x:c r="Z974" s="3" t="str">
        <x:v>新增</x:v>
      </x:c>
      <x:c r="AA974" s="3" t="str">
        <x:v>在售</x:v>
      </x:c>
      <x:c r="AB974" s="12" t="str">
        <x:f>IF(AND(Z974="共同",ISNUMBER(G974),ISNUMBER(AD974)),G974-AD974,"")</x:f>
      </x:c>
      <x:c r="AC974" s="3" t="str"/>
      <x:c r="AD974" s="12"/>
      <x:c r="AE974" s="3" t="str">
        <x:v>[6574,"8392-NY-S-K-41"]</x:v>
      </x:c>
      <x:c r="AF974" t="n">
        <x:f>IF(ISNUMBER(H974),1,0)</x:f>
        <x:v>1</x:v>
      </x:c>
      <x:c r="AG974" t="n">
        <x:f>IF(ISNUMBER(I974),1,0)</x:f>
        <x:v>0</x:v>
      </x:c>
      <x:c r="AH974" t="str">
        <x:v>["8392","8392-NY-S-K","NY","藏青色"]</x:v>
      </x:c>
      <x:c r="AI974" t="n">
        <x:f>IF(ISNUMBER(G974),1,0)</x:f>
        <x:v>1</x:v>
      </x:c>
      <x:c r="AJ974" t="n">
        <x:f>IF(ISNUMBER(AD974),1,0)</x:f>
        <x:v>0</x:v>
      </x:c>
    </x:row>
    <x:row r="975" ht="30" customHeight="1">
      <x:c r="A975" s="3" t="str">
        <x:v>8392-TN-40</x:v>
      </x:c>
      <x:c r="B975" s="3" t="str">
        <x:v>3店-SANDIEX-US</x:v>
      </x:c>
      <x:c r="C975" s="3" t="str">
        <x:v>徐新怡</x:v>
      </x:c>
      <x:c r="D975" s="3" t="str">
        <x:v>8392</x:v>
      </x:c>
      <x:c r="E975" s="3" t="str">
        <x:f>IF(Z975="移出","已移出",IF(NOT(ISNUMBER(H975)),"数据待核",IF(H975=0,"断货",IF(NOT(ISNUMBER(G975)),"数据待核",IF(G975=0,"零日销待复核",IF(F975&lt;60,"补货提醒",IF(F975&lt;=90,"正常库存",IF(F975&lt;180,"促销",IF(F975&lt;=365,"红线促销","考虑清仓")))))))))</x:f>
        <x:v>正常库存</x:v>
      </x:c>
      <x:c r="F975" s="11" t="n">
        <x:f>IF(AND(ISNUMBER(H975),ISNUMBER(G975),G975&gt;0),H975/G975,"")</x:f>
        <x:v>79.31034482758619</x:v>
      </x:c>
      <x:c r="G975" s="12" t="n">
        <x:f>IF(AND(COUNT(P975:R975)=3,MIN(P975:R975)&gt;=0,P975&lt;=Q975,Q975&lt;=R975),P975/7*0.5+Q975/14*0.3+R975/30*0.2,"")</x:f>
        <x:v>0.29000000000000004</x:v>
      </x:c>
      <x:c r="H975" s="10" t="n">
        <x:f>IF(ISNUMBER(U975),U975,"")</x:f>
        <x:v>23</x:v>
      </x:c>
      <x:c r="I975" s="10"/>
      <x:c r="J975" s="11" t="str">
        <x:f>IF(AND(Z975="共同",ISNUMBER(F975),ISNUMBER(M975)),F975-M975,"")</x:f>
      </x:c>
      <x:c r="K975" s="13" t="str">
        <x:f>IF(AND(ISNUMBER(J975),M975&lt;&gt;0),J975/M975,"")</x:f>
      </x:c>
      <x:c r="L975" s="10"/>
      <x:c r="M975" s="11"/>
      <x:c r="N975" s="10" t="str">
        <x:f>IF(AND(Z975="共同",COUNT(H975:I975)=2),H975-I975,"")</x:f>
      </x:c>
      <x:c r="O975" s="10" t="n">
        <x:v>20</x:v>
      </x:c>
      <x:c r="P975" s="10" t="n">
        <x:v>2</x:v>
      </x:c>
      <x:c r="Q975" s="10" t="n">
        <x:v>5</x:v>
      </x:c>
      <x:c r="R975" s="10" t="n">
        <x:v>6</x:v>
      </x:c>
      <x:c r="S975" s="10" t="n">
        <x:v>23</x:v>
      </x:c>
      <x:c r="T975" s="10" t="n">
        <x:v>0</x:v>
      </x:c>
      <x:c r="U975" s="10" t="n">
        <x:f>IF(AND(ISNUMBER(X975),X975&gt;=0,Y975&lt;&gt;1),X975,"")</x:f>
        <x:v>23</x:v>
      </x:c>
      <x:c r="V975" s="10" t="n">
        <x:v>0</x:v>
      </x:c>
      <x:c r="W975" s="10" t="n">
        <x:v>0</x:v>
      </x:c>
      <x:c r="X975" s="10" t="n">
        <x:v>23</x:v>
      </x:c>
      <x:c r="Y975" s="3" t="n">
        <x:v>0</x:v>
      </x:c>
      <x:c r="Z975" s="3" t="str">
        <x:v>新增</x:v>
      </x:c>
      <x:c r="AA975" s="3" t="str">
        <x:v>在售</x:v>
      </x:c>
      <x:c r="AB975" s="12" t="str">
        <x:f>IF(AND(Z975="共同",ISNUMBER(G975),ISNUMBER(AD975)),G975-AD975,"")</x:f>
      </x:c>
      <x:c r="AC975" s="3" t="str"/>
      <x:c r="AD975" s="12"/>
      <x:c r="AE975" s="3" t="str">
        <x:v>[6574,"8392-TN-40"]</x:v>
      </x:c>
      <x:c r="AF975" t="n">
        <x:f>IF(ISNUMBER(H975),1,0)</x:f>
        <x:v>1</x:v>
      </x:c>
      <x:c r="AG975" t="n">
        <x:f>IF(ISNUMBER(I975),1,0)</x:f>
        <x:v>0</x:v>
      </x:c>
      <x:c r="AH975" t="str">
        <x:v>["8392","8392-TN","TN","驼色"]</x:v>
      </x:c>
      <x:c r="AI975" t="n">
        <x:f>IF(ISNUMBER(G975),1,0)</x:f>
        <x:v>1</x:v>
      </x:c>
      <x:c r="AJ975" t="n">
        <x:f>IF(ISNUMBER(AD975),1,0)</x:f>
        <x:v>0</x:v>
      </x:c>
    </x:row>
    <x:row r="976" ht="30" customHeight="1">
      <x:c r="A976" s="3" t="str">
        <x:v>8392-TN-40.5</x:v>
      </x:c>
      <x:c r="B976" s="3" t="str">
        <x:v>3店-SANDIEX-US</x:v>
      </x:c>
      <x:c r="C976" s="3" t="str">
        <x:v>徐新怡</x:v>
      </x:c>
      <x:c r="D976" s="3" t="str">
        <x:v>8392</x:v>
      </x:c>
      <x:c r="E976" s="3" t="str">
        <x:f>IF(Z976="移出","已移出",IF(NOT(ISNUMBER(H976)),"数据待核",IF(H976=0,"断货",IF(NOT(ISNUMBER(G976)),"数据待核",IF(G976=0,"零日销待复核",IF(F976&lt;60,"补货提醒",IF(F976&lt;=90,"正常库存",IF(F976&lt;180,"促销",IF(F976&lt;=365,"红线促销","考虑清仓")))))))))</x:f>
        <x:v>正常库存</x:v>
      </x:c>
      <x:c r="F976" s="11" t="n">
        <x:f>IF(AND(ISNUMBER(H976),ISNUMBER(G976),G976&gt;0),H976/G976,"")</x:f>
        <x:v>67.74193548387098</x:v>
      </x:c>
      <x:c r="G976" s="12" t="n">
        <x:f>IF(AND(COUNT(P976:R976)=3,MIN(P976:R976)&gt;=0,P976&lt;=Q976,Q976&lt;=R976),P976/7*0.5+Q976/14*0.3+R976/30*0.2,"")</x:f>
        <x:v>0.16238095238095238</x:v>
      </x:c>
      <x:c r="H976" s="10" t="n">
        <x:f>IF(ISNUMBER(U976),U976,"")</x:f>
        <x:v>11</x:v>
      </x:c>
      <x:c r="I976" s="10"/>
      <x:c r="J976" s="11" t="str">
        <x:f>IF(AND(Z976="共同",ISNUMBER(F976),ISNUMBER(M976)),F976-M976,"")</x:f>
      </x:c>
      <x:c r="K976" s="13" t="str">
        <x:f>IF(AND(ISNUMBER(J976),M976&lt;&gt;0),J976/M976,"")</x:f>
      </x:c>
      <x:c r="L976" s="10"/>
      <x:c r="M976" s="11"/>
      <x:c r="N976" s="10" t="str">
        <x:f>IF(AND(Z976="共同",COUNT(H976:I976)=2),H976-I976,"")</x:f>
      </x:c>
      <x:c r="O976" s="10" t="n">
        <x:v>28</x:v>
      </x:c>
      <x:c r="P976" s="10" t="n">
        <x:v>1</x:v>
      </x:c>
      <x:c r="Q976" s="10" t="n">
        <x:v>3</x:v>
      </x:c>
      <x:c r="R976" s="10" t="n">
        <x:v>4</x:v>
      </x:c>
      <x:c r="S976" s="10" t="n">
        <x:v>11</x:v>
      </x:c>
      <x:c r="T976" s="10" t="n">
        <x:v>0</x:v>
      </x:c>
      <x:c r="U976" s="10" t="n">
        <x:f>IF(AND(ISNUMBER(X976),X976&gt;=0,Y976&lt;&gt;1),X976,"")</x:f>
        <x:v>11</x:v>
      </x:c>
      <x:c r="V976" s="10" t="n">
        <x:v>0</x:v>
      </x:c>
      <x:c r="W976" s="10" t="n">
        <x:v>0</x:v>
      </x:c>
      <x:c r="X976" s="10" t="n">
        <x:v>11</x:v>
      </x:c>
      <x:c r="Y976" s="3" t="n">
        <x:v>0</x:v>
      </x:c>
      <x:c r="Z976" s="3" t="str">
        <x:v>新增</x:v>
      </x:c>
      <x:c r="AA976" s="3" t="str">
        <x:v>在售</x:v>
      </x:c>
      <x:c r="AB976" s="12" t="str">
        <x:f>IF(AND(Z976="共同",ISNUMBER(G976),ISNUMBER(AD976)),G976-AD976,"")</x:f>
      </x:c>
      <x:c r="AC976" s="3" t="str"/>
      <x:c r="AD976" s="12"/>
      <x:c r="AE976" s="3" t="str">
        <x:v>[6574,"8392-TN-40.5"]</x:v>
      </x:c>
      <x:c r="AF976" t="n">
        <x:f>IF(ISNUMBER(H976),1,0)</x:f>
        <x:v>1</x:v>
      </x:c>
      <x:c r="AG976" t="n">
        <x:f>IF(ISNUMBER(I976),1,0)</x:f>
        <x:v>0</x:v>
      </x:c>
      <x:c r="AH976" t="str">
        <x:v>["8392","8392-TN","TN","驼色"]</x:v>
      </x:c>
      <x:c r="AI976" t="n">
        <x:f>IF(ISNUMBER(G976),1,0)</x:f>
        <x:v>1</x:v>
      </x:c>
      <x:c r="AJ976" t="n">
        <x:f>IF(ISNUMBER(AD976),1,0)</x:f>
        <x:v>0</x:v>
      </x:c>
    </x:row>
    <x:row r="977" ht="30" customHeight="1">
      <x:c r="A977" s="3" t="str">
        <x:v>B06-BGP-37-N</x:v>
      </x:c>
      <x:c r="B977" s="3" t="str">
        <x:v>1店-MUSSHOE-US</x:v>
      </x:c>
      <x:c r="C977" s="3" t="str">
        <x:v>艾年</x:v>
      </x:c>
      <x:c r="D977" s="3" t="str">
        <x:v>B06</x:v>
      </x:c>
      <x:c r="E977" s="3" t="str">
        <x:f>IF(Z977="移出","已移出",IF(NOT(ISNUMBER(H977)),"数据待核",IF(H977=0,"断货",IF(NOT(ISNUMBER(G977)),"数据待核",IF(G977=0,"零日销待复核",IF(F977&lt;60,"补货提醒",IF(F977&lt;=90,"正常库存",IF(F977&lt;180,"促销",IF(F977&lt;=365,"红线促销","考虑清仓")))))))))</x:f>
        <x:v>正常库存</x:v>
      </x:c>
      <x:c r="F977" s="11" t="n">
        <x:f>IF(AND(ISNUMBER(H977),ISNUMBER(G977),G977&gt;0),H977/G977,"")</x:f>
        <x:v>84.46069469835466</x:v>
      </x:c>
      <x:c r="G977" s="12" t="n">
        <x:f>IF(AND(COUNT(P977:R977)=3,MIN(P977:R977)&gt;=0,P977&lt;=Q977,Q977&lt;=R977),P977/7*0.5+Q977/14*0.3+R977/30*0.2,"")</x:f>
        <x:v>0.2604761904761905</x:v>
      </x:c>
      <x:c r="H977" s="10" t="n">
        <x:f>IF(ISNUMBER(U977),U977,"")</x:f>
        <x:v>22</x:v>
      </x:c>
      <x:c r="I977" s="10" t="n">
        <x:v>14</x:v>
      </x:c>
      <x:c r="J977" s="11" t="n">
        <x:f>IF(AND(Z977="共同",ISNUMBER(F977),ISNUMBER(M977)),F977-M977,"")</x:f>
        <x:v>24.091084842091817</x:v>
      </x:c>
      <x:c r="K977" s="13" t="n">
        <x:f>IF(AND(ISNUMBER(J977),M977&lt;&gt;0),J977/M977,"")</x:f>
        <x:v>0.39905980673805147</x:v>
      </x:c>
      <x:c r="L977" s="10" t="str">
        <x:v>正常库存</x:v>
      </x:c>
      <x:c r="M977" s="11" t="n">
        <x:v>60.36960985626284</x:v>
      </x:c>
      <x:c r="N977" s="10" t="n">
        <x:f>IF(AND(Z977="共同",COUNT(H977:I977)=2),H977-I977,"")</x:f>
        <x:v>8</x:v>
      </x:c>
      <x:c r="O977" s="10" t="n">
        <x:v>0</x:v>
      </x:c>
      <x:c r="P977" s="10" t="n">
        <x:v>2</x:v>
      </x:c>
      <x:c r="Q977" s="10" t="n">
        <x:v>3</x:v>
      </x:c>
      <x:c r="R977" s="10" t="n">
        <x:v>8</x:v>
      </x:c>
      <x:c r="S977" s="10" t="n">
        <x:v>25</x:v>
      </x:c>
      <x:c r="T977" s="10" t="n">
        <x:v>0</x:v>
      </x:c>
      <x:c r="U977" s="10" t="n">
        <x:f>IF(AND(ISNUMBER(X977),X977&gt;=0,Y977&lt;&gt;1),X977,"")</x:f>
        <x:v>22</x:v>
      </x:c>
      <x:c r="V977" s="10" t="n">
        <x:v>0</x:v>
      </x:c>
      <x:c r="W977" s="10" t="n">
        <x:v>0</x:v>
      </x:c>
      <x:c r="X977" s="10" t="n">
        <x:v>22</x:v>
      </x:c>
      <x:c r="Y977" s="3" t="n">
        <x:v>0</x:v>
      </x:c>
      <x:c r="Z977" s="3" t="str">
        <x:v>共同</x:v>
      </x:c>
      <x:c r="AA977" s="3" t="str">
        <x:v>在售</x:v>
      </x:c>
      <x:c r="AB977" s="12" t="n">
        <x:f>IF(AND(Z977="共同",ISNUMBER(G977),ISNUMBER(AD977)),G977-AD977,"")</x:f>
        <x:v>0.02857142857142858</x:v>
      </x:c>
      <x:c r="AC977" s="3" t="str"/>
      <x:c r="AD977" s="12" t="n">
        <x:v>0.2319047619047619</x:v>
      </x:c>
      <x:c r="AE977" s="3" t="str">
        <x:v>[13120,"B06-BGP-37-N"]</x:v>
      </x:c>
      <x:c r="AF977" t="n">
        <x:f>IF(ISNUMBER(H977),1,0)</x:f>
        <x:v>1</x:v>
      </x:c>
      <x:c r="AG977" t="n">
        <x:f>IF(ISNUMBER(I977),1,0)</x:f>
        <x:v>1</x:v>
      </x:c>
      <x:c r="AH977" t="str">
        <x:v>["B06","B06-BGP","BGP","米色PU"]</x:v>
      </x:c>
      <x:c r="AI977" t="n">
        <x:f>IF(ISNUMBER(G977),1,0)</x:f>
        <x:v>1</x:v>
      </x:c>
      <x:c r="AJ977" t="n">
        <x:f>IF(ISNUMBER(AD977),1,0)</x:f>
        <x:v>1</x:v>
      </x:c>
    </x:row>
    <x:row r="978" ht="30" customHeight="1">
      <x:c r="A978" s="3" t="str">
        <x:v>B06-BGP-39.5</x:v>
      </x:c>
      <x:c r="B978" s="3" t="str">
        <x:v>1店-MUSSHOE-US</x:v>
      </x:c>
      <x:c r="C978" s="3" t="str">
        <x:v>艾年</x:v>
      </x:c>
      <x:c r="D978" s="3" t="str">
        <x:v>B06</x:v>
      </x:c>
      <x:c r="E978" s="3" t="str">
        <x:f>IF(Z978="移出","已移出",IF(NOT(ISNUMBER(H978)),"数据待核",IF(H978=0,"断货",IF(NOT(ISNUMBER(G978)),"数据待核",IF(G978=0,"零日销待复核",IF(F978&lt;60,"补货提醒",IF(F978&lt;=90,"正常库存",IF(F978&lt;180,"促销",IF(F978&lt;=365,"红线促销","考虑清仓")))))))))</x:f>
        <x:v>正常库存</x:v>
      </x:c>
      <x:c r="F978" s="11" t="n">
        <x:f>IF(AND(ISNUMBER(H978),ISNUMBER(G978),G978&gt;0),H978/G978,"")</x:f>
        <x:v>67.17171717171718</x:v>
      </x:c>
      <x:c r="G978" s="12" t="n">
        <x:f>IF(AND(COUNT(P978:R978)=3,MIN(P978:R978)&gt;=0,P978&lt;=Q978,Q978&lt;=R978),P978/7*0.5+Q978/14*0.3+R978/30*0.2,"")</x:f>
        <x:v>0.5657142857142857</x:v>
      </x:c>
      <x:c r="H978" s="10" t="n">
        <x:f>IF(ISNUMBER(U978),U978,"")</x:f>
        <x:v>38</x:v>
      </x:c>
      <x:c r="I978" s="10" t="n">
        <x:v>39</x:v>
      </x:c>
      <x:c r="J978" s="11" t="n">
        <x:f>IF(AND(Z978="共同",ISNUMBER(F978),ISNUMBER(M978)),F978-M978,"")</x:f>
        <x:v>-48.669866986698665</x:v>
      </x:c>
      <x:c r="K978" s="13" t="n">
        <x:f>IF(AND(ISNUMBER(J978),M978&lt;&gt;0),J978/M978,"")</x:f>
        <x:v>-0.4201415868082534</x:v>
      </x:c>
      <x:c r="L978" s="10" t="str">
        <x:v>促销</x:v>
      </x:c>
      <x:c r="M978" s="11" t="n">
        <x:v>115.84158415841584</x:v>
      </x:c>
      <x:c r="N978" s="10" t="n">
        <x:f>IF(AND(Z978="共同",COUNT(H978:I978)=2),H978-I978,"")</x:f>
        <x:v>-1</x:v>
      </x:c>
      <x:c r="O978" s="10" t="n">
        <x:v>28</x:v>
      </x:c>
      <x:c r="P978" s="10" t="n">
        <x:v>5</x:v>
      </x:c>
      <x:c r="Q978" s="10" t="n">
        <x:v>6</x:v>
      </x:c>
      <x:c r="R978" s="10" t="n">
        <x:v>12</x:v>
      </x:c>
      <x:c r="S978" s="10" t="n">
        <x:v>40</x:v>
      </x:c>
      <x:c r="T978" s="10" t="n">
        <x:v>1</x:v>
      </x:c>
      <x:c r="U978" s="10" t="n">
        <x:f>IF(AND(ISNUMBER(X978),X978&gt;=0,Y978&lt;&gt;1),X978,"")</x:f>
        <x:v>38</x:v>
      </x:c>
      <x:c r="V978" s="10" t="n">
        <x:v>0</x:v>
      </x:c>
      <x:c r="W978" s="10" t="n">
        <x:v>20</x:v>
      </x:c>
      <x:c r="X978" s="10" t="n">
        <x:v>38</x:v>
      </x:c>
      <x:c r="Y978" s="3" t="n">
        <x:v>0</x:v>
      </x:c>
      <x:c r="Z978" s="3" t="str">
        <x:v>共同</x:v>
      </x:c>
      <x:c r="AA978" s="3" t="str">
        <x:v>在售</x:v>
      </x:c>
      <x:c r="AB978" s="12" t="n">
        <x:f>IF(AND(Z978="共同",ISNUMBER(G978),ISNUMBER(AD978)),G978-AD978,"")</x:f>
        <x:v>0.22904761904761906</x:v>
      </x:c>
      <x:c r="AC978" s="3" t="str"/>
      <x:c r="AD978" s="12" t="n">
        <x:v>0.33666666666666667</x:v>
      </x:c>
      <x:c r="AE978" s="3" t="str">
        <x:v>[13120,"B06-BGP-39.5"]</x:v>
      </x:c>
      <x:c r="AF978" t="n">
        <x:f>IF(ISNUMBER(H978),1,0)</x:f>
        <x:v>1</x:v>
      </x:c>
      <x:c r="AG978" t="n">
        <x:f>IF(ISNUMBER(I978),1,0)</x:f>
        <x:v>1</x:v>
      </x:c>
      <x:c r="AH978" t="str">
        <x:v>["B06","B06-BGP","BGP","米色PU"]</x:v>
      </x:c>
      <x:c r="AI978" t="n">
        <x:f>IF(ISNUMBER(G978),1,0)</x:f>
        <x:v>1</x:v>
      </x:c>
      <x:c r="AJ978" t="n">
        <x:f>IF(ISNUMBER(AD978),1,0)</x:f>
        <x:v>1</x:v>
      </x:c>
    </x:row>
    <x:row r="979" ht="30" customHeight="1">
      <x:c r="A979" s="3" t="str">
        <x:v>B06-BGP-40-N</x:v>
      </x:c>
      <x:c r="B979" s="3" t="str">
        <x:v>1店-MUSSHOE-US</x:v>
      </x:c>
      <x:c r="C979" s="3" t="str">
        <x:v>艾年</x:v>
      </x:c>
      <x:c r="D979" s="3" t="str">
        <x:v>B06</x:v>
      </x:c>
      <x:c r="E979" s="3" t="str">
        <x:f>IF(Z979="移出","已移出",IF(NOT(ISNUMBER(H979)),"数据待核",IF(H979=0,"断货",IF(NOT(ISNUMBER(G979)),"数据待核",IF(G979=0,"零日销待复核",IF(F979&lt;60,"补货提醒",IF(F979&lt;=90,"正常库存",IF(F979&lt;180,"促销",IF(F979&lt;=365,"红线促销","考虑清仓")))))))))</x:f>
        <x:v>正常库存</x:v>
      </x:c>
      <x:c r="F979" s="11" t="n">
        <x:f>IF(AND(ISNUMBER(H979),ISNUMBER(G979),G979&gt;0),H979/G979,"")</x:f>
        <x:v>61.85567010309278</x:v>
      </x:c>
      <x:c r="G979" s="12" t="n">
        <x:f>IF(AND(COUNT(P979:R979)=3,MIN(P979:R979)&gt;=0,P979&lt;=Q979,Q979&lt;=R979),P979/7*0.5+Q979/14*0.3+R979/30*0.2,"")</x:f>
        <x:v>0.32333333333333336</x:v>
      </x:c>
      <x:c r="H979" s="10" t="n">
        <x:f>IF(ISNUMBER(U979),U979,"")</x:f>
        <x:v>20</x:v>
      </x:c>
      <x:c r="I979" s="10" t="n">
        <x:v>14</x:v>
      </x:c>
      <x:c r="J979" s="11" t="n">
        <x:f>IF(AND(Z979="共同",ISNUMBER(F979),ISNUMBER(M979)),F979-M979,"")</x:f>
        <x:v>26.39125514531232</x:v>
      </x:c>
      <x:c r="K979" s="13" t="n">
        <x:f>IF(AND(ISNUMBER(J979),M979&lt;&gt;0),J979/M979,"")</x:f>
        <x:v>0.7441615821586366</x:v>
      </x:c>
      <x:c r="L979" s="10" t="str">
        <x:v>补货提醒</x:v>
      </x:c>
      <x:c r="M979" s="11" t="n">
        <x:v>35.464414957780455</x:v>
      </x:c>
      <x:c r="N979" s="10" t="n">
        <x:f>IF(AND(Z979="共同",COUNT(H979:I979)=2),H979-I979,"")</x:f>
        <x:v>6</x:v>
      </x:c>
      <x:c r="O979" s="10" t="n">
        <x:v>24</x:v>
      </x:c>
      <x:c r="P979" s="10" t="n">
        <x:v>2</x:v>
      </x:c>
      <x:c r="Q979" s="10" t="n">
        <x:v>5</x:v>
      </x:c>
      <x:c r="R979" s="10" t="n">
        <x:v>11</x:v>
      </x:c>
      <x:c r="S979" s="10" t="n">
        <x:v>21</x:v>
      </x:c>
      <x:c r="T979" s="10" t="n">
        <x:v>0</x:v>
      </x:c>
      <x:c r="U979" s="10" t="n">
        <x:f>IF(AND(ISNUMBER(X979),X979&gt;=0,Y979&lt;&gt;1),X979,"")</x:f>
        <x:v>20</x:v>
      </x:c>
      <x:c r="V979" s="10" t="n">
        <x:v>2</x:v>
      </x:c>
      <x:c r="W979" s="10" t="n">
        <x:v>22</x:v>
      </x:c>
      <x:c r="X979" s="10" t="n">
        <x:v>20</x:v>
      </x:c>
      <x:c r="Y979" s="3" t="n">
        <x:v>0</x:v>
      </x:c>
      <x:c r="Z979" s="3" t="str">
        <x:v>共同</x:v>
      </x:c>
      <x:c r="AA979" s="3" t="str">
        <x:v>在售</x:v>
      </x:c>
      <x:c r="AB979" s="12" t="n">
        <x:f>IF(AND(Z979="共同",ISNUMBER(G979),ISNUMBER(AD979)),G979-AD979,"")</x:f>
        <x:v>-0.0714285714285714</x:v>
      </x:c>
      <x:c r="AC979" s="3" t="str"/>
      <x:c r="AD979" s="12" t="n">
        <x:v>0.39476190476190476</x:v>
      </x:c>
      <x:c r="AE979" s="3" t="str">
        <x:v>[13120,"B06-BGP-40-N"]</x:v>
      </x:c>
      <x:c r="AF979" t="n">
        <x:f>IF(ISNUMBER(H979),1,0)</x:f>
        <x:v>1</x:v>
      </x:c>
      <x:c r="AG979" t="n">
        <x:f>IF(ISNUMBER(I979),1,0)</x:f>
        <x:v>1</x:v>
      </x:c>
      <x:c r="AH979" t="str">
        <x:v>["B06","B06-BGP","BGP","米色PU"]</x:v>
      </x:c>
      <x:c r="AI979" t="n">
        <x:f>IF(ISNUMBER(G979),1,0)</x:f>
        <x:v>1</x:v>
      </x:c>
      <x:c r="AJ979" t="n">
        <x:f>IF(ISNUMBER(AD979),1,0)</x:f>
        <x:v>1</x:v>
      </x:c>
    </x:row>
    <x:row r="980" ht="30" customHeight="1">
      <x:c r="A980" s="3" t="str">
        <x:v>B06-BK-37.5</x:v>
      </x:c>
      <x:c r="B980" s="3" t="str">
        <x:v>1店-MUSSHOE-US</x:v>
      </x:c>
      <x:c r="C980" s="3" t="str">
        <x:v>艾年</x:v>
      </x:c>
      <x:c r="D980" s="3" t="str">
        <x:v>B06</x:v>
      </x:c>
      <x:c r="E980" s="3" t="str">
        <x:f>IF(Z980="移出","已移出",IF(NOT(ISNUMBER(H980)),"数据待核",IF(H980=0,"断货",IF(NOT(ISNUMBER(G980)),"数据待核",IF(G980=0,"零日销待复核",IF(F980&lt;60,"补货提醒",IF(F980&lt;=90,"正常库存",IF(F980&lt;180,"促销",IF(F980&lt;=365,"红线促销","考虑清仓")))))))))</x:f>
        <x:v>正常库存</x:v>
      </x:c>
      <x:c r="F980" s="11" t="n">
        <x:f>IF(AND(ISNUMBER(H980),ISNUMBER(G980),G980&gt;0),H980/G980,"")</x:f>
        <x:v>68.78198567041966</x:v>
      </x:c>
      <x:c r="G980" s="12" t="n">
        <x:f>IF(AND(COUNT(P980:R980)=3,MIN(P980:R980)&gt;=0,P980&lt;=Q980,Q980&lt;=R980),P980/7*0.5+Q980/14*0.3+R980/30*0.2,"")</x:f>
        <x:v>0.9304761904761905</x:v>
      </x:c>
      <x:c r="H980" s="10" t="n">
        <x:f>IF(ISNUMBER(U980),U980,"")</x:f>
        <x:v>64</x:v>
      </x:c>
      <x:c r="I980" s="10" t="n">
        <x:v>56</x:v>
      </x:c>
      <x:c r="J980" s="11" t="n">
        <x:f>IF(AND(Z980="共同",ISNUMBER(F980),ISNUMBER(M980)),F980-M980,"")</x:f>
        <x:v>-26.363645397541504</x:v>
      </x:c>
      <x:c r="K980" s="13" t="n">
        <x:f>IF(AND(ISNUMBER(J980),M980&lt;&gt;0),J980/M980,"")</x:f>
        <x:v>-0.2770872934639566</x:v>
      </x:c>
      <x:c r="L980" s="10" t="str">
        <x:v>促销</x:v>
      </x:c>
      <x:c r="M980" s="11" t="n">
        <x:v>95.14563106796116</x:v>
      </x:c>
      <x:c r="N980" s="10" t="n">
        <x:f>IF(AND(Z980="共同",COUNT(H980:I980)=2),H980-I980,"")</x:f>
        <x:v>8</x:v>
      </x:c>
      <x:c r="O980" s="10" t="n">
        <x:v>55</x:v>
      </x:c>
      <x:c r="P980" s="10" t="n">
        <x:v>7</x:v>
      </x:c>
      <x:c r="Q980" s="10" t="n">
        <x:v>12</x:v>
      </x:c>
      <x:c r="R980" s="10" t="n">
        <x:v>26</x:v>
      </x:c>
      <x:c r="S980" s="10" t="n">
        <x:v>66</x:v>
      </x:c>
      <x:c r="T980" s="10" t="n">
        <x:v>0</x:v>
      </x:c>
      <x:c r="U980" s="10" t="n">
        <x:f>IF(AND(ISNUMBER(X980),X980&gt;=0,Y980&lt;&gt;1),X980,"")</x:f>
        <x:v>64</x:v>
      </x:c>
      <x:c r="V980" s="10" t="n">
        <x:v>0</x:v>
      </x:c>
      <x:c r="W980" s="10" t="n">
        <x:v>20</x:v>
      </x:c>
      <x:c r="X980" s="10" t="n">
        <x:v>64</x:v>
      </x:c>
      <x:c r="Y980" s="3" t="n">
        <x:v>0</x:v>
      </x:c>
      <x:c r="Z980" s="3" t="str">
        <x:v>共同</x:v>
      </x:c>
      <x:c r="AA980" s="3" t="str">
        <x:v>在售</x:v>
      </x:c>
      <x:c r="AB980" s="12" t="n">
        <x:f>IF(AND(Z980="共同",ISNUMBER(G980),ISNUMBER(AD980)),G980-AD980,"")</x:f>
        <x:v>0.3419047619047618</x:v>
      </x:c>
      <x:c r="AC980" s="3" t="str"/>
      <x:c r="AD980" s="12" t="n">
        <x:v>0.5885714285714286</x:v>
      </x:c>
      <x:c r="AE980" s="3" t="str">
        <x:v>[13120,"B06-BK-37.5"]</x:v>
      </x:c>
      <x:c r="AF980" t="n">
        <x:f>IF(ISNUMBER(H980),1,0)</x:f>
        <x:v>1</x:v>
      </x:c>
      <x:c r="AG980" t="n">
        <x:f>IF(ISNUMBER(I980),1,0)</x:f>
        <x:v>1</x:v>
      </x:c>
      <x:c r="AH980" t="str">
        <x:v>["B06","B06-BK","BK","黑色羊京绒"]</x:v>
      </x:c>
      <x:c r="AI980" t="n">
        <x:f>IF(ISNUMBER(G980),1,0)</x:f>
        <x:v>1</x:v>
      </x:c>
      <x:c r="AJ980" t="n">
        <x:f>IF(ISNUMBER(AD980),1,0)</x:f>
        <x:v>1</x:v>
      </x:c>
    </x:row>
    <x:row r="981" ht="30" customHeight="1">
      <x:c r="A981" s="3" t="str">
        <x:v>B06-BK-V-0-39.5</x:v>
      </x:c>
      <x:c r="B981" s="3" t="str">
        <x:v>1店-MUSSHOE-US</x:v>
      </x:c>
      <x:c r="C981" s="3" t="str">
        <x:v>艾年</x:v>
      </x:c>
      <x:c r="D981" s="3" t="str">
        <x:v>B06</x:v>
      </x:c>
      <x:c r="E981" s="3" t="str">
        <x:f>IF(Z981="移出","已移出",IF(NOT(ISNUMBER(H981)),"数据待核",IF(H981=0,"断货",IF(NOT(ISNUMBER(G981)),"数据待核",IF(G981=0,"零日销待复核",IF(F981&lt;60,"补货提醒",IF(F981&lt;=90,"正常库存",IF(F981&lt;180,"促销",IF(F981&lt;=365,"红线促销","考虑清仓")))))))))</x:f>
        <x:v>正常库存</x:v>
      </x:c>
      <x:c r="F981" s="11" t="n">
        <x:f>IF(AND(ISNUMBER(H981),ISNUMBER(G981),G981&gt;0),H981/G981,"")</x:f>
        <x:v>66.66666666666667</x:v>
      </x:c>
      <x:c r="G981" s="12" t="n">
        <x:f>IF(AND(COUNT(P981:R981)=3,MIN(P981:R981)&gt;=0,P981&lt;=Q981,Q981&lt;=R981),P981/7*0.5+Q981/14*0.3+R981/30*0.2,"")</x:f>
        <x:v>0.06</x:v>
      </x:c>
      <x:c r="H981" s="10" t="n">
        <x:f>IF(ISNUMBER(U981),U981,"")</x:f>
        <x:v>4</x:v>
      </x:c>
      <x:c r="I981" s="10" t="n">
        <x:v>3</x:v>
      </x:c>
      <x:c r="J981" s="11" t="n">
        <x:f>IF(AND(Z981="共同",ISNUMBER(F981),ISNUMBER(M981)),F981-M981,"")</x:f>
        <x:v>57.41556534508077</x:v>
      </x:c>
      <x:c r="K981" s="13" t="n">
        <x:f>IF(AND(ISNUMBER(J981),M981&lt;&gt;0),J981/M981,"")</x:f>
        <x:v>6.206349206349208</x:v>
      </x:c>
      <x:c r="L981" s="10" t="str">
        <x:v>补货提醒</x:v>
      </x:c>
      <x:c r="M981" s="11" t="n">
        <x:v>9.251101321585901</x:v>
      </x:c>
      <x:c r="N981" s="10" t="n">
        <x:f>IF(AND(Z981="共同",COUNT(H981:I981)=2),H981-I981,"")</x:f>
        <x:v>1</x:v>
      </x:c>
      <x:c r="O981" s="10" t="n">
        <x:v>20</x:v>
      </x:c>
      <x:c r="P981" s="10" t="n">
        <x:v>0</x:v>
      </x:c>
      <x:c r="Q981" s="10" t="n">
        <x:v>0</x:v>
      </x:c>
      <x:c r="R981" s="10" t="n">
        <x:v>9</x:v>
      </x:c>
      <x:c r="S981" s="10" t="n">
        <x:v>6</x:v>
      </x:c>
      <x:c r="T981" s="10" t="n">
        <x:v>0</x:v>
      </x:c>
      <x:c r="U981" s="10" t="n">
        <x:f>IF(AND(ISNUMBER(X981),X981&gt;=0,Y981&lt;&gt;1),X981,"")</x:f>
        <x:v>4</x:v>
      </x:c>
      <x:c r="V981" s="10" t="n">
        <x:v>0</x:v>
      </x:c>
      <x:c r="W981" s="10" t="n">
        <x:v>0</x:v>
      </x:c>
      <x:c r="X981" s="10" t="n">
        <x:v>4</x:v>
      </x:c>
      <x:c r="Y981" s="3" t="n">
        <x:v>0</x:v>
      </x:c>
      <x:c r="Z981" s="3" t="str">
        <x:v>共同</x:v>
      </x:c>
      <x:c r="AA981" s="3" t="str">
        <x:v>在售</x:v>
      </x:c>
      <x:c r="AB981" s="12" t="n">
        <x:f>IF(AND(Z981="共同",ISNUMBER(G981),ISNUMBER(AD981)),G981-AD981,"")</x:f>
        <x:v>-0.26428571428571435</x:v>
      </x:c>
      <x:c r="AC981" s="3" t="str"/>
      <x:c r="AD981" s="12" t="n">
        <x:v>0.32428571428571434</x:v>
      </x:c>
      <x:c r="AE981" s="3" t="str">
        <x:v>[13120,"B06-BK-V-0-39.5"]</x:v>
      </x:c>
      <x:c r="AF981" t="n">
        <x:f>IF(ISNUMBER(H981),1,0)</x:f>
        <x:v>1</x:v>
      </x:c>
      <x:c r="AG981" t="n">
        <x:f>IF(ISNUMBER(I981),1,0)</x:f>
        <x:v>1</x:v>
      </x:c>
      <x:c r="AH981" t="str">
        <x:v>["B06","B06-BK-V-0","BK-V","黑色天鹅绒"]</x:v>
      </x:c>
      <x:c r="AI981" t="n">
        <x:f>IF(ISNUMBER(G981),1,0)</x:f>
        <x:v>1</x:v>
      </x:c>
      <x:c r="AJ981" t="n">
        <x:f>IF(ISNUMBER(AD981),1,0)</x:f>
        <x:v>1</x:v>
      </x:c>
    </x:row>
    <x:row r="982" ht="30" customHeight="1">
      <x:c r="A982" s="3" t="str">
        <x:v>B06-BKP-38.5</x:v>
      </x:c>
      <x:c r="B982" s="3" t="str">
        <x:v>1店-MUSSHOE-US</x:v>
      </x:c>
      <x:c r="C982" s="3" t="str">
        <x:v>艾年</x:v>
      </x:c>
      <x:c r="D982" s="3" t="str">
        <x:v>B06</x:v>
      </x:c>
      <x:c r="E982" s="3" t="str">
        <x:f>IF(Z982="移出","已移出",IF(NOT(ISNUMBER(H982)),"数据待核",IF(H982=0,"断货",IF(NOT(ISNUMBER(G982)),"数据待核",IF(G982=0,"零日销待复核",IF(F982&lt;60,"补货提醒",IF(F982&lt;=90,"正常库存",IF(F982&lt;180,"促销",IF(F982&lt;=365,"红线促销","考虑清仓")))))))))</x:f>
        <x:v>正常库存</x:v>
      </x:c>
      <x:c r="F982" s="11" t="n">
        <x:f>IF(AND(ISNUMBER(H982),ISNUMBER(G982),G982&gt;0),H982/G982,"")</x:f>
        <x:v>88.1559220389805</x:v>
      </x:c>
      <x:c r="G982" s="12" t="n">
        <x:f>IF(AND(COUNT(P982:R982)=3,MIN(P982:R982)&gt;=0,P982&lt;=Q982,Q982&lt;=R982),P982/7*0.5+Q982/14*0.3+R982/30*0.2,"")</x:f>
        <x:v>0.6352380952380953</x:v>
      </x:c>
      <x:c r="H982" s="10" t="n">
        <x:f>IF(ISNUMBER(U982),U982,"")</x:f>
        <x:v>56</x:v>
      </x:c>
      <x:c r="I982" s="10" t="n">
        <x:v>38</x:v>
      </x:c>
      <x:c r="J982" s="11" t="n">
        <x:f>IF(AND(Z982="共同",ISNUMBER(F982),ISNUMBER(M982)),F982-M982,"")</x:f>
        <x:v>36.337740220798686</x:v>
      </x:c>
      <x:c r="K982" s="13" t="n">
        <x:f>IF(AND(ISNUMBER(J982),M982&lt;&gt;0),J982/M982,"")</x:f>
        <x:v>0.7012546358399746</x:v>
      </x:c>
      <x:c r="L982" s="10" t="str">
        <x:v>补货提醒</x:v>
      </x:c>
      <x:c r="M982" s="11" t="n">
        <x:v>51.81818181818182</x:v>
      </x:c>
      <x:c r="N982" s="10" t="n">
        <x:f>IF(AND(Z982="共同",COUNT(H982:I982)=2),H982-I982,"")</x:f>
        <x:v>18</x:v>
      </x:c>
      <x:c r="O982" s="10" t="n">
        <x:v>12</x:v>
      </x:c>
      <x:c r="P982" s="10" t="n">
        <x:v>5</x:v>
      </x:c>
      <x:c r="Q982" s="10" t="n">
        <x:v>8</x:v>
      </x:c>
      <x:c r="R982" s="10" t="n">
        <x:v>16</x:v>
      </x:c>
      <x:c r="S982" s="10" t="n">
        <x:v>64</x:v>
      </x:c>
      <x:c r="T982" s="10" t="n">
        <x:v>0</x:v>
      </x:c>
      <x:c r="U982" s="10" t="n">
        <x:f>IF(AND(ISNUMBER(X982),X982&gt;=0,Y982&lt;&gt;1),X982,"")</x:f>
        <x:v>56</x:v>
      </x:c>
      <x:c r="V982" s="10" t="n">
        <x:v>0</x:v>
      </x:c>
      <x:c r="W982" s="10" t="n">
        <x:v>0</x:v>
      </x:c>
      <x:c r="X982" s="10" t="n">
        <x:v>56</x:v>
      </x:c>
      <x:c r="Y982" s="3" t="n">
        <x:v>0</x:v>
      </x:c>
      <x:c r="Z982" s="3" t="str">
        <x:v>共同</x:v>
      </x:c>
      <x:c r="AA982" s="3" t="str">
        <x:v>在售</x:v>
      </x:c>
      <x:c r="AB982" s="12" t="n">
        <x:f>IF(AND(Z982="共同",ISNUMBER(G982),ISNUMBER(AD982)),G982-AD982,"")</x:f>
        <x:v>-0.09809523809523801</x:v>
      </x:c>
      <x:c r="AC982" s="3" t="str"/>
      <x:c r="AD982" s="12" t="n">
        <x:v>0.7333333333333333</x:v>
      </x:c>
      <x:c r="AE982" s="3" t="str">
        <x:v>[13120,"B06-BKP-38.5"]</x:v>
      </x:c>
      <x:c r="AF982" t="n">
        <x:f>IF(ISNUMBER(H982),1,0)</x:f>
        <x:v>1</x:v>
      </x:c>
      <x:c r="AG982" t="n">
        <x:f>IF(ISNUMBER(I982),1,0)</x:f>
        <x:v>1</x:v>
      </x:c>
      <x:c r="AH982" t="str">
        <x:v>["B06","B06-BKP","BKP","黑色PU"]</x:v>
      </x:c>
      <x:c r="AI982" t="n">
        <x:f>IF(ISNUMBER(G982),1,0)</x:f>
        <x:v>1</x:v>
      </x:c>
      <x:c r="AJ982" t="n">
        <x:f>IF(ISNUMBER(AD982),1,0)</x:f>
        <x:v>1</x:v>
      </x:c>
    </x:row>
    <x:row r="983" ht="30" customHeight="1">
      <x:c r="A983" s="3" t="str">
        <x:v>B06-BKP-40.5</x:v>
      </x:c>
      <x:c r="B983" s="3" t="str">
        <x:v>1店-MUSSHOE-US</x:v>
      </x:c>
      <x:c r="C983" s="3" t="str">
        <x:v>艾年</x:v>
      </x:c>
      <x:c r="D983" s="3" t="str">
        <x:v>B06</x:v>
      </x:c>
      <x:c r="E983" s="3" t="str">
        <x:f>IF(Z983="移出","已移出",IF(NOT(ISNUMBER(H983)),"数据待核",IF(H983=0,"断货",IF(NOT(ISNUMBER(G983)),"数据待核",IF(G983=0,"零日销待复核",IF(F983&lt;60,"补货提醒",IF(F983&lt;=90,"正常库存",IF(F983&lt;180,"促销",IF(F983&lt;=365,"红线促销","考虑清仓")))))))))</x:f>
        <x:v>正常库存</x:v>
      </x:c>
      <x:c r="F983" s="11" t="n">
        <x:f>IF(AND(ISNUMBER(H983),ISNUMBER(G983),G983&gt;0),H983/G983,"")</x:f>
        <x:v>78.65168539325843</x:v>
      </x:c>
      <x:c r="G983" s="12" t="n">
        <x:f>IF(AND(COUNT(P983:R983)=3,MIN(P983:R983)&gt;=0,P983&lt;=Q983,Q983&lt;=R983),P983/7*0.5+Q983/14*0.3+R983/30*0.2,"")</x:f>
        <x:v>0.3814285714285714</x:v>
      </x:c>
      <x:c r="H983" s="10" t="n">
        <x:f>IF(ISNUMBER(U983),U983,"")</x:f>
        <x:v>30</x:v>
      </x:c>
      <x:c r="I983" s="10" t="n">
        <x:v>30</x:v>
      </x:c>
      <x:c r="J983" s="11" t="n">
        <x:f>IF(AND(Z983="共同",ISNUMBER(F983),ISNUMBER(M983)),F983-M983,"")</x:f>
        <x:v>-33.05044226631604</x:v>
      </x:c>
      <x:c r="K983" s="13" t="n">
        <x:f>IF(AND(ISNUMBER(J983),M983&lt;&gt;0),J983/M983,"")</x:f>
        <x:v>-0.2958801498127341</x:v>
      </x:c>
      <x:c r="L983" s="10" t="str">
        <x:v>促销</x:v>
      </x:c>
      <x:c r="M983" s="11" t="n">
        <x:v>111.70212765957447</x:v>
      </x:c>
      <x:c r="N983" s="10" t="n">
        <x:f>IF(AND(Z983="共同",COUNT(H983:I983)=2),H983-I983,"")</x:f>
        <x:v>0</x:v>
      </x:c>
      <x:c r="O983" s="10" t="n">
        <x:v>26</x:v>
      </x:c>
      <x:c r="P983" s="10" t="n">
        <x:v>3</x:v>
      </x:c>
      <x:c r="Q983" s="10" t="n">
        <x:v>5</x:v>
      </x:c>
      <x:c r="R983" s="10" t="n">
        <x:v>9</x:v>
      </x:c>
      <x:c r="S983" s="10" t="n">
        <x:v>30</x:v>
      </x:c>
      <x:c r="T983" s="10" t="n">
        <x:v>0</x:v>
      </x:c>
      <x:c r="U983" s="10" t="n">
        <x:f>IF(AND(ISNUMBER(X983),X983&gt;=0,Y983&lt;&gt;1),X983,"")</x:f>
        <x:v>30</x:v>
      </x:c>
      <x:c r="V983" s="10" t="n">
        <x:v>1</x:v>
      </x:c>
      <x:c r="W983" s="10" t="n">
        <x:v>1</x:v>
      </x:c>
      <x:c r="X983" s="10" t="n">
        <x:v>30</x:v>
      </x:c>
      <x:c r="Y983" s="3" t="n">
        <x:v>0</x:v>
      </x:c>
      <x:c r="Z983" s="3" t="str">
        <x:v>共同</x:v>
      </x:c>
      <x:c r="AA983" s="3" t="str">
        <x:v>在售</x:v>
      </x:c>
      <x:c r="AB983" s="12" t="n">
        <x:f>IF(AND(Z983="共同",ISNUMBER(G983),ISNUMBER(AD983)),G983-AD983,"")</x:f>
        <x:v>0.11285714285714282</x:v>
      </x:c>
      <x:c r="AC983" s="3" t="str"/>
      <x:c r="AD983" s="12" t="n">
        <x:v>0.26857142857142857</x:v>
      </x:c>
      <x:c r="AE983" s="3" t="str">
        <x:v>[13120,"B06-BKP-40.5"]</x:v>
      </x:c>
      <x:c r="AF983" t="n">
        <x:f>IF(ISNUMBER(H983),1,0)</x:f>
        <x:v>1</x:v>
      </x:c>
      <x:c r="AG983" t="n">
        <x:f>IF(ISNUMBER(I983),1,0)</x:f>
        <x:v>1</x:v>
      </x:c>
      <x:c r="AH983" t="str">
        <x:v>["B06","B06-BKP","BKP","黑色PU"]</x:v>
      </x:c>
      <x:c r="AI983" t="n">
        <x:f>IF(ISNUMBER(G983),1,0)</x:f>
        <x:v>1</x:v>
      </x:c>
      <x:c r="AJ983" t="n">
        <x:f>IF(ISNUMBER(AD983),1,0)</x:f>
        <x:v>1</x:v>
      </x:c>
    </x:row>
    <x:row r="984" ht="30" customHeight="1">
      <x:c r="A984" s="3" t="str">
        <x:v>B06-GN-40.5</x:v>
      </x:c>
      <x:c r="B984" s="3" t="str">
        <x:v>1店-MUSSHOE-US</x:v>
      </x:c>
      <x:c r="C984" s="3" t="str">
        <x:v>艾年</x:v>
      </x:c>
      <x:c r="D984" s="3" t="str">
        <x:v>B06</x:v>
      </x:c>
      <x:c r="E984" s="3" t="str">
        <x:f>IF(Z984="移出","已移出",IF(NOT(ISNUMBER(H984)),"数据待核",IF(H984=0,"断货",IF(NOT(ISNUMBER(G984)),"数据待核",IF(G984=0,"零日销待复核",IF(F984&lt;60,"补货提醒",IF(F984&lt;=90,"正常库存",IF(F984&lt;180,"促销",IF(F984&lt;=365,"红线促销","考虑清仓")))))))))</x:f>
        <x:v>正常库存</x:v>
      </x:c>
      <x:c r="F984" s="11" t="n">
        <x:f>IF(AND(ISNUMBER(H984),ISNUMBER(G984),G984&gt;0),H984/G984,"")</x:f>
        <x:v>70.33492822966508</x:v>
      </x:c>
      <x:c r="G984" s="12" t="n">
        <x:f>IF(AND(COUNT(P984:R984)=3,MIN(P984:R984)&gt;=0,P984&lt;=Q984,Q984&lt;=R984),P984/7*0.5+Q984/14*0.3+R984/30*0.2,"")</x:f>
        <x:v>0.09952380952380951</x:v>
      </x:c>
      <x:c r="H984" s="10" t="n">
        <x:f>IF(ISNUMBER(U984),U984,"")</x:f>
        <x:v>7</x:v>
      </x:c>
      <x:c r="I984" s="10" t="n">
        <x:v>7</x:v>
      </x:c>
      <x:c r="J984" s="11" t="str">
        <x:f>IF(AND(Z984="共同",ISNUMBER(F984),ISNUMBER(M984)),F984-M984,"")</x:f>
      </x:c>
      <x:c r="K984" s="13" t="str">
        <x:f>IF(AND(ISNUMBER(J984),M984&lt;&gt;0),J984/M984,"")</x:f>
      </x:c>
      <x:c r="L984" s="10" t="str">
        <x:v>零日销待复核</x:v>
      </x:c>
      <x:c r="M984" s="11"/>
      <x:c r="N984" s="10" t="n">
        <x:f>IF(AND(Z984="共同",COUNT(H984:I984)=2),H984-I984,"")</x:f>
        <x:v>0</x:v>
      </x:c>
      <x:c r="O984" s="10" t="n">
        <x:v>0</x:v>
      </x:c>
      <x:c r="P984" s="10" t="n">
        <x:v>1</x:v>
      </x:c>
      <x:c r="Q984" s="10" t="n">
        <x:v>1</x:v>
      </x:c>
      <x:c r="R984" s="10" t="n">
        <x:v>1</x:v>
      </x:c>
      <x:c r="S984" s="10" t="n">
        <x:v>7</x:v>
      </x:c>
      <x:c r="T984" s="10" t="n">
        <x:v>0</x:v>
      </x:c>
      <x:c r="U984" s="10" t="n">
        <x:f>IF(AND(ISNUMBER(X984),X984&gt;=0,Y984&lt;&gt;1),X984,"")</x:f>
        <x:v>7</x:v>
      </x:c>
      <x:c r="V984" s="10" t="n">
        <x:v>0</x:v>
      </x:c>
      <x:c r="W984" s="10" t="n">
        <x:v>10</x:v>
      </x:c>
      <x:c r="X984" s="10" t="n">
        <x:v>7</x:v>
      </x:c>
      <x:c r="Y984" s="3" t="n">
        <x:v>0</x:v>
      </x:c>
      <x:c r="Z984" s="3" t="str">
        <x:v>共同</x:v>
      </x:c>
      <x:c r="AA984" s="3" t="str">
        <x:v>在售</x:v>
      </x:c>
      <x:c r="AB984" s="12" t="n">
        <x:f>IF(AND(Z984="共同",ISNUMBER(G984),ISNUMBER(AD984)),G984-AD984,"")</x:f>
        <x:v>0.09952380952380951</x:v>
      </x:c>
      <x:c r="AC984" s="3" t="str"/>
      <x:c r="AD984" s="12" t="n">
        <x:v>0</x:v>
      </x:c>
      <x:c r="AE984" s="3" t="str">
        <x:v>[13120,"B06-GN-40.5"]</x:v>
      </x:c>
      <x:c r="AF984" t="n">
        <x:f>IF(ISNUMBER(H984),1,0)</x:f>
        <x:v>1</x:v>
      </x:c>
      <x:c r="AG984" t="n">
        <x:f>IF(ISNUMBER(I984),1,0)</x:f>
        <x:v>1</x:v>
      </x:c>
      <x:c r="AH984" t="str">
        <x:v>["B06","B06-GN","GN","绿色羊京绒"]</x:v>
      </x:c>
      <x:c r="AI984" t="n">
        <x:f>IF(ISNUMBER(G984),1,0)</x:f>
        <x:v>1</x:v>
      </x:c>
      <x:c r="AJ984" t="n">
        <x:f>IF(ISNUMBER(AD984),1,0)</x:f>
        <x:v>1</x:v>
      </x:c>
    </x:row>
    <x:row r="985" ht="30" customHeight="1">
      <x:c r="A985" s="3" t="str">
        <x:v>B06-HP-41.5</x:v>
      </x:c>
      <x:c r="B985" s="3" t="str">
        <x:v>1店-MUSSHOE-US</x:v>
      </x:c>
      <x:c r="C985" s="3" t="str">
        <x:v>艾年</x:v>
      </x:c>
      <x:c r="D985" s="3" t="str">
        <x:v>B06</x:v>
      </x:c>
      <x:c r="E985" s="3" t="str">
        <x:f>IF(Z985="移出","已移出",IF(NOT(ISNUMBER(H985)),"数据待核",IF(H985=0,"断货",IF(NOT(ISNUMBER(G985)),"数据待核",IF(G985=0,"零日销待复核",IF(F985&lt;60,"补货提醒",IF(F985&lt;=90,"正常库存",IF(F985&lt;180,"促销",IF(F985&lt;=365,"红线促销","考虑清仓")))))))))</x:f>
        <x:v>正常库存</x:v>
      </x:c>
      <x:c r="F985" s="11" t="n">
        <x:f>IF(AND(ISNUMBER(H985),ISNUMBER(G985),G985&gt;0),H985/G985,"")</x:f>
        <x:v>65.311004784689</x:v>
      </x:c>
      <x:c r="G985" s="12" t="n">
        <x:f>IF(AND(COUNT(P985:R985)=3,MIN(P985:R985)&gt;=0,P985&lt;=Q985,Q985&lt;=R985),P985/7*0.5+Q985/14*0.3+R985/30*0.2,"")</x:f>
        <x:v>0.19904761904761903</x:v>
      </x:c>
      <x:c r="H985" s="10" t="n">
        <x:f>IF(ISNUMBER(U985),U985,"")</x:f>
        <x:v>13</x:v>
      </x:c>
      <x:c r="I985" s="10"/>
      <x:c r="J985" s="11" t="str">
        <x:f>IF(AND(Z985="共同",ISNUMBER(F985),ISNUMBER(M985)),F985-M985,"")</x:f>
      </x:c>
      <x:c r="K985" s="13" t="str">
        <x:f>IF(AND(ISNUMBER(J985),M985&lt;&gt;0),J985/M985,"")</x:f>
      </x:c>
      <x:c r="L985" s="10"/>
      <x:c r="M985" s="11"/>
      <x:c r="N985" s="10" t="str">
        <x:f>IF(AND(Z985="共同",COUNT(H985:I985)=2),H985-I985,"")</x:f>
      </x:c>
      <x:c r="O985" s="10" t="n">
        <x:v>0</x:v>
      </x:c>
      <x:c r="P985" s="10" t="n">
        <x:v>2</x:v>
      </x:c>
      <x:c r="Q985" s="10" t="n">
        <x:v>2</x:v>
      </x:c>
      <x:c r="R985" s="10" t="n">
        <x:v>2</x:v>
      </x:c>
      <x:c r="S985" s="10" t="n">
        <x:v>14</x:v>
      </x:c>
      <x:c r="T985" s="10" t="n">
        <x:v>0</x:v>
      </x:c>
      <x:c r="U985" s="10" t="n">
        <x:f>IF(AND(ISNUMBER(X985),X985&gt;=0,Y985&lt;&gt;1),X985,"")</x:f>
        <x:v>13</x:v>
      </x:c>
      <x:c r="V985" s="10" t="n">
        <x:v>0</x:v>
      </x:c>
      <x:c r="W985" s="10" t="n">
        <x:v>0</x:v>
      </x:c>
      <x:c r="X985" s="10" t="n">
        <x:v>13</x:v>
      </x:c>
      <x:c r="Y985" s="3" t="n">
        <x:v>0</x:v>
      </x:c>
      <x:c r="Z985" s="3" t="str">
        <x:v>新增</x:v>
      </x:c>
      <x:c r="AA985" s="3" t="str">
        <x:v>在售</x:v>
      </x:c>
      <x:c r="AB985" s="12" t="str">
        <x:f>IF(AND(Z985="共同",ISNUMBER(G985),ISNUMBER(AD985)),G985-AD985,"")</x:f>
      </x:c>
      <x:c r="AC985" s="3" t="str"/>
      <x:c r="AD985" s="12"/>
      <x:c r="AE985" s="3" t="str">
        <x:v>[13120,"B06-HP-41.5"]</x:v>
      </x:c>
      <x:c r="AF985" t="n">
        <x:f>IF(ISNUMBER(H985),1,0)</x:f>
        <x:v>1</x:v>
      </x:c>
      <x:c r="AG985" t="n">
        <x:f>IF(ISNUMBER(I985),1,0)</x:f>
        <x:v>0</x:v>
      </x:c>
      <x:c r="AH985" t="str">
        <x:v>["B06","B06-HP","HP","芭比粉羊京绒"]</x:v>
      </x:c>
      <x:c r="AI985" t="n">
        <x:f>IF(ISNUMBER(G985),1,0)</x:f>
        <x:v>1</x:v>
      </x:c>
      <x:c r="AJ985" t="n">
        <x:f>IF(ISNUMBER(AD985),1,0)</x:f>
        <x:v>0</x:v>
      </x:c>
    </x:row>
    <x:row r="986" ht="30" customHeight="1">
      <x:c r="A986" s="3" t="str">
        <x:v>B06-LP-37.5</x:v>
      </x:c>
      <x:c r="B986" s="3" t="str">
        <x:v>1店-MUSSHOE-US</x:v>
      </x:c>
      <x:c r="C986" s="3" t="str">
        <x:v>艾年</x:v>
      </x:c>
      <x:c r="D986" s="3" t="str">
        <x:v>B06</x:v>
      </x:c>
      <x:c r="E986" s="3" t="str">
        <x:f>IF(Z986="移出","已移出",IF(NOT(ISNUMBER(H986)),"数据待核",IF(H986=0,"断货",IF(NOT(ISNUMBER(G986)),"数据待核",IF(G986=0,"零日销待复核",IF(F986&lt;60,"补货提醒",IF(F986&lt;=90,"正常库存",IF(F986&lt;180,"促销",IF(F986&lt;=365,"红线促销","考虑清仓")))))))))</x:f>
        <x:v>正常库存</x:v>
      </x:c>
      <x:c r="F986" s="11" t="n">
        <x:f>IF(AND(ISNUMBER(H986),ISNUMBER(G986),G986&gt;0),H986/G986,"")</x:f>
        <x:v>60.688073394495405</x:v>
      </x:c>
      <x:c r="G986" s="12" t="n">
        <x:f>IF(AND(COUNT(P986:R986)=3,MIN(P986:R986)&gt;=0,P986&lt;=Q986,Q986&lt;=R986),P986/7*0.5+Q986/14*0.3+R986/30*0.2,"")</x:f>
        <x:v>1.0380952380952382</x:v>
      </x:c>
      <x:c r="H986" s="10" t="n">
        <x:f>IF(ISNUMBER(U986),U986,"")</x:f>
        <x:v>63</x:v>
      </x:c>
      <x:c r="I986" s="10" t="n">
        <x:v>65</x:v>
      </x:c>
      <x:c r="J986" s="11" t="n">
        <x:f>IF(AND(Z986="共同",ISNUMBER(F986),ISNUMBER(M986)),F986-M986,"")</x:f>
        <x:v>-79.3119266055046</x:v>
      </x:c>
      <x:c r="K986" s="13" t="n">
        <x:f>IF(AND(ISNUMBER(J986),M986&lt;&gt;0),J986/M986,"")</x:f>
        <x:v>-0.56651376146789</x:v>
      </x:c>
      <x:c r="L986" s="10" t="str">
        <x:v>促销</x:v>
      </x:c>
      <x:c r="M986" s="11" t="n">
        <x:v>140</x:v>
      </x:c>
      <x:c r="N986" s="10" t="n">
        <x:f>IF(AND(Z986="共同",COUNT(H986:I986)=2),H986-I986,"")</x:f>
        <x:v>-2</x:v>
      </x:c>
      <x:c r="O986" s="10" t="n">
        <x:v>73</x:v>
      </x:c>
      <x:c r="P986" s="10" t="n">
        <x:v>8</x:v>
      </x:c>
      <x:c r="Q986" s="10" t="n">
        <x:v>14</x:v>
      </x:c>
      <x:c r="R986" s="10" t="n">
        <x:v>25</x:v>
      </x:c>
      <x:c r="S986" s="10" t="n">
        <x:v>67</x:v>
      </x:c>
      <x:c r="T986" s="10" t="n">
        <x:v>0</x:v>
      </x:c>
      <x:c r="U986" s="10" t="n">
        <x:f>IF(AND(ISNUMBER(X986),X986&gt;=0,Y986&lt;&gt;1),X986,"")</x:f>
        <x:v>63</x:v>
      </x:c>
      <x:c r="V986" s="10" t="n">
        <x:v>0</x:v>
      </x:c>
      <x:c r="W986" s="10" t="n">
        <x:v>0</x:v>
      </x:c>
      <x:c r="X986" s="10" t="n">
        <x:v>63</x:v>
      </x:c>
      <x:c r="Y986" s="3" t="n">
        <x:v>0</x:v>
      </x:c>
      <x:c r="Z986" s="3" t="str">
        <x:v>共同</x:v>
      </x:c>
      <x:c r="AA986" s="3" t="str">
        <x:v>在售</x:v>
      </x:c>
      <x:c r="AB986" s="12" t="n">
        <x:f>IF(AND(Z986="共同",ISNUMBER(G986),ISNUMBER(AD986)),G986-AD986,"")</x:f>
        <x:v>0.573809523809524</x:v>
      </x:c>
      <x:c r="AC986" s="3" t="str"/>
      <x:c r="AD986" s="12" t="n">
        <x:v>0.46428571428571425</x:v>
      </x:c>
      <x:c r="AE986" s="3" t="str">
        <x:v>[13120,"B06-LP-37.5"]</x:v>
      </x:c>
      <x:c r="AF986" t="n">
        <x:f>IF(ISNUMBER(H986),1,0)</x:f>
        <x:v>1</x:v>
      </x:c>
      <x:c r="AG986" t="n">
        <x:f>IF(ISNUMBER(I986),1,0)</x:f>
        <x:v>1</x:v>
      </x:c>
      <x:c r="AH986" t="str">
        <x:v>["B06","B06-LP","LP","豹纹羊京绒"]</x:v>
      </x:c>
      <x:c r="AI986" t="n">
        <x:f>IF(ISNUMBER(G986),1,0)</x:f>
        <x:v>1</x:v>
      </x:c>
      <x:c r="AJ986" t="n">
        <x:f>IF(ISNUMBER(AD986),1,0)</x:f>
        <x:v>1</x:v>
      </x:c>
    </x:row>
    <x:row r="987" ht="30" customHeight="1">
      <x:c r="A987" s="3" t="str">
        <x:v>B06-ND-37.5</x:v>
      </x:c>
      <x:c r="B987" s="3" t="str">
        <x:v>1店-MUSSHOE-US</x:v>
      </x:c>
      <x:c r="C987" s="3" t="str">
        <x:v>艾年</x:v>
      </x:c>
      <x:c r="D987" s="3" t="str">
        <x:v>B06</x:v>
      </x:c>
      <x:c r="E987" s="3" t="str">
        <x:f>IF(Z987="移出","已移出",IF(NOT(ISNUMBER(H987)),"数据待核",IF(H987=0,"断货",IF(NOT(ISNUMBER(G987)),"数据待核",IF(G987=0,"零日销待复核",IF(F987&lt;60,"补货提醒",IF(F987&lt;=90,"正常库存",IF(F987&lt;180,"促销",IF(F987&lt;=365,"红线促销","考虑清仓")))))))))</x:f>
        <x:v>正常库存</x:v>
      </x:c>
      <x:c r="F987" s="11" t="n">
        <x:f>IF(AND(ISNUMBER(H987),ISNUMBER(G987),G987&gt;0),H987/G987,"")</x:f>
        <x:v>65.39792387543254</x:v>
      </x:c>
      <x:c r="G987" s="12" t="n">
        <x:f>IF(AND(COUNT(P987:R987)=3,MIN(P987:R987)&gt;=0,P987&lt;=Q987,Q987&lt;=R987),P987/7*0.5+Q987/14*0.3+R987/30*0.2,"")</x:f>
        <x:v>0.4128571428571428</x:v>
      </x:c>
      <x:c r="H987" s="10" t="n">
        <x:f>IF(ISNUMBER(U987),U987,"")</x:f>
        <x:v>27</x:v>
      </x:c>
      <x:c r="I987" s="10" t="n">
        <x:v>22</x:v>
      </x:c>
      <x:c r="J987" s="11" t="n">
        <x:f>IF(AND(Z987="共同",ISNUMBER(F987),ISNUMBER(M987)),F987-M987,"")</x:f>
        <x:v>30.58255085357873</x:v>
      </x:c>
      <x:c r="K987" s="13" t="n">
        <x:f>IF(AND(ISNUMBER(J987),M987&lt;&gt;0),J987/M987,"")</x:f>
        <x:v>0.8784208870714063</x:v>
      </x:c>
      <x:c r="L987" s="10" t="str">
        <x:v>补货提醒</x:v>
      </x:c>
      <x:c r="M987" s="11" t="n">
        <x:v>34.81537302185381</x:v>
      </x:c>
      <x:c r="N987" s="10" t="n">
        <x:f>IF(AND(Z987="共同",COUNT(H987:I987)=2),H987-I987,"")</x:f>
        <x:v>5</x:v>
      </x:c>
      <x:c r="O987" s="10" t="n">
        <x:v>58</x:v>
      </x:c>
      <x:c r="P987" s="10" t="n">
        <x:v>2</x:v>
      </x:c>
      <x:c r="Q987" s="10" t="n">
        <x:v>7</x:v>
      </x:c>
      <x:c r="R987" s="10" t="n">
        <x:v>18</x:v>
      </x:c>
      <x:c r="S987" s="10" t="n">
        <x:v>29</x:v>
      </x:c>
      <x:c r="T987" s="10" t="n">
        <x:v>0</x:v>
      </x:c>
      <x:c r="U987" s="10" t="n">
        <x:f>IF(AND(ISNUMBER(X987),X987&gt;=0,Y987&lt;&gt;1),X987,"")</x:f>
        <x:v>27</x:v>
      </x:c>
      <x:c r="V987" s="10" t="n">
        <x:v>0</x:v>
      </x:c>
      <x:c r="W987" s="10" t="n">
        <x:v>0</x:v>
      </x:c>
      <x:c r="X987" s="10" t="n">
        <x:v>27</x:v>
      </x:c>
      <x:c r="Y987" s="3" t="n">
        <x:v>0</x:v>
      </x:c>
      <x:c r="Z987" s="3" t="str">
        <x:v>共同</x:v>
      </x:c>
      <x:c r="AA987" s="3" t="str">
        <x:v>在售</x:v>
      </x:c>
      <x:c r="AB987" s="12" t="n">
        <x:f>IF(AND(Z987="共同",ISNUMBER(G987),ISNUMBER(AD987)),G987-AD987,"")</x:f>
        <x:v>-0.21904761904761905</x:v>
      </x:c>
      <x:c r="AC987" s="3" t="str"/>
      <x:c r="AD987" s="12" t="n">
        <x:v>0.6319047619047619</x:v>
      </x:c>
      <x:c r="AE987" s="3" t="str">
        <x:v>[13120,"B06-ND-37.5"]</x:v>
      </x:c>
      <x:c r="AF987" t="n">
        <x:f>IF(ISNUMBER(H987),1,0)</x:f>
        <x:v>1</x:v>
      </x:c>
      <x:c r="AG987" t="n">
        <x:f>IF(ISNUMBER(I987),1,0)</x:f>
        <x:v>1</x:v>
      </x:c>
      <x:c r="AH987" t="str">
        <x:v>["B06","B06-ND","ND","裸色羊京绒"]</x:v>
      </x:c>
      <x:c r="AI987" t="n">
        <x:f>IF(ISNUMBER(G987),1,0)</x:f>
        <x:v>1</x:v>
      </x:c>
      <x:c r="AJ987" t="n">
        <x:f>IF(ISNUMBER(AD987),1,0)</x:f>
        <x:v>1</x:v>
      </x:c>
    </x:row>
    <x:row r="988" ht="30" customHeight="1">
      <x:c r="A988" s="3" t="str">
        <x:v>B06-ND-41.5</x:v>
      </x:c>
      <x:c r="B988" s="3" t="str">
        <x:v>1店-MUSSHOE-US</x:v>
      </x:c>
      <x:c r="C988" s="3" t="str">
        <x:v>艾年</x:v>
      </x:c>
      <x:c r="D988" s="3" t="str">
        <x:v>B06</x:v>
      </x:c>
      <x:c r="E988" s="3" t="str">
        <x:f>IF(Z988="移出","已移出",IF(NOT(ISNUMBER(H988)),"数据待核",IF(H988=0,"断货",IF(NOT(ISNUMBER(G988)),"数据待核",IF(G988=0,"零日销待复核",IF(F988&lt;60,"补货提醒",IF(F988&lt;=90,"正常库存",IF(F988&lt;180,"促销",IF(F988&lt;=365,"红线促销","考虑清仓")))))))))</x:f>
        <x:v>正常库存</x:v>
      </x:c>
      <x:c r="F988" s="11" t="n">
        <x:f>IF(AND(ISNUMBER(H988),ISNUMBER(G988),G988&gt;0),H988/G988,"")</x:f>
        <x:v>78.35820895522389</x:v>
      </x:c>
      <x:c r="G988" s="12" t="n">
        <x:f>IF(AND(COUNT(P988:R988)=3,MIN(P988:R988)&gt;=0,P988&lt;=Q988,Q988&lt;=R988),P988/7*0.5+Q988/14*0.3+R988/30*0.2,"")</x:f>
        <x:v>0.1276190476190476</x:v>
      </x:c>
      <x:c r="H988" s="10" t="n">
        <x:f>IF(ISNUMBER(U988),U988,"")</x:f>
        <x:v>10</x:v>
      </x:c>
      <x:c r="I988" s="10" t="n">
        <x:v>1</x:v>
      </x:c>
      <x:c r="J988" s="11" t="n">
        <x:f>IF(AND(Z988="共同",ISNUMBER(F988),ISNUMBER(M988)),F988-M988,"")</x:f>
        <x:v>56.929637526652456</x:v>
      </x:c>
      <x:c r="K988" s="13" t="n">
        <x:f>IF(AND(ISNUMBER(J988),M988&lt;&gt;0),J988/M988,"")</x:f>
        <x:v>2.6567164179104483</x:v>
      </x:c>
      <x:c r="L988" s="10" t="str">
        <x:v>补货提醒</x:v>
      </x:c>
      <x:c r="M988" s="11" t="n">
        <x:v>21.428571428571427</x:v>
      </x:c>
      <x:c r="N988" s="10" t="n">
        <x:f>IF(AND(Z988="共同",COUNT(H988:I988)=2),H988-I988,"")</x:f>
        <x:v>9</x:v>
      </x:c>
      <x:c r="O988" s="10" t="n">
        <x:v>11</x:v>
      </x:c>
      <x:c r="P988" s="10" t="n">
        <x:v>1</x:v>
      </x:c>
      <x:c r="Q988" s="10" t="n">
        <x:v>2</x:v>
      </x:c>
      <x:c r="R988" s="10" t="n">
        <x:v>2</x:v>
      </x:c>
      <x:c r="S988" s="10" t="n">
        <x:v>14</x:v>
      </x:c>
      <x:c r="T988" s="10" t="n">
        <x:v>0</x:v>
      </x:c>
      <x:c r="U988" s="10" t="n">
        <x:f>IF(AND(ISNUMBER(X988),X988&gt;=0,Y988&lt;&gt;1),X988,"")</x:f>
        <x:v>10</x:v>
      </x:c>
      <x:c r="V988" s="10" t="n">
        <x:v>0</x:v>
      </x:c>
      <x:c r="W988" s="10" t="n">
        <x:v>11</x:v>
      </x:c>
      <x:c r="X988" s="10" t="n">
        <x:v>10</x:v>
      </x:c>
      <x:c r="Y988" s="3" t="n">
        <x:v>0</x:v>
      </x:c>
      <x:c r="Z988" s="3" t="str">
        <x:v>共同</x:v>
      </x:c>
      <x:c r="AA988" s="3" t="str">
        <x:v>在售</x:v>
      </x:c>
      <x:c r="AB988" s="12" t="n">
        <x:f>IF(AND(Z988="共同",ISNUMBER(G988),ISNUMBER(AD988)),G988-AD988,"")</x:f>
        <x:v>0.08095238095238094</x:v>
      </x:c>
      <x:c r="AC988" s="3" t="str"/>
      <x:c r="AD988" s="12" t="n">
        <x:v>0.04666666666666667</x:v>
      </x:c>
      <x:c r="AE988" s="3" t="str">
        <x:v>[13120,"B06-ND-41.5"]</x:v>
      </x:c>
      <x:c r="AF988" t="n">
        <x:f>IF(ISNUMBER(H988),1,0)</x:f>
        <x:v>1</x:v>
      </x:c>
      <x:c r="AG988" t="n">
        <x:f>IF(ISNUMBER(I988),1,0)</x:f>
        <x:v>1</x:v>
      </x:c>
      <x:c r="AH988" t="str">
        <x:v>["B06","B06-ND","ND","裸色羊京绒"]</x:v>
      </x:c>
      <x:c r="AI988" t="n">
        <x:f>IF(ISNUMBER(G988),1,0)</x:f>
        <x:v>1</x:v>
      </x:c>
      <x:c r="AJ988" t="n">
        <x:f>IF(ISNUMBER(AD988),1,0)</x:f>
        <x:v>1</x:v>
      </x:c>
    </x:row>
    <x:row r="989" ht="30" customHeight="1">
      <x:c r="A989" s="3" t="str">
        <x:v>B06-NY-38-N</x:v>
      </x:c>
      <x:c r="B989" s="3" t="str">
        <x:v>1店-MUSSHOE-US</x:v>
      </x:c>
      <x:c r="C989" s="3" t="str">
        <x:v>艾年</x:v>
      </x:c>
      <x:c r="D989" s="3" t="str">
        <x:v>B06</x:v>
      </x:c>
      <x:c r="E989" s="3" t="str">
        <x:f>IF(Z989="移出","已移出",IF(NOT(ISNUMBER(H989)),"数据待核",IF(H989=0,"断货",IF(NOT(ISNUMBER(G989)),"数据待核",IF(G989=0,"零日销待复核",IF(F989&lt;60,"补货提醒",IF(F989&lt;=90,"正常库存",IF(F989&lt;180,"促销",IF(F989&lt;=365,"红线促销","考虑清仓")))))))))</x:f>
        <x:v>正常库存</x:v>
      </x:c>
      <x:c r="F989" s="11" t="n">
        <x:f>IF(AND(ISNUMBER(H989),ISNUMBER(G989),G989&gt;0),H989/G989,"")</x:f>
        <x:v>89.65071151358345</x:v>
      </x:c>
      <x:c r="G989" s="12" t="n">
        <x:f>IF(AND(COUNT(P989:R989)=3,MIN(P989:R989)&gt;=0,P989&lt;=Q989,Q989&lt;=R989),P989/7*0.5+Q989/14*0.3+R989/30*0.2,"")</x:f>
        <x:v>0.3680952380952381</x:v>
      </x:c>
      <x:c r="H989" s="10" t="n">
        <x:f>IF(ISNUMBER(U989),U989,"")</x:f>
        <x:v>33</x:v>
      </x:c>
      <x:c r="I989" s="10" t="n">
        <x:v>35</x:v>
      </x:c>
      <x:c r="J989" s="11" t="n">
        <x:f>IF(AND(Z989="共同",ISNUMBER(F989),ISNUMBER(M989)),F989-M989,"")</x:f>
        <x:v>-785.3492884864165</x:v>
      </x:c>
      <x:c r="K989" s="13" t="n">
        <x:f>IF(AND(ISNUMBER(J989),M989&lt;&gt;0),J989/M989,"")</x:f>
        <x:v>-0.897542043984476</x:v>
      </x:c>
      <x:c r="L989" s="10" t="str">
        <x:v>考虑清仓</x:v>
      </x:c>
      <x:c r="M989" s="11" t="n">
        <x:v>875</x:v>
      </x:c>
      <x:c r="N989" s="10" t="n">
        <x:f>IF(AND(Z989="共同",COUNT(H989:I989)=2),H989-I989,"")</x:f>
        <x:v>-2</x:v>
      </x:c>
      <x:c r="O989" s="10" t="n">
        <x:v>21</x:v>
      </x:c>
      <x:c r="P989" s="10" t="n">
        <x:v>3</x:v>
      </x:c>
      <x:c r="Q989" s="10" t="n">
        <x:v>5</x:v>
      </x:c>
      <x:c r="R989" s="10" t="n">
        <x:v>7</x:v>
      </x:c>
      <x:c r="S989" s="10" t="n">
        <x:v>33</x:v>
      </x:c>
      <x:c r="T989" s="10" t="n">
        <x:v>0</x:v>
      </x:c>
      <x:c r="U989" s="10" t="n">
        <x:f>IF(AND(ISNUMBER(X989),X989&gt;=0,Y989&lt;&gt;1),X989,"")</x:f>
        <x:v>33</x:v>
      </x:c>
      <x:c r="V989" s="10" t="n">
        <x:v>0</x:v>
      </x:c>
      <x:c r="W989" s="10" t="n">
        <x:v>0</x:v>
      </x:c>
      <x:c r="X989" s="10" t="n">
        <x:v>33</x:v>
      </x:c>
      <x:c r="Y989" s="3" t="n">
        <x:v>0</x:v>
      </x:c>
      <x:c r="Z989" s="3" t="str">
        <x:v>共同</x:v>
      </x:c>
      <x:c r="AA989" s="3" t="str">
        <x:v>在售</x:v>
      </x:c>
      <x:c r="AB989" s="12" t="n">
        <x:f>IF(AND(Z989="共同",ISNUMBER(G989),ISNUMBER(AD989)),G989-AD989,"")</x:f>
        <x:v>0.3280952380952381</x:v>
      </x:c>
      <x:c r="AC989" s="3" t="str"/>
      <x:c r="AD989" s="12" t="n">
        <x:v>0.04</x:v>
      </x:c>
      <x:c r="AE989" s="3" t="str">
        <x:v>[13120,"B06-NY-38-N"]</x:v>
      </x:c>
      <x:c r="AF989" t="n">
        <x:f>IF(ISNUMBER(H989),1,0)</x:f>
        <x:v>1</x:v>
      </x:c>
      <x:c r="AG989" t="n">
        <x:f>IF(ISNUMBER(I989),1,0)</x:f>
        <x:v>1</x:v>
      </x:c>
      <x:c r="AH989" t="str">
        <x:v>["B06","B06-NY","NY","藏青色羊京绒"]</x:v>
      </x:c>
      <x:c r="AI989" t="n">
        <x:f>IF(ISNUMBER(G989),1,0)</x:f>
        <x:v>1</x:v>
      </x:c>
      <x:c r="AJ989" t="n">
        <x:f>IF(ISNUMBER(AD989),1,0)</x:f>
        <x:v>1</x:v>
      </x:c>
    </x:row>
    <x:row r="990" ht="30" customHeight="1">
      <x:c r="A990" s="3" t="str">
        <x:v>B06-NY-40.5</x:v>
      </x:c>
      <x:c r="B990" s="3" t="str">
        <x:v>1店-MUSSHOE-US</x:v>
      </x:c>
      <x:c r="C990" s="3" t="str">
        <x:v>艾年</x:v>
      </x:c>
      <x:c r="D990" s="3" t="str">
        <x:v>B06</x:v>
      </x:c>
      <x:c r="E990" s="3" t="str">
        <x:f>IF(Z990="移出","已移出",IF(NOT(ISNUMBER(H990)),"数据待核",IF(H990=0,"断货",IF(NOT(ISNUMBER(G990)),"数据待核",IF(G990=0,"零日销待复核",IF(F990&lt;60,"补货提醒",IF(F990&lt;=90,"正常库存",IF(F990&lt;180,"促销",IF(F990&lt;=365,"红线促销","考虑清仓")))))))))</x:f>
        <x:v>正常库存</x:v>
      </x:c>
      <x:c r="F990" s="11" t="n">
        <x:f>IF(AND(ISNUMBER(H990),ISNUMBER(G990),G990&gt;0),H990/G990,"")</x:f>
        <x:v>62.025316455696206</x:v>
      </x:c>
      <x:c r="G990" s="12" t="n">
        <x:f>IF(AND(COUNT(P990:R990)=3,MIN(P990:R990)&gt;=0,P990&lt;=Q990,Q990&lt;=R990),P990/7*0.5+Q990/14*0.3+R990/30*0.2,"")</x:f>
        <x:v>0.2257142857142857</x:v>
      </x:c>
      <x:c r="H990" s="10" t="n">
        <x:f>IF(ISNUMBER(U990),U990,"")</x:f>
        <x:v>14</x:v>
      </x:c>
      <x:c r="I990" s="10" t="n">
        <x:v>16</x:v>
      </x:c>
      <x:c r="J990" s="11" t="n">
        <x:f>IF(AND(Z990="共同",ISNUMBER(F990),ISNUMBER(M990)),F990-M990,"")</x:f>
        <x:v>-29.03159411340949</x:v>
      </x:c>
      <x:c r="K990" s="13" t="n">
        <x:f>IF(AND(ISNUMBER(J990),M990&lt;&gt;0),J990/M990,"")</x:f>
        <x:v>-0.3188291139240506</x:v>
      </x:c>
      <x:c r="L990" s="10" t="str">
        <x:v>促销</x:v>
      </x:c>
      <x:c r="M990" s="11" t="n">
        <x:v>91.0569105691057</x:v>
      </x:c>
      <x:c r="N990" s="10" t="n">
        <x:f>IF(AND(Z990="共同",COUNT(H990:I990)=2),H990-I990,"")</x:f>
        <x:v>-2</x:v>
      </x:c>
      <x:c r="O990" s="10" t="n">
        <x:v>8</x:v>
      </x:c>
      <x:c r="P990" s="10" t="n">
        <x:v>2</x:v>
      </x:c>
      <x:c r="Q990" s="10" t="n">
        <x:v>2</x:v>
      </x:c>
      <x:c r="R990" s="10" t="n">
        <x:v>6</x:v>
      </x:c>
      <x:c r="S990" s="10" t="n">
        <x:v>14</x:v>
      </x:c>
      <x:c r="T990" s="10" t="n">
        <x:v>0</x:v>
      </x:c>
      <x:c r="U990" s="10" t="n">
        <x:f>IF(AND(ISNUMBER(X990),X990&gt;=0,Y990&lt;&gt;1),X990,"")</x:f>
        <x:v>14</x:v>
      </x:c>
      <x:c r="V990" s="10" t="n">
        <x:v>0</x:v>
      </x:c>
      <x:c r="W990" s="10" t="n">
        <x:v>0</x:v>
      </x:c>
      <x:c r="X990" s="10" t="n">
        <x:v>14</x:v>
      </x:c>
      <x:c r="Y990" s="3" t="n">
        <x:v>0</x:v>
      </x:c>
      <x:c r="Z990" s="3" t="str">
        <x:v>共同</x:v>
      </x:c>
      <x:c r="AA990" s="3" t="str">
        <x:v>在售</x:v>
      </x:c>
      <x:c r="AB990" s="12" t="n">
        <x:f>IF(AND(Z990="共同",ISNUMBER(G990),ISNUMBER(AD990)),G990-AD990,"")</x:f>
        <x:v>0.04999999999999999</x:v>
      </x:c>
      <x:c r="AC990" s="3" t="str"/>
      <x:c r="AD990" s="12" t="n">
        <x:v>0.1757142857142857</x:v>
      </x:c>
      <x:c r="AE990" s="3" t="str">
        <x:v>[13120,"B06-NY-40.5"]</x:v>
      </x:c>
      <x:c r="AF990" t="n">
        <x:f>IF(ISNUMBER(H990),1,0)</x:f>
        <x:v>1</x:v>
      </x:c>
      <x:c r="AG990" t="n">
        <x:f>IF(ISNUMBER(I990),1,0)</x:f>
        <x:v>1</x:v>
      </x:c>
      <x:c r="AH990" t="str">
        <x:v>["B06","B06-NY","NY","藏青色羊京绒"]</x:v>
      </x:c>
      <x:c r="AI990" t="n">
        <x:f>IF(ISNUMBER(G990),1,0)</x:f>
        <x:v>1</x:v>
      </x:c>
      <x:c r="AJ990" t="n">
        <x:f>IF(ISNUMBER(AD990),1,0)</x:f>
        <x:v>1</x:v>
      </x:c>
    </x:row>
    <x:row r="991" ht="30" customHeight="1">
      <x:c r="A991" s="3" t="str">
        <x:v>B06-PDBK-41</x:v>
      </x:c>
      <x:c r="B991" s="3" t="str">
        <x:v>1店-MUSSHOE-US</x:v>
      </x:c>
      <x:c r="C991" s="3" t="str">
        <x:v>艾年</x:v>
      </x:c>
      <x:c r="D991" s="3" t="str">
        <x:v>B06</x:v>
      </x:c>
      <x:c r="E991" s="3" t="str">
        <x:f>IF(Z991="移出","已移出",IF(NOT(ISNUMBER(H991)),"数据待核",IF(H991=0,"断货",IF(NOT(ISNUMBER(G991)),"数据待核",IF(G991=0,"零日销待复核",IF(F991&lt;60,"补货提醒",IF(F991&lt;=90,"正常库存",IF(F991&lt;180,"促销",IF(F991&lt;=365,"红线促销","考虑清仓")))))))))</x:f>
        <x:v>正常库存</x:v>
      </x:c>
      <x:c r="F991" s="11" t="n">
        <x:f>IF(AND(ISNUMBER(H991),ISNUMBER(G991),G991&gt;0),H991/G991,"")</x:f>
        <x:v>86.3013698630137</x:v>
      </x:c>
      <x:c r="G991" s="12" t="n">
        <x:f>IF(AND(COUNT(P991:R991)=3,MIN(P991:R991)&gt;=0,P991&lt;=Q991,Q991&lt;=R991),P991/7*0.5+Q991/14*0.3+R991/30*0.2,"")</x:f>
        <x:v>0.03476190476190476</x:v>
      </x:c>
      <x:c r="H991" s="10" t="n">
        <x:f>IF(ISNUMBER(U991),U991,"")</x:f>
        <x:v>3</x:v>
      </x:c>
      <x:c r="I991" s="10" t="n">
        <x:v>4</x:v>
      </x:c>
      <x:c r="J991" s="11" t="n">
        <x:f>IF(AND(Z991="共同",ISNUMBER(F991),ISNUMBER(M991)),F991-M991,"")</x:f>
        <x:v>-28.76712328767124</x:v>
      </x:c>
      <x:c r="K991" s="13" t="n">
        <x:f>IF(AND(ISNUMBER(J991),M991&lt;&gt;0),J991/M991,"")</x:f>
        <x:v>-0.25000000000000006</x:v>
      </x:c>
      <x:c r="L991" s="10" t="str">
        <x:v>促销</x:v>
      </x:c>
      <x:c r="M991" s="11" t="n">
        <x:v>115.06849315068494</x:v>
      </x:c>
      <x:c r="N991" s="10" t="n">
        <x:f>IF(AND(Z991="共同",COUNT(H991:I991)=2),H991-I991,"")</x:f>
        <x:v>-1</x:v>
      </x:c>
      <x:c r="O991" s="10"/>
      <x:c r="P991" s="10" t="n">
        <x:v>0</x:v>
      </x:c>
      <x:c r="Q991" s="10" t="n">
        <x:v>1</x:v>
      </x:c>
      <x:c r="R991" s="10" t="n">
        <x:v>2</x:v>
      </x:c>
      <x:c r="S991" s="10" t="n">
        <x:v>3</x:v>
      </x:c>
      <x:c r="T991" s="10" t="n">
        <x:v>0</x:v>
      </x:c>
      <x:c r="U991" s="10" t="n">
        <x:f>IF(AND(ISNUMBER(X991),X991&gt;=0,Y991&lt;&gt;1),X991,"")</x:f>
        <x:v>3</x:v>
      </x:c>
      <x:c r="V991" s="10" t="n">
        <x:v>0</x:v>
      </x:c>
      <x:c r="W991" s="10" t="n">
        <x:v>0</x:v>
      </x:c>
      <x:c r="X991" s="10" t="n">
        <x:v>3</x:v>
      </x:c>
      <x:c r="Y991" s="3" t="n">
        <x:v>0</x:v>
      </x:c>
      <x:c r="Z991" s="3" t="str">
        <x:v>共同</x:v>
      </x:c>
      <x:c r="AA991" s="3" t="str">
        <x:v>在售</x:v>
      </x:c>
      <x:c r="AB991" s="12" t="n">
        <x:f>IF(AND(Z991="共同",ISNUMBER(G991),ISNUMBER(AD991)),G991-AD991,"")</x:f>
        <x:v>0</x:v>
      </x:c>
      <x:c r="AC991" s="3" t="str"/>
      <x:c r="AD991" s="12" t="n">
        <x:v>0.03476190476190476</x:v>
      </x:c>
      <x:c r="AE991" s="3" t="str">
        <x:v>[13120,"B06-PDBK-41"]</x:v>
      </x:c>
      <x:c r="AF991" t="n">
        <x:f>IF(ISNUMBER(H991),1,0)</x:f>
        <x:v>1</x:v>
      </x:c>
      <x:c r="AG991" t="n">
        <x:f>IF(ISNUMBER(I991),1,0)</x:f>
        <x:v>1</x:v>
      </x:c>
      <x:c r="AH991" t="str">
        <x:v>["B06","B06-PDBK","PDBK","黑色圆点布"]</x:v>
      </x:c>
      <x:c r="AI991" t="n">
        <x:f>IF(ISNUMBER(G991),1,0)</x:f>
        <x:v>1</x:v>
      </x:c>
      <x:c r="AJ991" t="n">
        <x:f>IF(ISNUMBER(AD991),1,0)</x:f>
        <x:v>1</x:v>
      </x:c>
    </x:row>
    <x:row r="992" ht="30" customHeight="1">
      <x:c r="A992" s="3" t="str">
        <x:v>B06-RD-38.5</x:v>
      </x:c>
      <x:c r="B992" s="3" t="str">
        <x:v>1店-MUSSHOE-US</x:v>
      </x:c>
      <x:c r="C992" s="3" t="str">
        <x:v>艾年</x:v>
      </x:c>
      <x:c r="D992" s="3" t="str">
        <x:v>B06</x:v>
      </x:c>
      <x:c r="E992" s="3" t="str">
        <x:f>IF(Z992="移出","已移出",IF(NOT(ISNUMBER(H992)),"数据待核",IF(H992=0,"断货",IF(NOT(ISNUMBER(G992)),"数据待核",IF(G992=0,"零日销待复核",IF(F992&lt;60,"补货提醒",IF(F992&lt;=90,"正常库存",IF(F992&lt;180,"促销",IF(F992&lt;=365,"红线促销","考虑清仓")))))))))</x:f>
        <x:v>正常库存</x:v>
      </x:c>
      <x:c r="F992" s="11" t="n">
        <x:f>IF(AND(ISNUMBER(H992),ISNUMBER(G992),G992&gt;0),H992/G992,"")</x:f>
        <x:v>65.311004784689</x:v>
      </x:c>
      <x:c r="G992" s="12" t="n">
        <x:f>IF(AND(COUNT(P992:R992)=3,MIN(P992:R992)&gt;=0,P992&lt;=Q992,Q992&lt;=R992),P992/7*0.5+Q992/14*0.3+R992/30*0.2,"")</x:f>
        <x:v>0.19904761904761903</x:v>
      </x:c>
      <x:c r="H992" s="10" t="n">
        <x:f>IF(ISNUMBER(U992),U992,"")</x:f>
        <x:v>13</x:v>
      </x:c>
      <x:c r="I992" s="10" t="n">
        <x:v>15</x:v>
      </x:c>
      <x:c r="J992" s="11" t="n">
        <x:f>IF(AND(Z992="共同",ISNUMBER(F992),ISNUMBER(M992)),F992-M992,"")</x:f>
        <x:v>-684.688995215311</x:v>
      </x:c>
      <x:c r="K992" s="13" t="n">
        <x:f>IF(AND(ISNUMBER(J992),M992&lt;&gt;0),J992/M992,"")</x:f>
        <x:v>-0.9129186602870814</x:v>
      </x:c>
      <x:c r="L992" s="10" t="str">
        <x:v>考虑清仓</x:v>
      </x:c>
      <x:c r="M992" s="11" t="n">
        <x:v>750</x:v>
      </x:c>
      <x:c r="N992" s="10" t="n">
        <x:f>IF(AND(Z992="共同",COUNT(H992:I992)=2),H992-I992,"")</x:f>
        <x:v>-2</x:v>
      </x:c>
      <x:c r="O992" s="10" t="n">
        <x:v>100</x:v>
      </x:c>
      <x:c r="P992" s="10" t="n">
        <x:v>2</x:v>
      </x:c>
      <x:c r="Q992" s="10" t="n">
        <x:v>2</x:v>
      </x:c>
      <x:c r="R992" s="10" t="n">
        <x:v>2</x:v>
      </x:c>
      <x:c r="S992" s="10" t="n">
        <x:v>13</x:v>
      </x:c>
      <x:c r="T992" s="10" t="n">
        <x:v>0</x:v>
      </x:c>
      <x:c r="U992" s="10" t="n">
        <x:f>IF(AND(ISNUMBER(X992),X992&gt;=0,Y992&lt;&gt;1),X992,"")</x:f>
        <x:v>13</x:v>
      </x:c>
      <x:c r="V992" s="10" t="n">
        <x:v>0</x:v>
      </x:c>
      <x:c r="W992" s="10" t="n">
        <x:v>0</x:v>
      </x:c>
      <x:c r="X992" s="10" t="n">
        <x:v>13</x:v>
      </x:c>
      <x:c r="Y992" s="3" t="n">
        <x:v>0</x:v>
      </x:c>
      <x:c r="Z992" s="3" t="str">
        <x:v>共同</x:v>
      </x:c>
      <x:c r="AA992" s="3" t="str">
        <x:v>在售</x:v>
      </x:c>
      <x:c r="AB992" s="12" t="n">
        <x:f>IF(AND(Z992="共同",ISNUMBER(G992),ISNUMBER(AD992)),G992-AD992,"")</x:f>
        <x:v>0.17904761904761904</x:v>
      </x:c>
      <x:c r="AC992" s="3" t="str"/>
      <x:c r="AD992" s="12" t="n">
        <x:v>0.02</x:v>
      </x:c>
      <x:c r="AE992" s="3" t="str">
        <x:v>[13120,"B06-RD-38.5"]</x:v>
      </x:c>
      <x:c r="AF992" t="n">
        <x:f>IF(ISNUMBER(H992),1,0)</x:f>
        <x:v>1</x:v>
      </x:c>
      <x:c r="AG992" t="n">
        <x:f>IF(ISNUMBER(I992),1,0)</x:f>
        <x:v>1</x:v>
      </x:c>
      <x:c r="AH992" t="str">
        <x:v>["B06","B06-RD","RD","红色羊京绒"]</x:v>
      </x:c>
      <x:c r="AI992" t="n">
        <x:f>IF(ISNUMBER(G992),1,0)</x:f>
        <x:v>1</x:v>
      </x:c>
      <x:c r="AJ992" t="n">
        <x:f>IF(ISNUMBER(AD992),1,0)</x:f>
        <x:v>1</x:v>
      </x:c>
    </x:row>
    <x:row r="993" ht="30" customHeight="1">
      <x:c r="A993" s="3" t="str">
        <x:v>B06-RD-41.5</x:v>
      </x:c>
      <x:c r="B993" s="3" t="str">
        <x:v>1店-MUSSHOE-US</x:v>
      </x:c>
      <x:c r="C993" s="3" t="str">
        <x:v>艾年</x:v>
      </x:c>
      <x:c r="D993" s="3" t="str">
        <x:v>B06</x:v>
      </x:c>
      <x:c r="E993" s="3" t="str">
        <x:f>IF(Z993="移出","已移出",IF(NOT(ISNUMBER(H993)),"数据待核",IF(H993=0,"断货",IF(NOT(ISNUMBER(G993)),"数据待核",IF(G993=0,"零日销待复核",IF(F993&lt;60,"补货提醒",IF(F993&lt;=90,"正常库存",IF(F993&lt;180,"促销",IF(F993&lt;=365,"红线促销","考虑清仓")))))))))</x:f>
        <x:v>正常库存</x:v>
      </x:c>
      <x:c r="F993" s="11" t="n">
        <x:f>IF(AND(ISNUMBER(H993),ISNUMBER(G993),G993&gt;0),H993/G993,"")</x:f>
        <x:v>71.1864406779661</x:v>
      </x:c>
      <x:c r="G993" s="12" t="n">
        <x:f>IF(AND(COUNT(P993:R993)=3,MIN(P993:R993)&gt;=0,P993&lt;=Q993,Q993&lt;=R993),P993/7*0.5+Q993/14*0.3+R993/30*0.2,"")</x:f>
        <x:v>0.028095238095238093</x:v>
      </x:c>
      <x:c r="H993" s="10" t="n">
        <x:f>IF(ISNUMBER(U993),U993,"")</x:f>
        <x:v>2</x:v>
      </x:c>
      <x:c r="I993" s="10" t="n">
        <x:v>3</x:v>
      </x:c>
      <x:c r="J993" s="11" t="n">
        <x:f>IF(AND(Z993="共同",ISNUMBER(F993),ISNUMBER(M993)),F993-M993,"")</x:f>
        <x:v>-378.81355932203394</x:v>
      </x:c>
      <x:c r="K993" s="13" t="n">
        <x:f>IF(AND(ISNUMBER(J993),M993&lt;&gt;0),J993/M993,"")</x:f>
        <x:v>-0.8418079096045198</x:v>
      </x:c>
      <x:c r="L993" s="10" t="str">
        <x:v>考虑清仓</x:v>
      </x:c>
      <x:c r="M993" s="11" t="n">
        <x:v>450.00000000000006</x:v>
      </x:c>
      <x:c r="N993" s="10" t="n">
        <x:f>IF(AND(Z993="共同",COUNT(H993:I993)=2),H993-I993,"")</x:f>
        <x:v>-1</x:v>
      </x:c>
      <x:c r="O993" s="10" t="n">
        <x:v>28</x:v>
      </x:c>
      <x:c r="P993" s="10" t="n">
        <x:v>0</x:v>
      </x:c>
      <x:c r="Q993" s="10" t="n">
        <x:v>1</x:v>
      </x:c>
      <x:c r="R993" s="10" t="n">
        <x:v>1</x:v>
      </x:c>
      <x:c r="S993" s="10" t="n">
        <x:v>2</x:v>
      </x:c>
      <x:c r="T993" s="10" t="n">
        <x:v>0</x:v>
      </x:c>
      <x:c r="U993" s="10" t="n">
        <x:f>IF(AND(ISNUMBER(X993),X993&gt;=0,Y993&lt;&gt;1),X993,"")</x:f>
        <x:v>2</x:v>
      </x:c>
      <x:c r="V993" s="10" t="n">
        <x:v>0</x:v>
      </x:c>
      <x:c r="W993" s="10" t="n">
        <x:v>0</x:v>
      </x:c>
      <x:c r="X993" s="10" t="n">
        <x:v>2</x:v>
      </x:c>
      <x:c r="Y993" s="3" t="n">
        <x:v>0</x:v>
      </x:c>
      <x:c r="Z993" s="3" t="str">
        <x:v>共同</x:v>
      </x:c>
      <x:c r="AA993" s="3" t="str">
        <x:v>在售</x:v>
      </x:c>
      <x:c r="AB993" s="12" t="n">
        <x:f>IF(AND(Z993="共同",ISNUMBER(G993),ISNUMBER(AD993)),G993-AD993,"")</x:f>
        <x:v>0.02142857142857143</x:v>
      </x:c>
      <x:c r="AC993" s="3" t="str"/>
      <x:c r="AD993" s="12" t="n">
        <x:v>0.006666666666666666</x:v>
      </x:c>
      <x:c r="AE993" s="3" t="str">
        <x:v>[13120,"B06-RD-41.5"]</x:v>
      </x:c>
      <x:c r="AF993" t="n">
        <x:f>IF(ISNUMBER(H993),1,0)</x:f>
        <x:v>1</x:v>
      </x:c>
      <x:c r="AG993" t="n">
        <x:f>IF(ISNUMBER(I993),1,0)</x:f>
        <x:v>1</x:v>
      </x:c>
      <x:c r="AH993" t="str">
        <x:v>["B06","B06-RD","RD","红色羊京绒"]</x:v>
      </x:c>
      <x:c r="AI993" t="n">
        <x:f>IF(ISNUMBER(G993),1,0)</x:f>
        <x:v>1</x:v>
      </x:c>
      <x:c r="AJ993" t="n">
        <x:f>IF(ISNUMBER(AD993),1,0)</x:f>
        <x:v>1</x:v>
      </x:c>
    </x:row>
    <x:row r="994" ht="30" customHeight="1">
      <x:c r="A994" s="3" t="str">
        <x:v>B06-RD-42</x:v>
      </x:c>
      <x:c r="B994" s="3" t="str">
        <x:v>1店-MUSSHOE-US</x:v>
      </x:c>
      <x:c r="C994" s="3" t="str">
        <x:v>艾年</x:v>
      </x:c>
      <x:c r="D994" s="3" t="str">
        <x:v>B06</x:v>
      </x:c>
      <x:c r="E994" s="3" t="str">
        <x:f>IF(Z994="移出","已移出",IF(NOT(ISNUMBER(H994)),"数据待核",IF(H994=0,"断货",IF(NOT(ISNUMBER(G994)),"数据待核",IF(G994=0,"零日销待复核",IF(F994&lt;60,"补货提醒",IF(F994&lt;=90,"正常库存",IF(F994&lt;180,"促销",IF(F994&lt;=365,"红线促销","考虑清仓")))))))))</x:f>
        <x:v>正常库存</x:v>
      </x:c>
      <x:c r="F994" s="11" t="n">
        <x:f>IF(AND(ISNUMBER(H994),ISNUMBER(G994),G994&gt;0),H994/G994,"")</x:f>
        <x:v>65.311004784689</x:v>
      </x:c>
      <x:c r="G994" s="12" t="n">
        <x:f>IF(AND(COUNT(P994:R994)=3,MIN(P994:R994)&gt;=0,P994&lt;=Q994,Q994&lt;=R994),P994/7*0.5+Q994/14*0.3+R994/30*0.2,"")</x:f>
        <x:v>0.19904761904761903</x:v>
      </x:c>
      <x:c r="H994" s="10" t="n">
        <x:f>IF(ISNUMBER(U994),U994,"")</x:f>
        <x:v>13</x:v>
      </x:c>
      <x:c r="I994" s="10" t="n">
        <x:v>15</x:v>
      </x:c>
      <x:c r="J994" s="11" t="n">
        <x:f>IF(AND(Z994="共同",ISNUMBER(F994),ISNUMBER(M994)),F994-M994,"")</x:f>
        <x:v>-1059.688995215311</x:v>
      </x:c>
      <x:c r="K994" s="13" t="n">
        <x:f>IF(AND(ISNUMBER(J994),M994&lt;&gt;0),J994/M994,"")</x:f>
        <x:v>-0.9419457735247209</x:v>
      </x:c>
      <x:c r="L994" s="10" t="str">
        <x:v>考虑清仓</x:v>
      </x:c>
      <x:c r="M994" s="11" t="n">
        <x:v>1125</x:v>
      </x:c>
      <x:c r="N994" s="10" t="n">
        <x:f>IF(AND(Z994="共同",COUNT(H994:I994)=2),H994-I994,"")</x:f>
        <x:v>-2</x:v>
      </x:c>
      <x:c r="O994" s="10" t="n">
        <x:v>20</x:v>
      </x:c>
      <x:c r="P994" s="10" t="n">
        <x:v>2</x:v>
      </x:c>
      <x:c r="Q994" s="10" t="n">
        <x:v>2</x:v>
      </x:c>
      <x:c r="R994" s="10" t="n">
        <x:v>2</x:v>
      </x:c>
      <x:c r="S994" s="10" t="n">
        <x:v>14</x:v>
      </x:c>
      <x:c r="T994" s="10" t="n">
        <x:v>0</x:v>
      </x:c>
      <x:c r="U994" s="10" t="n">
        <x:f>IF(AND(ISNUMBER(X994),X994&gt;=0,Y994&lt;&gt;1),X994,"")</x:f>
        <x:v>13</x:v>
      </x:c>
      <x:c r="V994" s="10" t="n">
        <x:v>0</x:v>
      </x:c>
      <x:c r="W994" s="10" t="n">
        <x:v>0</x:v>
      </x:c>
      <x:c r="X994" s="10" t="n">
        <x:v>13</x:v>
      </x:c>
      <x:c r="Y994" s="3" t="n">
        <x:v>0</x:v>
      </x:c>
      <x:c r="Z994" s="3" t="str">
        <x:v>共同</x:v>
      </x:c>
      <x:c r="AA994" s="3" t="str">
        <x:v>在售</x:v>
      </x:c>
      <x:c r="AB994" s="12" t="n">
        <x:f>IF(AND(Z994="共同",ISNUMBER(G994),ISNUMBER(AD994)),G994-AD994,"")</x:f>
        <x:v>0.1857142857142857</x:v>
      </x:c>
      <x:c r="AC994" s="3" t="str"/>
      <x:c r="AD994" s="12" t="n">
        <x:v>0.013333333333333332</x:v>
      </x:c>
      <x:c r="AE994" s="3" t="str">
        <x:v>[13120,"B06-RD-42"]</x:v>
      </x:c>
      <x:c r="AF994" t="n">
        <x:f>IF(ISNUMBER(H994),1,0)</x:f>
        <x:v>1</x:v>
      </x:c>
      <x:c r="AG994" t="n">
        <x:f>IF(ISNUMBER(I994),1,0)</x:f>
        <x:v>1</x:v>
      </x:c>
      <x:c r="AH994" t="str">
        <x:v>["B06","B06-RD","RD","红色羊京绒"]</x:v>
      </x:c>
      <x:c r="AI994" t="n">
        <x:f>IF(ISNUMBER(G994),1,0)</x:f>
        <x:v>1</x:v>
      </x:c>
      <x:c r="AJ994" t="n">
        <x:f>IF(ISNUMBER(AD994),1,0)</x:f>
        <x:v>1</x:v>
      </x:c>
    </x:row>
    <x:row r="995" ht="30" customHeight="1">
      <x:c r="A995" s="3" t="str">
        <x:v>B06-TN-37</x:v>
      </x:c>
      <x:c r="B995" s="3" t="str">
        <x:v>1店-MUSSHOE-US</x:v>
      </x:c>
      <x:c r="C995" s="3" t="str">
        <x:v>艾年</x:v>
      </x:c>
      <x:c r="D995" s="3" t="str">
        <x:v>B06</x:v>
      </x:c>
      <x:c r="E995" s="3" t="str">
        <x:f>IF(Z995="移出","已移出",IF(NOT(ISNUMBER(H995)),"数据待核",IF(H995=0,"断货",IF(NOT(ISNUMBER(G995)),"数据待核",IF(G995=0,"零日销待复核",IF(F995&lt;60,"补货提醒",IF(F995&lt;=90,"正常库存",IF(F995&lt;180,"促销",IF(F995&lt;=365,"红线促销","考虑清仓")))))))))</x:f>
        <x:v>正常库存</x:v>
      </x:c>
      <x:c r="F995" s="11" t="n">
        <x:f>IF(AND(ISNUMBER(H995),ISNUMBER(G995),G995&gt;0),H995/G995,"")</x:f>
        <x:v>76.78244972577697</x:v>
      </x:c>
      <x:c r="G995" s="12" t="n">
        <x:f>IF(AND(COUNT(P995:R995)=3,MIN(P995:R995)&gt;=0,P995&lt;=Q995,Q995&lt;=R995),P995/7*0.5+Q995/14*0.3+R995/30*0.2,"")</x:f>
        <x:v>0.2604761904761905</x:v>
      </x:c>
      <x:c r="H995" s="10" t="n">
        <x:f>IF(ISNUMBER(U995),U995,"")</x:f>
        <x:v>20</x:v>
      </x:c>
      <x:c r="I995" s="10" t="n">
        <x:v>13</x:v>
      </x:c>
      <x:c r="J995" s="11" t="n">
        <x:f>IF(AND(Z995="共同",ISNUMBER(F995),ISNUMBER(M995)),F995-M995,"")</x:f>
        <x:v>38.547155608129906</x:v>
      </x:c>
      <x:c r="K995" s="13" t="n">
        <x:f>IF(AND(ISNUMBER(J995),M995&lt;&gt;0),J995/M995,"")</x:f>
        <x:v>1.0081563774433973</x:v>
      </x:c>
      <x:c r="L995" s="10" t="str">
        <x:v>补货提醒</x:v>
      </x:c>
      <x:c r="M995" s="11" t="n">
        <x:v>38.235294117647065</x:v>
      </x:c>
      <x:c r="N995" s="10" t="n">
        <x:f>IF(AND(Z995="共同",COUNT(H995:I995)=2),H995-I995,"")</x:f>
        <x:v>7</x:v>
      </x:c>
      <x:c r="O995" s="10" t="n">
        <x:v>0</x:v>
      </x:c>
      <x:c r="P995" s="10" t="n">
        <x:v>2</x:v>
      </x:c>
      <x:c r="Q995" s="10" t="n">
        <x:v>3</x:v>
      </x:c>
      <x:c r="R995" s="10" t="n">
        <x:v>8</x:v>
      </x:c>
      <x:c r="S995" s="10" t="n">
        <x:v>22</x:v>
      </x:c>
      <x:c r="T995" s="10" t="n">
        <x:v>0</x:v>
      </x:c>
      <x:c r="U995" s="10" t="n">
        <x:f>IF(AND(ISNUMBER(X995),X995&gt;=0,Y995&lt;&gt;1),X995,"")</x:f>
        <x:v>20</x:v>
      </x:c>
      <x:c r="V995" s="10" t="n">
        <x:v>0</x:v>
      </x:c>
      <x:c r="W995" s="10" t="n">
        <x:v>0</x:v>
      </x:c>
      <x:c r="X995" s="10" t="n">
        <x:v>20</x:v>
      </x:c>
      <x:c r="Y995" s="3" t="n">
        <x:v>0</x:v>
      </x:c>
      <x:c r="Z995" s="3" t="str">
        <x:v>共同</x:v>
      </x:c>
      <x:c r="AA995" s="3" t="str">
        <x:v>在售</x:v>
      </x:c>
      <x:c r="AB995" s="12" t="n">
        <x:f>IF(AND(Z995="共同",ISNUMBER(G995),ISNUMBER(AD995)),G995-AD995,"")</x:f>
        <x:v>-0.0795238095238095</x:v>
      </x:c>
      <x:c r="AC995" s="3" t="str"/>
      <x:c r="AD995" s="12" t="n">
        <x:v>0.33999999999999997</x:v>
      </x:c>
      <x:c r="AE995" s="3" t="str">
        <x:v>[13120,"B06-TN-37"]</x:v>
      </x:c>
      <x:c r="AF995" t="n">
        <x:f>IF(ISNUMBER(H995),1,0)</x:f>
        <x:v>1</x:v>
      </x:c>
      <x:c r="AG995" t="n">
        <x:f>IF(ISNUMBER(I995),1,0)</x:f>
        <x:v>1</x:v>
      </x:c>
      <x:c r="AH995" t="str">
        <x:v>["B06","B06-TN","TN","驼色羊京绒"]</x:v>
      </x:c>
      <x:c r="AI995" t="n">
        <x:f>IF(ISNUMBER(G995),1,0)</x:f>
        <x:v>1</x:v>
      </x:c>
      <x:c r="AJ995" t="n">
        <x:f>IF(ISNUMBER(AD995),1,0)</x:f>
        <x:v>1</x:v>
      </x:c>
    </x:row>
    <x:row r="996" ht="30" customHeight="1">
      <x:c r="A996" s="3" t="str">
        <x:v>B06-TN-37.5</x:v>
      </x:c>
      <x:c r="B996" s="3" t="str">
        <x:v>1店-MUSSHOE-US</x:v>
      </x:c>
      <x:c r="C996" s="3" t="str">
        <x:v>艾年</x:v>
      </x:c>
      <x:c r="D996" s="3" t="str">
        <x:v>B06</x:v>
      </x:c>
      <x:c r="E996" s="3" t="str">
        <x:f>IF(Z996="移出","已移出",IF(NOT(ISNUMBER(H996)),"数据待核",IF(H996=0,"断货",IF(NOT(ISNUMBER(G996)),"数据待核",IF(G996=0,"零日销待复核",IF(F996&lt;60,"补货提醒",IF(F996&lt;=90,"正常库存",IF(F996&lt;180,"促销",IF(F996&lt;=365,"红线促销","考虑清仓")))))))))</x:f>
        <x:v>正常库存</x:v>
      </x:c>
      <x:c r="F996" s="11" t="n">
        <x:f>IF(AND(ISNUMBER(H996),ISNUMBER(G996),G996&gt;0),H996/G996,"")</x:f>
        <x:v>72.70875763747455</x:v>
      </x:c>
      <x:c r="G996" s="12" t="n">
        <x:f>IF(AND(COUNT(P996:R996)=3,MIN(P996:R996)&gt;=0,P996&lt;=Q996,Q996&lt;=R996),P996/7*0.5+Q996/14*0.3+R996/30*0.2,"")</x:f>
        <x:v>0.2338095238095238</x:v>
      </x:c>
      <x:c r="H996" s="10" t="n">
        <x:f>IF(ISNUMBER(U996),U996,"")</x:f>
        <x:v>17</x:v>
      </x:c>
      <x:c r="I996" s="10" t="n">
        <x:v>6</x:v>
      </x:c>
      <x:c r="J996" s="11" t="n">
        <x:f>IF(AND(Z996="共同",ISNUMBER(F996),ISNUMBER(M996)),F996-M996,"")</x:f>
        <x:v>12.421676297761621</x:v>
      </x:c>
      <x:c r="K996" s="13" t="n">
        <x:f>IF(AND(ISNUMBER(J996),M996&lt;&gt;0),J996/M996,"")</x:f>
        <x:v>0.2060420909708078</x:v>
      </x:c>
      <x:c r="L996" s="10" t="str">
        <x:v>正常库存</x:v>
      </x:c>
      <x:c r="M996" s="11" t="n">
        <x:v>60.28708133971293</x:v>
      </x:c>
      <x:c r="N996" s="10" t="n">
        <x:f>IF(AND(Z996="共同",COUNT(H996:I996)=2),H996-I996,"")</x:f>
        <x:v>11</x:v>
      </x:c>
      <x:c r="O996" s="10" t="n">
        <x:v>18</x:v>
      </x:c>
      <x:c r="P996" s="10" t="n">
        <x:v>2</x:v>
      </x:c>
      <x:c r="Q996" s="10" t="n">
        <x:v>3</x:v>
      </x:c>
      <x:c r="R996" s="10" t="n">
        <x:v>4</x:v>
      </x:c>
      <x:c r="S996" s="10" t="n">
        <x:v>17</x:v>
      </x:c>
      <x:c r="T996" s="10" t="n">
        <x:v>0</x:v>
      </x:c>
      <x:c r="U996" s="10" t="n">
        <x:f>IF(AND(ISNUMBER(X996),X996&gt;=0,Y996&lt;&gt;1),X996,"")</x:f>
        <x:v>17</x:v>
      </x:c>
      <x:c r="V996" s="10" t="n">
        <x:v>0</x:v>
      </x:c>
      <x:c r="W996" s="10" t="n">
        <x:v>0</x:v>
      </x:c>
      <x:c r="X996" s="10" t="n">
        <x:v>17</x:v>
      </x:c>
      <x:c r="Y996" s="3" t="n">
        <x:v>0</x:v>
      </x:c>
      <x:c r="Z996" s="3" t="str">
        <x:v>共同</x:v>
      </x:c>
      <x:c r="AA996" s="3" t="str">
        <x:v>在售</x:v>
      </x:c>
      <x:c r="AB996" s="12" t="n">
        <x:f>IF(AND(Z996="共同",ISNUMBER(G996),ISNUMBER(AD996)),G996-AD996,"")</x:f>
        <x:v>0.13428571428571429</x:v>
      </x:c>
      <x:c r="AC996" s="3" t="str"/>
      <x:c r="AD996" s="12" t="n">
        <x:v>0.09952380952380951</x:v>
      </x:c>
      <x:c r="AE996" s="3" t="str">
        <x:v>[13120,"B06-TN-37.5"]</x:v>
      </x:c>
      <x:c r="AF996" t="n">
        <x:f>IF(ISNUMBER(H996),1,0)</x:f>
        <x:v>1</x:v>
      </x:c>
      <x:c r="AG996" t="n">
        <x:f>IF(ISNUMBER(I996),1,0)</x:f>
        <x:v>1</x:v>
      </x:c>
      <x:c r="AH996" t="str">
        <x:v>["B06","B06-TN","TN","驼色羊京绒"]</x:v>
      </x:c>
      <x:c r="AI996" t="n">
        <x:f>IF(ISNUMBER(G996),1,0)</x:f>
        <x:v>1</x:v>
      </x:c>
      <x:c r="AJ996" t="n">
        <x:f>IF(ISNUMBER(AD996),1,0)</x:f>
        <x:v>1</x:v>
      </x:c>
    </x:row>
    <x:row r="997" ht="30" customHeight="1">
      <x:c r="A997" s="3" t="str">
        <x:v>B06-TN-38-N</x:v>
      </x:c>
      <x:c r="B997" s="3" t="str">
        <x:v>1店-MUSSHOE-US</x:v>
      </x:c>
      <x:c r="C997" s="3" t="str">
        <x:v>艾年</x:v>
      </x:c>
      <x:c r="D997" s="3" t="str">
        <x:v>B06</x:v>
      </x:c>
      <x:c r="E997" s="3" t="str">
        <x:f>IF(Z997="移出","已移出",IF(NOT(ISNUMBER(H997)),"数据待核",IF(H997=0,"断货",IF(NOT(ISNUMBER(G997)),"数据待核",IF(G997=0,"零日销待复核",IF(F997&lt;60,"补货提醒",IF(F997&lt;=90,"正常库存",IF(F997&lt;180,"促销",IF(F997&lt;=365,"红线促销","考虑清仓")))))))))</x:f>
        <x:v>正常库存</x:v>
      </x:c>
      <x:c r="F997" s="11" t="n">
        <x:f>IF(AND(ISNUMBER(H997),ISNUMBER(G997),G997&gt;0),H997/G997,"")</x:f>
        <x:v>85.29411764705883</x:v>
      </x:c>
      <x:c r="G997" s="12" t="n">
        <x:f>IF(AND(COUNT(P997:R997)=3,MIN(P997:R997)&gt;=0,P997&lt;=Q997,Q997&lt;=R997),P997/7*0.5+Q997/14*0.3+R997/30*0.2,"")</x:f>
        <x:v>0.33999999999999997</x:v>
      </x:c>
      <x:c r="H997" s="10" t="n">
        <x:f>IF(ISNUMBER(U997),U997,"")</x:f>
        <x:v>29</x:v>
      </x:c>
      <x:c r="I997" s="10" t="n">
        <x:v>19</x:v>
      </x:c>
      <x:c r="J997" s="11" t="n">
        <x:f>IF(AND(Z997="共同",ISNUMBER(F997),ISNUMBER(M997)),F997-M997,"")</x:f>
        <x:v>-168.84600974147617</x:v>
      </x:c>
      <x:c r="K997" s="13" t="n">
        <x:f>IF(AND(ISNUMBER(J997),M997&lt;&gt;0),J997/M997,"")</x:f>
        <x:v>-0.6643815420905204</x:v>
      </x:c>
      <x:c r="L997" s="10" t="str">
        <x:v>红线促销</x:v>
      </x:c>
      <x:c r="M997" s="11" t="n">
        <x:v>254.140127388535</x:v>
      </x:c>
      <x:c r="N997" s="10" t="n">
        <x:f>IF(AND(Z997="共同",COUNT(H997:I997)=2),H997-I997,"")</x:f>
        <x:v>10</x:v>
      </x:c>
      <x:c r="O997" s="10" t="n">
        <x:v>0</x:v>
      </x:c>
      <x:c r="P997" s="10" t="n">
        <x:v>3</x:v>
      </x:c>
      <x:c r="Q997" s="10" t="n">
        <x:v>4</x:v>
      </x:c>
      <x:c r="R997" s="10" t="n">
        <x:v>6</x:v>
      </x:c>
      <x:c r="S997" s="10" t="n">
        <x:v>29</x:v>
      </x:c>
      <x:c r="T997" s="10" t="n">
        <x:v>0</x:v>
      </x:c>
      <x:c r="U997" s="10" t="n">
        <x:f>IF(AND(ISNUMBER(X997),X997&gt;=0,Y997&lt;&gt;1),X997,"")</x:f>
        <x:v>29</x:v>
      </x:c>
      <x:c r="V997" s="10" t="n">
        <x:v>0</x:v>
      </x:c>
      <x:c r="W997" s="10" t="n">
        <x:v>11</x:v>
      </x:c>
      <x:c r="X997" s="10" t="n">
        <x:v>29</x:v>
      </x:c>
      <x:c r="Y997" s="3" t="n">
        <x:v>0</x:v>
      </x:c>
      <x:c r="Z997" s="3" t="str">
        <x:v>共同</x:v>
      </x:c>
      <x:c r="AA997" s="3" t="str">
        <x:v>在售</x:v>
      </x:c>
      <x:c r="AB997" s="12" t="n">
        <x:f>IF(AND(Z997="共同",ISNUMBER(G997),ISNUMBER(AD997)),G997-AD997,"")</x:f>
        <x:v>0.2652380952380952</x:v>
      </x:c>
      <x:c r="AC997" s="3" t="str"/>
      <x:c r="AD997" s="12" t="n">
        <x:v>0.07476190476190477</x:v>
      </x:c>
      <x:c r="AE997" s="3" t="str">
        <x:v>[13120,"B06-TN-38-N"]</x:v>
      </x:c>
      <x:c r="AF997" t="n">
        <x:f>IF(ISNUMBER(H997),1,0)</x:f>
        <x:v>1</x:v>
      </x:c>
      <x:c r="AG997" t="n">
        <x:f>IF(ISNUMBER(I997),1,0)</x:f>
        <x:v>1</x:v>
      </x:c>
      <x:c r="AH997" t="str">
        <x:v>["B06","B06-TN","TN","驼色羊京绒"]</x:v>
      </x:c>
      <x:c r="AI997" t="n">
        <x:f>IF(ISNUMBER(G997),1,0)</x:f>
        <x:v>1</x:v>
      </x:c>
      <x:c r="AJ997" t="n">
        <x:f>IF(ISNUMBER(AD997),1,0)</x:f>
        <x:v>1</x:v>
      </x:c>
    </x:row>
    <x:row r="998" ht="30" customHeight="1">
      <x:c r="A998" s="3" t="str">
        <x:v>B06-WT-37</x:v>
      </x:c>
      <x:c r="B998" s="3" t="str">
        <x:v>1店-MUSSHOE-US</x:v>
      </x:c>
      <x:c r="C998" s="3" t="str">
        <x:v>艾年</x:v>
      </x:c>
      <x:c r="D998" s="3" t="str">
        <x:v>B06</x:v>
      </x:c>
      <x:c r="E998" s="3" t="str">
        <x:f>IF(Z998="移出","已移出",IF(NOT(ISNUMBER(H998)),"数据待核",IF(H998=0,"断货",IF(NOT(ISNUMBER(G998)),"数据待核",IF(G998=0,"零日销待复核",IF(F998&lt;60,"补货提醒",IF(F998&lt;=90,"正常库存",IF(F998&lt;180,"促销",IF(F998&lt;=365,"红线促销","考虑清仓")))))))))</x:f>
        <x:v>正常库存</x:v>
      </x:c>
      <x:c r="F998" s="11" t="n">
        <x:f>IF(AND(ISNUMBER(H998),ISNUMBER(G998),G998&gt;0),H998/G998,"")</x:f>
        <x:v>75.35885167464116</x:v>
      </x:c>
      <x:c r="G998" s="12" t="n">
        <x:f>IF(AND(COUNT(P998:R998)=3,MIN(P998:R998)&gt;=0,P998&lt;=Q998,Q998&lt;=R998),P998/7*0.5+Q998/14*0.3+R998/30*0.2,"")</x:f>
        <x:v>0.19904761904761903</x:v>
      </x:c>
      <x:c r="H998" s="10" t="n">
        <x:f>IF(ISNUMBER(U998),U998,"")</x:f>
        <x:v>15</x:v>
      </x:c>
      <x:c r="I998" s="10" t="n">
        <x:v>17</x:v>
      </x:c>
      <x:c r="J998" s="11" t="str">
        <x:f>IF(AND(Z998="共同",ISNUMBER(F998),ISNUMBER(M998)),F998-M998,"")</x:f>
      </x:c>
      <x:c r="K998" s="13" t="str">
        <x:f>IF(AND(ISNUMBER(J998),M998&lt;&gt;0),J998/M998,"")</x:f>
      </x:c>
      <x:c r="L998" s="10" t="str">
        <x:v>零日销待复核</x:v>
      </x:c>
      <x:c r="M998" s="11"/>
      <x:c r="N998" s="10" t="n">
        <x:f>IF(AND(Z998="共同",COUNT(H998:I998)=2),H998-I998,"")</x:f>
        <x:v>-2</x:v>
      </x:c>
      <x:c r="O998" s="10" t="n">
        <x:v>23</x:v>
      </x:c>
      <x:c r="P998" s="10" t="n">
        <x:v>2</x:v>
      </x:c>
      <x:c r="Q998" s="10" t="n">
        <x:v>2</x:v>
      </x:c>
      <x:c r="R998" s="10" t="n">
        <x:v>2</x:v>
      </x:c>
      <x:c r="S998" s="10" t="n">
        <x:v>15</x:v>
      </x:c>
      <x:c r="T998" s="10" t="n">
        <x:v>0</x:v>
      </x:c>
      <x:c r="U998" s="10" t="n">
        <x:f>IF(AND(ISNUMBER(X998),X998&gt;=0,Y998&lt;&gt;1),X998,"")</x:f>
        <x:v>15</x:v>
      </x:c>
      <x:c r="V998" s="10" t="n">
        <x:v>0</x:v>
      </x:c>
      <x:c r="W998" s="10" t="n">
        <x:v>0</x:v>
      </x:c>
      <x:c r="X998" s="10" t="n">
        <x:v>15</x:v>
      </x:c>
      <x:c r="Y998" s="3" t="n">
        <x:v>0</x:v>
      </x:c>
      <x:c r="Z998" s="3" t="str">
        <x:v>共同</x:v>
      </x:c>
      <x:c r="AA998" s="3" t="str">
        <x:v>在售</x:v>
      </x:c>
      <x:c r="AB998" s="12" t="n">
        <x:f>IF(AND(Z998="共同",ISNUMBER(G998),ISNUMBER(AD998)),G998-AD998,"")</x:f>
        <x:v>0.19904761904761903</x:v>
      </x:c>
      <x:c r="AC998" s="3" t="str"/>
      <x:c r="AD998" s="12" t="n">
        <x:v>0</x:v>
      </x:c>
      <x:c r="AE998" s="3" t="str">
        <x:v>[13120,"B06-WT-37"]</x:v>
      </x:c>
      <x:c r="AF998" t="n">
        <x:f>IF(ISNUMBER(H998),1,0)</x:f>
        <x:v>1</x:v>
      </x:c>
      <x:c r="AG998" t="n">
        <x:f>IF(ISNUMBER(I998),1,0)</x:f>
        <x:v>1</x:v>
      </x:c>
      <x:c r="AH998" t="str">
        <x:v>["B06","B06-WT","WT","白色PU"]</x:v>
      </x:c>
      <x:c r="AI998" t="n">
        <x:f>IF(ISNUMBER(G998),1,0)</x:f>
        <x:v>1</x:v>
      </x:c>
      <x:c r="AJ998" t="n">
        <x:f>IF(ISNUMBER(AD998),1,0)</x:f>
        <x:v>1</x:v>
      </x:c>
    </x:row>
    <x:row r="999" ht="30" customHeight="1">
      <x:c r="A999" s="3" t="str">
        <x:v>B06b-CCP0-6.5</x:v>
      </x:c>
      <x:c r="B999" s="3" t="str">
        <x:v>1店-MUSSHOE-US</x:v>
      </x:c>
      <x:c r="C999" s="3" t="str">
        <x:v>艾年</x:v>
      </x:c>
      <x:c r="D999" s="3" t="str">
        <x:v>B06b</x:v>
      </x:c>
      <x:c r="E999" s="3" t="str">
        <x:f>IF(Z999="移出","已移出",IF(NOT(ISNUMBER(H999)),"数据待核",IF(H999=0,"断货",IF(NOT(ISNUMBER(G999)),"数据待核",IF(G999=0,"零日销待复核",IF(F999&lt;60,"补货提醒",IF(F999&lt;=90,"正常库存",IF(F999&lt;180,"促销",IF(F999&lt;=365,"红线促销","考虑清仓")))))))))</x:f>
        <x:v>正常库存</x:v>
      </x:c>
      <x:c r="F999" s="11" t="n">
        <x:f>IF(AND(ISNUMBER(H999),ISNUMBER(G999),G999&gt;0),H999/G999,"")</x:f>
        <x:v>64.12213740458016</x:v>
      </x:c>
      <x:c r="G999" s="12" t="n">
        <x:f>IF(AND(COUNT(P999:R999)=3,MIN(P999:R999)&gt;=0,P999&lt;=Q999,Q999&lt;=R999),P999/7*0.5+Q999/14*0.3+R999/30*0.2,"")</x:f>
        <x:v>0.3119047619047619</x:v>
      </x:c>
      <x:c r="H999" s="10" t="n">
        <x:f>IF(ISNUMBER(U999),U999,"")</x:f>
        <x:v>20</x:v>
      </x:c>
      <x:c r="I999" s="10" t="n">
        <x:v>20</x:v>
      </x:c>
      <x:c r="J999" s="11" t="n">
        <x:f>IF(AND(Z999="共同",ISNUMBER(F999),ISNUMBER(M999)),F999-M999,"")</x:f>
        <x:v>-65.50749222504949</x:v>
      </x:c>
      <x:c r="K999" s="13" t="n">
        <x:f>IF(AND(ISNUMBER(J999),M999&lt;&gt;0),J999/M999,"")</x:f>
        <x:v>-0.5053435114503817</x:v>
      </x:c>
      <x:c r="L999" s="10" t="str">
        <x:v>促销</x:v>
      </x:c>
      <x:c r="M999" s="11" t="n">
        <x:v>129.62962962962965</x:v>
      </x:c>
      <x:c r="N999" s="10" t="n">
        <x:f>IF(AND(Z999="共同",COUNT(H999:I999)=2),H999-I999,"")</x:f>
        <x:v>0</x:v>
      </x:c>
      <x:c r="O999" s="10" t="n">
        <x:v>0</x:v>
      </x:c>
      <x:c r="P999" s="10" t="n">
        <x:v>3</x:v>
      </x:c>
      <x:c r="Q999" s="10" t="n">
        <x:v>3</x:v>
      </x:c>
      <x:c r="R999" s="10" t="n">
        <x:v>5</x:v>
      </x:c>
      <x:c r="S999" s="10" t="n">
        <x:v>20</x:v>
      </x:c>
      <x:c r="T999" s="10" t="n">
        <x:v>0</x:v>
      </x:c>
      <x:c r="U999" s="10" t="n">
        <x:f>IF(AND(ISNUMBER(X999),X999&gt;=0,Y999&lt;&gt;1),X999,"")</x:f>
        <x:v>20</x:v>
      </x:c>
      <x:c r="V999" s="10" t="n">
        <x:v>0</x:v>
      </x:c>
      <x:c r="W999" s="10" t="n">
        <x:v>0</x:v>
      </x:c>
      <x:c r="X999" s="10" t="n">
        <x:v>20</x:v>
      </x:c>
      <x:c r="Y999" s="3" t="n">
        <x:v>0</x:v>
      </x:c>
      <x:c r="Z999" s="3" t="str">
        <x:v>共同</x:v>
      </x:c>
      <x:c r="AA999" s="3" t="str">
        <x:v>在售</x:v>
      </x:c>
      <x:c r="AB999" s="12" t="n">
        <x:f>IF(AND(Z999="共同",ISNUMBER(G999),ISNUMBER(AD999)),G999-AD999,"")</x:f>
        <x:v>0.15761904761904763</x:v>
      </x:c>
      <x:c r="AC999" s="3" t="str"/>
      <x:c r="AD999" s="12" t="n">
        <x:v>0.15428571428571428</x:v>
      </x:c>
      <x:c r="AE999" s="3" t="str">
        <x:v>[13120,"B06b-CCP0-6.5"]</x:v>
      </x:c>
      <x:c r="AF999" t="n">
        <x:f>IF(ISNUMBER(H999),1,0)</x:f>
        <x:v>1</x:v>
      </x:c>
      <x:c r="AG999" t="n">
        <x:f>IF(ISNUMBER(I999),1,0)</x:f>
        <x:v>1</x:v>
      </x:c>
      <x:c r="AH999" t="str">
        <x:v>["B06b","B06b-CCP0","CCP0","咖色PU"]</x:v>
      </x:c>
      <x:c r="AI999" t="n">
        <x:f>IF(ISNUMBER(G999),1,0)</x:f>
        <x:v>1</x:v>
      </x:c>
      <x:c r="AJ999" t="n">
        <x:f>IF(ISNUMBER(AD999),1,0)</x:f>
        <x:v>1</x:v>
      </x:c>
    </x:row>
    <x:row r="1000" ht="30" customHeight="1">
      <x:c r="A1000" s="3" t="str">
        <x:v>B06b-LP-37</x:v>
      </x:c>
      <x:c r="B1000" s="3" t="str">
        <x:v>1店-MUSSHOE-US</x:v>
      </x:c>
      <x:c r="C1000" s="3" t="str">
        <x:v>艾年</x:v>
      </x:c>
      <x:c r="D1000" s="3" t="str">
        <x:v>B06b</x:v>
      </x:c>
      <x:c r="E1000" s="3" t="str">
        <x:f>IF(Z1000="移出","已移出",IF(NOT(ISNUMBER(H1000)),"数据待核",IF(H1000=0,"断货",IF(NOT(ISNUMBER(G1000)),"数据待核",IF(G1000=0,"零日销待复核",IF(F1000&lt;60,"补货提醒",IF(F1000&lt;=90,"正常库存",IF(F1000&lt;180,"促销",IF(F1000&lt;=365,"红线促销","考虑清仓")))))))))</x:f>
        <x:v>正常库存</x:v>
      </x:c>
      <x:c r="F1000" s="11" t="n">
        <x:f>IF(AND(ISNUMBER(H1000),ISNUMBER(G1000),G1000&gt;0),H1000/G1000,"")</x:f>
        <x:v>83.64779874213836</x:v>
      </x:c>
      <x:c r="G1000" s="12" t="n">
        <x:f>IF(AND(COUNT(P1000:R1000)=3,MIN(P1000:R1000)&gt;=0,P1000&lt;=Q1000,Q1000&lt;=R1000),P1000/7*0.5+Q1000/14*0.3+R1000/30*0.2,"")</x:f>
        <x:v>0.22714285714285715</x:v>
      </x:c>
      <x:c r="H1000" s="10" t="n">
        <x:f>IF(ISNUMBER(U1000),U1000,"")</x:f>
        <x:v>19</x:v>
      </x:c>
      <x:c r="I1000" s="10" t="n">
        <x:v>14</x:v>
      </x:c>
      <x:c r="J1000" s="11" t="str">
        <x:f>IF(AND(Z1000="共同",ISNUMBER(F1000),ISNUMBER(M1000)),F1000-M1000,"")</x:f>
      </x:c>
      <x:c r="K1000" s="13" t="str">
        <x:f>IF(AND(ISNUMBER(J1000),M1000&lt;&gt;0),J1000/M1000,"")</x:f>
      </x:c>
      <x:c r="L1000" s="10" t="str">
        <x:v>零日销待复核</x:v>
      </x:c>
      <x:c r="M1000" s="11"/>
      <x:c r="N1000" s="10" t="n">
        <x:f>IF(AND(Z1000="共同",COUNT(H1000:I1000)=2),H1000-I1000,"")</x:f>
        <x:v>5</x:v>
      </x:c>
      <x:c r="O1000" s="10" t="n">
        <x:v>0</x:v>
      </x:c>
      <x:c r="P1000" s="10" t="n">
        <x:v>2</x:v>
      </x:c>
      <x:c r="Q1000" s="10" t="n">
        <x:v>3</x:v>
      </x:c>
      <x:c r="R1000" s="10" t="n">
        <x:v>3</x:v>
      </x:c>
      <x:c r="S1000" s="10" t="n">
        <x:v>19</x:v>
      </x:c>
      <x:c r="T1000" s="10" t="n">
        <x:v>0</x:v>
      </x:c>
      <x:c r="U1000" s="10" t="n">
        <x:f>IF(AND(ISNUMBER(X1000),X1000&gt;=0,Y1000&lt;&gt;1),X1000,"")</x:f>
        <x:v>19</x:v>
      </x:c>
      <x:c r="V1000" s="10" t="n">
        <x:v>0</x:v>
      </x:c>
      <x:c r="W1000" s="10" t="n">
        <x:v>0</x:v>
      </x:c>
      <x:c r="X1000" s="10" t="n">
        <x:v>19</x:v>
      </x:c>
      <x:c r="Y1000" s="3" t="n">
        <x:v>0</x:v>
      </x:c>
      <x:c r="Z1000" s="3" t="str">
        <x:v>共同</x:v>
      </x:c>
      <x:c r="AA1000" s="3" t="str">
        <x:v>在售</x:v>
      </x:c>
      <x:c r="AB1000" s="12" t="n">
        <x:f>IF(AND(Z1000="共同",ISNUMBER(G1000),ISNUMBER(AD1000)),G1000-AD1000,"")</x:f>
        <x:v>0.22714285714285715</x:v>
      </x:c>
      <x:c r="AC1000" s="3" t="str"/>
      <x:c r="AD1000" s="12" t="n">
        <x:v>0</x:v>
      </x:c>
      <x:c r="AE1000" s="3" t="str">
        <x:v>[13120,"B06b-LP-37"]</x:v>
      </x:c>
      <x:c r="AF1000" t="n">
        <x:f>IF(ISNUMBER(H1000),1,0)</x:f>
        <x:v>1</x:v>
      </x:c>
      <x:c r="AG1000" t="n">
        <x:f>IF(ISNUMBER(I1000),1,0)</x:f>
        <x:v>1</x:v>
      </x:c>
      <x:c r="AH1000" t="str">
        <x:v>["B06b","B06b-LP","LP","豹纹羊京绒"]</x:v>
      </x:c>
      <x:c r="AI1000" t="n">
        <x:f>IF(ISNUMBER(G1000),1,0)</x:f>
        <x:v>1</x:v>
      </x:c>
      <x:c r="AJ1000" t="n">
        <x:f>IF(ISNUMBER(AD1000),1,0)</x:f>
        <x:v>1</x:v>
      </x:c>
    </x:row>
    <x:row r="1001" ht="30" customHeight="1">
      <x:c r="A1001" s="3" t="str">
        <x:v>B06b-NY-38</x:v>
      </x:c>
      <x:c r="B1001" s="3" t="str">
        <x:v>1店-MUSSHOE-US</x:v>
      </x:c>
      <x:c r="C1001" s="3" t="str">
        <x:v>艾年</x:v>
      </x:c>
      <x:c r="D1001" s="3" t="str">
        <x:v>B06b</x:v>
      </x:c>
      <x:c r="E1001" s="3" t="str">
        <x:f>IF(Z1001="移出","已移出",IF(NOT(ISNUMBER(H1001)),"数据待核",IF(H1001=0,"断货",IF(NOT(ISNUMBER(G1001)),"数据待核",IF(G1001=0,"零日销待复核",IF(F1001&lt;60,"补货提醒",IF(F1001&lt;=90,"正常库存",IF(F1001&lt;180,"促销",IF(F1001&lt;=365,"红线促销","考虑清仓")))))))))</x:f>
        <x:v>正常库存</x:v>
      </x:c>
      <x:c r="F1001" s="11" t="n">
        <x:f>IF(AND(ISNUMBER(H1001),ISNUMBER(G1001),G1001&gt;0),H1001/G1001,"")</x:f>
        <x:v>71.67235494880546</x:v>
      </x:c>
      <x:c r="G1001" s="12" t="n">
        <x:f>IF(AND(COUNT(P1001:R1001)=3,MIN(P1001:R1001)&gt;=0,P1001&lt;=Q1001,Q1001&lt;=R1001),P1001/7*0.5+Q1001/14*0.3+R1001/30*0.2,"")</x:f>
        <x:v>0.13952380952380952</x:v>
      </x:c>
      <x:c r="H1001" s="10" t="n">
        <x:f>IF(ISNUMBER(U1001),U1001,"")</x:f>
        <x:v>10</x:v>
      </x:c>
      <x:c r="I1001" s="10" t="n">
        <x:v>9</x:v>
      </x:c>
      <x:c r="J1001" s="11" t="n">
        <x:f>IF(AND(Z1001="共同",ISNUMBER(F1001),ISNUMBER(M1001)),F1001-M1001,"")</x:f>
        <x:v>49.695610762758946</x:v>
      </x:c>
      <x:c r="K1001" s="13" t="n">
        <x:f>IF(AND(ISNUMBER(J1001),M1001&lt;&gt;0),J1001/M1001,"")</x:f>
        <x:v>2.2612817595752746</x:v>
      </x:c>
      <x:c r="L1001" s="10" t="str">
        <x:v>补货提醒</x:v>
      </x:c>
      <x:c r="M1001" s="11" t="n">
        <x:v>21.976744186046513</x:v>
      </x:c>
      <x:c r="N1001" s="10" t="n">
        <x:f>IF(AND(Z1001="共同",COUNT(H1001:I1001)=2),H1001-I1001,"")</x:f>
        <x:v>1</x:v>
      </x:c>
      <x:c r="O1001" s="10" t="n">
        <x:v>0</x:v>
      </x:c>
      <x:c r="P1001" s="10" t="n">
        <x:v>1</x:v>
      </x:c>
      <x:c r="Q1001" s="10" t="n">
        <x:v>1</x:v>
      </x:c>
      <x:c r="R1001" s="10" t="n">
        <x:v>7</x:v>
      </x:c>
      <x:c r="S1001" s="10" t="n">
        <x:v>10</x:v>
      </x:c>
      <x:c r="T1001" s="10" t="n">
        <x:v>0</x:v>
      </x:c>
      <x:c r="U1001" s="10" t="n">
        <x:f>IF(AND(ISNUMBER(X1001),X1001&gt;=0,Y1001&lt;&gt;1),X1001,"")</x:f>
        <x:v>10</x:v>
      </x:c>
      <x:c r="V1001" s="10" t="n">
        <x:v>0</x:v>
      </x:c>
      <x:c r="W1001" s="10" t="n">
        <x:v>0</x:v>
      </x:c>
      <x:c r="X1001" s="10" t="n">
        <x:v>10</x:v>
      </x:c>
      <x:c r="Y1001" s="3" t="n">
        <x:v>0</x:v>
      </x:c>
      <x:c r="Z1001" s="3" t="str">
        <x:v>共同</x:v>
      </x:c>
      <x:c r="AA1001" s="3" t="str">
        <x:v>在售</x:v>
      </x:c>
      <x:c r="AB1001" s="12" t="n">
        <x:f>IF(AND(Z1001="共同",ISNUMBER(G1001),ISNUMBER(AD1001)),G1001-AD1001,"")</x:f>
        <x:v>-0.27</x:v>
      </x:c>
      <x:c r="AC1001" s="3" t="str"/>
      <x:c r="AD1001" s="12" t="n">
        <x:v>0.4095238095238095</x:v>
      </x:c>
      <x:c r="AE1001" s="3" t="str">
        <x:v>[13120,"B06b-NY-38"]</x:v>
      </x:c>
      <x:c r="AF1001" t="n">
        <x:f>IF(ISNUMBER(H1001),1,0)</x:f>
        <x:v>1</x:v>
      </x:c>
      <x:c r="AG1001" t="n">
        <x:f>IF(ISNUMBER(I1001),1,0)</x:f>
        <x:v>1</x:v>
      </x:c>
      <x:c r="AH1001" t="str">
        <x:v>["B06b","B06b-NY","NY","藏青色羊京绒"]</x:v>
      </x:c>
      <x:c r="AI1001" t="n">
        <x:f>IF(ISNUMBER(G1001),1,0)</x:f>
        <x:v>1</x:v>
      </x:c>
      <x:c r="AJ1001" t="n">
        <x:f>IF(ISNUMBER(AD1001),1,0)</x:f>
        <x:v>1</x:v>
      </x:c>
    </x:row>
    <x:row r="1002" ht="30" customHeight="1">
      <x:c r="A1002" s="3" t="str">
        <x:v>B07-BG-39-New</x:v>
      </x:c>
      <x:c r="B1002" s="3" t="str">
        <x:v>4店-彬郁-US</x:v>
      </x:c>
      <x:c r="C1002" s="3" t="str">
        <x:v>艾年</x:v>
      </x:c>
      <x:c r="D1002" s="3" t="str">
        <x:v>B07</x:v>
      </x:c>
      <x:c r="E1002" s="3" t="str">
        <x:f>IF(Z1002="移出","已移出",IF(NOT(ISNUMBER(H1002)),"数据待核",IF(H1002=0,"断货",IF(NOT(ISNUMBER(G1002)),"数据待核",IF(G1002=0,"零日销待复核",IF(F1002&lt;60,"补货提醒",IF(F1002&lt;=90,"正常库存",IF(F1002&lt;180,"促销",IF(F1002&lt;=365,"红线促销","考虑清仓")))))))))</x:f>
        <x:v>正常库存</x:v>
      </x:c>
      <x:c r="F1002" s="11" t="n">
        <x:f>IF(AND(ISNUMBER(H1002),ISNUMBER(G1002),G1002&gt;0),H1002/G1002,"")</x:f>
        <x:v>76.70025188916877</x:v>
      </x:c>
      <x:c r="G1002" s="12" t="n">
        <x:f>IF(AND(COUNT(P1002:R1002)=3,MIN(P1002:R1002)&gt;=0,P1002&lt;=Q1002,Q1002&lt;=R1002),P1002/7*0.5+Q1002/14*0.3+R1002/30*0.2,"")</x:f>
        <x:v>0.3780952380952381</x:v>
      </x:c>
      <x:c r="H1002" s="10" t="n">
        <x:f>IF(ISNUMBER(U1002),U1002,"")</x:f>
        <x:v>29</x:v>
      </x:c>
      <x:c r="I1002" s="10" t="n">
        <x:v>32</x:v>
      </x:c>
      <x:c r="J1002" s="11" t="n">
        <x:f>IF(AND(Z1002="共同",ISNUMBER(F1002),ISNUMBER(M1002)),F1002-M1002,"")</x:f>
        <x:v>1.8672897510841153</x:v>
      </x:c>
      <x:c r="K1002" s="13" t="n">
        <x:f>IF(AND(ISNUMBER(J1002),M1002&lt;&gt;0),J1002/M1002,"")</x:f>
        <x:v>0.024952770780856177</x:v>
      </x:c>
      <x:c r="L1002" s="10" t="str">
        <x:v>正常库存</x:v>
      </x:c>
      <x:c r="M1002" s="11" t="n">
        <x:v>74.83296213808465</x:v>
      </x:c>
      <x:c r="N1002" s="10" t="n">
        <x:f>IF(AND(Z1002="共同",COUNT(H1002:I1002)=2),H1002-I1002,"")</x:f>
        <x:v>-3</x:v>
      </x:c>
      <x:c r="O1002" s="10" t="n">
        <x:v>16</x:v>
      </x:c>
      <x:c r="P1002" s="10" t="n">
        <x:v>2</x:v>
      </x:c>
      <x:c r="Q1002" s="10" t="n">
        <x:v>6</x:v>
      </x:c>
      <x:c r="R1002" s="10" t="n">
        <x:v>16</x:v>
      </x:c>
      <x:c r="S1002" s="10" t="n">
        <x:v>33</x:v>
      </x:c>
      <x:c r="T1002" s="10" t="n">
        <x:v>1</x:v>
      </x:c>
      <x:c r="U1002" s="10" t="n">
        <x:f>IF(AND(ISNUMBER(X1002),X1002&gt;=0,Y1002&lt;&gt;1),X1002,"")</x:f>
        <x:v>29</x:v>
      </x:c>
      <x:c r="V1002" s="10" t="n">
        <x:v>0</x:v>
      </x:c>
      <x:c r="W1002" s="10" t="n">
        <x:v>40</x:v>
      </x:c>
      <x:c r="X1002" s="10" t="n">
        <x:v>29</x:v>
      </x:c>
      <x:c r="Y1002" s="3" t="n">
        <x:v>0</x:v>
      </x:c>
      <x:c r="Z1002" s="3" t="str">
        <x:v>共同</x:v>
      </x:c>
      <x:c r="AA1002" s="3" t="str">
        <x:v>在售</x:v>
      </x:c>
      <x:c r="AB1002" s="12" t="n">
        <x:f>IF(AND(Z1002="共同",ISNUMBER(G1002),ISNUMBER(AD1002)),G1002-AD1002,"")</x:f>
        <x:v>-0.049523809523809414</x:v>
      </x:c>
      <x:c r="AC1002" s="3" t="str"/>
      <x:c r="AD1002" s="12" t="n">
        <x:v>0.4276190476190475</x:v>
      </x:c>
      <x:c r="AE1002" s="3" t="str">
        <x:v>[13306,"B07-BG-39-New"]</x:v>
      </x:c>
      <x:c r="AF1002" t="n">
        <x:f>IF(ISNUMBER(H1002),1,0)</x:f>
        <x:v>1</x:v>
      </x:c>
      <x:c r="AG1002" t="n">
        <x:f>IF(ISNUMBER(I1002),1,0)</x:f>
        <x:v>1</x:v>
      </x:c>
      <x:c r="AH1002" t="str">
        <x:v>["B07","B07-BG","BG","米色羊京绒"]</x:v>
      </x:c>
      <x:c r="AI1002" t="n">
        <x:f>IF(ISNUMBER(G1002),1,0)</x:f>
        <x:v>1</x:v>
      </x:c>
      <x:c r="AJ1002" t="n">
        <x:f>IF(ISNUMBER(AD1002),1,0)</x:f>
        <x:v>1</x:v>
      </x:c>
    </x:row>
    <x:row r="1003" ht="30" customHeight="1">
      <x:c r="A1003" s="3" t="str">
        <x:v>B07-BG-42-by</x:v>
      </x:c>
      <x:c r="B1003" s="3" t="str">
        <x:v>4店-彬郁-US</x:v>
      </x:c>
      <x:c r="C1003" s="3" t="str">
        <x:v>艾年</x:v>
      </x:c>
      <x:c r="D1003" s="3" t="str">
        <x:v>B07</x:v>
      </x:c>
      <x:c r="E1003" s="3" t="str">
        <x:f>IF(Z1003="移出","已移出",IF(NOT(ISNUMBER(H1003)),"数据待核",IF(H1003=0,"断货",IF(NOT(ISNUMBER(G1003)),"数据待核",IF(G1003=0,"零日销待复核",IF(F1003&lt;60,"补货提醒",IF(F1003&lt;=90,"正常库存",IF(F1003&lt;180,"促销",IF(F1003&lt;=365,"红线促销","考虑清仓")))))))))</x:f>
        <x:v>正常库存</x:v>
      </x:c>
      <x:c r="F1003" s="11" t="n">
        <x:f>IF(AND(ISNUMBER(H1003),ISNUMBER(G1003),G1003&gt;0),H1003/G1003,"")</x:f>
        <x:v>89.36170212765957</x:v>
      </x:c>
      <x:c r="G1003" s="12" t="n">
        <x:f>IF(AND(COUNT(P1003:R1003)=3,MIN(P1003:R1003)&gt;=0,P1003&lt;=Q1003,Q1003&lt;=R1003),P1003/7*0.5+Q1003/14*0.3+R1003/30*0.2,"")</x:f>
        <x:v>0.13428571428571429</x:v>
      </x:c>
      <x:c r="H1003" s="10" t="n">
        <x:f>IF(ISNUMBER(U1003),U1003,"")</x:f>
        <x:v>12</x:v>
      </x:c>
      <x:c r="I1003" s="10" t="n">
        <x:v>14</x:v>
      </x:c>
      <x:c r="J1003" s="11" t="n">
        <x:f>IF(AND(Z1003="共同",ISNUMBER(F1003),ISNUMBER(M1003)),F1003-M1003,"")</x:f>
        <x:v>-313.37802389973774</x:v>
      </x:c>
      <x:c r="K1003" s="13" t="n">
        <x:f>IF(AND(ISNUMBER(J1003),M1003&lt;&gt;0),J1003/M1003,"")</x:f>
        <x:v>-0.778115501519757</x:v>
      </x:c>
      <x:c r="L1003" s="10" t="str">
        <x:v>考虑清仓</x:v>
      </x:c>
      <x:c r="M1003" s="11" t="n">
        <x:v>402.7397260273973</x:v>
      </x:c>
      <x:c r="N1003" s="10" t="n">
        <x:f>IF(AND(Z1003="共同",COUNT(H1003:I1003)=2),H1003-I1003,"")</x:f>
        <x:v>-2</x:v>
      </x:c>
      <x:c r="O1003" s="10" t="n">
        <x:v>0</x:v>
      </x:c>
      <x:c r="P1003" s="10" t="n">
        <x:v>1</x:v>
      </x:c>
      <x:c r="Q1003" s="10" t="n">
        <x:v>2</x:v>
      </x:c>
      <x:c r="R1003" s="10" t="n">
        <x:v>3</x:v>
      </x:c>
      <x:c r="S1003" s="10" t="n">
        <x:v>13</x:v>
      </x:c>
      <x:c r="T1003" s="10" t="n">
        <x:v>0</x:v>
      </x:c>
      <x:c r="U1003" s="10" t="n">
        <x:f>IF(AND(ISNUMBER(X1003),X1003&gt;=0,Y1003&lt;&gt;1),X1003,"")</x:f>
        <x:v>12</x:v>
      </x:c>
      <x:c r="V1003" s="10" t="n">
        <x:v>0</x:v>
      </x:c>
      <x:c r="W1003" s="10" t="n">
        <x:v>16</x:v>
      </x:c>
      <x:c r="X1003" s="10" t="n">
        <x:v>12</x:v>
      </x:c>
      <x:c r="Y1003" s="3" t="n">
        <x:v>0</x:v>
      </x:c>
      <x:c r="Z1003" s="3" t="str">
        <x:v>共同</x:v>
      </x:c>
      <x:c r="AA1003" s="3" t="str">
        <x:v>在售</x:v>
      </x:c>
      <x:c r="AB1003" s="12" t="n">
        <x:f>IF(AND(Z1003="共同",ISNUMBER(G1003),ISNUMBER(AD1003)),G1003-AD1003,"")</x:f>
        <x:v>0.09952380952380953</x:v>
      </x:c>
      <x:c r="AC1003" s="3" t="str"/>
      <x:c r="AD1003" s="12" t="n">
        <x:v>0.03476190476190476</x:v>
      </x:c>
      <x:c r="AE1003" s="3" t="str">
        <x:v>[13306,"B07-BG-42-by"]</x:v>
      </x:c>
      <x:c r="AF1003" t="n">
        <x:f>IF(ISNUMBER(H1003),1,0)</x:f>
        <x:v>1</x:v>
      </x:c>
      <x:c r="AG1003" t="n">
        <x:f>IF(ISNUMBER(I1003),1,0)</x:f>
        <x:v>1</x:v>
      </x:c>
      <x:c r="AH1003" t="str">
        <x:v>["B07","B07-BG","BG","米色羊京绒"]</x:v>
      </x:c>
      <x:c r="AI1003" t="n">
        <x:f>IF(ISNUMBER(G1003),1,0)</x:f>
        <x:v>1</x:v>
      </x:c>
      <x:c r="AJ1003" t="n">
        <x:f>IF(ISNUMBER(AD1003),1,0)</x:f>
        <x:v>1</x:v>
      </x:c>
    </x:row>
    <x:row r="1004" ht="30" customHeight="1">
      <x:c r="A1004" s="3" t="str">
        <x:v>B07-BGP-39-by</x:v>
      </x:c>
      <x:c r="B1004" s="3" t="str">
        <x:v>4店-彬郁-US</x:v>
      </x:c>
      <x:c r="C1004" s="3" t="str">
        <x:v>艾年</x:v>
      </x:c>
      <x:c r="D1004" s="3" t="str">
        <x:v>B07</x:v>
      </x:c>
      <x:c r="E1004" s="3" t="str">
        <x:f>IF(Z1004="移出","已移出",IF(NOT(ISNUMBER(H1004)),"数据待核",IF(H1004=0,"断货",IF(NOT(ISNUMBER(G1004)),"数据待核",IF(G1004=0,"零日销待复核",IF(F1004&lt;60,"补货提醒",IF(F1004&lt;=90,"正常库存",IF(F1004&lt;180,"促销",IF(F1004&lt;=365,"红线促销","考虑清仓")))))))))</x:f>
        <x:v>正常库存</x:v>
      </x:c>
      <x:c r="F1004" s="11" t="n">
        <x:f>IF(AND(ISNUMBER(H1004),ISNUMBER(G1004),G1004&gt;0),H1004/G1004,"")</x:f>
        <x:v>68.63957597173146</x:v>
      </x:c>
      <x:c r="G1004" s="12" t="n">
        <x:f>IF(AND(COUNT(P1004:R1004)=3,MIN(P1004:R1004)&gt;=0,P1004&lt;=Q1004,Q1004&lt;=R1004),P1004/7*0.5+Q1004/14*0.3+R1004/30*0.2,"")</x:f>
        <x:v>0.539047619047619</x:v>
      </x:c>
      <x:c r="H1004" s="10" t="n">
        <x:f>IF(ISNUMBER(U1004),U1004,"")</x:f>
        <x:v>37</x:v>
      </x:c>
      <x:c r="I1004" s="10" t="n">
        <x:v>23</x:v>
      </x:c>
      <x:c r="J1004" s="11" t="n">
        <x:f>IF(AND(Z1004="共同",ISNUMBER(F1004),ISNUMBER(M1004)),F1004-M1004,"")</x:f>
        <x:v>-87.1668756411718</x:v>
      </x:c>
      <x:c r="K1004" s="13" t="n">
        <x:f>IF(AND(ISNUMBER(J1004),M1004&lt;&gt;0),J1004/M1004,"")</x:f>
        <x:v>-0.5594561376555539</x:v>
      </x:c>
      <x:c r="L1004" s="10" t="str">
        <x:v>促销</x:v>
      </x:c>
      <x:c r="M1004" s="11" t="n">
        <x:v>155.80645161290326</x:v>
      </x:c>
      <x:c r="N1004" s="10" t="n">
        <x:f>IF(AND(Z1004="共同",COUNT(H1004:I1004)=2),H1004-I1004,"")</x:f>
        <x:v>14</x:v>
      </x:c>
      <x:c r="O1004" s="10" t="n">
        <x:v>15</x:v>
      </x:c>
      <x:c r="P1004" s="10" t="n">
        <x:v>5</x:v>
      </x:c>
      <x:c r="Q1004" s="10" t="n">
        <x:v>6</x:v>
      </x:c>
      <x:c r="R1004" s="10" t="n">
        <x:v>8</x:v>
      </x:c>
      <x:c r="S1004" s="10" t="n">
        <x:v>40</x:v>
      </x:c>
      <x:c r="T1004" s="10" t="n">
        <x:v>0</x:v>
      </x:c>
      <x:c r="U1004" s="10" t="n">
        <x:f>IF(AND(ISNUMBER(X1004),X1004&gt;=0,Y1004&lt;&gt;1),X1004,"")</x:f>
        <x:v>37</x:v>
      </x:c>
      <x:c r="V1004" s="10" t="n">
        <x:v>0</x:v>
      </x:c>
      <x:c r="W1004" s="10" t="n">
        <x:v>20</x:v>
      </x:c>
      <x:c r="X1004" s="10" t="n">
        <x:v>37</x:v>
      </x:c>
      <x:c r="Y1004" s="3" t="n">
        <x:v>0</x:v>
      </x:c>
      <x:c r="Z1004" s="3" t="str">
        <x:v>共同</x:v>
      </x:c>
      <x:c r="AA1004" s="3" t="str">
        <x:v>在售</x:v>
      </x:c>
      <x:c r="AB1004" s="12" t="n">
        <x:f>IF(AND(Z1004="共同",ISNUMBER(G1004),ISNUMBER(AD1004)),G1004-AD1004,"")</x:f>
        <x:v>0.3914285714285714</x:v>
      </x:c>
      <x:c r="AC1004" s="3" t="str"/>
      <x:c r="AD1004" s="12" t="n">
        <x:v>0.1476190476190476</x:v>
      </x:c>
      <x:c r="AE1004" s="3" t="str">
        <x:v>[13306,"B07-BGP-39-by"]</x:v>
      </x:c>
      <x:c r="AF1004" t="n">
        <x:f>IF(ISNUMBER(H1004),1,0)</x:f>
        <x:v>1</x:v>
      </x:c>
      <x:c r="AG1004" t="n">
        <x:f>IF(ISNUMBER(I1004),1,0)</x:f>
        <x:v>1</x:v>
      </x:c>
      <x:c r="AH1004" t="str">
        <x:v>["B07","B07-BGP","BGP","米色PU"]</x:v>
      </x:c>
      <x:c r="AI1004" t="n">
        <x:f>IF(ISNUMBER(G1004),1,0)</x:f>
        <x:v>1</x:v>
      </x:c>
      <x:c r="AJ1004" t="n">
        <x:f>IF(ISNUMBER(AD1004),1,0)</x:f>
        <x:v>1</x:v>
      </x:c>
    </x:row>
    <x:row r="1005" ht="30" customHeight="1">
      <x:c r="A1005" s="3" t="str">
        <x:v>B07-BK-39-New</x:v>
      </x:c>
      <x:c r="B1005" s="3" t="str">
        <x:v>4店-彬郁-US</x:v>
      </x:c>
      <x:c r="C1005" s="3" t="str">
        <x:v>艾年</x:v>
      </x:c>
      <x:c r="D1005" s="3" t="str">
        <x:v>B07</x:v>
      </x:c>
      <x:c r="E1005" s="3" t="str">
        <x:f>IF(Z1005="移出","已移出",IF(NOT(ISNUMBER(H1005)),"数据待核",IF(H1005=0,"断货",IF(NOT(ISNUMBER(G1005)),"数据待核",IF(G1005=0,"零日销待复核",IF(F1005&lt;60,"补货提醒",IF(F1005&lt;=90,"正常库存",IF(F1005&lt;180,"促销",IF(F1005&lt;=365,"红线促销","考虑清仓")))))))))</x:f>
        <x:v>正常库存</x:v>
      </x:c>
      <x:c r="F1005" s="11" t="n">
        <x:f>IF(AND(ISNUMBER(H1005),ISNUMBER(G1005),G1005&gt;0),H1005/G1005,"")</x:f>
        <x:v>85.785744060025</x:v>
      </x:c>
      <x:c r="G1005" s="12" t="n">
        <x:f>IF(AND(COUNT(P1005:R1005)=3,MIN(P1005:R1005)&gt;=0,P1005&lt;=Q1005,Q1005&lt;=R1005),P1005/7*0.5+Q1005/14*0.3+R1005/30*0.2,"")</x:f>
        <x:v>1.1423809523809525</x:v>
      </x:c>
      <x:c r="H1005" s="10" t="n">
        <x:f>IF(ISNUMBER(U1005),U1005,"")</x:f>
        <x:v>98</x:v>
      </x:c>
      <x:c r="I1005" s="10" t="n">
        <x:v>121</x:v>
      </x:c>
      <x:c r="J1005" s="11" t="n">
        <x:f>IF(AND(Z1005="共同",ISNUMBER(F1005),ISNUMBER(M1005)),F1005-M1005,"")</x:f>
        <x:v>-31.689984095314813</x:v>
      </x:c>
      <x:c r="K1005" s="13" t="n">
        <x:f>IF(AND(ISNUMBER(J1005),M1005&lt;&gt;0),J1005/M1005,"")</x:f>
        <x:v>-0.2697577158526798</x:v>
      </x:c>
      <x:c r="L1005" s="10" t="str">
        <x:v>促销</x:v>
      </x:c>
      <x:c r="M1005" s="11" t="n">
        <x:v>117.47572815533981</x:v>
      </x:c>
      <x:c r="N1005" s="10" t="n">
        <x:f>IF(AND(Z1005="共同",COUNT(H1005:I1005)=2),H1005-I1005,"")</x:f>
        <x:v>-23</x:v>
      </x:c>
      <x:c r="O1005" s="10" t="n">
        <x:v>85</x:v>
      </x:c>
      <x:c r="P1005" s="10" t="n">
        <x:v>8</x:v>
      </x:c>
      <x:c r="Q1005" s="10" t="n">
        <x:v>17</x:v>
      </x:c>
      <x:c r="R1005" s="10" t="n">
        <x:v>31</x:v>
      </x:c>
      <x:c r="S1005" s="10" t="n">
        <x:v>121</x:v>
      </x:c>
      <x:c r="T1005" s="10" t="n">
        <x:v>1</x:v>
      </x:c>
      <x:c r="U1005" s="10" t="n">
        <x:f>IF(AND(ISNUMBER(X1005),X1005&gt;=0,Y1005&lt;&gt;1),X1005,"")</x:f>
        <x:v>98</x:v>
      </x:c>
      <x:c r="V1005" s="10" t="n">
        <x:v>16</x:v>
      </x:c>
      <x:c r="W1005" s="10" t="n">
        <x:v>0</x:v>
      </x:c>
      <x:c r="X1005" s="10" t="n">
        <x:v>98</x:v>
      </x:c>
      <x:c r="Y1005" s="3" t="n">
        <x:v>0</x:v>
      </x:c>
      <x:c r="Z1005" s="3" t="str">
        <x:v>共同</x:v>
      </x:c>
      <x:c r="AA1005" s="3" t="str">
        <x:v>在售</x:v>
      </x:c>
      <x:c r="AB1005" s="12" t="n">
        <x:f>IF(AND(Z1005="共同",ISNUMBER(G1005),ISNUMBER(AD1005)),G1005-AD1005,"")</x:f>
        <x:v>0.11238095238095247</x:v>
      </x:c>
      <x:c r="AC1005" s="3" t="str"/>
      <x:c r="AD1005" s="12" t="n">
        <x:v>1.03</x:v>
      </x:c>
      <x:c r="AE1005" s="3" t="str">
        <x:v>[13306,"B07-BK-39-New"]</x:v>
      </x:c>
      <x:c r="AF1005" t="n">
        <x:f>IF(ISNUMBER(H1005),1,0)</x:f>
        <x:v>1</x:v>
      </x:c>
      <x:c r="AG1005" t="n">
        <x:f>IF(ISNUMBER(I1005),1,0)</x:f>
        <x:v>1</x:v>
      </x:c>
      <x:c r="AH1005" t="str">
        <x:v>["B07","B07-BK","BK","黑色羊京绒"]</x:v>
      </x:c>
      <x:c r="AI1005" t="n">
        <x:f>IF(ISNUMBER(G1005),1,0)</x:f>
        <x:v>1</x:v>
      </x:c>
      <x:c r="AJ1005" t="n">
        <x:f>IF(ISNUMBER(AD1005),1,0)</x:f>
        <x:v>1</x:v>
      </x:c>
    </x:row>
    <x:row r="1006" ht="30" customHeight="1">
      <x:c r="A1006" s="3" t="str">
        <x:v>B07-BK-Z-0-40.5</x:v>
      </x:c>
      <x:c r="B1006" s="3" t="str">
        <x:v>4店-彬郁-US</x:v>
      </x:c>
      <x:c r="C1006" s="3" t="str">
        <x:v>艾年</x:v>
      </x:c>
      <x:c r="D1006" s="3" t="str">
        <x:v>B07</x:v>
      </x:c>
      <x:c r="E1006" s="3" t="str">
        <x:f>IF(Z1006="移出","已移出",IF(NOT(ISNUMBER(H1006)),"数据待核",IF(H1006=0,"断货",IF(NOT(ISNUMBER(G1006)),"数据待核",IF(G1006=0,"零日销待复核",IF(F1006&lt;60,"补货提醒",IF(F1006&lt;=90,"正常库存",IF(F1006&lt;180,"促销",IF(F1006&lt;=365,"红线促销","考虑清仓")))))))))</x:f>
        <x:v>正常库存</x:v>
      </x:c>
      <x:c r="F1006" s="11" t="n">
        <x:f>IF(AND(ISNUMBER(H1006),ISNUMBER(G1006),G1006&gt;0),H1006/G1006,"")</x:f>
        <x:v>67.74193548387098</x:v>
      </x:c>
      <x:c r="G1006" s="12" t="n">
        <x:f>IF(AND(COUNT(P1006:R1006)=3,MIN(P1006:R1006)&gt;=0,P1006&lt;=Q1006,Q1006&lt;=R1006),P1006/7*0.5+Q1006/14*0.3+R1006/30*0.2,"")</x:f>
        <x:v>0.1476190476190476</x:v>
      </x:c>
      <x:c r="H1006" s="10" t="n">
        <x:f>IF(ISNUMBER(U1006),U1006,"")</x:f>
        <x:v>10</x:v>
      </x:c>
      <x:c r="I1006" s="10" t="n">
        <x:v>12</x:v>
      </x:c>
      <x:c r="J1006" s="11" t="n">
        <x:f>IF(AND(Z1006="共同",ISNUMBER(F1006),ISNUMBER(M1006)),F1006-M1006,"")</x:f>
        <x:v>28.42836294096925</x:v>
      </x:c>
      <x:c r="K1006" s="13" t="n">
        <x:f>IF(AND(ISNUMBER(J1006),M1006&lt;&gt;0),J1006/M1006,"")</x:f>
        <x:v>0.7231182795698923</x:v>
      </x:c>
      <x:c r="L1006" s="10" t="str">
        <x:v>补货提醒</x:v>
      </x:c>
      <x:c r="M1006" s="11" t="n">
        <x:v>39.313572542901724</x:v>
      </x:c>
      <x:c r="N1006" s="10" t="n">
        <x:f>IF(AND(Z1006="共同",COUNT(H1006:I1006)=2),H1006-I1006,"")</x:f>
        <x:v>-2</x:v>
      </x:c>
      <x:c r="O1006" s="10" t="n">
        <x:v>5</x:v>
      </x:c>
      <x:c r="P1006" s="10" t="n">
        <x:v>1</x:v>
      </x:c>
      <x:c r="Q1006" s="10" t="n">
        <x:v>2</x:v>
      </x:c>
      <x:c r="R1006" s="10" t="n">
        <x:v>5</x:v>
      </x:c>
      <x:c r="S1006" s="10" t="n">
        <x:v>10</x:v>
      </x:c>
      <x:c r="T1006" s="10" t="n">
        <x:v>0</x:v>
      </x:c>
      <x:c r="U1006" s="10" t="n">
        <x:f>IF(AND(ISNUMBER(X1006),X1006&gt;=0,Y1006&lt;&gt;1),X1006,"")</x:f>
        <x:v>10</x:v>
      </x:c>
      <x:c r="V1006" s="10" t="n">
        <x:v>0</x:v>
      </x:c>
      <x:c r="W1006" s="10" t="n">
        <x:v>5</x:v>
      </x:c>
      <x:c r="X1006" s="10" t="n">
        <x:v>10</x:v>
      </x:c>
      <x:c r="Y1006" s="3" t="n">
        <x:v>0</x:v>
      </x:c>
      <x:c r="Z1006" s="3" t="str">
        <x:v>共同</x:v>
      </x:c>
      <x:c r="AA1006" s="3" t="str">
        <x:v>在售</x:v>
      </x:c>
      <x:c r="AB1006" s="12" t="n">
        <x:f>IF(AND(Z1006="共同",ISNUMBER(G1006),ISNUMBER(AD1006)),G1006-AD1006,"")</x:f>
        <x:v>-0.1576190476190476</x:v>
      </x:c>
      <x:c r="AC1006" s="3" t="str"/>
      <x:c r="AD1006" s="12" t="n">
        <x:v>0.3052380952380952</x:v>
      </x:c>
      <x:c r="AE1006" s="3" t="str">
        <x:v>[13306,"B07-BK-Z-0-40.5"]</x:v>
      </x:c>
      <x:c r="AF1006" t="n">
        <x:f>IF(ISNUMBER(H1006),1,0)</x:f>
        <x:v>1</x:v>
      </x:c>
      <x:c r="AG1006" t="n">
        <x:f>IF(ISNUMBER(I1006),1,0)</x:f>
        <x:v>1</x:v>
      </x:c>
      <x:c r="AH1006" t="str">
        <x:v>["B07","B07-BK-Z-0","BK-Z","黑色镜面PU"]</x:v>
      </x:c>
      <x:c r="AI1006" t="n">
        <x:f>IF(ISNUMBER(G1006),1,0)</x:f>
        <x:v>1</x:v>
      </x:c>
      <x:c r="AJ1006" t="n">
        <x:f>IF(ISNUMBER(AD1006),1,0)</x:f>
        <x:v>1</x:v>
      </x:c>
    </x:row>
    <x:row r="1007" ht="30" customHeight="1">
      <x:c r="A1007" s="3" t="str">
        <x:v>B07-BKP-42-New</x:v>
      </x:c>
      <x:c r="B1007" s="3" t="str">
        <x:v>4店-彬郁-US</x:v>
      </x:c>
      <x:c r="C1007" s="3" t="str">
        <x:v>艾年</x:v>
      </x:c>
      <x:c r="D1007" s="3" t="str">
        <x:v>B07</x:v>
      </x:c>
      <x:c r="E1007" s="3" t="str">
        <x:f>IF(Z1007="移出","已移出",IF(NOT(ISNUMBER(H1007)),"数据待核",IF(H1007=0,"断货",IF(NOT(ISNUMBER(G1007)),"数据待核",IF(G1007=0,"零日销待复核",IF(F1007&lt;60,"补货提醒",IF(F1007&lt;=90,"正常库存",IF(F1007&lt;180,"促销",IF(F1007&lt;=365,"红线促销","考虑清仓")))))))))</x:f>
        <x:v>正常库存</x:v>
      </x:c>
      <x:c r="F1007" s="11" t="n">
        <x:f>IF(AND(ISNUMBER(H1007),ISNUMBER(G1007),G1007&gt;0),H1007/G1007,"")</x:f>
        <x:v>80.38277511961724</x:v>
      </x:c>
      <x:c r="G1007" s="12" t="n">
        <x:f>IF(AND(COUNT(P1007:R1007)=3,MIN(P1007:R1007)&gt;=0,P1007&lt;=Q1007,Q1007&lt;=R1007),P1007/7*0.5+Q1007/14*0.3+R1007/30*0.2,"")</x:f>
        <x:v>0.09952380952380951</x:v>
      </x:c>
      <x:c r="H1007" s="10" t="n">
        <x:f>IF(ISNUMBER(U1007),U1007,"")</x:f>
        <x:v>8</x:v>
      </x:c>
      <x:c r="I1007" s="10" t="n">
        <x:v>8</x:v>
      </x:c>
      <x:c r="J1007" s="11" t="n">
        <x:f>IF(AND(Z1007="共同",ISNUMBER(F1007),ISNUMBER(M1007)),F1007-M1007,"")</x:f>
        <x:v>-1119.6172248803828</x:v>
      </x:c>
      <x:c r="K1007" s="13" t="n">
        <x:f>IF(AND(ISNUMBER(J1007),M1007&lt;&gt;0),J1007/M1007,"")</x:f>
        <x:v>-0.9330143540669856</x:v>
      </x:c>
      <x:c r="L1007" s="10" t="str">
        <x:v>考虑清仓</x:v>
      </x:c>
      <x:c r="M1007" s="11" t="n">
        <x:v>1200</x:v>
      </x:c>
      <x:c r="N1007" s="10" t="n">
        <x:f>IF(AND(Z1007="共同",COUNT(H1007:I1007)=2),H1007-I1007,"")</x:f>
        <x:v>0</x:v>
      </x:c>
      <x:c r="O1007" s="10" t="n">
        <x:v>0</x:v>
      </x:c>
      <x:c r="P1007" s="10" t="n">
        <x:v>1</x:v>
      </x:c>
      <x:c r="Q1007" s="10" t="n">
        <x:v>1</x:v>
      </x:c>
      <x:c r="R1007" s="10" t="n">
        <x:v>1</x:v>
      </x:c>
      <x:c r="S1007" s="10" t="n">
        <x:v>9</x:v>
      </x:c>
      <x:c r="T1007" s="10" t="n">
        <x:v>1</x:v>
      </x:c>
      <x:c r="U1007" s="10" t="n">
        <x:f>IF(AND(ISNUMBER(X1007),X1007&gt;=0,Y1007&lt;&gt;1),X1007,"")</x:f>
        <x:v>8</x:v>
      </x:c>
      <x:c r="V1007" s="10" t="n">
        <x:v>0</x:v>
      </x:c>
      <x:c r="W1007" s="10" t="n">
        <x:v>0</x:v>
      </x:c>
      <x:c r="X1007" s="10" t="n">
        <x:v>8</x:v>
      </x:c>
      <x:c r="Y1007" s="3" t="n">
        <x:v>0</x:v>
      </x:c>
      <x:c r="Z1007" s="3" t="str">
        <x:v>共同</x:v>
      </x:c>
      <x:c r="AA1007" s="3" t="str">
        <x:v>在售</x:v>
      </x:c>
      <x:c r="AB1007" s="12" t="n">
        <x:f>IF(AND(Z1007="共同",ISNUMBER(G1007),ISNUMBER(AD1007)),G1007-AD1007,"")</x:f>
        <x:v>0.09285714285714285</x:v>
      </x:c>
      <x:c r="AC1007" s="3" t="str"/>
      <x:c r="AD1007" s="12" t="n">
        <x:v>0.006666666666666666</x:v>
      </x:c>
      <x:c r="AE1007" s="3" t="str">
        <x:v>[13306,"B07-BKP-42-New"]</x:v>
      </x:c>
      <x:c r="AF1007" t="n">
        <x:f>IF(ISNUMBER(H1007),1,0)</x:f>
        <x:v>1</x:v>
      </x:c>
      <x:c r="AG1007" t="n">
        <x:f>IF(ISNUMBER(I1007),1,0)</x:f>
        <x:v>1</x:v>
      </x:c>
      <x:c r="AH1007" t="str">
        <x:v>["B07","B07-BKP","BKP","黑色PU"]</x:v>
      </x:c>
      <x:c r="AI1007" t="n">
        <x:f>IF(ISNUMBER(G1007),1,0)</x:f>
        <x:v>1</x:v>
      </x:c>
      <x:c r="AJ1007" t="n">
        <x:f>IF(ISNUMBER(AD1007),1,0)</x:f>
        <x:v>1</x:v>
      </x:c>
    </x:row>
    <x:row r="1008" ht="30" customHeight="1">
      <x:c r="A1008" s="3" t="str">
        <x:v>B07-IV-P-40</x:v>
      </x:c>
      <x:c r="B1008" s="3" t="str">
        <x:v>4店-彬郁-US</x:v>
      </x:c>
      <x:c r="C1008" s="3" t="str">
        <x:v>艾年</x:v>
      </x:c>
      <x:c r="D1008" s="3" t="str">
        <x:v>B07</x:v>
      </x:c>
      <x:c r="E1008" s="3" t="str">
        <x:f>IF(Z1008="移出","已移出",IF(NOT(ISNUMBER(H1008)),"数据待核",IF(H1008=0,"断货",IF(NOT(ISNUMBER(G1008)),"数据待核",IF(G1008=0,"零日销待复核",IF(F1008&lt;60,"补货提醒",IF(F1008&lt;=90,"正常库存",IF(F1008&lt;180,"促销",IF(F1008&lt;=365,"红线促销","考虑清仓")))))))))</x:f>
        <x:v>正常库存</x:v>
      </x:c>
      <x:c r="F1008" s="11" t="n">
        <x:f>IF(AND(ISNUMBER(H1008),ISNUMBER(G1008),G1008&gt;0),H1008/G1008,"")</x:f>
        <x:v>75</x:v>
      </x:c>
      <x:c r="G1008" s="12" t="n">
        <x:f>IF(AND(COUNT(P1008:R1008)=3,MIN(P1008:R1008)&gt;=0,P1008&lt;=Q1008,Q1008&lt;=R1008),P1008/7*0.5+Q1008/14*0.3+R1008/30*0.2,"")</x:f>
        <x:v>0.013333333333333334</x:v>
      </x:c>
      <x:c r="H1008" s="10" t="n">
        <x:f>IF(ISNUMBER(U1008),U1008,"")</x:f>
        <x:v>1</x:v>
      </x:c>
      <x:c r="I1008" s="10" t="n">
        <x:v>0</x:v>
      </x:c>
      <x:c r="J1008" s="11" t="n">
        <x:f>IF(AND(Z1008="共同",ISNUMBER(F1008),ISNUMBER(M1008)),F1008-M1008,"")</x:f>
        <x:v>75</x:v>
      </x:c>
      <x:c r="K1008" s="13" t="str">
        <x:f>IF(AND(ISNUMBER(J1008),M1008&lt;&gt;0),J1008/M1008,"")</x:f>
      </x:c>
      <x:c r="L1008" s="10" t="str">
        <x:v>断货</x:v>
      </x:c>
      <x:c r="M1008" s="11" t="n">
        <x:v>0</x:v>
      </x:c>
      <x:c r="N1008" s="10" t="n">
        <x:f>IF(AND(Z1008="共同",COUNT(H1008:I1008)=2),H1008-I1008,"")</x:f>
        <x:v>1</x:v>
      </x:c>
      <x:c r="O1008" s="10" t="n">
        <x:v>3</x:v>
      </x:c>
      <x:c r="P1008" s="10" t="n">
        <x:v>0</x:v>
      </x:c>
      <x:c r="Q1008" s="10" t="n">
        <x:v>0</x:v>
      </x:c>
      <x:c r="R1008" s="10" t="n">
        <x:v>2</x:v>
      </x:c>
      <x:c r="S1008" s="10" t="n">
        <x:v>2</x:v>
      </x:c>
      <x:c r="T1008" s="10" t="n">
        <x:v>0</x:v>
      </x:c>
      <x:c r="U1008" s="10" t="n">
        <x:f>IF(AND(ISNUMBER(X1008),X1008&gt;=0,Y1008&lt;&gt;1),X1008,"")</x:f>
        <x:v>1</x:v>
      </x:c>
      <x:c r="V1008" s="10" t="n">
        <x:v>0</x:v>
      </x:c>
      <x:c r="W1008" s="10" t="n">
        <x:v>3</x:v>
      </x:c>
      <x:c r="X1008" s="10" t="n">
        <x:v>1</x:v>
      </x:c>
      <x:c r="Y1008" s="3" t="n">
        <x:v>0</x:v>
      </x:c>
      <x:c r="Z1008" s="3" t="str">
        <x:v>共同</x:v>
      </x:c>
      <x:c r="AA1008" s="3" t="str">
        <x:v>在售</x:v>
      </x:c>
      <x:c r="AB1008" s="12" t="n">
        <x:f>IF(AND(Z1008="共同",ISNUMBER(G1008),ISNUMBER(AD1008)),G1008-AD1008,"")</x:f>
        <x:v>-0.1276190476190476</x:v>
      </x:c>
      <x:c r="AC1008" s="3" t="str"/>
      <x:c r="AD1008" s="12" t="n">
        <x:v>0.14095238095238094</x:v>
      </x:c>
      <x:c r="AE1008" s="3" t="str">
        <x:v>[13306,"B07-IV-P-40"]</x:v>
      </x:c>
      <x:c r="AF1008" t="n">
        <x:f>IF(ISNUMBER(H1008),1,0)</x:f>
        <x:v>1</x:v>
      </x:c>
      <x:c r="AG1008" t="n">
        <x:f>IF(ISNUMBER(I1008),1,0)</x:f>
        <x:v>1</x:v>
      </x:c>
      <x:c r="AH1008" t="str">
        <x:v>["B07","B07-IV-P","IV-P","米白色PU"]</x:v>
      </x:c>
      <x:c r="AI1008" t="n">
        <x:f>IF(ISNUMBER(G1008),1,0)</x:f>
        <x:v>1</x:v>
      </x:c>
      <x:c r="AJ1008" t="n">
        <x:f>IF(ISNUMBER(AD1008),1,0)</x:f>
        <x:v>1</x:v>
      </x:c>
    </x:row>
    <x:row r="1009" ht="30" customHeight="1">
      <x:c r="A1009" s="3" t="str">
        <x:v>B07-NY-39.5-by</x:v>
      </x:c>
      <x:c r="B1009" s="3" t="str">
        <x:v>4店-彬郁-US</x:v>
      </x:c>
      <x:c r="C1009" s="3" t="str">
        <x:v>艾年</x:v>
      </x:c>
      <x:c r="D1009" s="3" t="str">
        <x:v>B07</x:v>
      </x:c>
      <x:c r="E1009" s="3" t="str">
        <x:f>IF(Z1009="移出","已移出",IF(NOT(ISNUMBER(H1009)),"数据待核",IF(H1009=0,"断货",IF(NOT(ISNUMBER(G1009)),"数据待核",IF(G1009=0,"零日销待复核",IF(F1009&lt;60,"补货提醒",IF(F1009&lt;=90,"正常库存",IF(F1009&lt;180,"促销",IF(F1009&lt;=365,"红线促销","考虑清仓")))))))))</x:f>
        <x:v>正常库存</x:v>
      </x:c>
      <x:c r="F1009" s="11" t="n">
        <x:f>IF(AND(ISNUMBER(H1009),ISNUMBER(G1009),G1009&gt;0),H1009/G1009,"")</x:f>
        <x:v>74.55621301775149</x:v>
      </x:c>
      <x:c r="G1009" s="12" t="n">
        <x:f>IF(AND(COUNT(P1009:R1009)=3,MIN(P1009:R1009)&gt;=0,P1009&lt;=Q1009,Q1009&lt;=R1009),P1009/7*0.5+Q1009/14*0.3+R1009/30*0.2,"")</x:f>
        <x:v>0.16095238095238093</x:v>
      </x:c>
      <x:c r="H1009" s="10" t="n">
        <x:f>IF(ISNUMBER(U1009),U1009,"")</x:f>
        <x:v>12</x:v>
      </x:c>
      <x:c r="I1009" s="10" t="n">
        <x:v>0</x:v>
      </x:c>
      <x:c r="J1009" s="11" t="n">
        <x:f>IF(AND(Z1009="共同",ISNUMBER(F1009),ISNUMBER(M1009)),F1009-M1009,"")</x:f>
        <x:v>74.55621301775149</x:v>
      </x:c>
      <x:c r="K1009" s="13" t="str">
        <x:f>IF(AND(ISNUMBER(J1009),M1009&lt;&gt;0),J1009/M1009,"")</x:f>
      </x:c>
      <x:c r="L1009" s="10" t="str">
        <x:v>断货</x:v>
      </x:c>
      <x:c r="M1009" s="11" t="n">
        <x:v>0</x:v>
      </x:c>
      <x:c r="N1009" s="10" t="n">
        <x:f>IF(AND(Z1009="共同",COUNT(H1009:I1009)=2),H1009-I1009,"")</x:f>
        <x:v>12</x:v>
      </x:c>
      <x:c r="O1009" s="10" t="n">
        <x:v>0</x:v>
      </x:c>
      <x:c r="P1009" s="10" t="n">
        <x:v>1</x:v>
      </x:c>
      <x:c r="Q1009" s="10" t="n">
        <x:v>2</x:v>
      </x:c>
      <x:c r="R1009" s="10" t="n">
        <x:v>7</x:v>
      </x:c>
      <x:c r="S1009" s="10" t="n">
        <x:v>16</x:v>
      </x:c>
      <x:c r="T1009" s="10" t="n">
        <x:v>0</x:v>
      </x:c>
      <x:c r="U1009" s="10" t="n">
        <x:f>IF(AND(ISNUMBER(X1009),X1009&gt;=0,Y1009&lt;&gt;1),X1009,"")</x:f>
        <x:v>12</x:v>
      </x:c>
      <x:c r="V1009" s="10" t="n">
        <x:v>3</x:v>
      </x:c>
      <x:c r="W1009" s="10" t="n">
        <x:v>3</x:v>
      </x:c>
      <x:c r="X1009" s="10" t="n">
        <x:v>12</x:v>
      </x:c>
      <x:c r="Y1009" s="3" t="n">
        <x:v>0</x:v>
      </x:c>
      <x:c r="Z1009" s="3" t="str">
        <x:v>共同</x:v>
      </x:c>
      <x:c r="AA1009" s="3" t="str">
        <x:v>在售</x:v>
      </x:c>
      <x:c r="AB1009" s="12" t="n">
        <x:f>IF(AND(Z1009="共同",ISNUMBER(G1009),ISNUMBER(AD1009)),G1009-AD1009,"")</x:f>
        <x:v>-0.06428571428571431</x:v>
      </x:c>
      <x:c r="AC1009" s="3" t="str"/>
      <x:c r="AD1009" s="12" t="n">
        <x:v>0.22523809523809524</x:v>
      </x:c>
      <x:c r="AE1009" s="3" t="str">
        <x:v>[13306,"B07-NY-39.5-by"]</x:v>
      </x:c>
      <x:c r="AF1009" t="n">
        <x:f>IF(ISNUMBER(H1009),1,0)</x:f>
        <x:v>1</x:v>
      </x:c>
      <x:c r="AG1009" t="n">
        <x:f>IF(ISNUMBER(I1009),1,0)</x:f>
        <x:v>1</x:v>
      </x:c>
      <x:c r="AH1009" t="str">
        <x:v>["B07","B07-NY","NY","藏青色羊京绒"]</x:v>
      </x:c>
      <x:c r="AI1009" t="n">
        <x:f>IF(ISNUMBER(G1009),1,0)</x:f>
        <x:v>1</x:v>
      </x:c>
      <x:c r="AJ1009" t="n">
        <x:f>IF(ISNUMBER(AD1009),1,0)</x:f>
        <x:v>1</x:v>
      </x:c>
    </x:row>
    <x:row r="1010" ht="30" customHeight="1">
      <x:c r="A1010" s="3" t="str">
        <x:v>B07-TN-40.5</x:v>
      </x:c>
      <x:c r="B1010" s="3" t="str">
        <x:v>4店-彬郁-US</x:v>
      </x:c>
      <x:c r="C1010" s="3" t="str">
        <x:v>艾年</x:v>
      </x:c>
      <x:c r="D1010" s="3" t="str">
        <x:v>B07</x:v>
      </x:c>
      <x:c r="E1010" s="3" t="str">
        <x:f>IF(Z1010="移出","已移出",IF(NOT(ISNUMBER(H1010)),"数据待核",IF(H1010=0,"断货",IF(NOT(ISNUMBER(G1010)),"数据待核",IF(G1010=0,"零日销待复核",IF(F1010&lt;60,"补货提醒",IF(F1010&lt;=90,"正常库存",IF(F1010&lt;180,"促销",IF(F1010&lt;=365,"红线促销","考虑清仓")))))))))</x:f>
        <x:v>正常库存</x:v>
      </x:c>
      <x:c r="F1010" s="11" t="n">
        <x:f>IF(AND(ISNUMBER(H1010),ISNUMBER(G1010),G1010&gt;0),H1010/G1010,"")</x:f>
        <x:v>78.35820895522389</x:v>
      </x:c>
      <x:c r="G1010" s="12" t="n">
        <x:f>IF(AND(COUNT(P1010:R1010)=3,MIN(P1010:R1010)&gt;=0,P1010&lt;=Q1010,Q1010&lt;=R1010),P1010/7*0.5+Q1010/14*0.3+R1010/30*0.2,"")</x:f>
        <x:v>0.1276190476190476</x:v>
      </x:c>
      <x:c r="H1010" s="10" t="n">
        <x:f>IF(ISNUMBER(U1010),U1010,"")</x:f>
        <x:v>10</x:v>
      </x:c>
      <x:c r="I1010" s="10" t="n">
        <x:v>3</x:v>
      </x:c>
      <x:c r="J1010" s="11" t="str">
        <x:f>IF(AND(Z1010="共同",ISNUMBER(F1010),ISNUMBER(M1010)),F1010-M1010,"")</x:f>
      </x:c>
      <x:c r="K1010" s="13" t="str">
        <x:f>IF(AND(ISNUMBER(J1010),M1010&lt;&gt;0),J1010/M1010,"")</x:f>
      </x:c>
      <x:c r="L1010" s="10" t="str">
        <x:v>零日销待复核</x:v>
      </x:c>
      <x:c r="M1010" s="11"/>
      <x:c r="N1010" s="10" t="n">
        <x:f>IF(AND(Z1010="共同",COUNT(H1010:I1010)=2),H1010-I1010,"")</x:f>
        <x:v>7</x:v>
      </x:c>
      <x:c r="O1010" s="10" t="n">
        <x:v>0</x:v>
      </x:c>
      <x:c r="P1010" s="10" t="n">
        <x:v>1</x:v>
      </x:c>
      <x:c r="Q1010" s="10" t="n">
        <x:v>2</x:v>
      </x:c>
      <x:c r="R1010" s="10" t="n">
        <x:v>2</x:v>
      </x:c>
      <x:c r="S1010" s="10" t="n">
        <x:v>31</x:v>
      </x:c>
      <x:c r="T1010" s="10" t="n">
        <x:v>0</x:v>
      </x:c>
      <x:c r="U1010" s="10" t="n">
        <x:f>IF(AND(ISNUMBER(X1010),X1010&gt;=0,Y1010&lt;&gt;1),X1010,"")</x:f>
        <x:v>10</x:v>
      </x:c>
      <x:c r="V1010" s="10" t="n">
        <x:v>0</x:v>
      </x:c>
      <x:c r="W1010" s="10" t="n">
        <x:v>0</x:v>
      </x:c>
      <x:c r="X1010" s="10" t="n">
        <x:v>10</x:v>
      </x:c>
      <x:c r="Y1010" s="3" t="n">
        <x:v>0</x:v>
      </x:c>
      <x:c r="Z1010" s="3" t="str">
        <x:v>共同</x:v>
      </x:c>
      <x:c r="AA1010" s="3" t="str">
        <x:v>在售</x:v>
      </x:c>
      <x:c r="AB1010" s="12" t="n">
        <x:f>IF(AND(Z1010="共同",ISNUMBER(G1010),ISNUMBER(AD1010)),G1010-AD1010,"")</x:f>
        <x:v>0.1276190476190476</x:v>
      </x:c>
      <x:c r="AC1010" s="3" t="str"/>
      <x:c r="AD1010" s="12" t="n">
        <x:v>0</x:v>
      </x:c>
      <x:c r="AE1010" s="3" t="str">
        <x:v>[13306,"B07-TN-40.5"]</x:v>
      </x:c>
      <x:c r="AF1010" t="n">
        <x:f>IF(ISNUMBER(H1010),1,0)</x:f>
        <x:v>1</x:v>
      </x:c>
      <x:c r="AG1010" t="n">
        <x:f>IF(ISNUMBER(I1010),1,0)</x:f>
        <x:v>1</x:v>
      </x:c>
      <x:c r="AH1010" t="str">
        <x:v>["B07","B07-TN","TN","驼色羊京绒"]</x:v>
      </x:c>
      <x:c r="AI1010" t="n">
        <x:f>IF(ISNUMBER(G1010),1,0)</x:f>
        <x:v>1</x:v>
      </x:c>
      <x:c r="AJ1010" t="n">
        <x:f>IF(ISNUMBER(AD1010),1,0)</x:f>
        <x:v>1</x:v>
      </x:c>
    </x:row>
    <x:row r="1011" ht="30" customHeight="1">
      <x:c r="A1011" s="3" t="str">
        <x:v>S02-BKP-37</x:v>
      </x:c>
      <x:c r="B1011" s="3" t="str">
        <x:v>3店-SANDIEX-US</x:v>
      </x:c>
      <x:c r="C1011" s="3" t="str">
        <x:v>陈晨</x:v>
      </x:c>
      <x:c r="D1011" s="3" t="str">
        <x:v>S02</x:v>
      </x:c>
      <x:c r="E1011" s="3" t="str">
        <x:f>IF(Z1011="移出","已移出",IF(NOT(ISNUMBER(H1011)),"数据待核",IF(H1011=0,"断货",IF(NOT(ISNUMBER(G1011)),"数据待核",IF(G1011=0,"零日销待复核",IF(F1011&lt;60,"补货提醒",IF(F1011&lt;=90,"正常库存",IF(F1011&lt;180,"促销",IF(F1011&lt;=365,"红线促销","考虑清仓")))))))))</x:f>
        <x:v>正常库存</x:v>
      </x:c>
      <x:c r="F1011" s="11" t="n">
        <x:f>IF(AND(ISNUMBER(H1011),ISNUMBER(G1011),G1011&gt;0),H1011/G1011,"")</x:f>
        <x:v>82.94797687861272</x:v>
      </x:c>
      <x:c r="G1011" s="12" t="n">
        <x:f>IF(AND(COUNT(P1011:R1011)=3,MIN(P1011:R1011)&gt;=0,P1011&lt;=Q1011,Q1011&lt;=R1011),P1011/7*0.5+Q1011/14*0.3+R1011/30*0.2,"")</x:f>
        <x:v>0.4942857142857143</x:v>
      </x:c>
      <x:c r="H1011" s="10" t="n">
        <x:f>IF(ISNUMBER(U1011),U1011,"")</x:f>
        <x:v>41</x:v>
      </x:c>
      <x:c r="I1011" s="10" t="n">
        <x:v>44</x:v>
      </x:c>
      <x:c r="J1011" s="11" t="n">
        <x:f>IF(AND(Z1011="共同",ISNUMBER(F1011),ISNUMBER(M1011)),F1011-M1011,"")</x:f>
        <x:v>-62.10696817633233</x:v>
      </x:c>
      <x:c r="K1011" s="13" t="n">
        <x:f>IF(AND(ISNUMBER(J1011),M1011&lt;&gt;0),J1011/M1011,"")</x:f>
        <x:v>-0.42816167454895776</x:v>
      </x:c>
      <x:c r="L1011" s="10" t="str">
        <x:v>促销</x:v>
      </x:c>
      <x:c r="M1011" s="11" t="n">
        <x:v>145.05494505494505</x:v>
      </x:c>
      <x:c r="N1011" s="10" t="n">
        <x:f>IF(AND(Z1011="共同",COUNT(H1011:I1011)=2),H1011-I1011,"")</x:f>
        <x:v>-3</x:v>
      </x:c>
      <x:c r="O1011" s="10" t="n">
        <x:v>59</x:v>
      </x:c>
      <x:c r="P1011" s="10" t="n">
        <x:v>4</x:v>
      </x:c>
      <x:c r="Q1011" s="10" t="n">
        <x:v>6</x:v>
      </x:c>
      <x:c r="R1011" s="10" t="n">
        <x:v>12</x:v>
      </x:c>
      <x:c r="S1011" s="10" t="n">
        <x:v>45</x:v>
      </x:c>
      <x:c r="T1011" s="10" t="n">
        <x:v>0</x:v>
      </x:c>
      <x:c r="U1011" s="10" t="n">
        <x:f>IF(AND(ISNUMBER(X1011),X1011&gt;=0,Y1011&lt;&gt;1),X1011,"")</x:f>
        <x:v>41</x:v>
      </x:c>
      <x:c r="V1011" s="10" t="n">
        <x:v>0</x:v>
      </x:c>
      <x:c r="W1011" s="10" t="n">
        <x:v>0</x:v>
      </x:c>
      <x:c r="X1011" s="10" t="n">
        <x:v>41</x:v>
      </x:c>
      <x:c r="Y1011" s="3" t="n">
        <x:v>0</x:v>
      </x:c>
      <x:c r="Z1011" s="3" t="str">
        <x:v>共同</x:v>
      </x:c>
      <x:c r="AA1011" s="3" t="str">
        <x:v>在售</x:v>
      </x:c>
      <x:c r="AB1011" s="12" t="n">
        <x:f>IF(AND(Z1011="共同",ISNUMBER(G1011),ISNUMBER(AD1011)),G1011-AD1011,"")</x:f>
        <x:v>0.19095238095238093</x:v>
      </x:c>
      <x:c r="AC1011" s="3" t="str"/>
      <x:c r="AD1011" s="12" t="n">
        <x:v>0.30333333333333334</x:v>
      </x:c>
      <x:c r="AE1011" s="3" t="str">
        <x:v>[6574,"S02-BKP-37"]</x:v>
      </x:c>
      <x:c r="AF1011" t="n">
        <x:f>IF(ISNUMBER(H1011),1,0)</x:f>
        <x:v>1</x:v>
      </x:c>
      <x:c r="AG1011" t="n">
        <x:f>IF(ISNUMBER(I1011),1,0)</x:f>
        <x:v>1</x:v>
      </x:c>
      <x:c r="AH1011" t="str">
        <x:v>["S02","S02-BKP","BKP","黑色PU"]</x:v>
      </x:c>
      <x:c r="AI1011" t="n">
        <x:f>IF(ISNUMBER(G1011),1,0)</x:f>
        <x:v>1</x:v>
      </x:c>
      <x:c r="AJ1011" t="n">
        <x:f>IF(ISNUMBER(AD1011),1,0)</x:f>
        <x:v>1</x:v>
      </x:c>
    </x:row>
    <x:row r="1012" ht="30" customHeight="1">
      <x:c r="A1012" s="3" t="str">
        <x:v>S02-TNP-42</x:v>
      </x:c>
      <x:c r="B1012" s="3" t="str">
        <x:v>3店-SANDIEX-US</x:v>
      </x:c>
      <x:c r="C1012" s="3" t="str">
        <x:v>陈晨</x:v>
      </x:c>
      <x:c r="D1012" s="3" t="str">
        <x:v>S02</x:v>
      </x:c>
      <x:c r="E1012" s="3" t="str">
        <x:f>IF(Z1012="移出","已移出",IF(NOT(ISNUMBER(H1012)),"数据待核",IF(H1012=0,"断货",IF(NOT(ISNUMBER(G1012)),"数据待核",IF(G1012=0,"零日销待复核",IF(F1012&lt;60,"补货提醒",IF(F1012&lt;=90,"正常库存",IF(F1012&lt;180,"促销",IF(F1012&lt;=365,"红线促销","考虑清仓")))))))))</x:f>
        <x:v>正常库存</x:v>
      </x:c>
      <x:c r="F1012" s="11" t="n">
        <x:f>IF(AND(ISNUMBER(H1012),ISNUMBER(G1012),G1012&gt;0),H1012/G1012,"")</x:f>
        <x:v>68.47826086956523</x:v>
      </x:c>
      <x:c r="G1012" s="12" t="n">
        <x:f>IF(AND(COUNT(P1012:R1012)=3,MIN(P1012:R1012)&gt;=0,P1012&lt;=Q1012,Q1012&lt;=R1012),P1012/7*0.5+Q1012/14*0.3+R1012/30*0.2,"")</x:f>
        <x:v>0.21904761904761902</x:v>
      </x:c>
      <x:c r="H1012" s="10" t="n">
        <x:f>IF(ISNUMBER(U1012),U1012,"")</x:f>
        <x:v>15</x:v>
      </x:c>
      <x:c r="I1012" s="10" t="n">
        <x:v>17</x:v>
      </x:c>
      <x:c r="J1012" s="11" t="n">
        <x:f>IF(AND(Z1012="共同",ISNUMBER(F1012),ISNUMBER(M1012)),F1012-M1012,"")</x:f>
        <x:v>12.784033100454458</x:v>
      </x:c>
      <x:c r="K1012" s="13" t="n">
        <x:f>IF(AND(ISNUMBER(J1012),M1012&lt;&gt;0),J1012/M1012,"")</x:f>
        <x:v>0.22953964194373405</x:v>
      </x:c>
      <x:c r="L1012" s="10" t="str">
        <x:v>补货提醒</x:v>
      </x:c>
      <x:c r="M1012" s="11" t="n">
        <x:v>55.694227769110775</x:v>
      </x:c>
      <x:c r="N1012" s="10" t="n">
        <x:f>IF(AND(Z1012="共同",COUNT(H1012:I1012)=2),H1012-I1012,"")</x:f>
        <x:v>-2</x:v>
      </x:c>
      <x:c r="O1012" s="10" t="n">
        <x:v>0</x:v>
      </x:c>
      <x:c r="P1012" s="10" t="n">
        <x:v>2</x:v>
      </x:c>
      <x:c r="Q1012" s="10" t="n">
        <x:v>2</x:v>
      </x:c>
      <x:c r="R1012" s="10" t="n">
        <x:v>5</x:v>
      </x:c>
      <x:c r="S1012" s="10" t="n">
        <x:v>17</x:v>
      </x:c>
      <x:c r="T1012" s="10" t="n">
        <x:v>1</x:v>
      </x:c>
      <x:c r="U1012" s="10" t="n">
        <x:f>IF(AND(ISNUMBER(X1012),X1012&gt;=0,Y1012&lt;&gt;1),X1012,"")</x:f>
        <x:v>15</x:v>
      </x:c>
      <x:c r="V1012" s="10" t="n">
        <x:v>0</x:v>
      </x:c>
      <x:c r="W1012" s="10" t="n">
        <x:v>0</x:v>
      </x:c>
      <x:c r="X1012" s="10" t="n">
        <x:v>15</x:v>
      </x:c>
      <x:c r="Y1012" s="3" t="n">
        <x:v>0</x:v>
      </x:c>
      <x:c r="Z1012" s="3" t="str">
        <x:v>共同</x:v>
      </x:c>
      <x:c r="AA1012" s="3" t="str">
        <x:v>在售</x:v>
      </x:c>
      <x:c r="AB1012" s="12" t="n">
        <x:f>IF(AND(Z1012="共同",ISNUMBER(G1012),ISNUMBER(AD1012)),G1012-AD1012,"")</x:f>
        <x:v>-0.08619047619047618</x:v>
      </x:c>
      <x:c r="AC1012" s="3" t="str"/>
      <x:c r="AD1012" s="12" t="n">
        <x:v>0.3052380952380952</x:v>
      </x:c>
      <x:c r="AE1012" s="3" t="str">
        <x:v>[6574,"S02-TNP-42"]</x:v>
      </x:c>
      <x:c r="AF1012" t="n">
        <x:f>IF(ISNUMBER(H1012),1,0)</x:f>
        <x:v>1</x:v>
      </x:c>
      <x:c r="AG1012" t="n">
        <x:f>IF(ISNUMBER(I1012),1,0)</x:f>
        <x:v>1</x:v>
      </x:c>
      <x:c r="AH1012" t="str">
        <x:v>["S02","S02-TNP","TNP","驼色PU"]</x:v>
      </x:c>
      <x:c r="AI1012" t="n">
        <x:f>IF(ISNUMBER(G1012),1,0)</x:f>
        <x:v>1</x:v>
      </x:c>
      <x:c r="AJ1012" t="n">
        <x:f>IF(ISNUMBER(AD1012),1,0)</x:f>
        <x:v>1</x:v>
      </x:c>
    </x:row>
    <x:row r="1013" ht="30" customHeight="1">
      <x:c r="A1013" s="3" t="str">
        <x:v>S02a-BK1-38</x:v>
      </x:c>
      <x:c r="B1013" s="3" t="str">
        <x:v>3店-SANDIEX-US</x:v>
      </x:c>
      <x:c r="C1013" s="3" t="str">
        <x:v>陈晨</x:v>
      </x:c>
      <x:c r="D1013" s="3" t="str">
        <x:v>S02a</x:v>
      </x:c>
      <x:c r="E1013" s="3" t="str">
        <x:f>IF(Z1013="移出","已移出",IF(NOT(ISNUMBER(H1013)),"数据待核",IF(H1013=0,"断货",IF(NOT(ISNUMBER(G1013)),"数据待核",IF(G1013=0,"零日销待复核",IF(F1013&lt;60,"补货提醒",IF(F1013&lt;=90,"正常库存",IF(F1013&lt;180,"促销",IF(F1013&lt;=365,"红线促销","考虑清仓")))))))))</x:f>
        <x:v>正常库存</x:v>
      </x:c>
      <x:c r="F1013" s="11" t="n">
        <x:f>IF(AND(ISNUMBER(H1013),ISNUMBER(G1013),G1013&gt;0),H1013/G1013,"")</x:f>
        <x:v>65.45454545454545</x:v>
      </x:c>
      <x:c r="G1013" s="12" t="n">
        <x:f>IF(AND(COUNT(P1013:R1013)=3,MIN(P1013:R1013)&gt;=0,P1013&lt;=Q1013,Q1013&lt;=R1013),P1013/7*0.5+Q1013/14*0.3+R1013/30*0.2,"")</x:f>
        <x:v>0.36666666666666664</x:v>
      </x:c>
      <x:c r="H1013" s="10" t="n">
        <x:f>IF(ISNUMBER(U1013),U1013,"")</x:f>
        <x:v>24</x:v>
      </x:c>
      <x:c r="I1013" s="10"/>
      <x:c r="J1013" s="11" t="str">
        <x:f>IF(AND(Z1013="共同",ISNUMBER(F1013),ISNUMBER(M1013)),F1013-M1013,"")</x:f>
      </x:c>
      <x:c r="K1013" s="13" t="str">
        <x:f>IF(AND(ISNUMBER(J1013),M1013&lt;&gt;0),J1013/M1013,"")</x:f>
      </x:c>
      <x:c r="L1013" s="10"/>
      <x:c r="M1013" s="11"/>
      <x:c r="N1013" s="10" t="str">
        <x:f>IF(AND(Z1013="共同",COUNT(H1013:I1013)=2),H1013-I1013,"")</x:f>
      </x:c>
      <x:c r="O1013" s="10" t="n">
        <x:v>19</x:v>
      </x:c>
      <x:c r="P1013" s="10" t="n">
        <x:v>3</x:v>
      </x:c>
      <x:c r="Q1013" s="10" t="n">
        <x:v>4</x:v>
      </x:c>
      <x:c r="R1013" s="10" t="n">
        <x:v>10</x:v>
      </x:c>
      <x:c r="S1013" s="10" t="n">
        <x:v>25</x:v>
      </x:c>
      <x:c r="T1013" s="10" t="n">
        <x:v>0</x:v>
      </x:c>
      <x:c r="U1013" s="10" t="n">
        <x:f>IF(AND(ISNUMBER(X1013),X1013&gt;=0,Y1013&lt;&gt;1),X1013,"")</x:f>
        <x:v>24</x:v>
      </x:c>
      <x:c r="V1013" s="10" t="n">
        <x:v>0</x:v>
      </x:c>
      <x:c r="W1013" s="10" t="n">
        <x:v>0</x:v>
      </x:c>
      <x:c r="X1013" s="10" t="n">
        <x:v>24</x:v>
      </x:c>
      <x:c r="Y1013" s="3" t="n">
        <x:v>0</x:v>
      </x:c>
      <x:c r="Z1013" s="3" t="str">
        <x:v>新增</x:v>
      </x:c>
      <x:c r="AA1013" s="3" t="str">
        <x:v>在售</x:v>
      </x:c>
      <x:c r="AB1013" s="12" t="str">
        <x:f>IF(AND(Z1013="共同",ISNUMBER(G1013),ISNUMBER(AD1013)),G1013-AD1013,"")</x:f>
      </x:c>
      <x:c r="AC1013" s="3" t="str"/>
      <x:c r="AD1013" s="12"/>
      <x:c r="AE1013" s="3" t="str">
        <x:v>[6574,"S02a-BK1-38"]</x:v>
      </x:c>
      <x:c r="AF1013" t="n">
        <x:f>IF(ISNUMBER(H1013),1,0)</x:f>
        <x:v>1</x:v>
      </x:c>
      <x:c r="AG1013" t="n">
        <x:f>IF(ISNUMBER(I1013),1,0)</x:f>
        <x:v>0</x:v>
      </x:c>
      <x:c r="AH1013" t="str">
        <x:v>["S02a","S02a-BK1","BK1","黑色"]</x:v>
      </x:c>
      <x:c r="AI1013" t="n">
        <x:f>IF(ISNUMBER(G1013),1,0)</x:f>
        <x:v>1</x:v>
      </x:c>
      <x:c r="AJ1013" t="n">
        <x:f>IF(ISNUMBER(AD1013),1,0)</x:f>
        <x:v>0</x:v>
      </x:c>
    </x:row>
    <x:row r="1014" ht="30" customHeight="1">
      <x:c r="A1014" s="3" t="str">
        <x:v>S02a-BKP-40</x:v>
      </x:c>
      <x:c r="B1014" s="3" t="str">
        <x:v>3店-SANDIEX-US</x:v>
      </x:c>
      <x:c r="C1014" s="3" t="str">
        <x:v>陈晨</x:v>
      </x:c>
      <x:c r="D1014" s="3" t="str">
        <x:v>S02a</x:v>
      </x:c>
      <x:c r="E1014" s="3" t="str">
        <x:f>IF(Z1014="移出","已移出",IF(NOT(ISNUMBER(H1014)),"数据待核",IF(H1014=0,"断货",IF(NOT(ISNUMBER(G1014)),"数据待核",IF(G1014=0,"零日销待复核",IF(F1014&lt;60,"补货提醒",IF(F1014&lt;=90,"正常库存",IF(F1014&lt;180,"促销",IF(F1014&lt;=365,"红线促销","考虑清仓")))))))))</x:f>
        <x:v>正常库存</x:v>
      </x:c>
      <x:c r="F1014" s="11" t="n">
        <x:f>IF(AND(ISNUMBER(H1014),ISNUMBER(G1014),G1014&gt;0),H1014/G1014,"")</x:f>
        <x:v>85.38754764930115</x:v>
      </x:c>
      <x:c r="G1014" s="12" t="n">
        <x:f>IF(AND(COUNT(P1014:R1014)=3,MIN(P1014:R1014)&gt;=0,P1014&lt;=Q1014,Q1014&lt;=R1014),P1014/7*0.5+Q1014/14*0.3+R1014/30*0.2,"")</x:f>
        <x:v>0.37476190476190474</x:v>
      </x:c>
      <x:c r="H1014" s="10" t="n">
        <x:f>IF(ISNUMBER(U1014),U1014,"")</x:f>
        <x:v>32</x:v>
      </x:c>
      <x:c r="I1014" s="10" t="n">
        <x:v>34</x:v>
      </x:c>
      <x:c r="J1014" s="11" t="n">
        <x:f>IF(AND(Z1014="共同",ISNUMBER(F1014),ISNUMBER(M1014)),F1014-M1014,"")</x:f>
        <x:v>-28.488050436823244</x:v>
      </x:c>
      <x:c r="K1014" s="13" t="n">
        <x:f>IF(AND(ISNUMBER(J1014),M1014&lt;&gt;0),J1014/M1014,"")</x:f>
        <x:v>-0.25016817400403607</x:v>
      </x:c>
      <x:c r="L1014" s="10" t="str">
        <x:v>促销</x:v>
      </x:c>
      <x:c r="M1014" s="11" t="n">
        <x:v>113.8755980861244</x:v>
      </x:c>
      <x:c r="N1014" s="10" t="n">
        <x:f>IF(AND(Z1014="共同",COUNT(H1014:I1014)=2),H1014-I1014,"")</x:f>
        <x:v>-2</x:v>
      </x:c>
      <x:c r="O1014" s="10" t="n">
        <x:v>13</x:v>
      </x:c>
      <x:c r="P1014" s="10" t="n">
        <x:v>3</x:v>
      </x:c>
      <x:c r="Q1014" s="10" t="n">
        <x:v>5</x:v>
      </x:c>
      <x:c r="R1014" s="10" t="n">
        <x:v>8</x:v>
      </x:c>
      <x:c r="S1014" s="10" t="n">
        <x:v>32</x:v>
      </x:c>
      <x:c r="T1014" s="10" t="n">
        <x:v>0</x:v>
      </x:c>
      <x:c r="U1014" s="10" t="n">
        <x:f>IF(AND(ISNUMBER(X1014),X1014&gt;=0,Y1014&lt;&gt;1),X1014,"")</x:f>
        <x:v>32</x:v>
      </x:c>
      <x:c r="V1014" s="10" t="n">
        <x:v>0</x:v>
      </x:c>
      <x:c r="W1014" s="10" t="n">
        <x:v>0</x:v>
      </x:c>
      <x:c r="X1014" s="10" t="n">
        <x:v>32</x:v>
      </x:c>
      <x:c r="Y1014" s="3" t="n">
        <x:v>0</x:v>
      </x:c>
      <x:c r="Z1014" s="3" t="str">
        <x:v>共同</x:v>
      </x:c>
      <x:c r="AA1014" s="3" t="str">
        <x:v>在售</x:v>
      </x:c>
      <x:c r="AB1014" s="12" t="n">
        <x:f>IF(AND(Z1014="共同",ISNUMBER(G1014),ISNUMBER(AD1014)),G1014-AD1014,"")</x:f>
        <x:v>0.07619047619047614</x:v>
      </x:c>
      <x:c r="AC1014" s="3" t="str"/>
      <x:c r="AD1014" s="12" t="n">
        <x:v>0.2985714285714286</x:v>
      </x:c>
      <x:c r="AE1014" s="3" t="str">
        <x:v>[6574,"S02a-BKP-40"]</x:v>
      </x:c>
      <x:c r="AF1014" t="n">
        <x:f>IF(ISNUMBER(H1014),1,0)</x:f>
        <x:v>1</x:v>
      </x:c>
      <x:c r="AG1014" t="n">
        <x:f>IF(ISNUMBER(I1014),1,0)</x:f>
        <x:v>1</x:v>
      </x:c>
      <x:c r="AH1014" t="str">
        <x:v>["S02a","S02a-BKP","BKP","黑色PU"]</x:v>
      </x:c>
      <x:c r="AI1014" t="n">
        <x:f>IF(ISNUMBER(G1014),1,0)</x:f>
        <x:v>1</x:v>
      </x:c>
      <x:c r="AJ1014" t="n">
        <x:f>IF(ISNUMBER(AD1014),1,0)</x:f>
        <x:v>1</x:v>
      </x:c>
    </x:row>
    <x:row r="1015" ht="30" customHeight="1">
      <x:c r="A1015" s="3" t="str">
        <x:v>S02a-ND-41</x:v>
      </x:c>
      <x:c r="B1015" s="3" t="str">
        <x:v>3店-SANDIEX-US</x:v>
      </x:c>
      <x:c r="C1015" s="3" t="str">
        <x:v>陈晨</x:v>
      </x:c>
      <x:c r="D1015" s="3" t="str">
        <x:v>S02a</x:v>
      </x:c>
      <x:c r="E1015" s="3" t="str">
        <x:f>IF(Z1015="移出","已移出",IF(NOT(ISNUMBER(H1015)),"数据待核",IF(H1015=0,"断货",IF(NOT(ISNUMBER(G1015)),"数据待核",IF(G1015=0,"零日销待复核",IF(F1015&lt;60,"补货提醒",IF(F1015&lt;=90,"正常库存",IF(F1015&lt;180,"促销",IF(F1015&lt;=365,"红线促销","考虑清仓")))))))))</x:f>
        <x:v>正常库存</x:v>
      </x:c>
      <x:c r="F1015" s="11" t="n">
        <x:f>IF(AND(ISNUMBER(H1015),ISNUMBER(G1015),G1015&gt;0),H1015/G1015,"")</x:f>
        <x:v>80.38277511961722</x:v>
      </x:c>
      <x:c r="G1015" s="12" t="n">
        <x:f>IF(AND(COUNT(P1015:R1015)=3,MIN(P1015:R1015)&gt;=0,P1015&lt;=Q1015,Q1015&lt;=R1015),P1015/7*0.5+Q1015/14*0.3+R1015/30*0.2,"")</x:f>
        <x:v>0.2985714285714286</x:v>
      </x:c>
      <x:c r="H1015" s="10" t="n">
        <x:f>IF(ISNUMBER(U1015),U1015,"")</x:f>
        <x:v>24</x:v>
      </x:c>
      <x:c r="I1015" s="10" t="n">
        <x:v>26</x:v>
      </x:c>
      <x:c r="J1015" s="11" t="n">
        <x:f>IF(AND(Z1015="共同",ISNUMBER(F1015),ISNUMBER(M1015)),F1015-M1015,"")</x:f>
        <x:v>-699.6172248803828</x:v>
      </x:c>
      <x:c r="K1015" s="13" t="n">
        <x:f>IF(AND(ISNUMBER(J1015),M1015&lt;&gt;0),J1015/M1015,"")</x:f>
        <x:v>-0.8969451601030548</x:v>
      </x:c>
      <x:c r="L1015" s="10" t="str">
        <x:v>考虑清仓</x:v>
      </x:c>
      <x:c r="M1015" s="11" t="n">
        <x:v>780</x:v>
      </x:c>
      <x:c r="N1015" s="10" t="n">
        <x:f>IF(AND(Z1015="共同",COUNT(H1015:I1015)=2),H1015-I1015,"")</x:f>
        <x:v>-2</x:v>
      </x:c>
      <x:c r="O1015" s="10" t="n">
        <x:v>0</x:v>
      </x:c>
      <x:c r="P1015" s="10" t="n">
        <x:v>3</x:v>
      </x:c>
      <x:c r="Q1015" s="10" t="n">
        <x:v>3</x:v>
      </x:c>
      <x:c r="R1015" s="10" t="n">
        <x:v>3</x:v>
      </x:c>
      <x:c r="S1015" s="10" t="n">
        <x:v>26</x:v>
      </x:c>
      <x:c r="T1015" s="10" t="n">
        <x:v>0</x:v>
      </x:c>
      <x:c r="U1015" s="10" t="n">
        <x:f>IF(AND(ISNUMBER(X1015),X1015&gt;=0,Y1015&lt;&gt;1),X1015,"")</x:f>
        <x:v>24</x:v>
      </x:c>
      <x:c r="V1015" s="10" t="n">
        <x:v>0</x:v>
      </x:c>
      <x:c r="W1015" s="10" t="n">
        <x:v>22</x:v>
      </x:c>
      <x:c r="X1015" s="10" t="n">
        <x:v>24</x:v>
      </x:c>
      <x:c r="Y1015" s="3" t="n">
        <x:v>0</x:v>
      </x:c>
      <x:c r="Z1015" s="3" t="str">
        <x:v>共同</x:v>
      </x:c>
      <x:c r="AA1015" s="3" t="str">
        <x:v>在售</x:v>
      </x:c>
      <x:c r="AB1015" s="12" t="n">
        <x:f>IF(AND(Z1015="共同",ISNUMBER(G1015),ISNUMBER(AD1015)),G1015-AD1015,"")</x:f>
        <x:v>0.2652380952380953</x:v>
      </x:c>
      <x:c r="AC1015" s="3" t="str"/>
      <x:c r="AD1015" s="12" t="n">
        <x:v>0.03333333333333333</x:v>
      </x:c>
      <x:c r="AE1015" s="3" t="str">
        <x:v>[6574,"S02a-ND-41"]</x:v>
      </x:c>
      <x:c r="AF1015" t="n">
        <x:f>IF(ISNUMBER(H1015),1,0)</x:f>
        <x:v>1</x:v>
      </x:c>
      <x:c r="AG1015" t="n">
        <x:f>IF(ISNUMBER(I1015),1,0)</x:f>
        <x:v>1</x:v>
      </x:c>
      <x:c r="AH1015" t="str">
        <x:v>["S02a","S02a-ND","ND","裸色"]</x:v>
      </x:c>
      <x:c r="AI1015" t="n">
        <x:f>IF(ISNUMBER(G1015),1,0)</x:f>
        <x:v>1</x:v>
      </x:c>
      <x:c r="AJ1015" t="n">
        <x:f>IF(ISNUMBER(AD1015),1,0)</x:f>
        <x:v>1</x:v>
      </x:c>
    </x:row>
    <x:row r="1016" ht="30" customHeight="1">
      <x:c r="A1016" s="3" t="str">
        <x:v>S02a-TN1-42</x:v>
      </x:c>
      <x:c r="B1016" s="3" t="str">
        <x:v>3店-SANDIEX-US</x:v>
      </x:c>
      <x:c r="C1016" s="3" t="str">
        <x:v>陈晨</x:v>
      </x:c>
      <x:c r="D1016" s="3" t="str">
        <x:v>S02a</x:v>
      </x:c>
      <x:c r="E1016" s="3" t="str">
        <x:f>IF(Z1016="移出","已移出",IF(NOT(ISNUMBER(H1016)),"数据待核",IF(H1016=0,"断货",IF(NOT(ISNUMBER(G1016)),"数据待核",IF(G1016=0,"零日销待复核",IF(F1016&lt;60,"补货提醒",IF(F1016&lt;=90,"正常库存",IF(F1016&lt;180,"促销",IF(F1016&lt;=365,"红线促销","考虑清仓")))))))))</x:f>
        <x:v>正常库存</x:v>
      </x:c>
      <x:c r="F1016" s="11" t="n">
        <x:f>IF(AND(ISNUMBER(H1016),ISNUMBER(G1016),G1016&gt;0),H1016/G1016,"")</x:f>
        <x:v>79.67479674796748</x:v>
      </x:c>
      <x:c r="G1016" s="12" t="n">
        <x:f>IF(AND(COUNT(P1016:R1016)=3,MIN(P1016:R1016)&gt;=0,P1016&lt;=Q1016,Q1016&lt;=R1016),P1016/7*0.5+Q1016/14*0.3+R1016/30*0.2,"")</x:f>
        <x:v>0.1757142857142857</x:v>
      </x:c>
      <x:c r="H1016" s="10" t="n">
        <x:f>IF(ISNUMBER(U1016),U1016,"")</x:f>
        <x:v>14</x:v>
      </x:c>
      <x:c r="I1016" s="10"/>
      <x:c r="J1016" s="11" t="str">
        <x:f>IF(AND(Z1016="共同",ISNUMBER(F1016),ISNUMBER(M1016)),F1016-M1016,"")</x:f>
      </x:c>
      <x:c r="K1016" s="13" t="str">
        <x:f>IF(AND(ISNUMBER(J1016),M1016&lt;&gt;0),J1016/M1016,"")</x:f>
      </x:c>
      <x:c r="L1016" s="10"/>
      <x:c r="M1016" s="11"/>
      <x:c r="N1016" s="10" t="str">
        <x:f>IF(AND(Z1016="共同",COUNT(H1016:I1016)=2),H1016-I1016,"")</x:f>
      </x:c>
      <x:c r="O1016" s="10" t="n">
        <x:v>0</x:v>
      </x:c>
      <x:c r="P1016" s="10" t="n">
        <x:v>1</x:v>
      </x:c>
      <x:c r="Q1016" s="10" t="n">
        <x:v>3</x:v>
      </x:c>
      <x:c r="R1016" s="10" t="n">
        <x:v>6</x:v>
      </x:c>
      <x:c r="S1016" s="10" t="n">
        <x:v>14</x:v>
      </x:c>
      <x:c r="T1016" s="10" t="n">
        <x:v>0</x:v>
      </x:c>
      <x:c r="U1016" s="10" t="n">
        <x:f>IF(AND(ISNUMBER(X1016),X1016&gt;=0,Y1016&lt;&gt;1),X1016,"")</x:f>
        <x:v>14</x:v>
      </x:c>
      <x:c r="V1016" s="10" t="n">
        <x:v>0</x:v>
      </x:c>
      <x:c r="W1016" s="10" t="n">
        <x:v>0</x:v>
      </x:c>
      <x:c r="X1016" s="10" t="n">
        <x:v>14</x:v>
      </x:c>
      <x:c r="Y1016" s="3" t="n">
        <x:v>0</x:v>
      </x:c>
      <x:c r="Z1016" s="3" t="str">
        <x:v>新增</x:v>
      </x:c>
      <x:c r="AA1016" s="3" t="str">
        <x:v>在售</x:v>
      </x:c>
      <x:c r="AB1016" s="12" t="str">
        <x:f>IF(AND(Z1016="共同",ISNUMBER(G1016),ISNUMBER(AD1016)),G1016-AD1016,"")</x:f>
      </x:c>
      <x:c r="AC1016" s="3" t="str"/>
      <x:c r="AD1016" s="12"/>
      <x:c r="AE1016" s="3" t="str">
        <x:v>[6574,"S02a-TN1-42"]</x:v>
      </x:c>
      <x:c r="AF1016" t="n">
        <x:f>IF(ISNUMBER(H1016),1,0)</x:f>
        <x:v>1</x:v>
      </x:c>
      <x:c r="AG1016" t="n">
        <x:f>IF(ISNUMBER(I1016),1,0)</x:f>
        <x:v>0</x:v>
      </x:c>
      <x:c r="AH1016" t="str">
        <x:v>["S02a","S02a-TN1","TN1","驼色"]</x:v>
      </x:c>
      <x:c r="AI1016" t="n">
        <x:f>IF(ISNUMBER(G1016),1,0)</x:f>
        <x:v>1</x:v>
      </x:c>
      <x:c r="AJ1016" t="n">
        <x:f>IF(ISNUMBER(AD1016),1,0)</x:f>
        <x:v>0</x:v>
      </x:c>
    </x:row>
    <x:row r="1017" ht="30" customHeight="1">
      <x:c r="A1017" s="3" t="str">
        <x:v>S02b-BK-39</x:v>
      </x:c>
      <x:c r="B1017" s="3" t="str">
        <x:v>3店-SANDIEX-US</x:v>
      </x:c>
      <x:c r="C1017" s="3" t="str">
        <x:v>陈晨</x:v>
      </x:c>
      <x:c r="D1017" s="3" t="str">
        <x:v>S02b</x:v>
      </x:c>
      <x:c r="E1017" s="3" t="str">
        <x:f>IF(Z1017="移出","已移出",IF(NOT(ISNUMBER(H1017)),"数据待核",IF(H1017=0,"断货",IF(NOT(ISNUMBER(G1017)),"数据待核",IF(G1017=0,"零日销待复核",IF(F1017&lt;60,"补货提醒",IF(F1017&lt;=90,"正常库存",IF(F1017&lt;180,"促销",IF(F1017&lt;=365,"红线促销","考虑清仓")))))))))</x:f>
        <x:v>正常库存</x:v>
      </x:c>
      <x:c r="F1017" s="11" t="n">
        <x:f>IF(AND(ISNUMBER(H1017),ISNUMBER(G1017),G1017&gt;0),H1017/G1017,"")</x:f>
        <x:v>61.76470588235294</x:v>
      </x:c>
      <x:c r="G1017" s="12" t="n">
        <x:f>IF(AND(COUNT(P1017:R1017)=3,MIN(P1017:R1017)&gt;=0,P1017&lt;=Q1017,Q1017&lt;=R1017),P1017/7*0.5+Q1017/14*0.3+R1017/30*0.2,"")</x:f>
        <x:v>0.939047619047619</x:v>
      </x:c>
      <x:c r="H1017" s="10" t="n">
        <x:f>IF(ISNUMBER(U1017),U1017,"")</x:f>
        <x:v>58</x:v>
      </x:c>
      <x:c r="I1017" s="10" t="n">
        <x:v>58</x:v>
      </x:c>
      <x:c r="J1017" s="11" t="n">
        <x:f>IF(AND(Z1017="共同",ISNUMBER(F1017),ISNUMBER(M1017)),F1017-M1017,"")</x:f>
        <x:v>-36.30292696788861</x:v>
      </x:c>
      <x:c r="K1017" s="13" t="n">
        <x:f>IF(AND(ISNUMBER(J1017),M1017&lt;&gt;0),J1017/M1017,"")</x:f>
        <x:v>-0.37018255578093306</x:v>
      </x:c>
      <x:c r="L1017" s="10" t="str">
        <x:v>促销</x:v>
      </x:c>
      <x:c r="M1017" s="11" t="n">
        <x:v>98.06763285024155</x:v>
      </x:c>
      <x:c r="N1017" s="10" t="n">
        <x:f>IF(AND(Z1017="共同",COUNT(H1017:I1017)=2),H1017-I1017,"")</x:f>
        <x:v>0</x:v>
      </x:c>
      <x:c r="O1017" s="10" t="n">
        <x:v>173</x:v>
      </x:c>
      <x:c r="P1017" s="10" t="n">
        <x:v>8</x:v>
      </x:c>
      <x:c r="Q1017" s="10" t="n">
        <x:v>10</x:v>
      </x:c>
      <x:c r="R1017" s="10" t="n">
        <x:v>23</x:v>
      </x:c>
      <x:c r="S1017" s="10" t="n">
        <x:v>77</x:v>
      </x:c>
      <x:c r="T1017" s="10" t="n">
        <x:v>0</x:v>
      </x:c>
      <x:c r="U1017" s="10" t="n">
        <x:f>IF(AND(ISNUMBER(X1017),X1017&gt;=0,Y1017&lt;&gt;1),X1017,"")</x:f>
        <x:v>58</x:v>
      </x:c>
      <x:c r="V1017" s="10" t="n">
        <x:v>0</x:v>
      </x:c>
      <x:c r="W1017" s="10" t="n">
        <x:v>0</x:v>
      </x:c>
      <x:c r="X1017" s="10" t="n">
        <x:v>58</x:v>
      </x:c>
      <x:c r="Y1017" s="3" t="n">
        <x:v>0</x:v>
      </x:c>
      <x:c r="Z1017" s="3" t="str">
        <x:v>共同</x:v>
      </x:c>
      <x:c r="AA1017" s="3" t="str">
        <x:v>在售</x:v>
      </x:c>
      <x:c r="AB1017" s="12" t="n">
        <x:f>IF(AND(Z1017="共同",ISNUMBER(G1017),ISNUMBER(AD1017)),G1017-AD1017,"")</x:f>
        <x:v>0.3476190476190476</x:v>
      </x:c>
      <x:c r="AC1017" s="3" t="str"/>
      <x:c r="AD1017" s="12" t="n">
        <x:v>0.5914285714285714</x:v>
      </x:c>
      <x:c r="AE1017" s="3" t="str">
        <x:v>[6574,"S02b-BK-39"]</x:v>
      </x:c>
      <x:c r="AF1017" t="n">
        <x:f>IF(ISNUMBER(H1017),1,0)</x:f>
        <x:v>1</x:v>
      </x:c>
      <x:c r="AG1017" t="n">
        <x:f>IF(ISNUMBER(I1017),1,0)</x:f>
        <x:v>1</x:v>
      </x:c>
      <x:c r="AH1017" t="str">
        <x:v>["S02b","S02b-BK","BK","黑色"]</x:v>
      </x:c>
      <x:c r="AI1017" t="n">
        <x:f>IF(ISNUMBER(G1017),1,0)</x:f>
        <x:v>1</x:v>
      </x:c>
      <x:c r="AJ1017" t="n">
        <x:f>IF(ISNUMBER(AD1017),1,0)</x:f>
        <x:v>1</x:v>
      </x:c>
    </x:row>
    <x:row r="1018" ht="30" customHeight="1">
      <x:c r="A1018" s="3" t="str">
        <x:v>S02b-BK-40</x:v>
      </x:c>
      <x:c r="B1018" s="3" t="str">
        <x:v>3店-SANDIEX-US</x:v>
      </x:c>
      <x:c r="C1018" s="3" t="str">
        <x:v>陈晨</x:v>
      </x:c>
      <x:c r="D1018" s="3" t="str">
        <x:v>S02b</x:v>
      </x:c>
      <x:c r="E1018" s="3" t="str">
        <x:f>IF(Z1018="移出","已移出",IF(NOT(ISNUMBER(H1018)),"数据待核",IF(H1018=0,"断货",IF(NOT(ISNUMBER(G1018)),"数据待核",IF(G1018=0,"零日销待复核",IF(F1018&lt;60,"补货提醒",IF(F1018&lt;=90,"正常库存",IF(F1018&lt;180,"促销",IF(F1018&lt;=365,"红线促销","考虑清仓")))))))))</x:f>
        <x:v>正常库存</x:v>
      </x:c>
      <x:c r="F1018" s="11" t="n">
        <x:f>IF(AND(ISNUMBER(H1018),ISNUMBER(G1018),G1018&gt;0),H1018/G1018,"")</x:f>
        <x:v>74.83296213808464</x:v>
      </x:c>
      <x:c r="G1018" s="12" t="n">
        <x:f>IF(AND(COUNT(P1018:R1018)=3,MIN(P1018:R1018)&gt;=0,P1018&lt;=Q1018,Q1018&lt;=R1018),P1018/7*0.5+Q1018/14*0.3+R1018/30*0.2,"")</x:f>
        <x:v>0.6414285714285713</x:v>
      </x:c>
      <x:c r="H1018" s="10" t="n">
        <x:f>IF(ISNUMBER(U1018),U1018,"")</x:f>
        <x:v>48</x:v>
      </x:c>
      <x:c r="I1018" s="10" t="n">
        <x:v>56</x:v>
      </x:c>
      <x:c r="J1018" s="11" t="n">
        <x:f>IF(AND(Z1018="共同",ISNUMBER(F1018),ISNUMBER(M1018)),F1018-M1018,"")</x:f>
        <x:v>-136.2980971078759</x:v>
      </x:c>
      <x:c r="K1018" s="13" t="n">
        <x:f>IF(AND(ISNUMBER(J1018),M1018&lt;&gt;0),J1018/M1018,"")</x:f>
        <x:v>-0.6455615653833917</x:v>
      </x:c>
      <x:c r="L1018" s="10" t="str">
        <x:v>红线促销</x:v>
      </x:c>
      <x:c r="M1018" s="11" t="n">
        <x:v>211.13105924596053</x:v>
      </x:c>
      <x:c r="N1018" s="10" t="n">
        <x:f>IF(AND(Z1018="共同",COUNT(H1018:I1018)=2),H1018-I1018,"")</x:f>
        <x:v>-8</x:v>
      </x:c>
      <x:c r="O1018" s="10" t="n">
        <x:v>184</x:v>
      </x:c>
      <x:c r="P1018" s="10" t="n">
        <x:v>4</x:v>
      </x:c>
      <x:c r="Q1018" s="10" t="n">
        <x:v>11</x:v>
      </x:c>
      <x:c r="R1018" s="10" t="n">
        <x:v>18</x:v>
      </x:c>
      <x:c r="S1018" s="10" t="n">
        <x:v>62</x:v>
      </x:c>
      <x:c r="T1018" s="10" t="n">
        <x:v>1</x:v>
      </x:c>
      <x:c r="U1018" s="10" t="n">
        <x:f>IF(AND(ISNUMBER(X1018),X1018&gt;=0,Y1018&lt;&gt;1),X1018,"")</x:f>
        <x:v>48</x:v>
      </x:c>
      <x:c r="V1018" s="10" t="n">
        <x:v>0</x:v>
      </x:c>
      <x:c r="W1018" s="10" t="n">
        <x:v>4</x:v>
      </x:c>
      <x:c r="X1018" s="10" t="n">
        <x:v>48</x:v>
      </x:c>
      <x:c r="Y1018" s="3" t="n">
        <x:v>0</x:v>
      </x:c>
      <x:c r="Z1018" s="3" t="str">
        <x:v>共同</x:v>
      </x:c>
      <x:c r="AA1018" s="3" t="str">
        <x:v>在售</x:v>
      </x:c>
      <x:c r="AB1018" s="12" t="n">
        <x:f>IF(AND(Z1018="共同",ISNUMBER(G1018),ISNUMBER(AD1018)),G1018-AD1018,"")</x:f>
        <x:v>0.37619047619047613</x:v>
      </x:c>
      <x:c r="AC1018" s="3" t="str"/>
      <x:c r="AD1018" s="12" t="n">
        <x:v>0.2652380952380952</x:v>
      </x:c>
      <x:c r="AE1018" s="3" t="str">
        <x:v>[6574,"S02b-BK-40"]</x:v>
      </x:c>
      <x:c r="AF1018" t="n">
        <x:f>IF(ISNUMBER(H1018),1,0)</x:f>
        <x:v>1</x:v>
      </x:c>
      <x:c r="AG1018" t="n">
        <x:f>IF(ISNUMBER(I1018),1,0)</x:f>
        <x:v>1</x:v>
      </x:c>
      <x:c r="AH1018" t="str">
        <x:v>["S02b","S02b-BK","BK","黑色"]</x:v>
      </x:c>
      <x:c r="AI1018" t="n">
        <x:f>IF(ISNUMBER(G1018),1,0)</x:f>
        <x:v>1</x:v>
      </x:c>
      <x:c r="AJ1018" t="n">
        <x:f>IF(ISNUMBER(AD1018),1,0)</x:f>
        <x:v>1</x:v>
      </x:c>
    </x:row>
    <x:row r="1019" ht="30" customHeight="1">
      <x:c r="A1019" s="3" t="str">
        <x:v>S02b-ND-39</x:v>
      </x:c>
      <x:c r="B1019" s="3" t="str">
        <x:v>3店-SANDIEX-US</x:v>
      </x:c>
      <x:c r="C1019" s="3" t="str">
        <x:v>陈晨</x:v>
      </x:c>
      <x:c r="D1019" s="3" t="str">
        <x:v>S02b</x:v>
      </x:c>
      <x:c r="E1019" s="3" t="str">
        <x:f>IF(Z1019="移出","已移出",IF(NOT(ISNUMBER(H1019)),"数据待核",IF(H1019=0,"断货",IF(NOT(ISNUMBER(G1019)),"数据待核",IF(G1019=0,"零日销待复核",IF(F1019&lt;60,"补货提醒",IF(F1019&lt;=90,"正常库存",IF(F1019&lt;180,"促销",IF(F1019&lt;=365,"红线促销","考虑清仓")))))))))</x:f>
        <x:v>正常库存</x:v>
      </x:c>
      <x:c r="F1019" s="11" t="n">
        <x:f>IF(AND(ISNUMBER(H1019),ISNUMBER(G1019),G1019&gt;0),H1019/G1019,"")</x:f>
        <x:v>77.52808988764045</x:v>
      </x:c>
      <x:c r="G1019" s="12" t="n">
        <x:f>IF(AND(COUNT(P1019:R1019)=3,MIN(P1019:R1019)&gt;=0,P1019&lt;=Q1019,Q1019&lt;=R1019),P1019/7*0.5+Q1019/14*0.3+R1019/30*0.2,"")</x:f>
        <x:v>0.2966666666666667</x:v>
      </x:c>
      <x:c r="H1019" s="10" t="n">
        <x:f>IF(ISNUMBER(U1019),U1019,"")</x:f>
        <x:v>23</x:v>
      </x:c>
      <x:c r="I1019" s="10" t="n">
        <x:v>27</x:v>
      </x:c>
      <x:c r="J1019" s="11" t="n">
        <x:f>IF(AND(Z1019="共同",ISNUMBER(F1019),ISNUMBER(M1019)),F1019-M1019,"")</x:f>
        <x:v>-72.86978809644444</x:v>
      </x:c>
      <x:c r="K1019" s="13" t="n">
        <x:f>IF(AND(ISNUMBER(J1019),M1019&lt;&gt;0),J1019/M1019,"")</x:f>
        <x:v>-0.4845134058617205</x:v>
      </x:c>
      <x:c r="L1019" s="10" t="str">
        <x:v>促销</x:v>
      </x:c>
      <x:c r="M1019" s="11" t="n">
        <x:v>150.3978779840849</x:v>
      </x:c>
      <x:c r="N1019" s="10" t="n">
        <x:f>IF(AND(Z1019="共同",COUNT(H1019:I1019)=2),H1019-I1019,"")</x:f>
        <x:v>-4</x:v>
      </x:c>
      <x:c r="O1019" s="10" t="n">
        <x:v>98</x:v>
      </x:c>
      <x:c r="P1019" s="10" t="n">
        <x:v>2</x:v>
      </x:c>
      <x:c r="Q1019" s="10" t="n">
        <x:v>5</x:v>
      </x:c>
      <x:c r="R1019" s="10" t="n">
        <x:v>7</x:v>
      </x:c>
      <x:c r="S1019" s="10" t="n">
        <x:v>64</x:v>
      </x:c>
      <x:c r="T1019" s="10" t="n">
        <x:v>0</x:v>
      </x:c>
      <x:c r="U1019" s="10" t="n">
        <x:f>IF(AND(ISNUMBER(X1019),X1019&gt;=0,Y1019&lt;&gt;1),X1019,"")</x:f>
        <x:v>23</x:v>
      </x:c>
      <x:c r="V1019" s="10" t="n">
        <x:v>0</x:v>
      </x:c>
      <x:c r="W1019" s="10" t="n">
        <x:v>21</x:v>
      </x:c>
      <x:c r="X1019" s="10" t="n">
        <x:v>23</x:v>
      </x:c>
      <x:c r="Y1019" s="3" t="n">
        <x:v>0</x:v>
      </x:c>
      <x:c r="Z1019" s="3" t="str">
        <x:v>共同</x:v>
      </x:c>
      <x:c r="AA1019" s="3" t="str">
        <x:v>在售</x:v>
      </x:c>
      <x:c r="AB1019" s="12" t="n">
        <x:f>IF(AND(Z1019="共同",ISNUMBER(G1019),ISNUMBER(AD1019)),G1019-AD1019,"")</x:f>
        <x:v>0.11714285714285719</x:v>
      </x:c>
      <x:c r="AC1019" s="3" t="str"/>
      <x:c r="AD1019" s="12" t="n">
        <x:v>0.1795238095238095</x:v>
      </x:c>
      <x:c r="AE1019" s="3" t="str">
        <x:v>[6574,"S02b-ND-39"]</x:v>
      </x:c>
      <x:c r="AF1019" t="n">
        <x:f>IF(ISNUMBER(H1019),1,0)</x:f>
        <x:v>1</x:v>
      </x:c>
      <x:c r="AG1019" t="n">
        <x:f>IF(ISNUMBER(I1019),1,0)</x:f>
        <x:v>1</x:v>
      </x:c>
      <x:c r="AH1019" t="str">
        <x:v>["S02b","S02b-ND","ND","裸色"]</x:v>
      </x:c>
      <x:c r="AI1019" t="n">
        <x:f>IF(ISNUMBER(G1019),1,0)</x:f>
        <x:v>1</x:v>
      </x:c>
      <x:c r="AJ1019" t="n">
        <x:f>IF(ISNUMBER(AD1019),1,0)</x:f>
        <x:v>1</x:v>
      </x:c>
    </x:row>
    <x:row r="1020" ht="30" customHeight="1">
      <x:c r="A1020" s="3" t="str">
        <x:v>1S01-BEP-39</x:v>
      </x:c>
      <x:c r="B1020" s="3" t="str">
        <x:v>3店-SANDIEX-US</x:v>
      </x:c>
      <x:c r="C1020" s="3" t="str">
        <x:v>徐新怡</x:v>
      </x:c>
      <x:c r="D1020" s="3" t="str">
        <x:v>1S01</x:v>
      </x:c>
      <x:c r="E1020" s="3" t="str">
        <x:f>IF(Z1020="移出","已移出",IF(NOT(ISNUMBER(H1020)),"数据待核",IF(H1020=0,"断货",IF(NOT(ISNUMBER(G1020)),"数据待核",IF(G1020=0,"零日销待复核",IF(F1020&lt;60,"补货提醒",IF(F1020&lt;=90,"正常库存",IF(F1020&lt;180,"促销",IF(F1020&lt;=365,"红线促销","考虑清仓")))))))))</x:f>
        <x:v>补货提醒</x:v>
      </x:c>
      <x:c r="F1020" s="11" t="n">
        <x:f>IF(AND(ISNUMBER(H1020),ISNUMBER(G1020),G1020&gt;0),H1020/G1020,"")</x:f>
        <x:v>46.183699870633895</x:v>
      </x:c>
      <x:c r="G1020" s="12" t="n">
        <x:f>IF(AND(COUNT(P1020:R1020)=3,MIN(P1020:R1020)&gt;=0,P1020&lt;=Q1020,Q1020&lt;=R1020),P1020/7*0.5+Q1020/14*0.3+R1020/30*0.2,"")</x:f>
        <x:v>0.3680952380952381</x:v>
      </x:c>
      <x:c r="H1020" s="10" t="n">
        <x:f>IF(ISNUMBER(U1020),U1020,"")</x:f>
        <x:v>17</x:v>
      </x:c>
      <x:c r="I1020" s="10" t="n">
        <x:v>21</x:v>
      </x:c>
      <x:c r="J1020" s="11" t="n">
        <x:f>IF(AND(Z1020="共同",ISNUMBER(F1020),ISNUMBER(M1020)),F1020-M1020,"")</x:f>
        <x:v>-84.2896729104312</x:v>
      </x:c>
      <x:c r="K1020" s="13" t="n">
        <x:f>IF(AND(ISNUMBER(J1020),M1020&lt;&gt;0),J1020/M1020,"")</x:f>
        <x:v>-0.6460296926014908</x:v>
      </x:c>
      <x:c r="L1020" s="10" t="str">
        <x:v>促销</x:v>
      </x:c>
      <x:c r="M1020" s="11" t="n">
        <x:v>130.47337278106508</x:v>
      </x:c>
      <x:c r="N1020" s="10" t="n">
        <x:f>IF(AND(Z1020="共同",COUNT(H1020:I1020)=2),H1020-I1020,"")</x:f>
        <x:v>-4</x:v>
      </x:c>
      <x:c r="O1020" s="10" t="n">
        <x:v>55</x:v>
      </x:c>
      <x:c r="P1020" s="10" t="n">
        <x:v>3</x:v>
      </x:c>
      <x:c r="Q1020" s="10" t="n">
        <x:v>5</x:v>
      </x:c>
      <x:c r="R1020" s="10" t="n">
        <x:v>7</x:v>
      </x:c>
      <x:c r="S1020" s="10" t="n">
        <x:v>17</x:v>
      </x:c>
      <x:c r="T1020" s="10" t="n">
        <x:v>0</x:v>
      </x:c>
      <x:c r="U1020" s="10" t="n">
        <x:f>IF(AND(ISNUMBER(X1020),X1020&gt;=0,Y1020&lt;&gt;1),X1020,"")</x:f>
        <x:v>17</x:v>
      </x:c>
      <x:c r="V1020" s="10" t="n">
        <x:v>0</x:v>
      </x:c>
      <x:c r="W1020" s="10" t="n">
        <x:v>40</x:v>
      </x:c>
      <x:c r="X1020" s="10" t="n">
        <x:v>17</x:v>
      </x:c>
      <x:c r="Y1020" s="3" t="n">
        <x:v>0</x:v>
      </x:c>
      <x:c r="Z1020" s="3" t="str">
        <x:v>共同</x:v>
      </x:c>
      <x:c r="AA1020" s="3" t="str">
        <x:v>在售</x:v>
      </x:c>
      <x:c r="AB1020" s="12" t="n">
        <x:f>IF(AND(Z1020="共同",ISNUMBER(G1020),ISNUMBER(AD1020)),G1020-AD1020,"")</x:f>
        <x:v>0.20714285714285713</x:v>
      </x:c>
      <x:c r="AC1020" s="3" t="str"/>
      <x:c r="AD1020" s="12" t="n">
        <x:v>0.16095238095238096</x:v>
      </x:c>
      <x:c r="AE1020" s="3" t="str">
        <x:v>[6574,"1S01-BEP-39"]</x:v>
      </x:c>
      <x:c r="AF1020" t="n">
        <x:f>IF(ISNUMBER(H1020),1,0)</x:f>
        <x:v>1</x:v>
      </x:c>
      <x:c r="AG1020" t="n">
        <x:f>IF(ISNUMBER(I1020),1,0)</x:f>
        <x:v>1</x:v>
      </x:c>
      <x:c r="AH1020" t="str">
        <x:v>["1S01","1S01-BEP","BEP","牛仔蓝"]</x:v>
      </x:c>
      <x:c r="AI1020" t="n">
        <x:f>IF(ISNUMBER(G1020),1,0)</x:f>
        <x:v>1</x:v>
      </x:c>
      <x:c r="AJ1020" t="n">
        <x:f>IF(ISNUMBER(AD1020),1,0)</x:f>
        <x:v>1</x:v>
      </x:c>
    </x:row>
    <x:row r="1021" ht="30" customHeight="1">
      <x:c r="A1021" s="3" t="str">
        <x:v>1S01-BEP-41</x:v>
      </x:c>
      <x:c r="B1021" s="3" t="str">
        <x:v>3店-SANDIEX-US</x:v>
      </x:c>
      <x:c r="C1021" s="3" t="str">
        <x:v>徐新怡</x:v>
      </x:c>
      <x:c r="D1021" s="3" t="str">
        <x:v>1S01</x:v>
      </x:c>
      <x:c r="E1021" s="3" t="str">
        <x:f>IF(Z1021="移出","已移出",IF(NOT(ISNUMBER(H1021)),"数据待核",IF(H1021=0,"断货",IF(NOT(ISNUMBER(G1021)),"数据待核",IF(G1021=0,"零日销待复核",IF(F1021&lt;60,"补货提醒",IF(F1021&lt;=90,"正常库存",IF(F1021&lt;180,"促销",IF(F1021&lt;=365,"红线促销","考虑清仓")))))))))</x:f>
        <x:v>补货提醒</x:v>
      </x:c>
      <x:c r="F1021" s="11" t="n">
        <x:f>IF(AND(ISNUMBER(H1021),ISNUMBER(G1021),G1021&gt;0),H1021/G1021,"")</x:f>
        <x:v>39.28905519176801</x:v>
      </x:c>
      <x:c r="G1021" s="12" t="n">
        <x:f>IF(AND(COUNT(P1021:R1021)=3,MIN(P1021:R1021)&gt;=0,P1021&lt;=Q1021,Q1021&lt;=R1021),P1021/7*0.5+Q1021/14*0.3+R1021/30*0.2,"")</x:f>
        <x:v>0.5090476190476191</x:v>
      </x:c>
      <x:c r="H1021" s="10" t="n">
        <x:f>IF(ISNUMBER(U1021),U1021,"")</x:f>
        <x:v>20</x:v>
      </x:c>
      <x:c r="I1021" s="10" t="n">
        <x:v>26</x:v>
      </x:c>
      <x:c r="J1021" s="11" t="n">
        <x:f>IF(AND(Z1021="共同",ISNUMBER(F1021),ISNUMBER(M1021)),F1021-M1021,"")</x:f>
        <x:v>-40.65237965449847</x:v>
      </x:c>
      <x:c r="K1021" s="13" t="n">
        <x:f>IF(AND(ISNUMBER(J1021),M1021&lt;&gt;0),J1021/M1021,"")</x:f>
        <x:v>-0.5085270202201915</x:v>
      </x:c>
      <x:c r="L1021" s="10" t="str">
        <x:v>正常库存</x:v>
      </x:c>
      <x:c r="M1021" s="11" t="n">
        <x:v>79.94143484626647</x:v>
      </x:c>
      <x:c r="N1021" s="10" t="n">
        <x:f>IF(AND(Z1021="共同",COUNT(H1021:I1021)=2),H1021-I1021,"")</x:f>
        <x:v>-6</x:v>
      </x:c>
      <x:c r="O1021" s="10" t="n">
        <x:v>2</x:v>
      </x:c>
      <x:c r="P1021" s="10" t="n">
        <x:v>4</x:v>
      </x:c>
      <x:c r="Q1021" s="10" t="n">
        <x:v>7</x:v>
      </x:c>
      <x:c r="R1021" s="10" t="n">
        <x:v>11</x:v>
      </x:c>
      <x:c r="S1021" s="10" t="n">
        <x:v>20</x:v>
      </x:c>
      <x:c r="T1021" s="10" t="n">
        <x:v>0</x:v>
      </x:c>
      <x:c r="U1021" s="10" t="n">
        <x:f>IF(AND(ISNUMBER(X1021),X1021&gt;=0,Y1021&lt;&gt;1),X1021,"")</x:f>
        <x:v>20</x:v>
      </x:c>
      <x:c r="V1021" s="10" t="n">
        <x:v>0</x:v>
      </x:c>
      <x:c r="W1021" s="10" t="n">
        <x:v>0</x:v>
      </x:c>
      <x:c r="X1021" s="10" t="n">
        <x:v>20</x:v>
      </x:c>
      <x:c r="Y1021" s="3" t="n">
        <x:v>0</x:v>
      </x:c>
      <x:c r="Z1021" s="3" t="str">
        <x:v>共同</x:v>
      </x:c>
      <x:c r="AA1021" s="3" t="str">
        <x:v>在售</x:v>
      </x:c>
      <x:c r="AB1021" s="12" t="n">
        <x:f>IF(AND(Z1021="共同",ISNUMBER(G1021),ISNUMBER(AD1021)),G1021-AD1021,"")</x:f>
        <x:v>0.18380952380952387</x:v>
      </x:c>
      <x:c r="AC1021" s="3" t="str"/>
      <x:c r="AD1021" s="12" t="n">
        <x:v>0.3252380952380952</x:v>
      </x:c>
      <x:c r="AE1021" s="3" t="str">
        <x:v>[6574,"1S01-BEP-41"]</x:v>
      </x:c>
      <x:c r="AF1021" t="n">
        <x:f>IF(ISNUMBER(H1021),1,0)</x:f>
        <x:v>1</x:v>
      </x:c>
      <x:c r="AG1021" t="n">
        <x:f>IF(ISNUMBER(I1021),1,0)</x:f>
        <x:v>1</x:v>
      </x:c>
      <x:c r="AH1021" t="str">
        <x:v>["1S01","1S01-BEP","BEP","牛仔蓝"]</x:v>
      </x:c>
      <x:c r="AI1021" t="n">
        <x:f>IF(ISNUMBER(G1021),1,0)</x:f>
        <x:v>1</x:v>
      </x:c>
      <x:c r="AJ1021" t="n">
        <x:f>IF(ISNUMBER(AD1021),1,0)</x:f>
        <x:v>1</x:v>
      </x:c>
    </x:row>
    <x:row r="1022" ht="30" customHeight="1">
      <x:c r="A1022" s="3" t="str">
        <x:v>1S01-BG-37</x:v>
      </x:c>
      <x:c r="B1022" s="3" t="str">
        <x:v>3店-SANDIEX-US</x:v>
      </x:c>
      <x:c r="C1022" s="3" t="str">
        <x:v>徐新怡</x:v>
      </x:c>
      <x:c r="D1022" s="3" t="str">
        <x:v>1S01</x:v>
      </x:c>
      <x:c r="E1022" s="3" t="str">
        <x:f>IF(Z1022="移出","已移出",IF(NOT(ISNUMBER(H1022)),"数据待核",IF(H1022=0,"断货",IF(NOT(ISNUMBER(G1022)),"数据待核",IF(G1022=0,"零日销待复核",IF(F1022&lt;60,"补货提醒",IF(F1022&lt;=90,"正常库存",IF(F1022&lt;180,"促销",IF(F1022&lt;=365,"红线促销","考虑清仓")))))))))</x:f>
        <x:v>补货提醒</x:v>
      </x:c>
      <x:c r="F1022" s="11" t="n">
        <x:f>IF(AND(ISNUMBER(H1022),ISNUMBER(G1022),G1022&gt;0),H1022/G1022,"")</x:f>
        <x:v>5.836035201482167</x:v>
      </x:c>
      <x:c r="G1022" s="12" t="n">
        <x:f>IF(AND(COUNT(P1022:R1022)=3,MIN(P1022:R1022)&gt;=0,P1022&lt;=Q1022,Q1022&lt;=R1022),P1022/7*0.5+Q1022/14*0.3+R1022/30*0.2,"")</x:f>
        <x:v>1.0280952380952382</x:v>
      </x:c>
      <x:c r="H1022" s="10" t="n">
        <x:f>IF(ISNUMBER(U1022),U1022,"")</x:f>
        <x:v>6</x:v>
      </x:c>
      <x:c r="I1022" s="10" t="n">
        <x:v>25</x:v>
      </x:c>
      <x:c r="J1022" s="11" t="n">
        <x:f>IF(AND(Z1022="共同",ISNUMBER(F1022),ISNUMBER(M1022)),F1022-M1022,"")</x:f>
        <x:v>-20.612327518920857</x:v>
      </x:c>
      <x:c r="K1022" s="13" t="n">
        <x:f>IF(AND(ISNUMBER(J1022),M1022&lt;&gt;0),J1022/M1022,"")</x:f>
        <x:v>-0.779342288096341</x:v>
      </x:c>
      <x:c r="L1022" s="10" t="str">
        <x:v>补货提醒</x:v>
      </x:c>
      <x:c r="M1022" s="11" t="n">
        <x:v>26.448362720403022</x:v>
      </x:c>
      <x:c r="N1022" s="10" t="n">
        <x:f>IF(AND(Z1022="共同",COUNT(H1022:I1022)=2),H1022-I1022,"")</x:f>
        <x:v>-19</x:v>
      </x:c>
      <x:c r="O1022" s="10" t="n">
        <x:v>27</x:v>
      </x:c>
      <x:c r="P1022" s="10" t="n">
        <x:v>7</x:v>
      </x:c>
      <x:c r="Q1022" s="10" t="n">
        <x:v>15</x:v>
      </x:c>
      <x:c r="R1022" s="10" t="n">
        <x:v>31</x:v>
      </x:c>
      <x:c r="S1022" s="10" t="n">
        <x:v>9</x:v>
      </x:c>
      <x:c r="T1022" s="10" t="n">
        <x:v>1</x:v>
      </x:c>
      <x:c r="U1022" s="10" t="n">
        <x:f>IF(AND(ISNUMBER(X1022),X1022&gt;=0,Y1022&lt;&gt;1),X1022,"")</x:f>
        <x:v>6</x:v>
      </x:c>
      <x:c r="V1022" s="10" t="n">
        <x:v>0</x:v>
      </x:c>
      <x:c r="W1022" s="10" t="n">
        <x:v>47</x:v>
      </x:c>
      <x:c r="X1022" s="10" t="n">
        <x:v>6</x:v>
      </x:c>
      <x:c r="Y1022" s="3" t="n">
        <x:v>0</x:v>
      </x:c>
      <x:c r="Z1022" s="3" t="str">
        <x:v>共同</x:v>
      </x:c>
      <x:c r="AA1022" s="3" t="str">
        <x:v>在售</x:v>
      </x:c>
      <x:c r="AB1022" s="12" t="n">
        <x:f>IF(AND(Z1022="共同",ISNUMBER(G1022),ISNUMBER(AD1022)),G1022-AD1022,"")</x:f>
        <x:v>0.08285714285714296</x:v>
      </x:c>
      <x:c r="AC1022" s="3" t="str"/>
      <x:c r="AD1022" s="12" t="n">
        <x:v>0.9452380952380952</x:v>
      </x:c>
      <x:c r="AE1022" s="3" t="str">
        <x:v>[6574,"1S01-BG-37"]</x:v>
      </x:c>
      <x:c r="AF1022" t="n">
        <x:f>IF(ISNUMBER(H1022),1,0)</x:f>
        <x:v>1</x:v>
      </x:c>
      <x:c r="AG1022" t="n">
        <x:f>IF(ISNUMBER(I1022),1,0)</x:f>
        <x:v>1</x:v>
      </x:c>
      <x:c r="AH1022" t="str">
        <x:v>["1S01","1S01-BG","BG","米色"]</x:v>
      </x:c>
      <x:c r="AI1022" t="n">
        <x:f>IF(ISNUMBER(G1022),1,0)</x:f>
        <x:v>1</x:v>
      </x:c>
      <x:c r="AJ1022" t="n">
        <x:f>IF(ISNUMBER(AD1022),1,0)</x:f>
        <x:v>1</x:v>
      </x:c>
    </x:row>
    <x:row r="1023" ht="30" customHeight="1">
      <x:c r="A1023" s="3" t="str">
        <x:v>1S01-BG-38</x:v>
      </x:c>
      <x:c r="B1023" s="3" t="str">
        <x:v>3店-SANDIEX-US</x:v>
      </x:c>
      <x:c r="C1023" s="3" t="str">
        <x:v>徐新怡</x:v>
      </x:c>
      <x:c r="D1023" s="3" t="str">
        <x:v>1S01</x:v>
      </x:c>
      <x:c r="E1023" s="3" t="str">
        <x:f>IF(Z1023="移出","已移出",IF(NOT(ISNUMBER(H1023)),"数据待核",IF(H1023=0,"断货",IF(NOT(ISNUMBER(G1023)),"数据待核",IF(G1023=0,"零日销待复核",IF(F1023&lt;60,"补货提醒",IF(F1023&lt;=90,"正常库存",IF(F1023&lt;180,"促销",IF(F1023&lt;=365,"红线促销","考虑清仓")))))))))</x:f>
        <x:v>补货提醒</x:v>
      </x:c>
      <x:c r="F1023" s="11" t="n">
        <x:f>IF(AND(ISNUMBER(H1023),ISNUMBER(G1023),G1023&gt;0),H1023/G1023,"")</x:f>
        <x:v>4.490377761938703</x:v>
      </x:c>
      <x:c r="G1023" s="12" t="n">
        <x:f>IF(AND(COUNT(P1023:R1023)=3,MIN(P1023:R1023)&gt;=0,P1023&lt;=Q1023,Q1023&lt;=R1023),P1023/7*0.5+Q1023/14*0.3+R1023/30*0.2,"")</x:f>
        <x:v>1.3361904761904762</x:v>
      </x:c>
      <x:c r="H1023" s="10" t="n">
        <x:f>IF(ISNUMBER(U1023),U1023,"")</x:f>
        <x:v>6</x:v>
      </x:c>
      <x:c r="I1023" s="10" t="n">
        <x:v>0</x:v>
      </x:c>
      <x:c r="J1023" s="11" t="n">
        <x:f>IF(AND(Z1023="共同",ISNUMBER(F1023),ISNUMBER(M1023)),F1023-M1023,"")</x:f>
        <x:v>4.490377761938703</x:v>
      </x:c>
      <x:c r="K1023" s="13" t="str">
        <x:f>IF(AND(ISNUMBER(J1023),M1023&lt;&gt;0),J1023/M1023,"")</x:f>
      </x:c>
      <x:c r="L1023" s="10" t="str">
        <x:v>断货</x:v>
      </x:c>
      <x:c r="M1023" s="11" t="n">
        <x:v>0</x:v>
      </x:c>
      <x:c r="N1023" s="10" t="n">
        <x:f>IF(AND(Z1023="共同",COUNT(H1023:I1023)=2),H1023-I1023,"")</x:f>
        <x:v>6</x:v>
      </x:c>
      <x:c r="O1023" s="10" t="n">
        <x:v>86</x:v>
      </x:c>
      <x:c r="P1023" s="10" t="n">
        <x:v>10</x:v>
      </x:c>
      <x:c r="Q1023" s="10" t="n">
        <x:v>20</x:v>
      </x:c>
      <x:c r="R1023" s="10" t="n">
        <x:v>29</x:v>
      </x:c>
      <x:c r="S1023" s="10" t="n">
        <x:v>20</x:v>
      </x:c>
      <x:c r="T1023" s="10" t="n">
        <x:v>2</x:v>
      </x:c>
      <x:c r="U1023" s="10" t="n">
        <x:f>IF(AND(ISNUMBER(X1023),X1023&gt;=0,Y1023&lt;&gt;1),X1023,"")</x:f>
        <x:v>6</x:v>
      </x:c>
      <x:c r="V1023" s="10" t="n">
        <x:v>0</x:v>
      </x:c>
      <x:c r="W1023" s="10" t="n">
        <x:v>112</x:v>
      </x:c>
      <x:c r="X1023" s="10" t="n">
        <x:v>6</x:v>
      </x:c>
      <x:c r="Y1023" s="3" t="n">
        <x:v>0</x:v>
      </x:c>
      <x:c r="Z1023" s="3" t="str">
        <x:v>共同</x:v>
      </x:c>
      <x:c r="AA1023" s="3" t="str">
        <x:v>在售</x:v>
      </x:c>
      <x:c r="AB1023" s="12" t="n">
        <x:f>IF(AND(Z1023="共同",ISNUMBER(G1023),ISNUMBER(AD1023)),G1023-AD1023,"")</x:f>
        <x:v>0.5661904761904761</x:v>
      </x:c>
      <x:c r="AC1023" s="3" t="str"/>
      <x:c r="AD1023" s="12" t="n">
        <x:v>0.77</x:v>
      </x:c>
      <x:c r="AE1023" s="3" t="str">
        <x:v>[6574,"1S01-BG-38"]</x:v>
      </x:c>
      <x:c r="AF1023" t="n">
        <x:f>IF(ISNUMBER(H1023),1,0)</x:f>
        <x:v>1</x:v>
      </x:c>
      <x:c r="AG1023" t="n">
        <x:f>IF(ISNUMBER(I1023),1,0)</x:f>
        <x:v>1</x:v>
      </x:c>
      <x:c r="AH1023" t="str">
        <x:v>["1S01","1S01-BG","BG","米色"]</x:v>
      </x:c>
      <x:c r="AI1023" t="n">
        <x:f>IF(ISNUMBER(G1023),1,0)</x:f>
        <x:v>1</x:v>
      </x:c>
      <x:c r="AJ1023" t="n">
        <x:f>IF(ISNUMBER(AD1023),1,0)</x:f>
        <x:v>1</x:v>
      </x:c>
    </x:row>
    <x:row r="1024" ht="30" customHeight="1">
      <x:c r="A1024" s="3" t="str">
        <x:v>1S01-BG-40</x:v>
      </x:c>
      <x:c r="B1024" s="3" t="str">
        <x:v>3店-SANDIEX-US</x:v>
      </x:c>
      <x:c r="C1024" s="3" t="str">
        <x:v>徐新怡</x:v>
      </x:c>
      <x:c r="D1024" s="3" t="str">
        <x:v>1S01</x:v>
      </x:c>
      <x:c r="E1024" s="3" t="str">
        <x:f>IF(Z1024="移出","已移出",IF(NOT(ISNUMBER(H1024)),"数据待核",IF(H1024=0,"断货",IF(NOT(ISNUMBER(G1024)),"数据待核",IF(G1024=0,"零日销待复核",IF(F1024&lt;60,"补货提醒",IF(F1024&lt;=90,"正常库存",IF(F1024&lt;180,"促销",IF(F1024&lt;=365,"红线促销","考虑清仓")))))))))</x:f>
        <x:v>补货提醒</x:v>
      </x:c>
      <x:c r="F1024" s="11" t="n">
        <x:f>IF(AND(ISNUMBER(H1024),ISNUMBER(G1024),G1024&gt;0),H1024/G1024,"")</x:f>
        <x:v>8.158995815899582</x:v>
      </x:c>
      <x:c r="G1024" s="12" t="n">
        <x:f>IF(AND(COUNT(P1024:R1024)=3,MIN(P1024:R1024)&gt;=0,P1024&lt;=Q1024,Q1024&lt;=R1024),P1024/7*0.5+Q1024/14*0.3+R1024/30*0.2,"")</x:f>
        <x:v>1.5933333333333335</x:v>
      </x:c>
      <x:c r="H1024" s="10" t="n">
        <x:f>IF(ISNUMBER(U1024),U1024,"")</x:f>
        <x:v>13</x:v>
      </x:c>
      <x:c r="I1024" s="10" t="n">
        <x:v>4</x:v>
      </x:c>
      <x:c r="J1024" s="11" t="n">
        <x:f>IF(AND(Z1024="共同",ISNUMBER(F1024),ISNUMBER(M1024)),F1024-M1024,"")</x:f>
        <x:v>6.803719920449437</x:v>
      </x:c>
      <x:c r="K1024" s="13" t="n">
        <x:f>IF(AND(ISNUMBER(J1024),M1024&lt;&gt;0),J1024/M1024,"")</x:f>
        <x:v>5.020173341303049</x:v>
      </x:c>
      <x:c r="L1024" s="10" t="str">
        <x:v>补货提醒</x:v>
      </x:c>
      <x:c r="M1024" s="11" t="n">
        <x:v>1.3552758954501452</x:v>
      </x:c>
      <x:c r="N1024" s="10" t="n">
        <x:f>IF(AND(Z1024="共同",COUNT(H1024:I1024)=2),H1024-I1024,"")</x:f>
        <x:v>9</x:v>
      </x:c>
      <x:c r="O1024" s="10" t="n">
        <x:v>0</x:v>
      </x:c>
      <x:c r="P1024" s="10" t="n">
        <x:v>10</x:v>
      </x:c>
      <x:c r="Q1024" s="10" t="n">
        <x:v>18</x:v>
      </x:c>
      <x:c r="R1024" s="10" t="n">
        <x:v>74</x:v>
      </x:c>
      <x:c r="S1024" s="10" t="n">
        <x:v>57</x:v>
      </x:c>
      <x:c r="T1024" s="10" t="n">
        <x:v>2</x:v>
      </x:c>
      <x:c r="U1024" s="10" t="n">
        <x:f>IF(AND(ISNUMBER(X1024),X1024&gt;=0,Y1024&lt;&gt;1),X1024,"")</x:f>
        <x:v>13</x:v>
      </x:c>
      <x:c r="V1024" s="10" t="n">
        <x:v>0</x:v>
      </x:c>
      <x:c r="W1024" s="10" t="n">
        <x:v>215</x:v>
      </x:c>
      <x:c r="X1024" s="10" t="n">
        <x:v>13</x:v>
      </x:c>
      <x:c r="Y1024" s="3" t="n">
        <x:v>0</x:v>
      </x:c>
      <x:c r="Z1024" s="3" t="str">
        <x:v>共同</x:v>
      </x:c>
      <x:c r="AA1024" s="3" t="str">
        <x:v>在售</x:v>
      </x:c>
      <x:c r="AB1024" s="12" t="n">
        <x:f>IF(AND(Z1024="共同",ISNUMBER(G1024),ISNUMBER(AD1024)),G1024-AD1024,"")</x:f>
        <x:v>-1.358095238095238</x:v>
      </x:c>
      <x:c r="AC1024" s="3" t="str"/>
      <x:c r="AD1024" s="12" t="n">
        <x:v>2.9514285714285715</x:v>
      </x:c>
      <x:c r="AE1024" s="3" t="str">
        <x:v>[6574,"1S01-BG-40"]</x:v>
      </x:c>
      <x:c r="AF1024" t="n">
        <x:f>IF(ISNUMBER(H1024),1,0)</x:f>
        <x:v>1</x:v>
      </x:c>
      <x:c r="AG1024" t="n">
        <x:f>IF(ISNUMBER(I1024),1,0)</x:f>
        <x:v>1</x:v>
      </x:c>
      <x:c r="AH1024" t="str">
        <x:v>["1S01","1S01-BG","BG","米色"]</x:v>
      </x:c>
      <x:c r="AI1024" t="n">
        <x:f>IF(ISNUMBER(G1024),1,0)</x:f>
        <x:v>1</x:v>
      </x:c>
      <x:c r="AJ1024" t="n">
        <x:f>IF(ISNUMBER(AD1024),1,0)</x:f>
        <x:v>1</x:v>
      </x:c>
    </x:row>
    <x:row r="1025" ht="30" customHeight="1">
      <x:c r="A1025" s="3" t="str">
        <x:v>1S01-BG-41</x:v>
      </x:c>
      <x:c r="B1025" s="3" t="str">
        <x:v>3店-SANDIEX-US</x:v>
      </x:c>
      <x:c r="C1025" s="3" t="str">
        <x:v>徐新怡</x:v>
      </x:c>
      <x:c r="D1025" s="3" t="str">
        <x:v>1S01</x:v>
      </x:c>
      <x:c r="E1025" s="3" t="str">
        <x:f>IF(Z1025="移出","已移出",IF(NOT(ISNUMBER(H1025)),"数据待核",IF(H1025=0,"断货",IF(NOT(ISNUMBER(G1025)),"数据待核",IF(G1025=0,"零日销待复核",IF(F1025&lt;60,"补货提醒",IF(F1025&lt;=90,"正常库存",IF(F1025&lt;180,"促销",IF(F1025&lt;=365,"红线促销","考虑清仓")))))))))</x:f>
        <x:v>补货提醒</x:v>
      </x:c>
      <x:c r="F1025" s="11" t="n">
        <x:f>IF(AND(ISNUMBER(H1025),ISNUMBER(G1025),G1025&gt;0),H1025/G1025,"")</x:f>
        <x:v>21.70542635658915</x:v>
      </x:c>
      <x:c r="G1025" s="12" t="n">
        <x:f>IF(AND(COUNT(P1025:R1025)=3,MIN(P1025:R1025)&gt;=0,P1025&lt;=Q1025,Q1025&lt;=R1025),P1025/7*0.5+Q1025/14*0.3+R1025/30*0.2,"")</x:f>
        <x:v>1.1057142857142856</x:v>
      </x:c>
      <x:c r="H1025" s="10" t="n">
        <x:f>IF(ISNUMBER(U1025),U1025,"")</x:f>
        <x:v>24</x:v>
      </x:c>
      <x:c r="I1025" s="10" t="n">
        <x:v>39</x:v>
      </x:c>
      <x:c r="J1025" s="11" t="n">
        <x:f>IF(AND(Z1025="共同",ISNUMBER(F1025),ISNUMBER(M1025)),F1025-M1025,"")</x:f>
        <x:v>-9.806693689582453</x:v>
      </x:c>
      <x:c r="K1025" s="13" t="n">
        <x:f>IF(AND(ISNUMBER(J1025),M1025&lt;&gt;0),J1025/M1025,"")</x:f>
        <x:v>-0.3112038693434041</x:v>
      </x:c>
      <x:c r="L1025" s="10" t="str">
        <x:v>补货提醒</x:v>
      </x:c>
      <x:c r="M1025" s="11" t="n">
        <x:v>31.512120046171603</x:v>
      </x:c>
      <x:c r="N1025" s="10" t="n">
        <x:f>IF(AND(Z1025="共同",COUNT(H1025:I1025)=2),H1025-I1025,"")</x:f>
        <x:v>-15</x:v>
      </x:c>
      <x:c r="O1025" s="10" t="n">
        <x:v>60</x:v>
      </x:c>
      <x:c r="P1025" s="10" t="n">
        <x:v>7</x:v>
      </x:c>
      <x:c r="Q1025" s="10" t="n">
        <x:v>18</x:v>
      </x:c>
      <x:c r="R1025" s="10" t="n">
        <x:v>33</x:v>
      </x:c>
      <x:c r="S1025" s="10" t="n">
        <x:v>25</x:v>
      </x:c>
      <x:c r="T1025" s="10" t="n">
        <x:v>0</x:v>
      </x:c>
      <x:c r="U1025" s="10" t="n">
        <x:f>IF(AND(ISNUMBER(X1025),X1025&gt;=0,Y1025&lt;&gt;1),X1025,"")</x:f>
        <x:v>24</x:v>
      </x:c>
      <x:c r="V1025" s="10" t="n">
        <x:v>0</x:v>
      </x:c>
      <x:c r="W1025" s="10" t="n">
        <x:v>100</x:v>
      </x:c>
      <x:c r="X1025" s="10" t="n">
        <x:v>24</x:v>
      </x:c>
      <x:c r="Y1025" s="3" t="n">
        <x:v>0</x:v>
      </x:c>
      <x:c r="Z1025" s="3" t="str">
        <x:v>共同</x:v>
      </x:c>
      <x:c r="AA1025" s="3" t="str">
        <x:v>在售</x:v>
      </x:c>
      <x:c r="AB1025" s="12" t="n">
        <x:f>IF(AND(Z1025="共同",ISNUMBER(G1025),ISNUMBER(AD1025)),G1025-AD1025,"")</x:f>
        <x:v>-0.13190476190476197</x:v>
      </x:c>
      <x:c r="AC1025" s="3" t="str"/>
      <x:c r="AD1025" s="12" t="n">
        <x:v>1.2376190476190476</x:v>
      </x:c>
      <x:c r="AE1025" s="3" t="str">
        <x:v>[6574,"1S01-BG-41"]</x:v>
      </x:c>
      <x:c r="AF1025" t="n">
        <x:f>IF(ISNUMBER(H1025),1,0)</x:f>
        <x:v>1</x:v>
      </x:c>
      <x:c r="AG1025" t="n">
        <x:f>IF(ISNUMBER(I1025),1,0)</x:f>
        <x:v>1</x:v>
      </x:c>
      <x:c r="AH1025" t="str">
        <x:v>["1S01","1S01-BG","BG","米色"]</x:v>
      </x:c>
      <x:c r="AI1025" t="n">
        <x:f>IF(ISNUMBER(G1025),1,0)</x:f>
        <x:v>1</x:v>
      </x:c>
      <x:c r="AJ1025" t="n">
        <x:f>IF(ISNUMBER(AD1025),1,0)</x:f>
        <x:v>1</x:v>
      </x:c>
    </x:row>
    <x:row r="1026" ht="30" customHeight="1">
      <x:c r="A1026" s="3" t="str">
        <x:v>1S01-BG-42</x:v>
      </x:c>
      <x:c r="B1026" s="3" t="str">
        <x:v>3店-SANDIEX-US</x:v>
      </x:c>
      <x:c r="C1026" s="3" t="str">
        <x:v>徐新怡</x:v>
      </x:c>
      <x:c r="D1026" s="3" t="str">
        <x:v>1S01</x:v>
      </x:c>
      <x:c r="E1026" s="3" t="str">
        <x:f>IF(Z1026="移出","已移出",IF(NOT(ISNUMBER(H1026)),"数据待核",IF(H1026=0,"断货",IF(NOT(ISNUMBER(G1026)),"数据待核",IF(G1026=0,"零日销待复核",IF(F1026&lt;60,"补货提醒",IF(F1026&lt;=90,"正常库存",IF(F1026&lt;180,"促销",IF(F1026&lt;=365,"红线促销","考虑清仓")))))))))</x:f>
        <x:v>补货提醒</x:v>
      </x:c>
      <x:c r="F1026" s="11" t="n">
        <x:f>IF(AND(ISNUMBER(H1026),ISNUMBER(G1026),G1026&gt;0),H1026/G1026,"")</x:f>
        <x:v>47.60705289672544</x:v>
      </x:c>
      <x:c r="G1026" s="12" t="n">
        <x:f>IF(AND(COUNT(P1026:R1026)=3,MIN(P1026:R1026)&gt;=0,P1026&lt;=Q1026,Q1026&lt;=R1026),P1026/7*0.5+Q1026/14*0.3+R1026/30*0.2,"")</x:f>
        <x:v>0.18904761904761905</x:v>
      </x:c>
      <x:c r="H1026" s="10" t="n">
        <x:f>IF(ISNUMBER(U1026),U1026,"")</x:f>
        <x:v>9</x:v>
      </x:c>
      <x:c r="I1026" s="10" t="n">
        <x:v>0</x:v>
      </x:c>
      <x:c r="J1026" s="11" t="n">
        <x:f>IF(AND(Z1026="共同",ISNUMBER(F1026),ISNUMBER(M1026)),F1026-M1026,"")</x:f>
        <x:v>47.60705289672544</x:v>
      </x:c>
      <x:c r="K1026" s="13" t="str">
        <x:f>IF(AND(ISNUMBER(J1026),M1026&lt;&gt;0),J1026/M1026,"")</x:f>
      </x:c>
      <x:c r="L1026" s="10" t="str">
        <x:v>断货</x:v>
      </x:c>
      <x:c r="M1026" s="11" t="n">
        <x:v>0</x:v>
      </x:c>
      <x:c r="N1026" s="10" t="n">
        <x:f>IF(AND(Z1026="共同",COUNT(H1026:I1026)=2),H1026-I1026,"")</x:f>
        <x:v>9</x:v>
      </x:c>
      <x:c r="O1026" s="10" t="n">
        <x:v>33</x:v>
      </x:c>
      <x:c r="P1026" s="10" t="n">
        <x:v>1</x:v>
      </x:c>
      <x:c r="Q1026" s="10" t="n">
        <x:v>3</x:v>
      </x:c>
      <x:c r="R1026" s="10" t="n">
        <x:v>8</x:v>
      </x:c>
      <x:c r="S1026" s="10" t="n">
        <x:v>10</x:v>
      </x:c>
      <x:c r="T1026" s="10" t="n">
        <x:v>0</x:v>
      </x:c>
      <x:c r="U1026" s="10" t="n">
        <x:f>IF(AND(ISNUMBER(X1026),X1026&gt;=0,Y1026&lt;&gt;1),X1026,"")</x:f>
        <x:v>9</x:v>
      </x:c>
      <x:c r="V1026" s="10" t="n">
        <x:v>0</x:v>
      </x:c>
      <x:c r="W1026" s="10" t="n">
        <x:v>78</x:v>
      </x:c>
      <x:c r="X1026" s="10" t="n">
        <x:v>9</x:v>
      </x:c>
      <x:c r="Y1026" s="3" t="n">
        <x:v>0</x:v>
      </x:c>
      <x:c r="Z1026" s="3" t="str">
        <x:v>共同</x:v>
      </x:c>
      <x:c r="AA1026" s="3" t="str">
        <x:v>在售</x:v>
      </x:c>
      <x:c r="AB1026" s="12" t="n">
        <x:f>IF(AND(Z1026="共同",ISNUMBER(G1026),ISNUMBER(AD1026)),G1026-AD1026,"")</x:f>
        <x:v>-0.12619047619047616</x:v>
      </x:c>
      <x:c r="AC1026" s="3" t="str"/>
      <x:c r="AD1026" s="12" t="n">
        <x:v>0.3152380952380952</x:v>
      </x:c>
      <x:c r="AE1026" s="3" t="str">
        <x:v>[6574,"1S01-BG-42"]</x:v>
      </x:c>
      <x:c r="AF1026" t="n">
        <x:f>IF(ISNUMBER(H1026),1,0)</x:f>
        <x:v>1</x:v>
      </x:c>
      <x:c r="AG1026" t="n">
        <x:f>IF(ISNUMBER(I1026),1,0)</x:f>
        <x:v>1</x:v>
      </x:c>
      <x:c r="AH1026" t="str">
        <x:v>["1S01","1S01-BG","BG","米色"]</x:v>
      </x:c>
      <x:c r="AI1026" t="n">
        <x:f>IF(ISNUMBER(G1026),1,0)</x:f>
        <x:v>1</x:v>
      </x:c>
      <x:c r="AJ1026" t="n">
        <x:f>IF(ISNUMBER(AD1026),1,0)</x:f>
        <x:v>1</x:v>
      </x:c>
    </x:row>
    <x:row r="1027" ht="30" customHeight="1">
      <x:c r="A1027" s="3" t="str">
        <x:v>1S01-BLK-38</x:v>
      </x:c>
      <x:c r="B1027" s="3" t="str">
        <x:v>3店-SANDIEX-US</x:v>
      </x:c>
      <x:c r="C1027" s="3" t="str">
        <x:v>徐新怡</x:v>
      </x:c>
      <x:c r="D1027" s="3" t="str">
        <x:v>1S01</x:v>
      </x:c>
      <x:c r="E1027" s="3" t="str">
        <x:f>IF(Z1027="移出","已移出",IF(NOT(ISNUMBER(H1027)),"数据待核",IF(H1027=0,"断货",IF(NOT(ISNUMBER(G1027)),"数据待核",IF(G1027=0,"零日销待复核",IF(F1027&lt;60,"补货提醒",IF(F1027&lt;=90,"正常库存",IF(F1027&lt;180,"促销",IF(F1027&lt;=365,"红线促销","考虑清仓")))))))))</x:f>
        <x:v>补货提醒</x:v>
      </x:c>
      <x:c r="F1027" s="11" t="n">
        <x:f>IF(AND(ISNUMBER(H1027),ISNUMBER(G1027),G1027&gt;0),H1027/G1027,"")</x:f>
        <x:v>17.242355605889014</x:v>
      </x:c>
      <x:c r="G1027" s="12" t="n">
        <x:f>IF(AND(COUNT(P1027:R1027)=3,MIN(P1027:R1027)&gt;=0,P1027&lt;=Q1027,Q1027&lt;=R1027),P1027/7*0.5+Q1027/14*0.3+R1027/30*0.2,"")</x:f>
        <x:v>1.681904761904762</x:v>
      </x:c>
      <x:c r="H1027" s="10" t="n">
        <x:f>IF(ISNUMBER(U1027),U1027,"")</x:f>
        <x:v>29</x:v>
      </x:c>
      <x:c r="I1027" s="10" t="n">
        <x:v>49</x:v>
      </x:c>
      <x:c r="J1027" s="11" t="n">
        <x:f>IF(AND(Z1027="共同",ISNUMBER(F1027),ISNUMBER(M1027)),F1027-M1027,"")</x:f>
        <x:v>-24.082945598930262</x:v>
      </x:c>
      <x:c r="K1027" s="13" t="n">
        <x:f>IF(AND(ISNUMBER(J1027),M1027&lt;&gt;0),J1027/M1027,"")</x:f>
        <x:v>-0.5827651558924816</x:v>
      </x:c>
      <x:c r="L1027" s="10" t="str">
        <x:v>补货提醒</x:v>
      </x:c>
      <x:c r="M1027" s="11" t="n">
        <x:v>41.325301204819276</x:v>
      </x:c>
      <x:c r="N1027" s="10" t="n">
        <x:f>IF(AND(Z1027="共同",COUNT(H1027:I1027)=2),H1027-I1027,"")</x:f>
        <x:v>-20</x:v>
      </x:c>
      <x:c r="O1027" s="10" t="n">
        <x:v>52</x:v>
      </x:c>
      <x:c r="P1027" s="10" t="n">
        <x:v>14</x:v>
      </x:c>
      <x:c r="Q1027" s="10" t="n">
        <x:v>20</x:v>
      </x:c>
      <x:c r="R1027" s="10" t="n">
        <x:v>38</x:v>
      </x:c>
      <x:c r="S1027" s="10" t="n">
        <x:v>33</x:v>
      </x:c>
      <x:c r="T1027" s="10" t="n">
        <x:v>1</x:v>
      </x:c>
      <x:c r="U1027" s="10" t="n">
        <x:f>IF(AND(ISNUMBER(X1027),X1027&gt;=0,Y1027&lt;&gt;1),X1027,"")</x:f>
        <x:v>29</x:v>
      </x:c>
      <x:c r="V1027" s="10" t="n">
        <x:v>0</x:v>
      </x:c>
      <x:c r="W1027" s="10" t="n">
        <x:v>20</x:v>
      </x:c>
      <x:c r="X1027" s="10" t="n">
        <x:v>29</x:v>
      </x:c>
      <x:c r="Y1027" s="3" t="n">
        <x:v>0</x:v>
      </x:c>
      <x:c r="Z1027" s="3" t="str">
        <x:v>共同</x:v>
      </x:c>
      <x:c r="AA1027" s="3" t="str">
        <x:v>在售</x:v>
      </x:c>
      <x:c r="AB1027" s="12" t="n">
        <x:f>IF(AND(Z1027="共同",ISNUMBER(G1027),ISNUMBER(AD1027)),G1027-AD1027,"")</x:f>
        <x:v>0.4961904761904763</x:v>
      </x:c>
      <x:c r="AC1027" s="3" t="str"/>
      <x:c r="AD1027" s="12" t="n">
        <x:v>1.1857142857142857</x:v>
      </x:c>
      <x:c r="AE1027" s="3" t="str">
        <x:v>[6574,"1S01-BLK-38"]</x:v>
      </x:c>
      <x:c r="AF1027" t="n">
        <x:f>IF(ISNUMBER(H1027),1,0)</x:f>
        <x:v>1</x:v>
      </x:c>
      <x:c r="AG1027" t="n">
        <x:f>IF(ISNUMBER(I1027),1,0)</x:f>
        <x:v>1</x:v>
      </x:c>
      <x:c r="AH1027" t="str">
        <x:v>["1S01","1S01-BLK","BLK","黑色"]</x:v>
      </x:c>
      <x:c r="AI1027" t="n">
        <x:f>IF(ISNUMBER(G1027),1,0)</x:f>
        <x:v>1</x:v>
      </x:c>
      <x:c r="AJ1027" t="n">
        <x:f>IF(ISNUMBER(AD1027),1,0)</x:f>
        <x:v>1</x:v>
      </x:c>
    </x:row>
    <x:row r="1028" ht="30" customHeight="1">
      <x:c r="A1028" s="3" t="str">
        <x:v>1S01-BLK-39</x:v>
      </x:c>
      <x:c r="B1028" s="3" t="str">
        <x:v>3店-SANDIEX-US</x:v>
      </x:c>
      <x:c r="C1028" s="3" t="str">
        <x:v>徐新怡</x:v>
      </x:c>
      <x:c r="D1028" s="3" t="str">
        <x:v>1S01</x:v>
      </x:c>
      <x:c r="E1028" s="3" t="str">
        <x:f>IF(Z1028="移出","已移出",IF(NOT(ISNUMBER(H1028)),"数据待核",IF(H1028=0,"断货",IF(NOT(ISNUMBER(G1028)),"数据待核",IF(G1028=0,"零日销待复核",IF(F1028&lt;60,"补货提醒",IF(F1028&lt;=90,"正常库存",IF(F1028&lt;180,"促销",IF(F1028&lt;=365,"红线促销","考虑清仓")))))))))</x:f>
        <x:v>补货提醒</x:v>
      </x:c>
      <x:c r="F1028" s="11" t="n">
        <x:f>IF(AND(ISNUMBER(H1028),ISNUMBER(G1028),G1028&gt;0),H1028/G1028,"")</x:f>
        <x:v>2.6326786460509823</x:v>
      </x:c>
      <x:c r="G1028" s="12" t="n">
        <x:f>IF(AND(COUNT(P1028:R1028)=3,MIN(P1028:R1028)&gt;=0,P1028&lt;=Q1028,Q1028&lt;=R1028),P1028/7*0.5+Q1028/14*0.3+R1028/30*0.2,"")</x:f>
        <x:v>1.1395238095238094</x:v>
      </x:c>
      <x:c r="H1028" s="10" t="n">
        <x:f>IF(ISNUMBER(U1028),U1028,"")</x:f>
        <x:v>3</x:v>
      </x:c>
      <x:c r="I1028" s="10" t="n">
        <x:v>8</x:v>
      </x:c>
      <x:c r="J1028" s="11" t="n">
        <x:f>IF(AND(Z1028="共同",ISNUMBER(F1028),ISNUMBER(M1028)),F1028-M1028,"")</x:f>
        <x:v>-2.5477098830887033</x:v>
      </x:c>
      <x:c r="K1028" s="13" t="n">
        <x:f>IF(AND(ISNUMBER(J1028),M1028&lt;&gt;0),J1028/M1028,"")</x:f>
        <x:v>-0.49179899707480146</x:v>
      </x:c>
      <x:c r="L1028" s="10" t="str">
        <x:v>补货提醒</x:v>
      </x:c>
      <x:c r="M1028" s="11" t="n">
        <x:v>5.180388529139686</x:v>
      </x:c>
      <x:c r="N1028" s="10" t="n">
        <x:f>IF(AND(Z1028="共同",COUNT(H1028:I1028)=2),H1028-I1028,"")</x:f>
        <x:v>-5</x:v>
      </x:c>
      <x:c r="O1028" s="10" t="n">
        <x:v>0</x:v>
      </x:c>
      <x:c r="P1028" s="10" t="n">
        <x:v>8</x:v>
      </x:c>
      <x:c r="Q1028" s="10" t="n">
        <x:v>15</x:v>
      </x:c>
      <x:c r="R1028" s="10" t="n">
        <x:v>37</x:v>
      </x:c>
      <x:c r="S1028" s="10" t="n">
        <x:v>19</x:v>
      </x:c>
      <x:c r="T1028" s="10" t="n">
        <x:v>0</x:v>
      </x:c>
      <x:c r="U1028" s="10" t="n">
        <x:f>IF(AND(ISNUMBER(X1028),X1028&gt;=0,Y1028&lt;&gt;1),X1028,"")</x:f>
        <x:v>3</x:v>
      </x:c>
      <x:c r="V1028" s="10" t="n">
        <x:v>0</x:v>
      </x:c>
      <x:c r="W1028" s="10" t="n">
        <x:v>56</x:v>
      </x:c>
      <x:c r="X1028" s="10" t="n">
        <x:v>3</x:v>
      </x:c>
      <x:c r="Y1028" s="3" t="n">
        <x:v>0</x:v>
      </x:c>
      <x:c r="Z1028" s="3" t="str">
        <x:v>共同</x:v>
      </x:c>
      <x:c r="AA1028" s="3" t="str">
        <x:v>在售</x:v>
      </x:c>
      <x:c r="AB1028" s="12" t="n">
        <x:f>IF(AND(Z1028="共同",ISNUMBER(G1028),ISNUMBER(AD1028)),G1028-AD1028,"")</x:f>
        <x:v>-0.4047619047619049</x:v>
      </x:c>
      <x:c r="AC1028" s="3" t="str"/>
      <x:c r="AD1028" s="12" t="n">
        <x:v>1.5442857142857143</x:v>
      </x:c>
      <x:c r="AE1028" s="3" t="str">
        <x:v>[6574,"1S01-BLK-39"]</x:v>
      </x:c>
      <x:c r="AF1028" t="n">
        <x:f>IF(ISNUMBER(H1028),1,0)</x:f>
        <x:v>1</x:v>
      </x:c>
      <x:c r="AG1028" t="n">
        <x:f>IF(ISNUMBER(I1028),1,0)</x:f>
        <x:v>1</x:v>
      </x:c>
      <x:c r="AH1028" t="str">
        <x:v>["1S01","1S01-BLK","BLK","黑色"]</x:v>
      </x:c>
      <x:c r="AI1028" t="n">
        <x:f>IF(ISNUMBER(G1028),1,0)</x:f>
        <x:v>1</x:v>
      </x:c>
      <x:c r="AJ1028" t="n">
        <x:f>IF(ISNUMBER(AD1028),1,0)</x:f>
        <x:v>1</x:v>
      </x:c>
    </x:row>
    <x:row r="1029" ht="30" customHeight="1">
      <x:c r="A1029" s="3" t="str">
        <x:v>1S01-BLK-40</x:v>
      </x:c>
      <x:c r="B1029" s="3" t="str">
        <x:v>3店-SANDIEX-US</x:v>
      </x:c>
      <x:c r="C1029" s="3" t="str">
        <x:v>徐新怡</x:v>
      </x:c>
      <x:c r="D1029" s="3" t="str">
        <x:v>1S01</x:v>
      </x:c>
      <x:c r="E1029" s="3" t="str">
        <x:f>IF(Z1029="移出","已移出",IF(NOT(ISNUMBER(H1029)),"数据待核",IF(H1029=0,"断货",IF(NOT(ISNUMBER(G1029)),"数据待核",IF(G1029=0,"零日销待复核",IF(F1029&lt;60,"补货提醒",IF(F1029&lt;=90,"正常库存",IF(F1029&lt;180,"促销",IF(F1029&lt;=365,"红线促销","考虑清仓")))))))))</x:f>
        <x:v>补货提醒</x:v>
      </x:c>
      <x:c r="F1029" s="11" t="n">
        <x:f>IF(AND(ISNUMBER(H1029),ISNUMBER(G1029),G1029&gt;0),H1029/G1029,"")</x:f>
        <x:v>5.7502738225629795</x:v>
      </x:c>
      <x:c r="G1029" s="12" t="n">
        <x:f>IF(AND(COUNT(P1029:R1029)=3,MIN(P1029:R1029)&gt;=0,P1029&lt;=Q1029,Q1029&lt;=R1029),P1029/7*0.5+Q1029/14*0.3+R1029/30*0.2,"")</x:f>
        <x:v>0.8695238095238095</x:v>
      </x:c>
      <x:c r="H1029" s="10" t="n">
        <x:f>IF(ISNUMBER(U1029),U1029,"")</x:f>
        <x:v>5</x:v>
      </x:c>
      <x:c r="I1029" s="10" t="n">
        <x:v>6</x:v>
      </x:c>
      <x:c r="J1029" s="11" t="n">
        <x:f>IF(AND(Z1029="共同",ISNUMBER(F1029),ISNUMBER(M1029)),F1029-M1029,"")</x:f>
        <x:v>2.157459451305494</x:v>
      </x:c>
      <x:c r="K1029" s="13" t="n">
        <x:f>IF(AND(ISNUMBER(J1029),M1029&lt;&gt;0),J1029/M1029,"")</x:f>
        <x:v>0.6004928806133625</x:v>
      </x:c>
      <x:c r="L1029" s="10" t="str">
        <x:v>补货提醒</x:v>
      </x:c>
      <x:c r="M1029" s="11" t="n">
        <x:v>3.5928143712574854</x:v>
      </x:c>
      <x:c r="N1029" s="10" t="n">
        <x:f>IF(AND(Z1029="共同",COUNT(H1029:I1029)=2),H1029-I1029,"")</x:f>
        <x:v>-1</x:v>
      </x:c>
      <x:c r="O1029" s="10" t="n">
        <x:v>0</x:v>
      </x:c>
      <x:c r="P1029" s="10" t="n">
        <x:v>6</x:v>
      </x:c>
      <x:c r="Q1029" s="10" t="n">
        <x:v>10</x:v>
      </x:c>
      <x:c r="R1029" s="10" t="n">
        <x:v>34</x:v>
      </x:c>
      <x:c r="S1029" s="10" t="n">
        <x:v>31</x:v>
      </x:c>
      <x:c r="T1029" s="10" t="n">
        <x:v>1</x:v>
      </x:c>
      <x:c r="U1029" s="10" t="n">
        <x:f>IF(AND(ISNUMBER(X1029),X1029&gt;=0,Y1029&lt;&gt;1),X1029,"")</x:f>
        <x:v>5</x:v>
      </x:c>
      <x:c r="V1029" s="10" t="n">
        <x:v>0</x:v>
      </x:c>
      <x:c r="W1029" s="10" t="n">
        <x:v>124</x:v>
      </x:c>
      <x:c r="X1029" s="10" t="n">
        <x:v>5</x:v>
      </x:c>
      <x:c r="Y1029" s="3" t="n">
        <x:v>0</x:v>
      </x:c>
      <x:c r="Z1029" s="3" t="str">
        <x:v>共同</x:v>
      </x:c>
      <x:c r="AA1029" s="3" t="str">
        <x:v>在售</x:v>
      </x:c>
      <x:c r="AB1029" s="12" t="n">
        <x:f>IF(AND(Z1029="共同",ISNUMBER(G1029),ISNUMBER(AD1029)),G1029-AD1029,"")</x:f>
        <x:v>-0.8004761904761905</x:v>
      </x:c>
      <x:c r="AC1029" s="3" t="str"/>
      <x:c r="AD1029" s="12" t="n">
        <x:v>1.67</x:v>
      </x:c>
      <x:c r="AE1029" s="3" t="str">
        <x:v>[6574,"1S01-BLK-40"]</x:v>
      </x:c>
      <x:c r="AF1029" t="n">
        <x:f>IF(ISNUMBER(H1029),1,0)</x:f>
        <x:v>1</x:v>
      </x:c>
      <x:c r="AG1029" t="n">
        <x:f>IF(ISNUMBER(I1029),1,0)</x:f>
        <x:v>1</x:v>
      </x:c>
      <x:c r="AH1029" t="str">
        <x:v>["1S01","1S01-BLK","BLK","黑色"]</x:v>
      </x:c>
      <x:c r="AI1029" t="n">
        <x:f>IF(ISNUMBER(G1029),1,0)</x:f>
        <x:v>1</x:v>
      </x:c>
      <x:c r="AJ1029" t="n">
        <x:f>IF(ISNUMBER(AD1029),1,0)</x:f>
        <x:v>1</x:v>
      </x:c>
    </x:row>
    <x:row r="1030" ht="30" customHeight="1">
      <x:c r="A1030" s="3" t="str">
        <x:v>1S01-BLK-40.5</x:v>
      </x:c>
      <x:c r="B1030" s="3" t="str">
        <x:v>3店-SANDIEX-US</x:v>
      </x:c>
      <x:c r="C1030" s="3" t="str">
        <x:v>徐新怡</x:v>
      </x:c>
      <x:c r="D1030" s="3" t="str">
        <x:v>1S01</x:v>
      </x:c>
      <x:c r="E1030" s="3" t="str">
        <x:f>IF(Z1030="移出","已移出",IF(NOT(ISNUMBER(H1030)),"数据待核",IF(H1030=0,"断货",IF(NOT(ISNUMBER(G1030)),"数据待核",IF(G1030=0,"零日销待复核",IF(F1030&lt;60,"补货提醒",IF(F1030&lt;=90,"正常库存",IF(F1030&lt;180,"促销",IF(F1030&lt;=365,"红线促销","考虑清仓")))))))))</x:f>
        <x:v>补货提醒</x:v>
      </x:c>
      <x:c r="F1030" s="11" t="n">
        <x:f>IF(AND(ISNUMBER(H1030),ISNUMBER(G1030),G1030&gt;0),H1030/G1030,"")</x:f>
        <x:v>24.838709677419356</x:v>
      </x:c>
      <x:c r="G1030" s="12" t="n">
        <x:f>IF(AND(COUNT(P1030:R1030)=3,MIN(P1030:R1030)&gt;=0,P1030&lt;=Q1030,Q1030&lt;=R1030),P1030/7*0.5+Q1030/14*0.3+R1030/30*0.2,"")</x:f>
        <x:v>0.44285714285714284</x:v>
      </x:c>
      <x:c r="H1030" s="10" t="n">
        <x:f>IF(ISNUMBER(U1030),U1030,"")</x:f>
        <x:v>11</x:v>
      </x:c>
      <x:c r="I1030" s="10" t="n">
        <x:v>0</x:v>
      </x:c>
      <x:c r="J1030" s="11" t="n">
        <x:f>IF(AND(Z1030="共同",ISNUMBER(F1030),ISNUMBER(M1030)),F1030-M1030,"")</x:f>
        <x:v>24.838709677419356</x:v>
      </x:c>
      <x:c r="K1030" s="13" t="str">
        <x:f>IF(AND(ISNUMBER(J1030),M1030&lt;&gt;0),J1030/M1030,"")</x:f>
      </x:c>
      <x:c r="L1030" s="10" t="str">
        <x:v>断货</x:v>
      </x:c>
      <x:c r="M1030" s="11" t="n">
        <x:v>0</x:v>
      </x:c>
      <x:c r="N1030" s="10" t="n">
        <x:f>IF(AND(Z1030="共同",COUNT(H1030:I1030)=2),H1030-I1030,"")</x:f>
        <x:v>11</x:v>
      </x:c>
      <x:c r="O1030" s="10" t="n">
        <x:v>18</x:v>
      </x:c>
      <x:c r="P1030" s="10" t="n">
        <x:v>3</x:v>
      </x:c>
      <x:c r="Q1030" s="10" t="n">
        <x:v>6</x:v>
      </x:c>
      <x:c r="R1030" s="10" t="n">
        <x:v>15</x:v>
      </x:c>
      <x:c r="S1030" s="10" t="n">
        <x:v>41</x:v>
      </x:c>
      <x:c r="T1030" s="10" t="n">
        <x:v>0</x:v>
      </x:c>
      <x:c r="U1030" s="10" t="n">
        <x:f>IF(AND(ISNUMBER(X1030),X1030&gt;=0,Y1030&lt;&gt;1),X1030,"")</x:f>
        <x:v>11</x:v>
      </x:c>
      <x:c r="V1030" s="10" t="n">
        <x:v>0</x:v>
      </x:c>
      <x:c r="W1030" s="10" t="n">
        <x:v>8</x:v>
      </x:c>
      <x:c r="X1030" s="10" t="n">
        <x:v>11</x:v>
      </x:c>
      <x:c r="Y1030" s="3" t="n">
        <x:v>0</x:v>
      </x:c>
      <x:c r="Z1030" s="3" t="str">
        <x:v>共同</x:v>
      </x:c>
      <x:c r="AA1030" s="3" t="str">
        <x:v>在售</x:v>
      </x:c>
      <x:c r="AB1030" s="12" t="n">
        <x:f>IF(AND(Z1030="共同",ISNUMBER(G1030),ISNUMBER(AD1030)),G1030-AD1030,"")</x:f>
        <x:v>-0.0080952380952381</x:v>
      </x:c>
      <x:c r="AC1030" s="3" t="str"/>
      <x:c r="AD1030" s="12" t="n">
        <x:v>0.45095238095238094</x:v>
      </x:c>
      <x:c r="AE1030" s="3" t="str">
        <x:v>[6574,"1S01-BLK-40.5"]</x:v>
      </x:c>
      <x:c r="AF1030" t="n">
        <x:f>IF(ISNUMBER(H1030),1,0)</x:f>
        <x:v>1</x:v>
      </x:c>
      <x:c r="AG1030" t="n">
        <x:f>IF(ISNUMBER(I1030),1,0)</x:f>
        <x:v>1</x:v>
      </x:c>
      <x:c r="AH1030" t="str">
        <x:v>["1S01","1S01-BLK","BLK","黑色"]</x:v>
      </x:c>
      <x:c r="AI1030" t="n">
        <x:f>IF(ISNUMBER(G1030),1,0)</x:f>
        <x:v>1</x:v>
      </x:c>
      <x:c r="AJ1030" t="n">
        <x:f>IF(ISNUMBER(AD1030),1,0)</x:f>
        <x:v>1</x:v>
      </x:c>
    </x:row>
    <x:row r="1031" ht="30" customHeight="1">
      <x:c r="A1031" s="3" t="str">
        <x:v>1S01-BLK-41</x:v>
      </x:c>
      <x:c r="B1031" s="3" t="str">
        <x:v>3店-SANDIEX-US</x:v>
      </x:c>
      <x:c r="C1031" s="3" t="str">
        <x:v>徐新怡</x:v>
      </x:c>
      <x:c r="D1031" s="3" t="str">
        <x:v>1S01</x:v>
      </x:c>
      <x:c r="E1031" s="3" t="str">
        <x:f>IF(Z1031="移出","已移出",IF(NOT(ISNUMBER(H1031)),"数据待核",IF(H1031=0,"断货",IF(NOT(ISNUMBER(G1031)),"数据待核",IF(G1031=0,"零日销待复核",IF(F1031&lt;60,"补货提醒",IF(F1031&lt;=90,"正常库存",IF(F1031&lt;180,"促销",IF(F1031&lt;=365,"红线促销","考虑清仓")))))))))</x:f>
        <x:v>补货提醒</x:v>
      </x:c>
      <x:c r="F1031" s="11" t="n">
        <x:f>IF(AND(ISNUMBER(H1031),ISNUMBER(G1031),G1031&gt;0),H1031/G1031,"")</x:f>
        <x:v>14.969450101832994</x:v>
      </x:c>
      <x:c r="G1031" s="12" t="n">
        <x:f>IF(AND(COUNT(P1031:R1031)=3,MIN(P1031:R1031)&gt;=0,P1031&lt;=Q1031,Q1031&lt;=R1031),P1031/7*0.5+Q1031/14*0.3+R1031/30*0.2,"")</x:f>
        <x:v>0.9352380952380952</x:v>
      </x:c>
      <x:c r="H1031" s="10" t="n">
        <x:f>IF(ISNUMBER(U1031),U1031,"")</x:f>
        <x:v>14</x:v>
      </x:c>
      <x:c r="I1031" s="10" t="n">
        <x:v>21</x:v>
      </x:c>
      <x:c r="J1031" s="11" t="n">
        <x:f>IF(AND(Z1031="共同",ISNUMBER(F1031),ISNUMBER(M1031)),F1031-M1031,"")</x:f>
        <x:v>-1.4735029183012358</x:v>
      </x:c>
      <x:c r="K1031" s="13" t="n">
        <x:f>IF(AND(ISNUMBER(J1031),M1031&lt;&gt;0),J1031/M1031,"")</x:f>
        <x:v>-0.08961303462321801</x:v>
      </x:c>
      <x:c r="L1031" s="10" t="str">
        <x:v>补货提醒</x:v>
      </x:c>
      <x:c r="M1031" s="11" t="n">
        <x:v>16.44295302013423</x:v>
      </x:c>
      <x:c r="N1031" s="10" t="n">
        <x:f>IF(AND(Z1031="共同",COUNT(H1031:I1031)=2),H1031-I1031,"")</x:f>
        <x:v>-7</x:v>
      </x:c>
      <x:c r="O1031" s="10" t="n">
        <x:v>43</x:v>
      </x:c>
      <x:c r="P1031" s="10" t="n">
        <x:v>6</x:v>
      </x:c>
      <x:c r="Q1031" s="10" t="n">
        <x:v>14</x:v>
      </x:c>
      <x:c r="R1031" s="10" t="n">
        <x:v>31</x:v>
      </x:c>
      <x:c r="S1031" s="10" t="n">
        <x:v>18</x:v>
      </x:c>
      <x:c r="T1031" s="10" t="n">
        <x:v>0</x:v>
      </x:c>
      <x:c r="U1031" s="10" t="n">
        <x:f>IF(AND(ISNUMBER(X1031),X1031&gt;=0,Y1031&lt;&gt;1),X1031,"")</x:f>
        <x:v>14</x:v>
      </x:c>
      <x:c r="V1031" s="10" t="n">
        <x:v>0</x:v>
      </x:c>
      <x:c r="W1031" s="10" t="n">
        <x:v>37</x:v>
      </x:c>
      <x:c r="X1031" s="10" t="n">
        <x:v>14</x:v>
      </x:c>
      <x:c r="Y1031" s="3" t="n">
        <x:v>0</x:v>
      </x:c>
      <x:c r="Z1031" s="3" t="str">
        <x:v>共同</x:v>
      </x:c>
      <x:c r="AA1031" s="3" t="str">
        <x:v>在售</x:v>
      </x:c>
      <x:c r="AB1031" s="12" t="n">
        <x:f>IF(AND(Z1031="共同",ISNUMBER(G1031),ISNUMBER(AD1031)),G1031-AD1031,"")</x:f>
        <x:v>-0.34190476190476193</x:v>
      </x:c>
      <x:c r="AC1031" s="3" t="str"/>
      <x:c r="AD1031" s="12" t="n">
        <x:v>1.2771428571428571</x:v>
      </x:c>
      <x:c r="AE1031" s="3" t="str">
        <x:v>[6574,"1S01-BLK-41"]</x:v>
      </x:c>
      <x:c r="AF1031" t="n">
        <x:f>IF(ISNUMBER(H1031),1,0)</x:f>
        <x:v>1</x:v>
      </x:c>
      <x:c r="AG1031" t="n">
        <x:f>IF(ISNUMBER(I1031),1,0)</x:f>
        <x:v>1</x:v>
      </x:c>
      <x:c r="AH1031" t="str">
        <x:v>["1S01","1S01-BLK","BLK","黑色"]</x:v>
      </x:c>
      <x:c r="AI1031" t="n">
        <x:f>IF(ISNUMBER(G1031),1,0)</x:f>
        <x:v>1</x:v>
      </x:c>
      <x:c r="AJ1031" t="n">
        <x:f>IF(ISNUMBER(AD1031),1,0)</x:f>
        <x:v>1</x:v>
      </x:c>
    </x:row>
    <x:row r="1032" ht="30" customHeight="1">
      <x:c r="A1032" s="3" t="str">
        <x:v>1S01-BLK-42</x:v>
      </x:c>
      <x:c r="B1032" s="3" t="str">
        <x:v>3店-SANDIEX-US</x:v>
      </x:c>
      <x:c r="C1032" s="3" t="str">
        <x:v>徐新怡</x:v>
      </x:c>
      <x:c r="D1032" s="3" t="str">
        <x:v>1S01</x:v>
      </x:c>
      <x:c r="E1032" s="3" t="str">
        <x:f>IF(Z1032="移出","已移出",IF(NOT(ISNUMBER(H1032)),"数据待核",IF(H1032=0,"断货",IF(NOT(ISNUMBER(G1032)),"数据待核",IF(G1032=0,"零日销待复核",IF(F1032&lt;60,"补货提醒",IF(F1032&lt;=90,"正常库存",IF(F1032&lt;180,"促销",IF(F1032&lt;=365,"红线促销","考虑清仓")))))))))</x:f>
        <x:v>补货提醒</x:v>
      </x:c>
      <x:c r="F1032" s="11" t="n">
        <x:f>IF(AND(ISNUMBER(H1032),ISNUMBER(G1032),G1032&gt;0),H1032/G1032,"")</x:f>
        <x:v>13.375796178343949</x:v>
      </x:c>
      <x:c r="G1032" s="12" t="n">
        <x:f>IF(AND(COUNT(P1032:R1032)=3,MIN(P1032:R1032)&gt;=0,P1032&lt;=Q1032,Q1032&lt;=R1032),P1032/7*0.5+Q1032/14*0.3+R1032/30*0.2,"")</x:f>
        <x:v>0.07476190476190477</x:v>
      </x:c>
      <x:c r="H1032" s="10" t="n">
        <x:f>IF(ISNUMBER(U1032),U1032,"")</x:f>
        <x:v>1</x:v>
      </x:c>
      <x:c r="I1032" s="10" t="n">
        <x:v>0</x:v>
      </x:c>
      <x:c r="J1032" s="11" t="n">
        <x:f>IF(AND(Z1032="共同",ISNUMBER(F1032),ISNUMBER(M1032)),F1032-M1032,"")</x:f>
        <x:v>13.375796178343949</x:v>
      </x:c>
      <x:c r="K1032" s="13" t="str">
        <x:f>IF(AND(ISNUMBER(J1032),M1032&lt;&gt;0),J1032/M1032,"")</x:f>
      </x:c>
      <x:c r="L1032" s="10" t="str">
        <x:v>断货</x:v>
      </x:c>
      <x:c r="M1032" s="11" t="n">
        <x:v>0</x:v>
      </x:c>
      <x:c r="N1032" s="10" t="n">
        <x:f>IF(AND(Z1032="共同",COUNT(H1032:I1032)=2),H1032-I1032,"")</x:f>
        <x:v>1</x:v>
      </x:c>
      <x:c r="O1032" s="10" t="n">
        <x:v>4</x:v>
      </x:c>
      <x:c r="P1032" s="10" t="n">
        <x:v>0</x:v>
      </x:c>
      <x:c r="Q1032" s="10" t="n">
        <x:v>1</x:v>
      </x:c>
      <x:c r="R1032" s="10" t="n">
        <x:v>8</x:v>
      </x:c>
      <x:c r="S1032" s="10" t="n">
        <x:v>13</x:v>
      </x:c>
      <x:c r="T1032" s="10" t="n">
        <x:v>0</x:v>
      </x:c>
      <x:c r="U1032" s="10" t="n">
        <x:f>IF(AND(ISNUMBER(X1032),X1032&gt;=0,Y1032&lt;&gt;1),X1032,"")</x:f>
        <x:v>1</x:v>
      </x:c>
      <x:c r="V1032" s="10" t="n">
        <x:v>0</x:v>
      </x:c>
      <x:c r="W1032" s="10" t="n">
        <x:v>42</x:v>
      </x:c>
      <x:c r="X1032" s="10" t="n">
        <x:v>1</x:v>
      </x:c>
      <x:c r="Y1032" s="3" t="n">
        <x:v>0</x:v>
      </x:c>
      <x:c r="Z1032" s="3" t="str">
        <x:v>共同</x:v>
      </x:c>
      <x:c r="AA1032" s="3" t="str">
        <x:v>在售</x:v>
      </x:c>
      <x:c r="AB1032" s="12" t="n">
        <x:f>IF(AND(Z1032="共同",ISNUMBER(G1032),ISNUMBER(AD1032)),G1032-AD1032,"")</x:f>
        <x:v>-0.3614285714285714</x:v>
      </x:c>
      <x:c r="AC1032" s="3" t="str"/>
      <x:c r="AD1032" s="12" t="n">
        <x:v>0.43619047619047613</x:v>
      </x:c>
      <x:c r="AE1032" s="3" t="str">
        <x:v>[6574,"1S01-BLK-42"]</x:v>
      </x:c>
      <x:c r="AF1032" t="n">
        <x:f>IF(ISNUMBER(H1032),1,0)</x:f>
        <x:v>1</x:v>
      </x:c>
      <x:c r="AG1032" t="n">
        <x:f>IF(ISNUMBER(I1032),1,0)</x:f>
        <x:v>1</x:v>
      </x:c>
      <x:c r="AH1032" t="str">
        <x:v>["1S01","1S01-BLK","BLK","黑色"]</x:v>
      </x:c>
      <x:c r="AI1032" t="n">
        <x:f>IF(ISNUMBER(G1032),1,0)</x:f>
        <x:v>1</x:v>
      </x:c>
      <x:c r="AJ1032" t="n">
        <x:f>IF(ISNUMBER(AD1032),1,0)</x:f>
        <x:v>1</x:v>
      </x:c>
    </x:row>
    <x:row r="1033" ht="30" customHeight="1">
      <x:c r="A1033" s="3" t="str">
        <x:v>1S01-DPB-37.5</x:v>
      </x:c>
      <x:c r="B1033" s="3" t="str">
        <x:v>3店-SANDIEX-US</x:v>
      </x:c>
      <x:c r="C1033" s="3" t="str">
        <x:v>徐新怡</x:v>
      </x:c>
      <x:c r="D1033" s="3" t="str">
        <x:v>1S01</x:v>
      </x:c>
      <x:c r="E1033" s="3" t="str">
        <x:f>IF(Z1033="移出","已移出",IF(NOT(ISNUMBER(H1033)),"数据待核",IF(H1033=0,"断货",IF(NOT(ISNUMBER(G1033)),"数据待核",IF(G1033=0,"零日销待复核",IF(F1033&lt;60,"补货提醒",IF(F1033&lt;=90,"正常库存",IF(F1033&lt;180,"促销",IF(F1033&lt;=365,"红线促销","考虑清仓")))))))))</x:f>
        <x:v>补货提醒</x:v>
      </x:c>
      <x:c r="F1033" s="11" t="n">
        <x:f>IF(AND(ISNUMBER(H1033),ISNUMBER(G1033),G1033&gt;0),H1033/G1033,"")</x:f>
        <x:v>26.58227848101266</x:v>
      </x:c>
      <x:c r="G1033" s="12" t="n">
        <x:f>IF(AND(COUNT(P1033:R1033)=3,MIN(P1033:R1033)&gt;=0,P1033&lt;=Q1033,Q1033&lt;=R1033),P1033/7*0.5+Q1033/14*0.3+R1033/30*0.2,"")</x:f>
        <x:v>0.2257142857142857</x:v>
      </x:c>
      <x:c r="H1033" s="10" t="n">
        <x:f>IF(ISNUMBER(U1033),U1033,"")</x:f>
        <x:v>6</x:v>
      </x:c>
      <x:c r="I1033" s="10" t="n">
        <x:v>7</x:v>
      </x:c>
      <x:c r="J1033" s="11" t="n">
        <x:f>IF(AND(Z1033="共同",ISNUMBER(F1033),ISNUMBER(M1033)),F1033-M1033,"")</x:f>
        <x:v>-2.5266324100764486</x:v>
      </x:c>
      <x:c r="K1033" s="13" t="n">
        <x:f>IF(AND(ISNUMBER(J1033),M1033&lt;&gt;0),J1033/M1033,"")</x:f>
        <x:v>-0.08679927667269431</x:v>
      </x:c>
      <x:c r="L1033" s="10" t="str">
        <x:v>补货提醒</x:v>
      </x:c>
      <x:c r="M1033" s="11" t="n">
        <x:v>29.10891089108911</x:v>
      </x:c>
      <x:c r="N1033" s="10" t="n">
        <x:f>IF(AND(Z1033="共同",COUNT(H1033:I1033)=2),H1033-I1033,"")</x:f>
        <x:v>-1</x:v>
      </x:c>
      <x:c r="O1033" s="10" t="n">
        <x:v>0</x:v>
      </x:c>
      <x:c r="P1033" s="10" t="n">
        <x:v>2</x:v>
      </x:c>
      <x:c r="Q1033" s="10" t="n">
        <x:v>2</x:v>
      </x:c>
      <x:c r="R1033" s="10" t="n">
        <x:v>6</x:v>
      </x:c>
      <x:c r="S1033" s="10" t="n">
        <x:v>7</x:v>
      </x:c>
      <x:c r="T1033" s="10" t="n">
        <x:v>0</x:v>
      </x:c>
      <x:c r="U1033" s="10" t="n">
        <x:f>IF(AND(ISNUMBER(X1033),X1033&gt;=0,Y1033&lt;&gt;1),X1033,"")</x:f>
        <x:v>6</x:v>
      </x:c>
      <x:c r="V1033" s="10" t="n">
        <x:v>0</x:v>
      </x:c>
      <x:c r="W1033" s="10" t="n">
        <x:v>0</x:v>
      </x:c>
      <x:c r="X1033" s="10" t="n">
        <x:v>6</x:v>
      </x:c>
      <x:c r="Y1033" s="3" t="n">
        <x:v>0</x:v>
      </x:c>
      <x:c r="Z1033" s="3" t="str">
        <x:v>共同</x:v>
      </x:c>
      <x:c r="AA1033" s="3" t="str">
        <x:v>在售</x:v>
      </x:c>
      <x:c r="AB1033" s="12" t="n">
        <x:f>IF(AND(Z1033="共同",ISNUMBER(G1033),ISNUMBER(AD1033)),G1033-AD1033,"")</x:f>
        <x:v>-0.014761904761904754</x:v>
      </x:c>
      <x:c r="AC1033" s="3" t="str"/>
      <x:c r="AD1033" s="12" t="n">
        <x:v>0.24047619047619045</x:v>
      </x:c>
      <x:c r="AE1033" s="3" t="str">
        <x:v>[6574,"1S01-DPB-37.5"]</x:v>
      </x:c>
      <x:c r="AF1033" t="n">
        <x:f>IF(ISNUMBER(H1033),1,0)</x:f>
        <x:v>1</x:v>
      </x:c>
      <x:c r="AG1033" t="n">
        <x:f>IF(ISNUMBER(I1033),1,0)</x:f>
        <x:v>1</x:v>
      </x:c>
      <x:c r="AH1033" t="str">
        <x:v>["1S01","1S01-DPB","DPB","米色"]</x:v>
      </x:c>
      <x:c r="AI1033" t="n">
        <x:f>IF(ISNUMBER(G1033),1,0)</x:f>
        <x:v>1</x:v>
      </x:c>
      <x:c r="AJ1033" t="n">
        <x:f>IF(ISNUMBER(AD1033),1,0)</x:f>
        <x:v>1</x:v>
      </x:c>
    </x:row>
    <x:row r="1034" ht="30" customHeight="1">
      <x:c r="A1034" s="3" t="str">
        <x:v>1S01-LMN-37.5</x:v>
      </x:c>
      <x:c r="B1034" s="3" t="str">
        <x:v>3店-SANDIEX-US</x:v>
      </x:c>
      <x:c r="C1034" s="3" t="str">
        <x:v>徐新怡</x:v>
      </x:c>
      <x:c r="D1034" s="3" t="str">
        <x:v>1S01</x:v>
      </x:c>
      <x:c r="E1034" s="3" t="str">
        <x:f>IF(Z1034="移出","已移出",IF(NOT(ISNUMBER(H1034)),"数据待核",IF(H1034=0,"断货",IF(NOT(ISNUMBER(G1034)),"数据待核",IF(G1034=0,"零日销待复核",IF(F1034&lt;60,"补货提醒",IF(F1034&lt;=90,"正常库存",IF(F1034&lt;180,"促销",IF(F1034&lt;=365,"红线促销","考虑清仓")))))))))</x:f>
        <x:v>补货提醒</x:v>
      </x:c>
      <x:c r="F1034" s="11" t="n">
        <x:f>IF(AND(ISNUMBER(H1034),ISNUMBER(G1034),G1034&gt;0),H1034/G1034,"")</x:f>
        <x:v>37.5</x:v>
      </x:c>
      <x:c r="G1034" s="12" t="n">
        <x:f>IF(AND(COUNT(P1034:R1034)=3,MIN(P1034:R1034)&gt;=0,P1034&lt;=Q1034,Q1034&lt;=R1034),P1034/7*0.5+Q1034/14*0.3+R1034/30*0.2,"")</x:f>
        <x:v>0.02666666666666667</x:v>
      </x:c>
      <x:c r="H1034" s="10" t="n">
        <x:f>IF(ISNUMBER(U1034),U1034,"")</x:f>
        <x:v>1</x:v>
      </x:c>
      <x:c r="I1034" s="10"/>
      <x:c r="J1034" s="11" t="str">
        <x:f>IF(AND(Z1034="共同",ISNUMBER(F1034),ISNUMBER(M1034)),F1034-M1034,"")</x:f>
      </x:c>
      <x:c r="K1034" s="13" t="str">
        <x:f>IF(AND(ISNUMBER(J1034),M1034&lt;&gt;0),J1034/M1034,"")</x:f>
      </x:c>
      <x:c r="L1034" s="10"/>
      <x:c r="M1034" s="11"/>
      <x:c r="N1034" s="10" t="str">
        <x:f>IF(AND(Z1034="共同",COUNT(H1034:I1034)=2),H1034-I1034,"")</x:f>
      </x:c>
      <x:c r="O1034" s="10" t="n">
        <x:v>0</x:v>
      </x:c>
      <x:c r="P1034" s="10" t="n">
        <x:v>0</x:v>
      </x:c>
      <x:c r="Q1034" s="10" t="n">
        <x:v>0</x:v>
      </x:c>
      <x:c r="R1034" s="10" t="n">
        <x:v>4</x:v>
      </x:c>
      <x:c r="S1034" s="10" t="n">
        <x:v>2</x:v>
      </x:c>
      <x:c r="T1034" s="10" t="n">
        <x:v>0</x:v>
      </x:c>
      <x:c r="U1034" s="10" t="n">
        <x:f>IF(AND(ISNUMBER(X1034),X1034&gt;=0,Y1034&lt;&gt;1),X1034,"")</x:f>
        <x:v>1</x:v>
      </x:c>
      <x:c r="V1034" s="10" t="n">
        <x:v>0</x:v>
      </x:c>
      <x:c r="W1034" s="10" t="n">
        <x:v>0</x:v>
      </x:c>
      <x:c r="X1034" s="10" t="n">
        <x:v>1</x:v>
      </x:c>
      <x:c r="Y1034" s="3" t="n">
        <x:v>0</x:v>
      </x:c>
      <x:c r="Z1034" s="3" t="str">
        <x:v>新增</x:v>
      </x:c>
      <x:c r="AA1034" s="3" t="str">
        <x:v>在售</x:v>
      </x:c>
      <x:c r="AB1034" s="12" t="str">
        <x:f>IF(AND(Z1034="共同",ISNUMBER(G1034),ISNUMBER(AD1034)),G1034-AD1034,"")</x:f>
      </x:c>
      <x:c r="AC1034" s="3" t="str"/>
      <x:c r="AD1034" s="12"/>
      <x:c r="AE1034" s="3" t="str">
        <x:v>[6574,"1S01-LMN-37.5"]</x:v>
      </x:c>
      <x:c r="AF1034" t="n">
        <x:f>IF(ISNUMBER(H1034),1,0)</x:f>
        <x:v>1</x:v>
      </x:c>
      <x:c r="AG1034" t="n">
        <x:f>IF(ISNUMBER(I1034),1,0)</x:f>
        <x:v>0</x:v>
      </x:c>
      <x:c r="AH1034" t="str">
        <x:v>["1S01","1S01-LMN","LMN","豹纹"]</x:v>
      </x:c>
      <x:c r="AI1034" t="n">
        <x:f>IF(ISNUMBER(G1034),1,0)</x:f>
        <x:v>1</x:v>
      </x:c>
      <x:c r="AJ1034" t="n">
        <x:f>IF(ISNUMBER(AD1034),1,0)</x:f>
        <x:v>0</x:v>
      </x:c>
    </x:row>
    <x:row r="1035" ht="30" customHeight="1">
      <x:c r="A1035" s="3" t="str">
        <x:v>1S01-SB-40</x:v>
      </x:c>
      <x:c r="B1035" s="3" t="str">
        <x:v>3店-SANDIEX-US</x:v>
      </x:c>
      <x:c r="C1035" s="3" t="str">
        <x:v>徐新怡</x:v>
      </x:c>
      <x:c r="D1035" s="3" t="str">
        <x:v>1S01</x:v>
      </x:c>
      <x:c r="E1035" s="3" t="str">
        <x:f>IF(Z1035="移出","已移出",IF(NOT(ISNUMBER(H1035)),"数据待核",IF(H1035=0,"断货",IF(NOT(ISNUMBER(G1035)),"数据待核",IF(G1035=0,"零日销待复核",IF(F1035&lt;60,"补货提醒",IF(F1035&lt;=90,"正常库存",IF(F1035&lt;180,"促销",IF(F1035&lt;=365,"红线促销","考虑清仓")))))))))</x:f>
        <x:v>补货提醒</x:v>
      </x:c>
      <x:c r="F1035" s="11" t="n">
        <x:f>IF(AND(ISNUMBER(H1035),ISNUMBER(G1035),G1035&gt;0),H1035/G1035,"")</x:f>
        <x:v>2.2826086956521743</x:v>
      </x:c>
      <x:c r="G1035" s="12" t="n">
        <x:f>IF(AND(COUNT(P1035:R1035)=3,MIN(P1035:R1035)&gt;=0,P1035&lt;=Q1035,Q1035&lt;=R1035),P1035/7*0.5+Q1035/14*0.3+R1035/30*0.2,"")</x:f>
        <x:v>0.43809523809523804</x:v>
      </x:c>
      <x:c r="H1035" s="10" t="n">
        <x:f>IF(ISNUMBER(U1035),U1035,"")</x:f>
        <x:v>1</x:v>
      </x:c>
      <x:c r="I1035" s="10" t="n">
        <x:v>2</x:v>
      </x:c>
      <x:c r="J1035" s="11" t="n">
        <x:f>IF(AND(Z1035="共同",ISNUMBER(F1035),ISNUMBER(M1035)),F1035-M1035,"")</x:f>
        <x:v>-1.8189538043478266</x:v>
      </x:c>
      <x:c r="K1035" s="13" t="n">
        <x:f>IF(AND(ISNUMBER(J1035),M1035&lt;&gt;0),J1035/M1035,"")</x:f>
        <x:v>-0.44347826086956527</x:v>
      </x:c>
      <x:c r="L1035" s="10" t="str">
        <x:v>补货提醒</x:v>
      </x:c>
      <x:c r="M1035" s="11" t="n">
        <x:v>4.101562500000001</x:v>
      </x:c>
      <x:c r="N1035" s="10" t="n">
        <x:f>IF(AND(Z1035="共同",COUNT(H1035:I1035)=2),H1035-I1035,"")</x:f>
        <x:v>-1</x:v>
      </x:c>
      <x:c r="O1035" s="10" t="n">
        <x:v>1</x:v>
      </x:c>
      <x:c r="P1035" s="10" t="n">
        <x:v>4</x:v>
      </x:c>
      <x:c r="Q1035" s="10" t="n">
        <x:v>4</x:v>
      </x:c>
      <x:c r="R1035" s="10" t="n">
        <x:v>10</x:v>
      </x:c>
      <x:c r="S1035" s="10" t="n">
        <x:v>8</x:v>
      </x:c>
      <x:c r="T1035" s="10" t="n">
        <x:v>1</x:v>
      </x:c>
      <x:c r="U1035" s="10" t="n">
        <x:f>IF(AND(ISNUMBER(X1035),X1035&gt;=0,Y1035&lt;&gt;1),X1035,"")</x:f>
        <x:v>1</x:v>
      </x:c>
      <x:c r="V1035" s="10" t="n">
        <x:v>0</x:v>
      </x:c>
      <x:c r="W1035" s="10" t="n">
        <x:v>0</x:v>
      </x:c>
      <x:c r="X1035" s="10" t="n">
        <x:v>1</x:v>
      </x:c>
      <x:c r="Y1035" s="3" t="n">
        <x:v>0</x:v>
      </x:c>
      <x:c r="Z1035" s="3" t="str">
        <x:v>共同</x:v>
      </x:c>
      <x:c r="AA1035" s="3" t="str">
        <x:v>在售</x:v>
      </x:c>
      <x:c r="AB1035" s="12" t="n">
        <x:f>IF(AND(Z1035="共同",ISNUMBER(G1035),ISNUMBER(AD1035)),G1035-AD1035,"")</x:f>
        <x:v>-0.049523809523809526</x:v>
      </x:c>
      <x:c r="AC1035" s="3" t="str"/>
      <x:c r="AD1035" s="12" t="n">
        <x:v>0.48761904761904756</x:v>
      </x:c>
      <x:c r="AE1035" s="3" t="str">
        <x:v>[6574,"1S01-SB-40"]</x:v>
      </x:c>
      <x:c r="AF1035" t="n">
        <x:f>IF(ISNUMBER(H1035),1,0)</x:f>
        <x:v>1</x:v>
      </x:c>
      <x:c r="AG1035" t="n">
        <x:f>IF(ISNUMBER(I1035),1,0)</x:f>
        <x:v>1</x:v>
      </x:c>
      <x:c r="AH1035" t="str">
        <x:v>["1S01","1S01-SB","SB","黑色蛇纹"]</x:v>
      </x:c>
      <x:c r="AI1035" t="n">
        <x:f>IF(ISNUMBER(G1035),1,0)</x:f>
        <x:v>1</x:v>
      </x:c>
      <x:c r="AJ1035" t="n">
        <x:f>IF(ISNUMBER(AD1035),1,0)</x:f>
        <x:v>1</x:v>
      </x:c>
    </x:row>
    <x:row r="1036" ht="30" customHeight="1">
      <x:c r="A1036" s="3" t="str">
        <x:v>1S01-SB-42-NEW</x:v>
      </x:c>
      <x:c r="B1036" s="3" t="str">
        <x:v>3店-SANDIEX-US</x:v>
      </x:c>
      <x:c r="C1036" s="3" t="str">
        <x:v>徐新怡</x:v>
      </x:c>
      <x:c r="D1036" s="3" t="str">
        <x:v>1S01</x:v>
      </x:c>
      <x:c r="E1036" s="3" t="str">
        <x:f>IF(Z1036="移出","已移出",IF(NOT(ISNUMBER(H1036)),"数据待核",IF(H1036=0,"断货",IF(NOT(ISNUMBER(G1036)),"数据待核",IF(G1036=0,"零日销待复核",IF(F1036&lt;60,"补货提醒",IF(F1036&lt;=90,"正常库存",IF(F1036&lt;180,"促销",IF(F1036&lt;=365,"红线促销","考虑清仓")))))))))</x:f>
        <x:v>补货提醒</x:v>
      </x:c>
      <x:c r="F1036" s="11" t="n">
        <x:f>IF(AND(ISNUMBER(H1036),ISNUMBER(G1036),G1036&gt;0),H1036/G1036,"")</x:f>
        <x:v>19.626168224299064</x:v>
      </x:c>
      <x:c r="G1036" s="12" t="n">
        <x:f>IF(AND(COUNT(P1036:R1036)=3,MIN(P1036:R1036)&gt;=0,P1036&lt;=Q1036,Q1036&lt;=R1036),P1036/7*0.5+Q1036/14*0.3+R1036/30*0.2,"")</x:f>
        <x:v>0.2038095238095238</x:v>
      </x:c>
      <x:c r="H1036" s="10" t="n">
        <x:f>IF(ISNUMBER(U1036),U1036,"")</x:f>
        <x:v>4</x:v>
      </x:c>
      <x:c r="I1036" s="10" t="n">
        <x:v>7</x:v>
      </x:c>
      <x:c r="J1036" s="11" t="n">
        <x:f>IF(AND(Z1036="共同",ISNUMBER(F1036),ISNUMBER(M1036)),F1036-M1036,"")</x:f>
        <x:v>-2.3469259461045233</x:v>
      </x:c>
      <x:c r="K1036" s="13" t="n">
        <x:f>IF(AND(ISNUMBER(J1036),M1036&lt;&gt;0),J1036/M1036,"")</x:f>
        <x:v>-0.10680907877169565</x:v>
      </x:c>
      <x:c r="L1036" s="10" t="str">
        <x:v>补货提醒</x:v>
      </x:c>
      <x:c r="M1036" s="11" t="n">
        <x:v>21.973094170403588</x:v>
      </x:c>
      <x:c r="N1036" s="10" t="n">
        <x:f>IF(AND(Z1036="共同",COUNT(H1036:I1036)=2),H1036-I1036,"")</x:f>
        <x:v>-3</x:v>
      </x:c>
      <x:c r="O1036" s="10" t="n">
        <x:v>0</x:v>
      </x:c>
      <x:c r="P1036" s="10" t="n">
        <x:v>1</x:v>
      </x:c>
      <x:c r="Q1036" s="10" t="n">
        <x:v>4</x:v>
      </x:c>
      <x:c r="R1036" s="10" t="n">
        <x:v>7</x:v>
      </x:c>
      <x:c r="S1036" s="10" t="n">
        <x:v>5</x:v>
      </x:c>
      <x:c r="T1036" s="10" t="n">
        <x:v>0</x:v>
      </x:c>
      <x:c r="U1036" s="10" t="n">
        <x:f>IF(AND(ISNUMBER(X1036),X1036&gt;=0,Y1036&lt;&gt;1),X1036,"")</x:f>
        <x:v>4</x:v>
      </x:c>
      <x:c r="V1036" s="10" t="n">
        <x:v>0</x:v>
      </x:c>
      <x:c r="W1036" s="10" t="n">
        <x:v>0</x:v>
      </x:c>
      <x:c r="X1036" s="10" t="n">
        <x:v>4</x:v>
      </x:c>
      <x:c r="Y1036" s="3" t="n">
        <x:v>0</x:v>
      </x:c>
      <x:c r="Z1036" s="3" t="str">
        <x:v>共同</x:v>
      </x:c>
      <x:c r="AA1036" s="3" t="str">
        <x:v>在售</x:v>
      </x:c>
      <x:c r="AB1036" s="12" t="n">
        <x:f>IF(AND(Z1036="共同",ISNUMBER(G1036),ISNUMBER(AD1036)),G1036-AD1036,"")</x:f>
        <x:v>-0.11476190476190476</x:v>
      </x:c>
      <x:c r="AC1036" s="3" t="str"/>
      <x:c r="AD1036" s="12" t="n">
        <x:v>0.31857142857142856</x:v>
      </x:c>
      <x:c r="AE1036" s="3" t="str">
        <x:v>[6574,"1S01-SB-42-NEW"]</x:v>
      </x:c>
      <x:c r="AF1036" t="n">
        <x:f>IF(ISNUMBER(H1036),1,0)</x:f>
        <x:v>1</x:v>
      </x:c>
      <x:c r="AG1036" t="n">
        <x:f>IF(ISNUMBER(I1036),1,0)</x:f>
        <x:v>1</x:v>
      </x:c>
      <x:c r="AH1036" t="str">
        <x:v>["1S01","1S01-SB","SB","黑色蛇纹"]</x:v>
      </x:c>
      <x:c r="AI1036" t="n">
        <x:f>IF(ISNUMBER(G1036),1,0)</x:f>
        <x:v>1</x:v>
      </x:c>
      <x:c r="AJ1036" t="n">
        <x:f>IF(ISNUMBER(AD1036),1,0)</x:f>
        <x:v>1</x:v>
      </x:c>
    </x:row>
    <x:row r="1037" ht="30" customHeight="1">
      <x:c r="A1037" s="3" t="str">
        <x:v>1S01-TN-39</x:v>
      </x:c>
      <x:c r="B1037" s="3" t="str">
        <x:v>3店-SANDIEX-US</x:v>
      </x:c>
      <x:c r="C1037" s="3" t="str">
        <x:v>徐新怡</x:v>
      </x:c>
      <x:c r="D1037" s="3" t="str">
        <x:v>1S01</x:v>
      </x:c>
      <x:c r="E1037" s="3" t="str">
        <x:f>IF(Z1037="移出","已移出",IF(NOT(ISNUMBER(H1037)),"数据待核",IF(H1037=0,"断货",IF(NOT(ISNUMBER(G1037)),"数据待核",IF(G1037=0,"零日销待复核",IF(F1037&lt;60,"补货提醒",IF(F1037&lt;=90,"正常库存",IF(F1037&lt;180,"促销",IF(F1037&lt;=365,"红线促销","考虑清仓")))))))))</x:f>
        <x:v>补货提醒</x:v>
      </x:c>
      <x:c r="F1037" s="11" t="n">
        <x:f>IF(AND(ISNUMBER(H1037),ISNUMBER(G1037),G1037&gt;0),H1037/G1037,"")</x:f>
        <x:v>30.434782608695656</x:v>
      </x:c>
      <x:c r="G1037" s="12" t="n">
        <x:f>IF(AND(COUNT(P1037:R1037)=3,MIN(P1037:R1037)&gt;=0,P1037&lt;=Q1037,Q1037&lt;=R1037),P1037/7*0.5+Q1037/14*0.3+R1037/30*0.2,"")</x:f>
        <x:v>0.5585714285714285</x:v>
      </x:c>
      <x:c r="H1037" s="10" t="n">
        <x:f>IF(ISNUMBER(U1037),U1037,"")</x:f>
        <x:v>17</x:v>
      </x:c>
      <x:c r="I1037" s="10" t="n">
        <x:v>26</x:v>
      </x:c>
      <x:c r="J1037" s="11" t="n">
        <x:f>IF(AND(Z1037="共同",ISNUMBER(F1037),ISNUMBER(M1037)),F1037-M1037,"")</x:f>
        <x:v>-80.7668467192066</x:v>
      </x:c>
      <x:c r="K1037" s="13" t="n">
        <x:f>IF(AND(ISNUMBER(J1037),M1037&lt;&gt;0),J1037/M1037,"")</x:f>
        <x:v>-0.7263099219620959</x:v>
      </x:c>
      <x:c r="L1037" s="10" t="str">
        <x:v>促销</x:v>
      </x:c>
      <x:c r="M1037" s="11" t="n">
        <x:v>111.20162932790225</x:v>
      </x:c>
      <x:c r="N1037" s="10" t="n">
        <x:f>IF(AND(Z1037="共同",COUNT(H1037:I1037)=2),H1037-I1037,"")</x:f>
        <x:v>-9</x:v>
      </x:c>
      <x:c r="O1037" s="10" t="n">
        <x:v>225</x:v>
      </x:c>
      <x:c r="P1037" s="10" t="n">
        <x:v>4</x:v>
      </x:c>
      <x:c r="Q1037" s="10" t="n">
        <x:v>9</x:v>
      </x:c>
      <x:c r="R1037" s="10" t="n">
        <x:v>12</x:v>
      </x:c>
      <x:c r="S1037" s="10" t="n">
        <x:v>18</x:v>
      </x:c>
      <x:c r="T1037" s="10" t="n">
        <x:v>0</x:v>
      </x:c>
      <x:c r="U1037" s="10" t="n">
        <x:f>IF(AND(ISNUMBER(X1037),X1037&gt;=0,Y1037&lt;&gt;1),X1037,"")</x:f>
        <x:v>17</x:v>
      </x:c>
      <x:c r="V1037" s="10" t="n">
        <x:v>0</x:v>
      </x:c>
      <x:c r="W1037" s="10" t="n">
        <x:v>40</x:v>
      </x:c>
      <x:c r="X1037" s="10" t="n">
        <x:v>17</x:v>
      </x:c>
      <x:c r="Y1037" s="3" t="n">
        <x:v>0</x:v>
      </x:c>
      <x:c r="Z1037" s="3" t="str">
        <x:v>共同</x:v>
      </x:c>
      <x:c r="AA1037" s="3" t="str">
        <x:v>在售</x:v>
      </x:c>
      <x:c r="AB1037" s="12" t="n">
        <x:f>IF(AND(Z1037="共同",ISNUMBER(G1037),ISNUMBER(AD1037)),G1037-AD1037,"")</x:f>
        <x:v>0.3247619047619047</x:v>
      </x:c>
      <x:c r="AC1037" s="3" t="str"/>
      <x:c r="AD1037" s="12" t="n">
        <x:v>0.23380952380952377</x:v>
      </x:c>
      <x:c r="AE1037" s="3" t="str">
        <x:v>[6574,"1S01-TN-39"]</x:v>
      </x:c>
      <x:c r="AF1037" t="n">
        <x:f>IF(ISNUMBER(H1037),1,0)</x:f>
        <x:v>1</x:v>
      </x:c>
      <x:c r="AG1037" t="n">
        <x:f>IF(ISNUMBER(I1037),1,0)</x:f>
        <x:v>1</x:v>
      </x:c>
      <x:c r="AH1037" t="str">
        <x:v>["1S01","1S01-TN","TN","驼色"]</x:v>
      </x:c>
      <x:c r="AI1037" t="n">
        <x:f>IF(ISNUMBER(G1037),1,0)</x:f>
        <x:v>1</x:v>
      </x:c>
      <x:c r="AJ1037" t="n">
        <x:f>IF(ISNUMBER(AD1037),1,0)</x:f>
        <x:v>1</x:v>
      </x:c>
    </x:row>
    <x:row r="1038" ht="30" customHeight="1">
      <x:c r="A1038" s="3" t="str">
        <x:v>2302153-BG-P-Z-40.5</x:v>
      </x:c>
      <x:c r="B1038" s="3" t="str">
        <x:v>3店-SANDIEX-US</x:v>
      </x:c>
      <x:c r="C1038" s="3" t="str">
        <x:v>徐新怡</x:v>
      </x:c>
      <x:c r="D1038" s="3" t="str">
        <x:v>2302153</x:v>
      </x:c>
      <x:c r="E1038" s="3" t="str">
        <x:f>IF(Z1038="移出","已移出",IF(NOT(ISNUMBER(H1038)),"数据待核",IF(H1038=0,"断货",IF(NOT(ISNUMBER(G1038)),"数据待核",IF(G1038=0,"零日销待复核",IF(F1038&lt;60,"补货提醒",IF(F1038&lt;=90,"正常库存",IF(F1038&lt;180,"促销",IF(F1038&lt;=365,"红线促销","考虑清仓")))))))))</x:f>
        <x:v>补货提醒</x:v>
      </x:c>
      <x:c r="F1038" s="11" t="n">
        <x:f>IF(AND(ISNUMBER(H1038),ISNUMBER(G1038),G1038&gt;0),H1038/G1038,"")</x:f>
        <x:v>1.814254859611231</x:v>
      </x:c>
      <x:c r="G1038" s="12" t="n">
        <x:f>IF(AND(COUNT(P1038:R1038)=3,MIN(P1038:R1038)&gt;=0,P1038&lt;=Q1038,Q1038&lt;=R1038),P1038/7*0.5+Q1038/14*0.3+R1038/30*0.2,"")</x:f>
        <x:v>1.1023809523809525</x:v>
      </x:c>
      <x:c r="H1038" s="10" t="n">
        <x:f>IF(ISNUMBER(U1038),U1038,"")</x:f>
        <x:v>2</x:v>
      </x:c>
      <x:c r="I1038" s="10" t="n">
        <x:v>15</x:v>
      </x:c>
      <x:c r="J1038" s="11" t="n">
        <x:f>IF(AND(Z1038="共同",ISNUMBER(F1038),ISNUMBER(M1038)),F1038-M1038,"")</x:f>
        <x:v>-27.735463714497584</x:v>
      </x:c>
      <x:c r="K1038" s="13" t="n">
        <x:f>IF(AND(ISNUMBER(J1038),M1038&lt;&gt;0),J1038/M1038,"")</x:f>
        <x:v>-0.9386033117350612</x:v>
      </x:c>
      <x:c r="L1038" s="10" t="str">
        <x:v>补货提醒</x:v>
      </x:c>
      <x:c r="M1038" s="11" t="n">
        <x:v>29.549718574108816</x:v>
      </x:c>
      <x:c r="N1038" s="10" t="n">
        <x:f>IF(AND(Z1038="共同",COUNT(H1038:I1038)=2),H1038-I1038,"")</x:f>
        <x:v>-13</x:v>
      </x:c>
      <x:c r="O1038" s="10" t="n">
        <x:v>22</x:v>
      </x:c>
      <x:c r="P1038" s="10" t="n">
        <x:v>8</x:v>
      </x:c>
      <x:c r="Q1038" s="10" t="n">
        <x:v>17</x:v>
      </x:c>
      <x:c r="R1038" s="10" t="n">
        <x:v>25</x:v>
      </x:c>
      <x:c r="S1038" s="10" t="n">
        <x:v>7</x:v>
      </x:c>
      <x:c r="T1038" s="10" t="n">
        <x:v>2</x:v>
      </x:c>
      <x:c r="U1038" s="10" t="n">
        <x:f>IF(AND(ISNUMBER(X1038),X1038&gt;=0,Y1038&lt;&gt;1),X1038,"")</x:f>
        <x:v>2</x:v>
      </x:c>
      <x:c r="V1038" s="10" t="n">
        <x:v>0</x:v>
      </x:c>
      <x:c r="W1038" s="10" t="n">
        <x:v>21</x:v>
      </x:c>
      <x:c r="X1038" s="10" t="n">
        <x:v>2</x:v>
      </x:c>
      <x:c r="Y1038" s="3" t="n">
        <x:v>0</x:v>
      </x:c>
      <x:c r="Z1038" s="3" t="str">
        <x:v>共同</x:v>
      </x:c>
      <x:c r="AA1038" s="3" t="str">
        <x:v>在售</x:v>
      </x:c>
      <x:c r="AB1038" s="12" t="n">
        <x:f>IF(AND(Z1038="共同",ISNUMBER(G1038),ISNUMBER(AD1038)),G1038-AD1038,"")</x:f>
        <x:v>0.5947619047619048</x:v>
      </x:c>
      <x:c r="AC1038" s="3" t="str"/>
      <x:c r="AD1038" s="12" t="n">
        <x:v>0.5076190476190476</x:v>
      </x:c>
      <x:c r="AE1038" s="3" t="str">
        <x:v>[6574,"2302153-BG-P-Z-40.5"]</x:v>
      </x:c>
      <x:c r="AF1038" t="n">
        <x:f>IF(ISNUMBER(H1038),1,0)</x:f>
        <x:v>1</x:v>
      </x:c>
      <x:c r="AG1038" t="n">
        <x:f>IF(ISNUMBER(I1038),1,0)</x:f>
        <x:v>1</x:v>
      </x:c>
      <x:c r="AH1038" t="str">
        <x:v>["2302153","2302153-BG-P-Z","BG-P","米白"]</x:v>
      </x:c>
      <x:c r="AI1038" t="n">
        <x:f>IF(ISNUMBER(G1038),1,0)</x:f>
        <x:v>1</x:v>
      </x:c>
      <x:c r="AJ1038" t="n">
        <x:f>IF(ISNUMBER(AD1038),1,0)</x:f>
        <x:v>1</x:v>
      </x:c>
    </x:row>
    <x:row r="1039" ht="30" customHeight="1">
      <x:c r="A1039" s="3" t="str">
        <x:v>2302153-BK-P-Z-6</x:v>
      </x:c>
      <x:c r="B1039" s="3" t="str">
        <x:v>3店-SANDIEX-US</x:v>
      </x:c>
      <x:c r="C1039" s="3" t="str">
        <x:v>徐新怡</x:v>
      </x:c>
      <x:c r="D1039" s="3" t="str">
        <x:v>2302153</x:v>
      </x:c>
      <x:c r="E1039" s="3" t="str">
        <x:f>IF(Z1039="移出","已移出",IF(NOT(ISNUMBER(H1039)),"数据待核",IF(H1039=0,"断货",IF(NOT(ISNUMBER(G1039)),"数据待核",IF(G1039=0,"零日销待复核",IF(F1039&lt;60,"补货提醒",IF(F1039&lt;=90,"正常库存",IF(F1039&lt;180,"促销",IF(F1039&lt;=365,"红线促销","考虑清仓")))))))))</x:f>
        <x:v>补货提醒</x:v>
      </x:c>
      <x:c r="F1039" s="11" t="n">
        <x:f>IF(AND(ISNUMBER(H1039),ISNUMBER(G1039),G1039&gt;0),H1039/G1039,"")</x:f>
        <x:v>13.514851485148515</x:v>
      </x:c>
      <x:c r="G1039" s="12" t="n">
        <x:f>IF(AND(COUNT(P1039:R1039)=3,MIN(P1039:R1039)&gt;=0,P1039&lt;=Q1039,Q1039&lt;=R1039),P1039/7*0.5+Q1039/14*0.3+R1039/30*0.2,"")</x:f>
        <x:v>0.9619047619047618</x:v>
      </x:c>
      <x:c r="H1039" s="10" t="n">
        <x:f>IF(ISNUMBER(U1039),U1039,"")</x:f>
        <x:v>13</x:v>
      </x:c>
      <x:c r="I1039" s="10" t="n">
        <x:v>22</x:v>
      </x:c>
      <x:c r="J1039" s="11" t="n">
        <x:f>IF(AND(Z1039="共同",ISNUMBER(F1039),ISNUMBER(M1039)),F1039-M1039,"")</x:f>
        <x:v>-39.58859679071355</x:v>
      </x:c>
      <x:c r="K1039" s="13" t="n">
        <x:f>IF(AND(ISNUMBER(J1039),M1039&lt;&gt;0),J1039/M1039,"")</x:f>
        <x:v>-0.7454995499549955</x:v>
      </x:c>
      <x:c r="L1039" s="10" t="str">
        <x:v>补货提醒</x:v>
      </x:c>
      <x:c r="M1039" s="11" t="n">
        <x:v>53.10344827586207</x:v>
      </x:c>
      <x:c r="N1039" s="10" t="n">
        <x:f>IF(AND(Z1039="共同",COUNT(H1039:I1039)=2),H1039-I1039,"")</x:f>
        <x:v>-9</x:v>
      </x:c>
      <x:c r="O1039" s="10" t="n">
        <x:v>68</x:v>
      </x:c>
      <x:c r="P1039" s="10" t="n">
        <x:v>8</x:v>
      </x:c>
      <x:c r="Q1039" s="10" t="n">
        <x:v>12</x:v>
      </x:c>
      <x:c r="R1039" s="10" t="n">
        <x:v>20</x:v>
      </x:c>
      <x:c r="S1039" s="10" t="n">
        <x:v>18</x:v>
      </x:c>
      <x:c r="T1039" s="10" t="n">
        <x:v>2</x:v>
      </x:c>
      <x:c r="U1039" s="10" t="n">
        <x:f>IF(AND(ISNUMBER(X1039),X1039&gt;=0,Y1039&lt;&gt;1),X1039,"")</x:f>
        <x:v>13</x:v>
      </x:c>
      <x:c r="V1039" s="10" t="n">
        <x:v>0</x:v>
      </x:c>
      <x:c r="W1039" s="10" t="n">
        <x:v>50</x:v>
      </x:c>
      <x:c r="X1039" s="10" t="n">
        <x:v>13</x:v>
      </x:c>
      <x:c r="Y1039" s="3" t="n">
        <x:v>0</x:v>
      </x:c>
      <x:c r="Z1039" s="3" t="str">
        <x:v>共同</x:v>
      </x:c>
      <x:c r="AA1039" s="3" t="str">
        <x:v>在售</x:v>
      </x:c>
      <x:c r="AB1039" s="12" t="n">
        <x:f>IF(AND(Z1039="共同",ISNUMBER(G1039),ISNUMBER(AD1039)),G1039-AD1039,"")</x:f>
        <x:v>0.5476190476190476</x:v>
      </x:c>
      <x:c r="AC1039" s="3" t="str"/>
      <x:c r="AD1039" s="12" t="n">
        <x:v>0.41428571428571426</x:v>
      </x:c>
      <x:c r="AE1039" s="3" t="str">
        <x:v>[6574,"2302153-BK-P-Z-6"]</x:v>
      </x:c>
      <x:c r="AF1039" t="n">
        <x:f>IF(ISNUMBER(H1039),1,0)</x:f>
        <x:v>1</x:v>
      </x:c>
      <x:c r="AG1039" t="n">
        <x:f>IF(ISNUMBER(I1039),1,0)</x:f>
        <x:v>1</x:v>
      </x:c>
      <x:c r="AH1039" t="str">
        <x:v>["2302153","2302153-BK-P-Z","BK-P","黑色"]</x:v>
      </x:c>
      <x:c r="AI1039" t="n">
        <x:f>IF(ISNUMBER(G1039),1,0)</x:f>
        <x:v>1</x:v>
      </x:c>
      <x:c r="AJ1039" t="n">
        <x:f>IF(ISNUMBER(AD1039),1,0)</x:f>
        <x:v>1</x:v>
      </x:c>
    </x:row>
    <x:row r="1040" ht="30" customHeight="1">
      <x:c r="A1040" s="3" t="str">
        <x:v>2302153-BK-P-Z-7.5</x:v>
      </x:c>
      <x:c r="B1040" s="3" t="str">
        <x:v>3店-SANDIEX-US</x:v>
      </x:c>
      <x:c r="C1040" s="3" t="str">
        <x:v>徐新怡</x:v>
      </x:c>
      <x:c r="D1040" s="3" t="str">
        <x:v>2302153</x:v>
      </x:c>
      <x:c r="E1040" s="3" t="str">
        <x:f>IF(Z1040="移出","已移出",IF(NOT(ISNUMBER(H1040)),"数据待核",IF(H1040=0,"断货",IF(NOT(ISNUMBER(G1040)),"数据待核",IF(G1040=0,"零日销待复核",IF(F1040&lt;60,"补货提醒",IF(F1040&lt;=90,"正常库存",IF(F1040&lt;180,"促销",IF(F1040&lt;=365,"红线促销","考虑清仓")))))))))</x:f>
        <x:v>补货提醒</x:v>
      </x:c>
      <x:c r="F1040" s="11" t="n">
        <x:f>IF(AND(ISNUMBER(H1040),ISNUMBER(G1040),G1040&gt;0),H1040/G1040,"")</x:f>
        <x:v>10.297723292469351</x:v>
      </x:c>
      <x:c r="G1040" s="12" t="n">
        <x:f>IF(AND(COUNT(P1040:R1040)=3,MIN(P1040:R1040)&gt;=0,P1040&lt;=Q1040,Q1040&lt;=R1040),P1040/7*0.5+Q1040/14*0.3+R1040/30*0.2,"")</x:f>
        <x:v>1.3595238095238096</x:v>
      </x:c>
      <x:c r="H1040" s="10" t="n">
        <x:f>IF(ISNUMBER(U1040),U1040,"")</x:f>
        <x:v>14</x:v>
      </x:c>
      <x:c r="I1040" s="10" t="n">
        <x:v>31</x:v>
      </x:c>
      <x:c r="J1040" s="11" t="n">
        <x:f>IF(AND(Z1040="共同",ISNUMBER(F1040),ISNUMBER(M1040)),F1040-M1040,"")</x:f>
        <x:v>-16.997874191807377</x:v>
      </x:c>
      <x:c r="K1040" s="13" t="n">
        <x:f>IF(AND(ISNUMBER(J1040),M1040&lt;&gt;0),J1040/M1040,"")</x:f>
        <x:v>-0.6227331789164453</x:v>
      </x:c>
      <x:c r="L1040" s="10" t="str">
        <x:v>补货提醒</x:v>
      </x:c>
      <x:c r="M1040" s="11" t="n">
        <x:v>27.29559748427673</x:v>
      </x:c>
      <x:c r="N1040" s="10" t="n">
        <x:f>IF(AND(Z1040="共同",COUNT(H1040:I1040)=2),H1040-I1040,"")</x:f>
        <x:v>-17</x:v>
      </x:c>
      <x:c r="O1040" s="10" t="n">
        <x:v>77</x:v>
      </x:c>
      <x:c r="P1040" s="10" t="n">
        <x:v>9</x:v>
      </x:c>
      <x:c r="Q1040" s="10" t="n">
        <x:v>21</x:v>
      </x:c>
      <x:c r="R1040" s="10" t="n">
        <x:v>40</x:v>
      </x:c>
      <x:c r="S1040" s="10" t="n">
        <x:v>19</x:v>
      </x:c>
      <x:c r="T1040" s="10" t="n">
        <x:v>0</x:v>
      </x:c>
      <x:c r="U1040" s="10" t="n">
        <x:f>IF(AND(ISNUMBER(X1040),X1040&gt;=0,Y1040&lt;&gt;1),X1040,"")</x:f>
        <x:v>14</x:v>
      </x:c>
      <x:c r="V1040" s="10" t="n">
        <x:v>0</x:v>
      </x:c>
      <x:c r="W1040" s="10" t="n">
        <x:v>133</x:v>
      </x:c>
      <x:c r="X1040" s="10" t="n">
        <x:v>14</x:v>
      </x:c>
      <x:c r="Y1040" s="3" t="n">
        <x:v>0</x:v>
      </x:c>
      <x:c r="Z1040" s="3" t="str">
        <x:v>共同</x:v>
      </x:c>
      <x:c r="AA1040" s="3" t="str">
        <x:v>在售</x:v>
      </x:c>
      <x:c r="AB1040" s="12" t="n">
        <x:f>IF(AND(Z1040="共同",ISNUMBER(G1040),ISNUMBER(AD1040)),G1040-AD1040,"")</x:f>
        <x:v>0.2238095238095239</x:v>
      </x:c>
      <x:c r="AC1040" s="3" t="str"/>
      <x:c r="AD1040" s="12" t="n">
        <x:v>1.1357142857142857</x:v>
      </x:c>
      <x:c r="AE1040" s="3" t="str">
        <x:v>[6574,"2302153-BK-P-Z-7.5"]</x:v>
      </x:c>
      <x:c r="AF1040" t="n">
        <x:f>IF(ISNUMBER(H1040),1,0)</x:f>
        <x:v>1</x:v>
      </x:c>
      <x:c r="AG1040" t="n">
        <x:f>IF(ISNUMBER(I1040),1,0)</x:f>
        <x:v>1</x:v>
      </x:c>
      <x:c r="AH1040" t="str">
        <x:v>["2302153","2302153-BK-P-Z","BK-P","黑色"]</x:v>
      </x:c>
      <x:c r="AI1040" t="n">
        <x:f>IF(ISNUMBER(G1040),1,0)</x:f>
        <x:v>1</x:v>
      </x:c>
      <x:c r="AJ1040" t="n">
        <x:f>IF(ISNUMBER(AD1040),1,0)</x:f>
        <x:v>1</x:v>
      </x:c>
    </x:row>
    <x:row r="1041" ht="30" customHeight="1">
      <x:c r="A1041" s="3" t="str">
        <x:v>2302153-BK-S-Z-11</x:v>
      </x:c>
      <x:c r="B1041" s="3" t="str">
        <x:v>3店-SANDIEX-US</x:v>
      </x:c>
      <x:c r="C1041" s="3" t="str">
        <x:v>徐新怡</x:v>
      </x:c>
      <x:c r="D1041" s="3" t="str">
        <x:v>2302153</x:v>
      </x:c>
      <x:c r="E1041" s="3" t="str">
        <x:f>IF(Z1041="移出","已移出",IF(NOT(ISNUMBER(H1041)),"数据待核",IF(H1041=0,"断货",IF(NOT(ISNUMBER(G1041)),"数据待核",IF(G1041=0,"零日销待复核",IF(F1041&lt;60,"补货提醒",IF(F1041&lt;=90,"正常库存",IF(F1041&lt;180,"促销",IF(F1041&lt;=365,"红线促销","考虑清仓")))))))))</x:f>
        <x:v>补货提醒</x:v>
      </x:c>
      <x:c r="F1041" s="11" t="n">
        <x:f>IF(AND(ISNUMBER(H1041),ISNUMBER(G1041),G1041&gt;0),H1041/G1041,"")</x:f>
        <x:v>12.223515715948778</x:v>
      </x:c>
      <x:c r="G1041" s="12" t="n">
        <x:f>IF(AND(COUNT(P1041:R1041)=3,MIN(P1041:R1041)&gt;=0,P1041&lt;=Q1041,Q1041&lt;=R1041),P1041/7*0.5+Q1041/14*0.3+R1041/30*0.2,"")</x:f>
        <x:v>1.227142857142857</x:v>
      </x:c>
      <x:c r="H1041" s="10" t="n">
        <x:f>IF(ISNUMBER(U1041),U1041,"")</x:f>
        <x:v>15</x:v>
      </x:c>
      <x:c r="I1041" s="10" t="n">
        <x:v>26</x:v>
      </x:c>
      <x:c r="J1041" s="11" t="n">
        <x:f>IF(AND(Z1041="共同",ISNUMBER(F1041),ISNUMBER(M1041)),F1041-M1041,"")</x:f>
        <x:v>-8.704042735565213</x:v>
      </x:c>
      <x:c r="K1041" s="13" t="n">
        <x:f>IF(AND(ISNUMBER(J1041),M1041&lt;&gt;0),J1041/M1041,"")</x:f>
        <x:v>-0.4159129578221546</x:v>
      </x:c>
      <x:c r="L1041" s="10" t="str">
        <x:v>补货提醒</x:v>
      </x:c>
      <x:c r="M1041" s="11" t="n">
        <x:v>20.927558451513992</x:v>
      </x:c>
      <x:c r="N1041" s="10" t="n">
        <x:f>IF(AND(Z1041="共同",COUNT(H1041:I1041)=2),H1041-I1041,"")</x:f>
        <x:v>-11</x:v>
      </x:c>
      <x:c r="O1041" s="10" t="n">
        <x:v>9</x:v>
      </x:c>
      <x:c r="P1041" s="10" t="n">
        <x:v>9</x:v>
      </x:c>
      <x:c r="Q1041" s="10" t="n">
        <x:v>17</x:v>
      </x:c>
      <x:c r="R1041" s="10" t="n">
        <x:v>33</x:v>
      </x:c>
      <x:c r="S1041" s="10" t="n">
        <x:v>20</x:v>
      </x:c>
      <x:c r="T1041" s="10" t="n">
        <x:v>2</x:v>
      </x:c>
      <x:c r="U1041" s="10" t="n">
        <x:f>IF(AND(ISNUMBER(X1041),X1041&gt;=0,Y1041&lt;&gt;1),X1041,"")</x:f>
        <x:v>15</x:v>
      </x:c>
      <x:c r="V1041" s="10" t="n">
        <x:v>0</x:v>
      </x:c>
      <x:c r="W1041" s="10" t="n">
        <x:v>40</x:v>
      </x:c>
      <x:c r="X1041" s="10" t="n">
        <x:v>15</x:v>
      </x:c>
      <x:c r="Y1041" s="3" t="n">
        <x:v>0</x:v>
      </x:c>
      <x:c r="Z1041" s="3" t="str">
        <x:v>共同</x:v>
      </x:c>
      <x:c r="AA1041" s="3" t="str">
        <x:v>在售</x:v>
      </x:c>
      <x:c r="AB1041" s="12" t="n">
        <x:f>IF(AND(Z1041="共同",ISNUMBER(G1041),ISNUMBER(AD1041)),G1041-AD1041,"")</x:f>
        <x:v>-0.015238095238095273</x:v>
      </x:c>
      <x:c r="AC1041" s="3" t="str"/>
      <x:c r="AD1041" s="12" t="n">
        <x:v>1.2423809523809524</x:v>
      </x:c>
      <x:c r="AE1041" s="3" t="str">
        <x:v>[6574,"2302153-BK-S-Z-11"]</x:v>
      </x:c>
      <x:c r="AF1041" t="n">
        <x:f>IF(ISNUMBER(H1041),1,0)</x:f>
        <x:v>1</x:v>
      </x:c>
      <x:c r="AG1041" t="n">
        <x:f>IF(ISNUMBER(I1041),1,0)</x:f>
        <x:v>1</x:v>
      </x:c>
      <x:c r="AH1041" t="str">
        <x:v>["2302153","2302153-BK-S-Z","BK","黑色"]</x:v>
      </x:c>
      <x:c r="AI1041" t="n">
        <x:f>IF(ISNUMBER(G1041),1,0)</x:f>
        <x:v>1</x:v>
      </x:c>
      <x:c r="AJ1041" t="n">
        <x:f>IF(ISNUMBER(AD1041),1,0)</x:f>
        <x:v>1</x:v>
      </x:c>
    </x:row>
    <x:row r="1042" ht="30" customHeight="1">
      <x:c r="A1042" s="3" t="str">
        <x:v>2302153-BK-S-Z-6</x:v>
      </x:c>
      <x:c r="B1042" s="3" t="str">
        <x:v>3店-SANDIEX-US</x:v>
      </x:c>
      <x:c r="C1042" s="3" t="str">
        <x:v>徐新怡</x:v>
      </x:c>
      <x:c r="D1042" s="3" t="str">
        <x:v>2302153</x:v>
      </x:c>
      <x:c r="E1042" s="3" t="str">
        <x:f>IF(Z1042="移出","已移出",IF(NOT(ISNUMBER(H1042)),"数据待核",IF(H1042=0,"断货",IF(NOT(ISNUMBER(G1042)),"数据待核",IF(G1042=0,"零日销待复核",IF(F1042&lt;60,"补货提醒",IF(F1042&lt;=90,"正常库存",IF(F1042&lt;180,"促销",IF(F1042&lt;=365,"红线促销","考虑清仓")))))))))</x:f>
        <x:v>补货提醒</x:v>
      </x:c>
      <x:c r="F1042" s="11" t="n">
        <x:f>IF(AND(ISNUMBER(H1042),ISNUMBER(G1042),G1042&gt;0),H1042/G1042,"")</x:f>
        <x:v>26.194097961667175</x:v>
      </x:c>
      <x:c r="G1042" s="12" t="n">
        <x:f>IF(AND(COUNT(P1042:R1042)=3,MIN(P1042:R1042)&gt;=0,P1042&lt;=Q1042,Q1042&lt;=R1042),P1042/7*0.5+Q1042/14*0.3+R1042/30*0.2,"")</x:f>
        <x:v>1.565238095238095</x:v>
      </x:c>
      <x:c r="H1042" s="10" t="n">
        <x:f>IF(ISNUMBER(U1042),U1042,"")</x:f>
        <x:v>41</x:v>
      </x:c>
      <x:c r="I1042" s="10" t="n">
        <x:v>61</x:v>
      </x:c>
      <x:c r="J1042" s="11" t="n">
        <x:f>IF(AND(Z1042="共同",ISNUMBER(F1042),ISNUMBER(M1042)),F1042-M1042,"")</x:f>
        <x:v>-13.70001602151563</x:v>
      </x:c>
      <x:c r="K1042" s="13" t="n">
        <x:f>IF(AND(ISNUMBER(J1042),M1042&lt;&gt;0),J1042/M1042,"")</x:f>
        <x:v>-0.3434094570264379</x:v>
      </x:c>
      <x:c r="L1042" s="10" t="str">
        <x:v>补货提醒</x:v>
      </x:c>
      <x:c r="M1042" s="11" t="n">
        <x:v>39.894113983182805</x:v>
      </x:c>
      <x:c r="N1042" s="10" t="n">
        <x:f>IF(AND(Z1042="共同",COUNT(H1042:I1042)=2),H1042-I1042,"")</x:f>
        <x:v>-20</x:v>
      </x:c>
      <x:c r="O1042" s="10" t="n">
        <x:v>96</x:v>
      </x:c>
      <x:c r="P1042" s="10" t="n">
        <x:v>11</x:v>
      </x:c>
      <x:c r="Q1042" s="10" t="n">
        <x:v>23</x:v>
      </x:c>
      <x:c r="R1042" s="10" t="n">
        <x:v>43</x:v>
      </x:c>
      <x:c r="S1042" s="10" t="n">
        <x:v>45</x:v>
      </x:c>
      <x:c r="T1042" s="10" t="n">
        <x:v>1</x:v>
      </x:c>
      <x:c r="U1042" s="10" t="n">
        <x:f>IF(AND(ISNUMBER(X1042),X1042&gt;=0,Y1042&lt;&gt;1),X1042,"")</x:f>
        <x:v>41</x:v>
      </x:c>
      <x:c r="V1042" s="10" t="n">
        <x:v>0</x:v>
      </x:c>
      <x:c r="W1042" s="10" t="n">
        <x:v>41</x:v>
      </x:c>
      <x:c r="X1042" s="10" t="n">
        <x:v>41</x:v>
      </x:c>
      <x:c r="Y1042" s="3" t="n">
        <x:v>0</x:v>
      </x:c>
      <x:c r="Z1042" s="3" t="str">
        <x:v>共同</x:v>
      </x:c>
      <x:c r="AA1042" s="3" t="str">
        <x:v>在售</x:v>
      </x:c>
      <x:c r="AB1042" s="12" t="n">
        <x:f>IF(AND(Z1042="共同",ISNUMBER(G1042),ISNUMBER(AD1042)),G1042-AD1042,"")</x:f>
        <x:v>0.036190476190475884</x:v>
      </x:c>
      <x:c r="AC1042" s="3" t="str"/>
      <x:c r="AD1042" s="12" t="n">
        <x:v>1.5290476190476192</x:v>
      </x:c>
      <x:c r="AE1042" s="3" t="str">
        <x:v>[6574,"2302153-BK-S-Z-6"]</x:v>
      </x:c>
      <x:c r="AF1042" t="n">
        <x:f>IF(ISNUMBER(H1042),1,0)</x:f>
        <x:v>1</x:v>
      </x:c>
      <x:c r="AG1042" t="n">
        <x:f>IF(ISNUMBER(I1042),1,0)</x:f>
        <x:v>1</x:v>
      </x:c>
      <x:c r="AH1042" t="str">
        <x:v>["2302153","2302153-BK-S-Z","BK","黑色"]</x:v>
      </x:c>
      <x:c r="AI1042" t="n">
        <x:f>IF(ISNUMBER(G1042),1,0)</x:f>
        <x:v>1</x:v>
      </x:c>
      <x:c r="AJ1042" t="n">
        <x:f>IF(ISNUMBER(AD1042),1,0)</x:f>
        <x:v>1</x:v>
      </x:c>
    </x:row>
    <x:row r="1043" ht="30" customHeight="1">
      <x:c r="A1043" s="3" t="str">
        <x:v>2302153-BK-S-Z-7</x:v>
      </x:c>
      <x:c r="B1043" s="3" t="str">
        <x:v>3店-SANDIEX-US</x:v>
      </x:c>
      <x:c r="C1043" s="3" t="str">
        <x:v>徐新怡</x:v>
      </x:c>
      <x:c r="D1043" s="3" t="str">
        <x:v>2302153</x:v>
      </x:c>
      <x:c r="E1043" s="3" t="str">
        <x:f>IF(Z1043="移出","已移出",IF(NOT(ISNUMBER(H1043)),"数据待核",IF(H1043=0,"断货",IF(NOT(ISNUMBER(G1043)),"数据待核",IF(G1043=0,"零日销待复核",IF(F1043&lt;60,"补货提醒",IF(F1043&lt;=90,"正常库存",IF(F1043&lt;180,"促销",IF(F1043&lt;=365,"红线促销","考虑清仓")))))))))</x:f>
        <x:v>补货提醒</x:v>
      </x:c>
      <x:c r="F1043" s="11" t="n">
        <x:f>IF(AND(ISNUMBER(H1043),ISNUMBER(G1043),G1043&gt;0),H1043/G1043,"")</x:f>
        <x:v>0.5765271105010294</x:v>
      </x:c>
      <x:c r="G1043" s="12" t="n">
        <x:f>IF(AND(COUNT(P1043:R1043)=3,MIN(P1043:R1043)&gt;=0,P1043&lt;=Q1043,Q1043&lt;=R1043),P1043/7*0.5+Q1043/14*0.3+R1043/30*0.2,"")</x:f>
        <x:v>3.469047619047619</x:v>
      </x:c>
      <x:c r="H1043" s="10" t="n">
        <x:f>IF(ISNUMBER(U1043),U1043,"")</x:f>
        <x:v>2</x:v>
      </x:c>
      <x:c r="I1043" s="10" t="n">
        <x:v>44</x:v>
      </x:c>
      <x:c r="J1043" s="11" t="n">
        <x:f>IF(AND(Z1043="共同",ISNUMBER(F1043),ISNUMBER(M1043)),F1043-M1043,"")</x:f>
        <x:v>-17.921971387997466</x:v>
      </x:c>
      <x:c r="K1043" s="13" t="n">
        <x:f>IF(AND(ISNUMBER(J1043),M1043&lt;&gt;0),J1043/M1043,"")</x:f>
        <x:v>-0.968833842890123</x:v>
      </x:c>
      <x:c r="L1043" s="10" t="str">
        <x:v>补货提醒</x:v>
      </x:c>
      <x:c r="M1043" s="11" t="n">
        <x:v>18.498498498498495</x:v>
      </x:c>
      <x:c r="N1043" s="10" t="n">
        <x:f>IF(AND(Z1043="共同",COUNT(H1043:I1043)=2),H1043-I1043,"")</x:f>
        <x:v>-42</x:v>
      </x:c>
      <x:c r="O1043" s="10" t="n">
        <x:v>95</x:v>
      </x:c>
      <x:c r="P1043" s="10" t="n">
        <x:v>27</x:v>
      </x:c>
      <x:c r="Q1043" s="10" t="n">
        <x:v>47</x:v>
      </x:c>
      <x:c r="R1043" s="10" t="n">
        <x:v>80</x:v>
      </x:c>
      <x:c r="S1043" s="10" t="n">
        <x:v>16</x:v>
      </x:c>
      <x:c r="T1043" s="10" t="n">
        <x:v>0</x:v>
      </x:c>
      <x:c r="U1043" s="10" t="n">
        <x:f>IF(AND(ISNUMBER(X1043),X1043&gt;=0,Y1043&lt;&gt;1),X1043,"")</x:f>
        <x:v>2</x:v>
      </x:c>
      <x:c r="V1043" s="10" t="n">
        <x:v>3</x:v>
      </x:c>
      <x:c r="W1043" s="10" t="n">
        <x:v>95</x:v>
      </x:c>
      <x:c r="X1043" s="10" t="n">
        <x:v>2</x:v>
      </x:c>
      <x:c r="Y1043" s="3" t="n">
        <x:v>0</x:v>
      </x:c>
      <x:c r="Z1043" s="3" t="str">
        <x:v>共同</x:v>
      </x:c>
      <x:c r="AA1043" s="3" t="str">
        <x:v>在售</x:v>
      </x:c>
      <x:c r="AB1043" s="12" t="n">
        <x:f>IF(AND(Z1043="共同",ISNUMBER(G1043),ISNUMBER(AD1043)),G1043-AD1043,"")</x:f>
        <x:v>1.0904761904761902</x:v>
      </x:c>
      <x:c r="AC1043" s="3" t="str"/>
      <x:c r="AD1043" s="12" t="n">
        <x:v>2.378571428571429</x:v>
      </x:c>
      <x:c r="AE1043" s="3" t="str">
        <x:v>[6574,"2302153-BK-S-Z-7"]</x:v>
      </x:c>
      <x:c r="AF1043" t="n">
        <x:f>IF(ISNUMBER(H1043),1,0)</x:f>
        <x:v>1</x:v>
      </x:c>
      <x:c r="AG1043" t="n">
        <x:f>IF(ISNUMBER(I1043),1,0)</x:f>
        <x:v>1</x:v>
      </x:c>
      <x:c r="AH1043" t="str">
        <x:v>["2302153","2302153-BK-S-Z","BK","黑色"]</x:v>
      </x:c>
      <x:c r="AI1043" t="n">
        <x:f>IF(ISNUMBER(G1043),1,0)</x:f>
        <x:v>1</x:v>
      </x:c>
      <x:c r="AJ1043" t="n">
        <x:f>IF(ISNUMBER(AD1043),1,0)</x:f>
        <x:v>1</x:v>
      </x:c>
    </x:row>
    <x:row r="1044" ht="30" customHeight="1">
      <x:c r="A1044" s="3" t="str">
        <x:v>2302153-BK-S-Z-7.5</x:v>
      </x:c>
      <x:c r="B1044" s="3" t="str">
        <x:v>3店-SANDIEX-US</x:v>
      </x:c>
      <x:c r="C1044" s="3" t="str">
        <x:v>徐新怡</x:v>
      </x:c>
      <x:c r="D1044" s="3" t="str">
        <x:v>2302153</x:v>
      </x:c>
      <x:c r="E1044" s="3" t="str">
        <x:f>IF(Z1044="移出","已移出",IF(NOT(ISNUMBER(H1044)),"数据待核",IF(H1044=0,"断货",IF(NOT(ISNUMBER(G1044)),"数据待核",IF(G1044=0,"零日销待复核",IF(F1044&lt;60,"补货提醒",IF(F1044&lt;=90,"正常库存",IF(F1044&lt;180,"促销",IF(F1044&lt;=365,"红线促销","考虑清仓")))))))))</x:f>
        <x:v>补货提醒</x:v>
      </x:c>
      <x:c r="F1044" s="11" t="n">
        <x:f>IF(AND(ISNUMBER(H1044),ISNUMBER(G1044),G1044&gt;0),H1044/G1044,"")</x:f>
        <x:v>16.949722549184465</x:v>
      </x:c>
      <x:c r="G1044" s="12" t="n">
        <x:f>IF(AND(COUNT(P1044:R1044)=3,MIN(P1044:R1044)&gt;=0,P1044&lt;=Q1044,Q1044&lt;=R1044),P1044/7*0.5+Q1044/14*0.3+R1044/30*0.2,"")</x:f>
        <x:v>2.8319047619047617</x:v>
      </x:c>
      <x:c r="H1044" s="10" t="n">
        <x:f>IF(ISNUMBER(U1044),U1044,"")</x:f>
        <x:v>48</x:v>
      </x:c>
      <x:c r="I1044" s="10" t="n">
        <x:v>71</x:v>
      </x:c>
      <x:c r="J1044" s="11" t="n">
        <x:f>IF(AND(Z1044="共同",ISNUMBER(F1044),ISNUMBER(M1044)),F1044-M1044,"")</x:f>
        <x:v>-10.671618688310904</x:v>
      </x:c>
      <x:c r="K1044" s="13" t="n">
        <x:f>IF(AND(ISNUMBER(J1044),M1044&lt;&gt;0),J1044/M1044,"")</x:f>
        <x:v>-0.3863541091851258</x:v>
      </x:c>
      <x:c r="L1044" s="10" t="str">
        <x:v>补货提醒</x:v>
      </x:c>
      <x:c r="M1044" s="11" t="n">
        <x:v>27.62134123749537</x:v>
      </x:c>
      <x:c r="N1044" s="10" t="n">
        <x:f>IF(AND(Z1044="共同",COUNT(H1044:I1044)=2),H1044-I1044,"")</x:f>
        <x:v>-23</x:v>
      </x:c>
      <x:c r="O1044" s="10" t="n">
        <x:v>130</x:v>
      </x:c>
      <x:c r="P1044" s="10" t="n">
        <x:v>19</x:v>
      </x:c>
      <x:c r="Q1044" s="10" t="n">
        <x:v>43</x:v>
      </x:c>
      <x:c r="R1044" s="10" t="n">
        <x:v>83</x:v>
      </x:c>
      <x:c r="S1044" s="10" t="n">
        <x:v>55</x:v>
      </x:c>
      <x:c r="T1044" s="10" t="n">
        <x:v>1</x:v>
      </x:c>
      <x:c r="U1044" s="10" t="n">
        <x:f>IF(AND(ISNUMBER(X1044),X1044&gt;=0,Y1044&lt;&gt;1),X1044,"")</x:f>
        <x:v>48</x:v>
      </x:c>
      <x:c r="V1044" s="10" t="n">
        <x:v>2</x:v>
      </x:c>
      <x:c r="W1044" s="10" t="n">
        <x:v>120</x:v>
      </x:c>
      <x:c r="X1044" s="10" t="n">
        <x:v>48</x:v>
      </x:c>
      <x:c r="Y1044" s="3" t="n">
        <x:v>0</x:v>
      </x:c>
      <x:c r="Z1044" s="3" t="str">
        <x:v>共同</x:v>
      </x:c>
      <x:c r="AA1044" s="3" t="str">
        <x:v>在售</x:v>
      </x:c>
      <x:c r="AB1044" s="12" t="n">
        <x:f>IF(AND(Z1044="共同",ISNUMBER(G1044),ISNUMBER(AD1044)),G1044-AD1044,"")</x:f>
        <x:v>0.2614285714285711</x:v>
      </x:c>
      <x:c r="AC1044" s="3" t="str"/>
      <x:c r="AD1044" s="12" t="n">
        <x:v>2.5704761904761906</x:v>
      </x:c>
      <x:c r="AE1044" s="3" t="str">
        <x:v>[6574,"2302153-BK-S-Z-7.5"]</x:v>
      </x:c>
      <x:c r="AF1044" t="n">
        <x:f>IF(ISNUMBER(H1044),1,0)</x:f>
        <x:v>1</x:v>
      </x:c>
      <x:c r="AG1044" t="n">
        <x:f>IF(ISNUMBER(I1044),1,0)</x:f>
        <x:v>1</x:v>
      </x:c>
      <x:c r="AH1044" t="str">
        <x:v>["2302153","2302153-BK-S-Z","BK","黑色"]</x:v>
      </x:c>
      <x:c r="AI1044" t="n">
        <x:f>IF(ISNUMBER(G1044),1,0)</x:f>
        <x:v>1</x:v>
      </x:c>
      <x:c r="AJ1044" t="n">
        <x:f>IF(ISNUMBER(AD1044),1,0)</x:f>
        <x:v>1</x:v>
      </x:c>
    </x:row>
    <x:row r="1045" ht="30" customHeight="1">
      <x:c r="A1045" s="3" t="str">
        <x:v>2302153-BK-S-Z-8</x:v>
      </x:c>
      <x:c r="B1045" s="3" t="str">
        <x:v>3店-SANDIEX-US</x:v>
      </x:c>
      <x:c r="C1045" s="3" t="str">
        <x:v>徐新怡</x:v>
      </x:c>
      <x:c r="D1045" s="3" t="str">
        <x:v>2302153</x:v>
      </x:c>
      <x:c r="E1045" s="3" t="str">
        <x:f>IF(Z1045="移出","已移出",IF(NOT(ISNUMBER(H1045)),"数据待核",IF(H1045=0,"断货",IF(NOT(ISNUMBER(G1045)),"数据待核",IF(G1045=0,"零日销待复核",IF(F1045&lt;60,"补货提醒",IF(F1045&lt;=90,"正常库存",IF(F1045&lt;180,"促销",IF(F1045&lt;=365,"红线促销","考虑清仓")))))))))</x:f>
        <x:v>补货提醒</x:v>
      </x:c>
      <x:c r="F1045" s="11" t="n">
        <x:f>IF(AND(ISNUMBER(H1045),ISNUMBER(G1045),G1045&gt;0),H1045/G1045,"")</x:f>
        <x:v>0.27184466019417475</x:v>
      </x:c>
      <x:c r="G1045" s="12" t="n">
        <x:f>IF(AND(COUNT(P1045:R1045)=3,MIN(P1045:R1045)&gt;=0,P1045&lt;=Q1045,Q1045&lt;=R1045),P1045/7*0.5+Q1045/14*0.3+R1045/30*0.2,"")</x:f>
        <x:v>3.678571428571429</x:v>
      </x:c>
      <x:c r="H1045" s="10" t="n">
        <x:f>IF(ISNUMBER(U1045),U1045,"")</x:f>
        <x:v>1</x:v>
      </x:c>
      <x:c r="I1045" s="10" t="n">
        <x:v>34</x:v>
      </x:c>
      <x:c r="J1045" s="11" t="n">
        <x:f>IF(AND(Z1045="共同",ISNUMBER(F1045),ISNUMBER(M1045)),F1045-M1045,"")</x:f>
        <x:v>-8.170865520721042</x:v>
      </x:c>
      <x:c r="K1045" s="13" t="n">
        <x:f>IF(AND(ISNUMBER(J1045),M1045&lt;&gt;0),J1045/M1045,"")</x:f>
        <x:v>-0.9678012564249001</x:v>
      </x:c>
      <x:c r="L1045" s="10" t="str">
        <x:v>补货提醒</x:v>
      </x:c>
      <x:c r="M1045" s="11" t="n">
        <x:v>8.442710180915217</x:v>
      </x:c>
      <x:c r="N1045" s="10" t="n">
        <x:f>IF(AND(Z1045="共同",COUNT(H1045:I1045)=2),H1045-I1045,"")</x:f>
        <x:v>-33</x:v>
      </x:c>
      <x:c r="O1045" s="10" t="n">
        <x:v>34</x:v>
      </x:c>
      <x:c r="P1045" s="10" t="n">
        <x:v>27</x:v>
      </x:c>
      <x:c r="Q1045" s="10" t="n">
        <x:v>49</x:v>
      </x:c>
      <x:c r="R1045" s="10" t="n">
        <x:v>105</x:v>
      </x:c>
      <x:c r="S1045" s="10" t="n">
        <x:v>66</x:v>
      </x:c>
      <x:c r="T1045" s="10" t="n">
        <x:v>2</x:v>
      </x:c>
      <x:c r="U1045" s="10" t="n">
        <x:f>IF(AND(ISNUMBER(X1045),X1045&gt;=0,Y1045&lt;&gt;1),X1045,"")</x:f>
        <x:v>1</x:v>
      </x:c>
      <x:c r="V1045" s="10" t="n">
        <x:v>16</x:v>
      </x:c>
      <x:c r="W1045" s="10" t="n">
        <x:v>148</x:v>
      </x:c>
      <x:c r="X1045" s="10" t="n">
        <x:v>1</x:v>
      </x:c>
      <x:c r="Y1045" s="3" t="n">
        <x:v>0</x:v>
      </x:c>
      <x:c r="Z1045" s="3" t="str">
        <x:v>共同</x:v>
      </x:c>
      <x:c r="AA1045" s="3" t="str">
        <x:v>在售</x:v>
      </x:c>
      <x:c r="AB1045" s="12" t="n">
        <x:f>IF(AND(Z1045="共同",ISNUMBER(G1045),ISNUMBER(AD1045)),G1045-AD1045,"")</x:f>
        <x:v>-0.34857142857142875</x:v>
      </x:c>
      <x:c r="AC1045" s="3" t="str"/>
      <x:c r="AD1045" s="12" t="n">
        <x:v>4.027142857142858</x:v>
      </x:c>
      <x:c r="AE1045" s="3" t="str">
        <x:v>[6574,"2302153-BK-S-Z-8"]</x:v>
      </x:c>
      <x:c r="AF1045" t="n">
        <x:f>IF(ISNUMBER(H1045),1,0)</x:f>
        <x:v>1</x:v>
      </x:c>
      <x:c r="AG1045" t="n">
        <x:f>IF(ISNUMBER(I1045),1,0)</x:f>
        <x:v>1</x:v>
      </x:c>
      <x:c r="AH1045" t="str">
        <x:v>["2302153","2302153-BK-S-Z","BK","黑色"]</x:v>
      </x:c>
      <x:c r="AI1045" t="n">
        <x:f>IF(ISNUMBER(G1045),1,0)</x:f>
        <x:v>1</x:v>
      </x:c>
      <x:c r="AJ1045" t="n">
        <x:f>IF(ISNUMBER(AD1045),1,0)</x:f>
        <x:v>1</x:v>
      </x:c>
    </x:row>
    <x:row r="1046" ht="30" customHeight="1">
      <x:c r="A1046" s="3" t="str">
        <x:v>2302153-BK-S-Z-8.5</x:v>
      </x:c>
      <x:c r="B1046" s="3" t="str">
        <x:v>3店-SANDIEX-US</x:v>
      </x:c>
      <x:c r="C1046" s="3" t="str">
        <x:v>徐新怡</x:v>
      </x:c>
      <x:c r="D1046" s="3" t="str">
        <x:v>2302153</x:v>
      </x:c>
      <x:c r="E1046" s="3" t="str">
        <x:f>IF(Z1046="移出","已移出",IF(NOT(ISNUMBER(H1046)),"数据待核",IF(H1046=0,"断货",IF(NOT(ISNUMBER(G1046)),"数据待核",IF(G1046=0,"零日销待复核",IF(F1046&lt;60,"补货提醒",IF(F1046&lt;=90,"正常库存",IF(F1046&lt;180,"促销",IF(F1046&lt;=365,"红线促销","考虑清仓")))))))))</x:f>
        <x:v>补货提醒</x:v>
      </x:c>
      <x:c r="F1046" s="11" t="n">
        <x:f>IF(AND(ISNUMBER(H1046),ISNUMBER(G1046),G1046&gt;0),H1046/G1046,"")</x:f>
        <x:v>33.568406205923836</x:v>
      </x:c>
      <x:c r="G1046" s="12" t="n">
        <x:f>IF(AND(COUNT(P1046:R1046)=3,MIN(P1046:R1046)&gt;=0,P1046&lt;=Q1046,Q1046&lt;=R1046),P1046/7*0.5+Q1046/14*0.3+R1046/30*0.2,"")</x:f>
        <x:v>4.051428571428572</x:v>
      </x:c>
      <x:c r="H1046" s="10" t="n">
        <x:f>IF(ISNUMBER(U1046),U1046,"")</x:f>
        <x:v>136</x:v>
      </x:c>
      <x:c r="I1046" s="10" t="n">
        <x:v>179</x:v>
      </x:c>
      <x:c r="J1046" s="11" t="n">
        <x:f>IF(AND(Z1046="共同",ISNUMBER(F1046),ISNUMBER(M1046)),F1046-M1046,"")</x:f>
        <x:v>-12.222798569322848</x:v>
      </x:c>
      <x:c r="K1046" s="13" t="n">
        <x:f>IF(AND(ISNUMBER(J1046),M1046&lt;&gt;0),J1046/M1046,"")</x:f>
        <x:v>-0.26692459019838055</x:v>
      </x:c>
      <x:c r="L1046" s="10" t="str">
        <x:v>补货提醒</x:v>
      </x:c>
      <x:c r="M1046" s="11" t="n">
        <x:v>45.79120477524668</x:v>
      </x:c>
      <x:c r="N1046" s="10" t="n">
        <x:f>IF(AND(Z1046="共同",COUNT(H1046:I1046)=2),H1046-I1046,"")</x:f>
        <x:v>-43</x:v>
      </x:c>
      <x:c r="O1046" s="10" t="n">
        <x:v>207</x:v>
      </x:c>
      <x:c r="P1046" s="10" t="n">
        <x:v>29</x:v>
      </x:c>
      <x:c r="Q1046" s="10" t="n">
        <x:v>56</x:v>
      </x:c>
      <x:c r="R1046" s="10" t="n">
        <x:v>117</x:v>
      </x:c>
      <x:c r="S1046" s="10" t="n">
        <x:v>145</x:v>
      </x:c>
      <x:c r="T1046" s="10" t="n">
        <x:v>0</x:v>
      </x:c>
      <x:c r="U1046" s="10" t="n">
        <x:f>IF(AND(ISNUMBER(X1046),X1046&gt;=0,Y1046&lt;&gt;1),X1046,"")</x:f>
        <x:v>136</x:v>
      </x:c>
      <x:c r="V1046" s="10" t="n">
        <x:v>6</x:v>
      </x:c>
      <x:c r="W1046" s="10" t="n">
        <x:v>87</x:v>
      </x:c>
      <x:c r="X1046" s="10" t="n">
        <x:v>136</x:v>
      </x:c>
      <x:c r="Y1046" s="3" t="n">
        <x:v>0</x:v>
      </x:c>
      <x:c r="Z1046" s="3" t="str">
        <x:v>共同</x:v>
      </x:c>
      <x:c r="AA1046" s="3" t="str">
        <x:v>在售</x:v>
      </x:c>
      <x:c r="AB1046" s="12" t="n">
        <x:f>IF(AND(Z1046="共同",ISNUMBER(G1046),ISNUMBER(AD1046)),G1046-AD1046,"")</x:f>
        <x:v>0.14238095238095294</x:v>
      </x:c>
      <x:c r="AC1046" s="3" t="str"/>
      <x:c r="AD1046" s="12" t="n">
        <x:v>3.9090476190476187</x:v>
      </x:c>
      <x:c r="AE1046" s="3" t="str">
        <x:v>[6574,"2302153-BK-S-Z-8.5"]</x:v>
      </x:c>
      <x:c r="AF1046" t="n">
        <x:f>IF(ISNUMBER(H1046),1,0)</x:f>
        <x:v>1</x:v>
      </x:c>
      <x:c r="AG1046" t="n">
        <x:f>IF(ISNUMBER(I1046),1,0)</x:f>
        <x:v>1</x:v>
      </x:c>
      <x:c r="AH1046" t="str">
        <x:v>["2302153","2302153-BK-S-Z","BK","黑色"]</x:v>
      </x:c>
      <x:c r="AI1046" t="n">
        <x:f>IF(ISNUMBER(G1046),1,0)</x:f>
        <x:v>1</x:v>
      </x:c>
      <x:c r="AJ1046" t="n">
        <x:f>IF(ISNUMBER(AD1046),1,0)</x:f>
        <x:v>1</x:v>
      </x:c>
    </x:row>
    <x:row r="1047" ht="30" customHeight="1">
      <x:c r="A1047" s="3" t="str">
        <x:v>2302153-BK-S-Z-9</x:v>
      </x:c>
      <x:c r="B1047" s="3" t="str">
        <x:v>3店-SANDIEX-US</x:v>
      </x:c>
      <x:c r="C1047" s="3" t="str">
        <x:v>徐新怡</x:v>
      </x:c>
      <x:c r="D1047" s="3" t="str">
        <x:v>2302153</x:v>
      </x:c>
      <x:c r="E1047" s="3" t="str">
        <x:f>IF(Z1047="移出","已移出",IF(NOT(ISNUMBER(H1047)),"数据待核",IF(H1047=0,"断货",IF(NOT(ISNUMBER(G1047)),"数据待核",IF(G1047=0,"零日销待复核",IF(F1047&lt;60,"补货提醒",IF(F1047&lt;=90,"正常库存",IF(F1047&lt;180,"促销",IF(F1047&lt;=365,"红线促销","考虑清仓")))))))))</x:f>
        <x:v>补货提醒</x:v>
      </x:c>
      <x:c r="F1047" s="11" t="n">
        <x:f>IF(AND(ISNUMBER(H1047),ISNUMBER(G1047),G1047&gt;0),H1047/G1047,"")</x:f>
        <x:v>27.075658826863133</x:v>
      </x:c>
      <x:c r="G1047" s="12" t="n">
        <x:f>IF(AND(COUNT(P1047:R1047)=3,MIN(P1047:R1047)&gt;=0,P1047&lt;=Q1047,Q1047&lt;=R1047),P1047/7*0.5+Q1047/14*0.3+R1047/30*0.2,"")</x:f>
        <x:v>3.360952380952381</x:v>
      </x:c>
      <x:c r="H1047" s="10" t="n">
        <x:f>IF(ISNUMBER(U1047),U1047,"")</x:f>
        <x:v>91</x:v>
      </x:c>
      <x:c r="I1047" s="10" t="n">
        <x:v>129</x:v>
      </x:c>
      <x:c r="J1047" s="11" t="n">
        <x:f>IF(AND(Z1047="共同",ISNUMBER(F1047),ISNUMBER(M1047)),F1047-M1047,"")</x:f>
        <x:v>-23.22140764175922</x:v>
      </x:c>
      <x:c r="K1047" s="13" t="n">
        <x:f>IF(AND(ISNUMBER(J1047),M1047&lt;&gt;0),J1047/M1047,"")</x:f>
        <x:v>-0.46168512941496925</x:v>
      </x:c>
      <x:c r="L1047" s="10" t="str">
        <x:v>补货提醒</x:v>
      </x:c>
      <x:c r="M1047" s="11" t="n">
        <x:v>50.297066468622354</x:v>
      </x:c>
      <x:c r="N1047" s="10" t="n">
        <x:f>IF(AND(Z1047="共同",COUNT(H1047:I1047)=2),H1047-I1047,"")</x:f>
        <x:v>-38</x:v>
      </x:c>
      <x:c r="O1047" s="10" t="n">
        <x:v>187</x:v>
      </x:c>
      <x:c r="P1047" s="10" t="n">
        <x:v>23</x:v>
      </x:c>
      <x:c r="Q1047" s="10" t="n">
        <x:v>50</x:v>
      </x:c>
      <x:c r="R1047" s="10" t="n">
        <x:v>97</x:v>
      </x:c>
      <x:c r="S1047" s="10" t="n">
        <x:v>98</x:v>
      </x:c>
      <x:c r="T1047" s="10" t="n">
        <x:v>2</x:v>
      </x:c>
      <x:c r="U1047" s="10" t="n">
        <x:f>IF(AND(ISNUMBER(X1047),X1047&gt;=0,Y1047&lt;&gt;1),X1047,"")</x:f>
        <x:v>91</x:v>
      </x:c>
      <x:c r="V1047" s="10" t="n">
        <x:v>2</x:v>
      </x:c>
      <x:c r="W1047" s="10" t="n">
        <x:v>60</x:v>
      </x:c>
      <x:c r="X1047" s="10" t="n">
        <x:v>91</x:v>
      </x:c>
      <x:c r="Y1047" s="3" t="n">
        <x:v>0</x:v>
      </x:c>
      <x:c r="Z1047" s="3" t="str">
        <x:v>共同</x:v>
      </x:c>
      <x:c r="AA1047" s="3" t="str">
        <x:v>在售</x:v>
      </x:c>
      <x:c r="AB1047" s="12" t="n">
        <x:f>IF(AND(Z1047="共同",ISNUMBER(G1047),ISNUMBER(AD1047)),G1047-AD1047,"")</x:f>
        <x:v>0.7961904761904761</x:v>
      </x:c>
      <x:c r="AC1047" s="3" t="str"/>
      <x:c r="AD1047" s="12" t="n">
        <x:v>2.564761904761905</x:v>
      </x:c>
      <x:c r="AE1047" s="3" t="str">
        <x:v>[6574,"2302153-BK-S-Z-9"]</x:v>
      </x:c>
      <x:c r="AF1047" t="n">
        <x:f>IF(ISNUMBER(H1047),1,0)</x:f>
        <x:v>1</x:v>
      </x:c>
      <x:c r="AG1047" t="n">
        <x:f>IF(ISNUMBER(I1047),1,0)</x:f>
        <x:v>1</x:v>
      </x:c>
      <x:c r="AH1047" t="str">
        <x:v>["2302153","2302153-BK-S-Z","BK","黑色"]</x:v>
      </x:c>
      <x:c r="AI1047" t="n">
        <x:f>IF(ISNUMBER(G1047),1,0)</x:f>
        <x:v>1</x:v>
      </x:c>
      <x:c r="AJ1047" t="n">
        <x:f>IF(ISNUMBER(AD1047),1,0)</x:f>
        <x:v>1</x:v>
      </x:c>
    </x:row>
    <x:row r="1048" ht="30" customHeight="1">
      <x:c r="A1048" s="3" t="str">
        <x:v>2302153-BK-S-Z-9.5</x:v>
      </x:c>
      <x:c r="B1048" s="3" t="str">
        <x:v>3店-SANDIEX-US</x:v>
      </x:c>
      <x:c r="C1048" s="3" t="str">
        <x:v>徐新怡</x:v>
      </x:c>
      <x:c r="D1048" s="3" t="str">
        <x:v>2302153</x:v>
      </x:c>
      <x:c r="E1048" s="3" t="str">
        <x:f>IF(Z1048="移出","已移出",IF(NOT(ISNUMBER(H1048)),"数据待核",IF(H1048=0,"断货",IF(NOT(ISNUMBER(G1048)),"数据待核",IF(G1048=0,"零日销待复核",IF(F1048&lt;60,"补货提醒",IF(F1048&lt;=90,"正常库存",IF(F1048&lt;180,"促销",IF(F1048&lt;=365,"红线促销","考虑清仓")))))))))</x:f>
        <x:v>补货提醒</x:v>
      </x:c>
      <x:c r="F1048" s="11" t="n">
        <x:f>IF(AND(ISNUMBER(H1048),ISNUMBER(G1048),G1048&gt;0),H1048/G1048,"")</x:f>
        <x:v>43.472966390647834</x:v>
      </x:c>
      <x:c r="G1048" s="12" t="n">
        <x:f>IF(AND(COUNT(P1048:R1048)=3,MIN(P1048:R1048)&gt;=0,P1048&lt;=Q1048,Q1048&lt;=R1048),P1048/7*0.5+Q1048/14*0.3+R1048/30*0.2,"")</x:f>
        <x:v>1.9552380952380952</x:v>
      </x:c>
      <x:c r="H1048" s="10" t="n">
        <x:f>IF(ISNUMBER(U1048),U1048,"")</x:f>
        <x:v>85</x:v>
      </x:c>
      <x:c r="I1048" s="10" t="n">
        <x:v>109</x:v>
      </x:c>
      <x:c r="J1048" s="11" t="n">
        <x:f>IF(AND(Z1048="共同",ISNUMBER(F1048),ISNUMBER(M1048)),F1048-M1048,"")</x:f>
        <x:v>4.217264109735467</x:v>
      </x:c>
      <x:c r="K1048" s="13" t="n">
        <x:f>IF(AND(ISNUMBER(J1048),M1048&lt;&gt;0),J1048/M1048,"")</x:f>
        <x:v>0.10743061172506556</x:v>
      </x:c>
      <x:c r="L1048" s="10" t="str">
        <x:v>补货提醒</x:v>
      </x:c>
      <x:c r="M1048" s="11" t="n">
        <x:v>39.25570228091237</x:v>
      </x:c>
      <x:c r="N1048" s="10" t="n">
        <x:f>IF(AND(Z1048="共同",COUNT(H1048:I1048)=2),H1048-I1048,"")</x:f>
        <x:v>-24</x:v>
      </x:c>
      <x:c r="O1048" s="10" t="n">
        <x:v>98</x:v>
      </x:c>
      <x:c r="P1048" s="10" t="n">
        <x:v>13</x:v>
      </x:c>
      <x:c r="Q1048" s="10" t="n">
        <x:v>28</x:v>
      </x:c>
      <x:c r="R1048" s="10" t="n">
        <x:v>64</x:v>
      </x:c>
      <x:c r="S1048" s="10" t="n">
        <x:v>94</x:v>
      </x:c>
      <x:c r="T1048" s="10" t="n">
        <x:v>0</x:v>
      </x:c>
      <x:c r="U1048" s="10" t="n">
        <x:f>IF(AND(ISNUMBER(X1048),X1048&gt;=0,Y1048&lt;&gt;1),X1048,"")</x:f>
        <x:v>85</x:v>
      </x:c>
      <x:c r="V1048" s="10" t="n">
        <x:v>13</x:v>
      </x:c>
      <x:c r="W1048" s="10" t="n">
        <x:v>73</x:v>
      </x:c>
      <x:c r="X1048" s="10" t="n">
        <x:v>85</x:v>
      </x:c>
      <x:c r="Y1048" s="3" t="n">
        <x:v>0</x:v>
      </x:c>
      <x:c r="Z1048" s="3" t="str">
        <x:v>共同</x:v>
      </x:c>
      <x:c r="AA1048" s="3" t="str">
        <x:v>在售</x:v>
      </x:c>
      <x:c r="AB1048" s="12" t="n">
        <x:f>IF(AND(Z1048="共同",ISNUMBER(G1048),ISNUMBER(AD1048)),G1048-AD1048,"")</x:f>
        <x:v>-0.8214285714285712</x:v>
      </x:c>
      <x:c r="AC1048" s="3" t="str"/>
      <x:c r="AD1048" s="12" t="n">
        <x:v>2.7766666666666664</x:v>
      </x:c>
      <x:c r="AE1048" s="3" t="str">
        <x:v>[6574,"2302153-BK-S-Z-9.5"]</x:v>
      </x:c>
      <x:c r="AF1048" t="n">
        <x:f>IF(ISNUMBER(H1048),1,0)</x:f>
        <x:v>1</x:v>
      </x:c>
      <x:c r="AG1048" t="n">
        <x:f>IF(ISNUMBER(I1048),1,0)</x:f>
        <x:v>1</x:v>
      </x:c>
      <x:c r="AH1048" t="str">
        <x:v>["2302153","2302153-BK-S-Z","BK","黑色"]</x:v>
      </x:c>
      <x:c r="AI1048" t="n">
        <x:f>IF(ISNUMBER(G1048),1,0)</x:f>
        <x:v>1</x:v>
      </x:c>
      <x:c r="AJ1048" t="n">
        <x:f>IF(ISNUMBER(AD1048),1,0)</x:f>
        <x:v>1</x:v>
      </x:c>
    </x:row>
    <x:row r="1049" ht="30" customHeight="1">
      <x:c r="A1049" s="3" t="str">
        <x:v>2302153-CC-P-Z-9.5</x:v>
      </x:c>
      <x:c r="B1049" s="3" t="str">
        <x:v>3店-SANDIEX-US</x:v>
      </x:c>
      <x:c r="C1049" s="3" t="str">
        <x:v>徐新怡</x:v>
      </x:c>
      <x:c r="D1049" s="3" t="str">
        <x:v>2302153</x:v>
      </x:c>
      <x:c r="E1049" s="3" t="str">
        <x:f>IF(Z1049="移出","已移出",IF(NOT(ISNUMBER(H1049)),"数据待核",IF(H1049=0,"断货",IF(NOT(ISNUMBER(G1049)),"数据待核",IF(G1049=0,"零日销待复核",IF(F1049&lt;60,"补货提醒",IF(F1049&lt;=90,"正常库存",IF(F1049&lt;180,"促销",IF(F1049&lt;=365,"红线促销","考虑清仓")))))))))</x:f>
        <x:v>补货提醒</x:v>
      </x:c>
      <x:c r="F1049" s="11" t="n">
        <x:f>IF(AND(ISNUMBER(H1049),ISNUMBER(G1049),G1049&gt;0),H1049/G1049,"")</x:f>
        <x:v>6.560222145088511</x:v>
      </x:c>
      <x:c r="G1049" s="12" t="n">
        <x:f>IF(AND(COUNT(P1049:R1049)=3,MIN(P1049:R1049)&gt;=0,P1049&lt;=Q1049,Q1049&lt;=R1049),P1049/7*0.5+Q1049/14*0.3+R1049/30*0.2,"")</x:f>
        <x:v>1.3719047619047617</x:v>
      </x:c>
      <x:c r="H1049" s="10" t="n">
        <x:f>IF(ISNUMBER(U1049),U1049,"")</x:f>
        <x:v>9</x:v>
      </x:c>
      <x:c r="I1049" s="10" t="n">
        <x:v>18</x:v>
      </x:c>
      <x:c r="J1049" s="11" t="n">
        <x:f>IF(AND(Z1049="共同",ISNUMBER(F1049),ISNUMBER(M1049)),F1049-M1049,"")</x:f>
        <x:v>-4.7132642849741195</x:v>
      </x:c>
      <x:c r="K1049" s="13" t="n">
        <x:f>IF(AND(ISNUMBER(J1049),M1049&lt;&gt;0),J1049/M1049,"")</x:f>
        <x:v>-0.4180839986115932</x:v>
      </x:c>
      <x:c r="L1049" s="10" t="str">
        <x:v>补货提醒</x:v>
      </x:c>
      <x:c r="M1049" s="11" t="n">
        <x:v>11.273486430062631</x:v>
      </x:c>
      <x:c r="N1049" s="10" t="n">
        <x:f>IF(AND(Z1049="共同",COUNT(H1049:I1049)=2),H1049-I1049,"")</x:f>
        <x:v>-9</x:v>
      </x:c>
      <x:c r="O1049" s="10" t="n">
        <x:v>1</x:v>
      </x:c>
      <x:c r="P1049" s="10" t="n">
        <x:v>10</x:v>
      </x:c>
      <x:c r="Q1049" s="10" t="n">
        <x:v>17</x:v>
      </x:c>
      <x:c r="R1049" s="10" t="n">
        <x:v>44</x:v>
      </x:c>
      <x:c r="S1049" s="10" t="n">
        <x:v>44</x:v>
      </x:c>
      <x:c r="T1049" s="10" t="n">
        <x:v>0</x:v>
      </x:c>
      <x:c r="U1049" s="10" t="n">
        <x:f>IF(AND(ISNUMBER(X1049),X1049&gt;=0,Y1049&lt;&gt;1),X1049,"")</x:f>
        <x:v>9</x:v>
      </x:c>
      <x:c r="V1049" s="10" t="n">
        <x:v>5</x:v>
      </x:c>
      <x:c r="W1049" s="10" t="n">
        <x:v>26</x:v>
      </x:c>
      <x:c r="X1049" s="10" t="n">
        <x:v>9</x:v>
      </x:c>
      <x:c r="Y1049" s="3" t="n">
        <x:v>0</x:v>
      </x:c>
      <x:c r="Z1049" s="3" t="str">
        <x:v>共同</x:v>
      </x:c>
      <x:c r="AA1049" s="3" t="str">
        <x:v>在售</x:v>
      </x:c>
      <x:c r="AB1049" s="12" t="n">
        <x:f>IF(AND(Z1049="共同",ISNUMBER(G1049),ISNUMBER(AD1049)),G1049-AD1049,"")</x:f>
        <x:v>-0.22476190476190494</x:v>
      </x:c>
      <x:c r="AC1049" s="3" t="str"/>
      <x:c r="AD1049" s="12" t="n">
        <x:v>1.5966666666666667</x:v>
      </x:c>
      <x:c r="AE1049" s="3" t="str">
        <x:v>[6574,"2302153-CC-P-Z-9.5"]</x:v>
      </x:c>
      <x:c r="AF1049" t="n">
        <x:f>IF(ISNUMBER(H1049),1,0)</x:f>
        <x:v>1</x:v>
      </x:c>
      <x:c r="AG1049" t="n">
        <x:f>IF(ISNUMBER(I1049),1,0)</x:f>
        <x:v>1</x:v>
      </x:c>
      <x:c r="AH1049" t="str">
        <x:v>["2302153","2302153-CC-P-Z","CC-P","驼色"]</x:v>
      </x:c>
      <x:c r="AI1049" t="n">
        <x:f>IF(ISNUMBER(G1049),1,0)</x:f>
        <x:v>1</x:v>
      </x:c>
      <x:c r="AJ1049" t="n">
        <x:f>IF(ISNUMBER(AD1049),1,0)</x:f>
        <x:v>1</x:v>
      </x:c>
    </x:row>
    <x:row r="1050" ht="30" customHeight="1">
      <x:c r="A1050" s="3" t="str">
        <x:v>2302153-LP-S-Z-6</x:v>
      </x:c>
      <x:c r="B1050" s="3" t="str">
        <x:v>3店-SANDIEX-US</x:v>
      </x:c>
      <x:c r="C1050" s="3" t="str">
        <x:v>徐新怡</x:v>
      </x:c>
      <x:c r="D1050" s="3" t="str">
        <x:v>2302153</x:v>
      </x:c>
      <x:c r="E1050" s="3" t="str">
        <x:f>IF(Z1050="移出","已移出",IF(NOT(ISNUMBER(H1050)),"数据待核",IF(H1050=0,"断货",IF(NOT(ISNUMBER(G1050)),"数据待核",IF(G1050=0,"零日销待复核",IF(F1050&lt;60,"补货提醒",IF(F1050&lt;=90,"正常库存",IF(F1050&lt;180,"促销",IF(F1050&lt;=365,"红线促销","考虑清仓")))))))))</x:f>
        <x:v>补货提醒</x:v>
      </x:c>
      <x:c r="F1050" s="11" t="n">
        <x:f>IF(AND(ISNUMBER(H1050),ISNUMBER(G1050),G1050&gt;0),H1050/G1050,"")</x:f>
        <x:v>21.761658031088086</x:v>
      </x:c>
      <x:c r="G1050" s="12" t="n">
        <x:f>IF(AND(COUNT(P1050:R1050)=3,MIN(P1050:R1050)&gt;=0,P1050&lt;=Q1050,Q1050&lt;=R1050),P1050/7*0.5+Q1050/14*0.3+R1050/30*0.2,"")</x:f>
        <x:v>0.2757142857142857</x:v>
      </x:c>
      <x:c r="H1050" s="10" t="n">
        <x:f>IF(ISNUMBER(U1050),U1050,"")</x:f>
        <x:v>6</x:v>
      </x:c>
      <x:c r="I1050" s="10" t="n">
        <x:v>8</x:v>
      </x:c>
      <x:c r="J1050" s="11" t="n">
        <x:f>IF(AND(Z1050="共同",ISNUMBER(F1050),ISNUMBER(M1050)),F1050-M1050,"")</x:f>
        <x:v>15.85656137027965</x:v>
      </x:c>
      <x:c r="K1050" s="13" t="n">
        <x:f>IF(AND(ISNUMBER(J1050),M1050&lt;&gt;0),J1050/M1050,"")</x:f>
        <x:v>2.6852331606217623</x:v>
      </x:c>
      <x:c r="L1050" s="10" t="str">
        <x:v>补货提醒</x:v>
      </x:c>
      <x:c r="M1050" s="11" t="n">
        <x:v>5.905096660808436</x:v>
      </x:c>
      <x:c r="N1050" s="10" t="n">
        <x:f>IF(AND(Z1050="共同",COUNT(H1050:I1050)=2),H1050-I1050,"")</x:f>
        <x:v>-2</x:v>
      </x:c>
      <x:c r="O1050" s="10" t="n">
        <x:v>39</x:v>
      </x:c>
      <x:c r="P1050" s="10" t="n">
        <x:v>1</x:v>
      </x:c>
      <x:c r="Q1050" s="10" t="n">
        <x:v>3</x:v>
      </x:c>
      <x:c r="R1050" s="10" t="n">
        <x:v>21</x:v>
      </x:c>
      <x:c r="S1050" s="10" t="n">
        <x:v>15</x:v>
      </x:c>
      <x:c r="T1050" s="10" t="n">
        <x:v>0</x:v>
      </x:c>
      <x:c r="U1050" s="10" t="n">
        <x:f>IF(AND(ISNUMBER(X1050),X1050&gt;=0,Y1050&lt;&gt;1),X1050,"")</x:f>
        <x:v>6</x:v>
      </x:c>
      <x:c r="V1050" s="10" t="n">
        <x:v>0</x:v>
      </x:c>
      <x:c r="W1050" s="10" t="n">
        <x:v>20</x:v>
      </x:c>
      <x:c r="X1050" s="10" t="n">
        <x:v>6</x:v>
      </x:c>
      <x:c r="Y1050" s="3" t="n">
        <x:v>0</x:v>
      </x:c>
      <x:c r="Z1050" s="3" t="str">
        <x:v>共同</x:v>
      </x:c>
      <x:c r="AA1050" s="3" t="str">
        <x:v>在售</x:v>
      </x:c>
      <x:c r="AB1050" s="12" t="n">
        <x:f>IF(AND(Z1050="共同",ISNUMBER(G1050),ISNUMBER(AD1050)),G1050-AD1050,"")</x:f>
        <x:v>-1.079047619047619</x:v>
      </x:c>
      <x:c r="AC1050" s="3" t="str"/>
      <x:c r="AD1050" s="12" t="n">
        <x:v>1.3547619047619048</x:v>
      </x:c>
      <x:c r="AE1050" s="3" t="str">
        <x:v>[6574,"2302153-LP-S-Z-6"]</x:v>
      </x:c>
      <x:c r="AF1050" t="n">
        <x:f>IF(ISNUMBER(H1050),1,0)</x:f>
        <x:v>1</x:v>
      </x:c>
      <x:c r="AG1050" t="n">
        <x:f>IF(ISNUMBER(I1050),1,0)</x:f>
        <x:v>1</x:v>
      </x:c>
      <x:c r="AH1050" t="str">
        <x:v>["2302153","2302153-LP-S-Z","LP","豹纹"]</x:v>
      </x:c>
      <x:c r="AI1050" t="n">
        <x:f>IF(ISNUMBER(G1050),1,0)</x:f>
        <x:v>1</x:v>
      </x:c>
      <x:c r="AJ1050" t="n">
        <x:f>IF(ISNUMBER(AD1050),1,0)</x:f>
        <x:v>1</x:v>
      </x:c>
    </x:row>
    <x:row r="1051" ht="30" customHeight="1">
      <x:c r="A1051" s="3" t="str">
        <x:v>2302153-LP-S-Z-6.5</x:v>
      </x:c>
      <x:c r="B1051" s="3" t="str">
        <x:v>3店-SANDIEX-US</x:v>
      </x:c>
      <x:c r="C1051" s="3" t="str">
        <x:v>徐新怡</x:v>
      </x:c>
      <x:c r="D1051" s="3" t="str">
        <x:v>2302153</x:v>
      </x:c>
      <x:c r="E1051" s="3" t="str">
        <x:f>IF(Z1051="移出","已移出",IF(NOT(ISNUMBER(H1051)),"数据待核",IF(H1051=0,"断货",IF(NOT(ISNUMBER(G1051)),"数据待核",IF(G1051=0,"零日销待复核",IF(F1051&lt;60,"补货提醒",IF(F1051&lt;=90,"正常库存",IF(F1051&lt;180,"促销",IF(F1051&lt;=365,"红线促销","考虑清仓")))))))))</x:f>
        <x:v>补货提醒</x:v>
      </x:c>
      <x:c r="F1051" s="11" t="n">
        <x:f>IF(AND(ISNUMBER(H1051),ISNUMBER(G1051),G1051&gt;0),H1051/G1051,"")</x:f>
        <x:v>18.349514563106798</x:v>
      </x:c>
      <x:c r="G1051" s="12" t="n">
        <x:f>IF(AND(COUNT(P1051:R1051)=3,MIN(P1051:R1051)&gt;=0,P1051&lt;=Q1051,Q1051&lt;=R1051),P1051/7*0.5+Q1051/14*0.3+R1051/30*0.2,"")</x:f>
        <x:v>0.4904761904761904</x:v>
      </x:c>
      <x:c r="H1051" s="10" t="n">
        <x:f>IF(ISNUMBER(U1051),U1051,"")</x:f>
        <x:v>9</x:v>
      </x:c>
      <x:c r="I1051" s="10" t="n">
        <x:v>16</x:v>
      </x:c>
      <x:c r="J1051" s="11" t="n">
        <x:f>IF(AND(Z1051="共同",ISNUMBER(F1051),ISNUMBER(M1051)),F1051-M1051,"")</x:f>
        <x:v>-3.188946975354739</x:v>
      </x:c>
      <x:c r="K1051" s="13" t="n">
        <x:f>IF(AND(ISNUMBER(J1051),M1051&lt;&gt;0),J1051/M1051,"")</x:f>
        <x:v>-0.14805825242718432</x:v>
      </x:c>
      <x:c r="L1051" s="10" t="str">
        <x:v>补货提醒</x:v>
      </x:c>
      <x:c r="M1051" s="11" t="n">
        <x:v>21.538461538461537</x:v>
      </x:c>
      <x:c r="N1051" s="10" t="n">
        <x:f>IF(AND(Z1051="共同",COUNT(H1051:I1051)=2),H1051-I1051,"")</x:f>
        <x:v>-7</x:v>
      </x:c>
      <x:c r="O1051" s="10" t="n">
        <x:v>72</x:v>
      </x:c>
      <x:c r="P1051" s="10" t="n">
        <x:v>2</x:v>
      </x:c>
      <x:c r="Q1051" s="10" t="n">
        <x:v>10</x:v>
      </x:c>
      <x:c r="R1051" s="10" t="n">
        <x:v>20</x:v>
      </x:c>
      <x:c r="S1051" s="10" t="n">
        <x:v>15</x:v>
      </x:c>
      <x:c r="T1051" s="10" t="n">
        <x:v>0</x:v>
      </x:c>
      <x:c r="U1051" s="10" t="n">
        <x:f>IF(AND(ISNUMBER(X1051),X1051&gt;=0,Y1051&lt;&gt;1),X1051,"")</x:f>
        <x:v>9</x:v>
      </x:c>
      <x:c r="V1051" s="10" t="n">
        <x:v>0</x:v>
      </x:c>
      <x:c r="W1051" s="10" t="n">
        <x:v>0</x:v>
      </x:c>
      <x:c r="X1051" s="10" t="n">
        <x:v>9</x:v>
      </x:c>
      <x:c r="Y1051" s="3" t="n">
        <x:v>0</x:v>
      </x:c>
      <x:c r="Z1051" s="3" t="str">
        <x:v>共同</x:v>
      </x:c>
      <x:c r="AA1051" s="3" t="str">
        <x:v>在售</x:v>
      </x:c>
      <x:c r="AB1051" s="12" t="n">
        <x:f>IF(AND(Z1051="共同",ISNUMBER(G1051),ISNUMBER(AD1051)),G1051-AD1051,"")</x:f>
        <x:v>-0.2523809523809525</x:v>
      </x:c>
      <x:c r="AC1051" s="3" t="str"/>
      <x:c r="AD1051" s="12" t="n">
        <x:v>0.7428571428571429</x:v>
      </x:c>
      <x:c r="AE1051" s="3" t="str">
        <x:v>[6574,"2302153-LP-S-Z-6.5"]</x:v>
      </x:c>
      <x:c r="AF1051" t="n">
        <x:f>IF(ISNUMBER(H1051),1,0)</x:f>
        <x:v>1</x:v>
      </x:c>
      <x:c r="AG1051" t="n">
        <x:f>IF(ISNUMBER(I1051),1,0)</x:f>
        <x:v>1</x:v>
      </x:c>
      <x:c r="AH1051" t="str">
        <x:v>["2302153","2302153-LP-S-Z","LP","豹纹"]</x:v>
      </x:c>
      <x:c r="AI1051" t="n">
        <x:f>IF(ISNUMBER(G1051),1,0)</x:f>
        <x:v>1</x:v>
      </x:c>
      <x:c r="AJ1051" t="n">
        <x:f>IF(ISNUMBER(AD1051),1,0)</x:f>
        <x:v>1</x:v>
      </x:c>
    </x:row>
    <x:row r="1052" ht="30" customHeight="1">
      <x:c r="A1052" s="3" t="str">
        <x:v>2302153-ND-S-Z-11</x:v>
      </x:c>
      <x:c r="B1052" s="3" t="str">
        <x:v>3店-SANDIEX-US</x:v>
      </x:c>
      <x:c r="C1052" s="3" t="str">
        <x:v>徐新怡</x:v>
      </x:c>
      <x:c r="D1052" s="3" t="str">
        <x:v>2302153</x:v>
      </x:c>
      <x:c r="E1052" s="3" t="str">
        <x:f>IF(Z1052="移出","已移出",IF(NOT(ISNUMBER(H1052)),"数据待核",IF(H1052=0,"断货",IF(NOT(ISNUMBER(G1052)),"数据待核",IF(G1052=0,"零日销待复核",IF(F1052&lt;60,"补货提醒",IF(F1052&lt;=90,"正常库存",IF(F1052&lt;180,"促销",IF(F1052&lt;=365,"红线促销","考虑清仓")))))))))</x:f>
        <x:v>补货提醒</x:v>
      </x:c>
      <x:c r="F1052" s="11" t="n">
        <x:f>IF(AND(ISNUMBER(H1052),ISNUMBER(G1052),G1052&gt;0),H1052/G1052,"")</x:f>
        <x:v>3.7820801440792433</x:v>
      </x:c>
      <x:c r="G1052" s="12" t="n">
        <x:f>IF(AND(COUNT(P1052:R1052)=3,MIN(P1052:R1052)&gt;=0,P1052&lt;=Q1052,Q1052&lt;=R1052),P1052/7*0.5+Q1052/14*0.3+R1052/30*0.2,"")</x:f>
        <x:v>2.1152380952380954</x:v>
      </x:c>
      <x:c r="H1052" s="10" t="n">
        <x:f>IF(ISNUMBER(U1052),U1052,"")</x:f>
        <x:v>8</x:v>
      </x:c>
      <x:c r="I1052" s="10" t="n">
        <x:v>19</x:v>
      </x:c>
      <x:c r="J1052" s="11" t="n">
        <x:f>IF(AND(Z1052="共同",ISNUMBER(F1052),ISNUMBER(M1052)),F1052-M1052,"")</x:f>
        <x:v>-5.136113865755357</x:v>
      </x:c>
      <x:c r="K1052" s="13" t="n">
        <x:f>IF(AND(ISNUMBER(J1052),M1052&lt;&gt;0),J1052/M1052,"")</x:f>
        <x:v>-0.5759141211877059</x:v>
      </x:c>
      <x:c r="L1052" s="10" t="str">
        <x:v>补货提醒</x:v>
      </x:c>
      <x:c r="M1052" s="11" t="n">
        <x:v>8.9181940098346</x:v>
      </x:c>
      <x:c r="N1052" s="10" t="n">
        <x:f>IF(AND(Z1052="共同",COUNT(H1052:I1052)=2),H1052-I1052,"")</x:f>
        <x:v>-11</x:v>
      </x:c>
      <x:c r="O1052" s="10" t="n">
        <x:v>10</x:v>
      </x:c>
      <x:c r="P1052" s="10" t="n">
        <x:v>17</x:v>
      </x:c>
      <x:c r="Q1052" s="10" t="n">
        <x:v>24</x:v>
      </x:c>
      <x:c r="R1052" s="10" t="n">
        <x:v>58</x:v>
      </x:c>
      <x:c r="S1052" s="10" t="n">
        <x:v>64</x:v>
      </x:c>
      <x:c r="T1052" s="10" t="n">
        <x:v>1</x:v>
      </x:c>
      <x:c r="U1052" s="10" t="n">
        <x:f>IF(AND(ISNUMBER(X1052),X1052&gt;=0,Y1052&lt;&gt;1),X1052,"")</x:f>
        <x:v>8</x:v>
      </x:c>
      <x:c r="V1052" s="10" t="n">
        <x:v>7</x:v>
      </x:c>
      <x:c r="W1052" s="10" t="n">
        <x:v>76</x:v>
      </x:c>
      <x:c r="X1052" s="10" t="n">
        <x:v>8</x:v>
      </x:c>
      <x:c r="Y1052" s="3" t="n">
        <x:v>0</x:v>
      </x:c>
      <x:c r="Z1052" s="3" t="str">
        <x:v>共同</x:v>
      </x:c>
      <x:c r="AA1052" s="3" t="str">
        <x:v>在售</x:v>
      </x:c>
      <x:c r="AB1052" s="12" t="n">
        <x:f>IF(AND(Z1052="共同",ISNUMBER(G1052),ISNUMBER(AD1052)),G1052-AD1052,"")</x:f>
        <x:v>-0.015238095238094829</x:v>
      </x:c>
      <x:c r="AC1052" s="3" t="str"/>
      <x:c r="AD1052" s="12" t="n">
        <x:v>2.13047619047619</x:v>
      </x:c>
      <x:c r="AE1052" s="3" t="str">
        <x:v>[6574,"2302153-ND-S-Z-11"]</x:v>
      </x:c>
      <x:c r="AF1052" t="n">
        <x:f>IF(ISNUMBER(H1052),1,0)</x:f>
        <x:v>1</x:v>
      </x:c>
      <x:c r="AG1052" t="n">
        <x:f>IF(ISNUMBER(I1052),1,0)</x:f>
        <x:v>1</x:v>
      </x:c>
      <x:c r="AH1052" t="str">
        <x:v>["2302153","2302153-ND-S-Z","ND","裸色"]</x:v>
      </x:c>
      <x:c r="AI1052" t="n">
        <x:f>IF(ISNUMBER(G1052),1,0)</x:f>
        <x:v>1</x:v>
      </x:c>
      <x:c r="AJ1052" t="n">
        <x:f>IF(ISNUMBER(AD1052),1,0)</x:f>
        <x:v>1</x:v>
      </x:c>
    </x:row>
    <x:row r="1053" ht="30" customHeight="1">
      <x:c r="A1053" s="3" t="str">
        <x:v>2302153-ND-S-Z-7.5</x:v>
      </x:c>
      <x:c r="B1053" s="3" t="str">
        <x:v>3店-SANDIEX-US</x:v>
      </x:c>
      <x:c r="C1053" s="3" t="str">
        <x:v>徐新怡</x:v>
      </x:c>
      <x:c r="D1053" s="3" t="str">
        <x:v>2302153</x:v>
      </x:c>
      <x:c r="E1053" s="3" t="str">
        <x:f>IF(Z1053="移出","已移出",IF(NOT(ISNUMBER(H1053)),"数据待核",IF(H1053=0,"断货",IF(NOT(ISNUMBER(G1053)),"数据待核",IF(G1053=0,"零日销待复核",IF(F1053&lt;60,"补货提醒",IF(F1053&lt;=90,"正常库存",IF(F1053&lt;180,"促销",IF(F1053&lt;=365,"红线促销","考虑清仓")))))))))</x:f>
        <x:v>补货提醒</x:v>
      </x:c>
      <x:c r="F1053" s="11" t="n">
        <x:f>IF(AND(ISNUMBER(H1053),ISNUMBER(G1053),G1053&gt;0),H1053/G1053,"")</x:f>
        <x:v>3.9766178165651245</x:v>
      </x:c>
      <x:c r="G1053" s="12" t="n">
        <x:f>IF(AND(COUNT(P1053:R1053)=3,MIN(P1053:R1053)&gt;=0,P1053&lt;=Q1053,Q1053&lt;=R1053),P1053/7*0.5+Q1053/14*0.3+R1053/30*0.2,"")</x:f>
        <x:v>5.7838095238095235</x:v>
      </x:c>
      <x:c r="H1053" s="10" t="n">
        <x:f>IF(ISNUMBER(U1053),U1053,"")</x:f>
        <x:v>23</x:v>
      </x:c>
      <x:c r="I1053" s="10" t="n">
        <x:v>38</x:v>
      </x:c>
      <x:c r="J1053" s="11" t="n">
        <x:f>IF(AND(Z1053="共同",ISNUMBER(F1053),ISNUMBER(M1053)),F1053-M1053,"")</x:f>
        <x:v>-4.257826513225405</x:v>
      </x:c>
      <x:c r="K1053" s="13" t="n">
        <x:f>IF(AND(ISNUMBER(J1053),M1053&lt;&gt;0),J1053/M1053,"")</x:f>
        <x:v>-0.5170751471136265</x:v>
      </x:c>
      <x:c r="L1053" s="10" t="str">
        <x:v>补货提醒</x:v>
      </x:c>
      <x:c r="M1053" s="11" t="n">
        <x:v>8.234444329790529</x:v>
      </x:c>
      <x:c r="N1053" s="10" t="n">
        <x:f>IF(AND(Z1053="共同",COUNT(H1053:I1053)=2),H1053-I1053,"")</x:f>
        <x:v>-15</x:v>
      </x:c>
      <x:c r="O1053" s="10" t="n">
        <x:v>96</x:v>
      </x:c>
      <x:c r="P1053" s="10" t="n">
        <x:v>40</x:v>
      </x:c>
      <x:c r="Q1053" s="10" t="n">
        <x:v>84</x:v>
      </x:c>
      <x:c r="R1053" s="10" t="n">
        <x:v>169</x:v>
      </x:c>
      <x:c r="S1053" s="10" t="n">
        <x:v>148</x:v>
      </x:c>
      <x:c r="T1053" s="10" t="n">
        <x:v>4</x:v>
      </x:c>
      <x:c r="U1053" s="10" t="n">
        <x:f>IF(AND(ISNUMBER(X1053),X1053&gt;=0,Y1053&lt;&gt;1),X1053,"")</x:f>
        <x:v>23</x:v>
      </x:c>
      <x:c r="V1053" s="10" t="n">
        <x:v>0</x:v>
      </x:c>
      <x:c r="W1053" s="10" t="n">
        <x:v>236</x:v>
      </x:c>
      <x:c r="X1053" s="10" t="n">
        <x:v>23</x:v>
      </x:c>
      <x:c r="Y1053" s="3" t="n">
        <x:v>0</x:v>
      </x:c>
      <x:c r="Z1053" s="3" t="str">
        <x:v>共同</x:v>
      </x:c>
      <x:c r="AA1053" s="3" t="str">
        <x:v>在售</x:v>
      </x:c>
      <x:c r="AB1053" s="12" t="n">
        <x:f>IF(AND(Z1053="共同",ISNUMBER(G1053),ISNUMBER(AD1053)),G1053-AD1053,"")</x:f>
        <x:v>1.1690476190476193</x:v>
      </x:c>
      <x:c r="AC1053" s="3" t="str"/>
      <x:c r="AD1053" s="12" t="n">
        <x:v>4.614761904761904</x:v>
      </x:c>
      <x:c r="AE1053" s="3" t="str">
        <x:v>[6574,"2302153-ND-S-Z-7.5"]</x:v>
      </x:c>
      <x:c r="AF1053" t="n">
        <x:f>IF(ISNUMBER(H1053),1,0)</x:f>
        <x:v>1</x:v>
      </x:c>
      <x:c r="AG1053" t="n">
        <x:f>IF(ISNUMBER(I1053),1,0)</x:f>
        <x:v>1</x:v>
      </x:c>
      <x:c r="AH1053" t="str">
        <x:v>["2302153","2302153-ND-S-Z","ND","裸色"]</x:v>
      </x:c>
      <x:c r="AI1053" t="n">
        <x:f>IF(ISNUMBER(G1053),1,0)</x:f>
        <x:v>1</x:v>
      </x:c>
      <x:c r="AJ1053" t="n">
        <x:f>IF(ISNUMBER(AD1053),1,0)</x:f>
        <x:v>1</x:v>
      </x:c>
    </x:row>
    <x:row r="1054" ht="30" customHeight="1">
      <x:c r="A1054" s="3" t="str">
        <x:v>2302153-ND-S-Z-8</x:v>
      </x:c>
      <x:c r="B1054" s="3" t="str">
        <x:v>3店-SANDIEX-US</x:v>
      </x:c>
      <x:c r="C1054" s="3" t="str">
        <x:v>徐新怡</x:v>
      </x:c>
      <x:c r="D1054" s="3" t="str">
        <x:v>2302153</x:v>
      </x:c>
      <x:c r="E1054" s="3" t="str">
        <x:f>IF(Z1054="移出","已移出",IF(NOT(ISNUMBER(H1054)),"数据待核",IF(H1054=0,"断货",IF(NOT(ISNUMBER(G1054)),"数据待核",IF(G1054=0,"零日销待复核",IF(F1054&lt;60,"补货提醒",IF(F1054&lt;=90,"正常库存",IF(F1054&lt;180,"促销",IF(F1054&lt;=365,"红线促销","考虑清仓")))))))))</x:f>
        <x:v>补货提醒</x:v>
      </x:c>
      <x:c r="F1054" s="11" t="n">
        <x:f>IF(AND(ISNUMBER(H1054),ISNUMBER(G1054),G1054&gt;0),H1054/G1054,"")</x:f>
        <x:v>7.36842105263158</x:v>
      </x:c>
      <x:c r="G1054" s="12" t="n">
        <x:f>IF(AND(COUNT(P1054:R1054)=3,MIN(P1054:R1054)&gt;=0,P1054&lt;=Q1054,Q1054&lt;=R1054),P1054/7*0.5+Q1054/14*0.3+R1054/30*0.2,"")</x:f>
        <x:v>9.228571428571428</x:v>
      </x:c>
      <x:c r="H1054" s="10" t="n">
        <x:f>IF(ISNUMBER(U1054),U1054,"")</x:f>
        <x:v>68</x:v>
      </x:c>
      <x:c r="I1054" s="10" t="n">
        <x:v>154</x:v>
      </x:c>
      <x:c r="J1054" s="11" t="n">
        <x:f>IF(AND(Z1054="共同",ISNUMBER(F1054),ISNUMBER(M1054)),F1054-M1054,"")</x:f>
        <x:v>-7.782668195435883</x:v>
      </x:c>
      <x:c r="K1054" s="13" t="n">
        <x:f>IF(AND(ISNUMBER(J1054),M1054&lt;&gt;0),J1054/M1054,"")</x:f>
        <x:v>-0.5136705399863294</x:v>
      </x:c>
      <x:c r="L1054" s="10" t="str">
        <x:v>补货提醒</x:v>
      </x:c>
      <x:c r="M1054" s="11" t="n">
        <x:v>15.151089248067462</x:v>
      </x:c>
      <x:c r="N1054" s="10" t="n">
        <x:f>IF(AND(Z1054="共同",COUNT(H1054:I1054)=2),H1054-I1054,"")</x:f>
        <x:v>-86</x:v>
      </x:c>
      <x:c r="O1054" s="10" t="n">
        <x:v>452</x:v>
      </x:c>
      <x:c r="P1054" s="10" t="n">
        <x:v>68</x:v>
      </x:c>
      <x:c r="Q1054" s="10" t="n">
        <x:v>120</x:v>
      </x:c>
      <x:c r="R1054" s="10" t="n">
        <x:v>270</x:v>
      </x:c>
      <x:c r="S1054" s="10" t="n">
        <x:v>156</x:v>
      </x:c>
      <x:c r="T1054" s="10" t="n">
        <x:v>5</x:v>
      </x:c>
      <x:c r="U1054" s="10" t="n">
        <x:f>IF(AND(ISNUMBER(X1054),X1054&gt;=0,Y1054&lt;&gt;1),X1054,"")</x:f>
        <x:v>68</x:v>
      </x:c>
      <x:c r="V1054" s="10" t="n">
        <x:v>30</x:v>
      </x:c>
      <x:c r="W1054" s="10" t="n">
        <x:v>531</x:v>
      </x:c>
      <x:c r="X1054" s="10" t="n">
        <x:v>68</x:v>
      </x:c>
      <x:c r="Y1054" s="3" t="n">
        <x:v>0</x:v>
      </x:c>
      <x:c r="Z1054" s="3" t="str">
        <x:v>共同</x:v>
      </x:c>
      <x:c r="AA1054" s="3" t="str">
        <x:v>在售</x:v>
      </x:c>
      <x:c r="AB1054" s="12" t="n">
        <x:f>IF(AND(Z1054="共同",ISNUMBER(G1054),ISNUMBER(AD1054)),G1054-AD1054,"")</x:f>
        <x:v>-0.9357142857142868</x:v>
      </x:c>
      <x:c r="AC1054" s="3" t="str"/>
      <x:c r="AD1054" s="12" t="n">
        <x:v>10.164285714285715</x:v>
      </x:c>
      <x:c r="AE1054" s="3" t="str">
        <x:v>[6574,"2302153-ND-S-Z-8"]</x:v>
      </x:c>
      <x:c r="AF1054" t="n">
        <x:f>IF(ISNUMBER(H1054),1,0)</x:f>
        <x:v>1</x:v>
      </x:c>
      <x:c r="AG1054" t="n">
        <x:f>IF(ISNUMBER(I1054),1,0)</x:f>
        <x:v>1</x:v>
      </x:c>
      <x:c r="AH1054" t="str">
        <x:v>["2302153","2302153-ND-S-Z","ND","裸色"]</x:v>
      </x:c>
      <x:c r="AI1054" t="n">
        <x:f>IF(ISNUMBER(G1054),1,0)</x:f>
        <x:v>1</x:v>
      </x:c>
      <x:c r="AJ1054" t="n">
        <x:f>IF(ISNUMBER(AD1054),1,0)</x:f>
        <x:v>1</x:v>
      </x:c>
    </x:row>
    <x:row r="1055" ht="30" customHeight="1">
      <x:c r="A1055" s="3" t="str">
        <x:v>2302153-ND-S-Z-8.5</x:v>
      </x:c>
      <x:c r="B1055" s="3" t="str">
        <x:v>3店-SANDIEX-US</x:v>
      </x:c>
      <x:c r="C1055" s="3" t="str">
        <x:v>徐新怡</x:v>
      </x:c>
      <x:c r="D1055" s="3" t="str">
        <x:v>2302153</x:v>
      </x:c>
      <x:c r="E1055" s="3" t="str">
        <x:f>IF(Z1055="移出","已移出",IF(NOT(ISNUMBER(H1055)),"数据待核",IF(H1055=0,"断货",IF(NOT(ISNUMBER(G1055)),"数据待核",IF(G1055=0,"零日销待复核",IF(F1055&lt;60,"补货提醒",IF(F1055&lt;=90,"正常库存",IF(F1055&lt;180,"促销",IF(F1055&lt;=365,"红线促销","考虑清仓")))))))))</x:f>
        <x:v>补货提醒</x:v>
      </x:c>
      <x:c r="F1055" s="11" t="n">
        <x:f>IF(AND(ISNUMBER(H1055),ISNUMBER(G1055),G1055&gt;0),H1055/G1055,"")</x:f>
        <x:v>5.5436643835616435</x:v>
      </x:c>
      <x:c r="G1055" s="12" t="n">
        <x:f>IF(AND(COUNT(P1055:R1055)=3,MIN(P1055:R1055)&gt;=0,P1055&lt;=Q1055,Q1055&lt;=R1055),P1055/7*0.5+Q1055/14*0.3+R1055/30*0.2,"")</x:f>
        <x:v>6.674285714285714</x:v>
      </x:c>
      <x:c r="H1055" s="10" t="n">
        <x:f>IF(ISNUMBER(U1055),U1055,"")</x:f>
        <x:v>37</x:v>
      </x:c>
      <x:c r="I1055" s="10" t="n">
        <x:v>69</x:v>
      </x:c>
      <x:c r="J1055" s="11" t="n">
        <x:f>IF(AND(Z1055="共同",ISNUMBER(F1055),ISNUMBER(M1055)),F1055-M1055,"")</x:f>
        <x:v>-3.270204229577044</x:v>
      </x:c>
      <x:c r="K1055" s="13" t="n">
        <x:f>IF(AND(ISNUMBER(J1055),M1055&lt;&gt;0),J1055/M1055,"")</x:f>
        <x:v>-0.37102938256898965</x:v>
      </x:c>
      <x:c r="L1055" s="10" t="str">
        <x:v>补货提醒</x:v>
      </x:c>
      <x:c r="M1055" s="11" t="n">
        <x:v>8.813868613138688</x:v>
      </x:c>
      <x:c r="N1055" s="10" t="n">
        <x:f>IF(AND(Z1055="共同",COUNT(H1055:I1055)=2),H1055-I1055,"")</x:f>
        <x:v>-32</x:v>
      </x:c>
      <x:c r="O1055" s="10" t="n">
        <x:v>78</x:v>
      </x:c>
      <x:c r="P1055" s="10" t="n">
        <x:v>48</x:v>
      </x:c>
      <x:c r="Q1055" s="10" t="n">
        <x:v>88</x:v>
      </x:c>
      <x:c r="R1055" s="10" t="n">
        <x:v>204</x:v>
      </x:c>
      <x:c r="S1055" s="10" t="n">
        <x:v>173</x:v>
      </x:c>
      <x:c r="T1055" s="10" t="n">
        <x:v>2</x:v>
      </x:c>
      <x:c r="U1055" s="10" t="n">
        <x:f>IF(AND(ISNUMBER(X1055),X1055&gt;=0,Y1055&lt;&gt;1),X1055,"")</x:f>
        <x:v>37</x:v>
      </x:c>
      <x:c r="V1055" s="10" t="n">
        <x:v>25</x:v>
      </x:c>
      <x:c r="W1055" s="10" t="n">
        <x:v>260</x:v>
      </x:c>
      <x:c r="X1055" s="10" t="n">
        <x:v>37</x:v>
      </x:c>
      <x:c r="Y1055" s="3" t="n">
        <x:v>0</x:v>
      </x:c>
      <x:c r="Z1055" s="3" t="str">
        <x:v>共同</x:v>
      </x:c>
      <x:c r="AA1055" s="3" t="str">
        <x:v>在售</x:v>
      </x:c>
      <x:c r="AB1055" s="12" t="n">
        <x:f>IF(AND(Z1055="共同",ISNUMBER(G1055),ISNUMBER(AD1055)),G1055-AD1055,"")</x:f>
        <x:v>-1.154285714285713</x:v>
      </x:c>
      <x:c r="AC1055" s="3" t="str"/>
      <x:c r="AD1055" s="12" t="n">
        <x:v>7.828571428571427</x:v>
      </x:c>
      <x:c r="AE1055" s="3" t="str">
        <x:v>[6574,"2302153-ND-S-Z-8.5"]</x:v>
      </x:c>
      <x:c r="AF1055" t="n">
        <x:f>IF(ISNUMBER(H1055),1,0)</x:f>
        <x:v>1</x:v>
      </x:c>
      <x:c r="AG1055" t="n">
        <x:f>IF(ISNUMBER(I1055),1,0)</x:f>
        <x:v>1</x:v>
      </x:c>
      <x:c r="AH1055" t="str">
        <x:v>["2302153","2302153-ND-S-Z","ND","裸色"]</x:v>
      </x:c>
      <x:c r="AI1055" t="n">
        <x:f>IF(ISNUMBER(G1055),1,0)</x:f>
        <x:v>1</x:v>
      </x:c>
      <x:c r="AJ1055" t="n">
        <x:f>IF(ISNUMBER(AD1055),1,0)</x:f>
        <x:v>1</x:v>
      </x:c>
    </x:row>
    <x:row r="1056" ht="30" customHeight="1">
      <x:c r="A1056" s="3" t="str">
        <x:v>2302153-ND-S-Z-9</x:v>
      </x:c>
      <x:c r="B1056" s="3" t="str">
        <x:v>3店-SANDIEX-US</x:v>
      </x:c>
      <x:c r="C1056" s="3" t="str">
        <x:v>徐新怡</x:v>
      </x:c>
      <x:c r="D1056" s="3" t="str">
        <x:v>2302153</x:v>
      </x:c>
      <x:c r="E1056" s="3" t="str">
        <x:f>IF(Z1056="移出","已移出",IF(NOT(ISNUMBER(H1056)),"数据待核",IF(H1056=0,"断货",IF(NOT(ISNUMBER(G1056)),"数据待核",IF(G1056=0,"零日销待复核",IF(F1056&lt;60,"补货提醒",IF(F1056&lt;=90,"正常库存",IF(F1056&lt;180,"促销",IF(F1056&lt;=365,"红线促销","考虑清仓")))))))))</x:f>
        <x:v>补货提醒</x:v>
      </x:c>
      <x:c r="F1056" s="11" t="n">
        <x:f>IF(AND(ISNUMBER(H1056),ISNUMBER(G1056),G1056&gt;0),H1056/G1056,"")</x:f>
        <x:v>10.503597122302159</x:v>
      </x:c>
      <x:c r="G1056" s="12" t="n">
        <x:f>IF(AND(COUNT(P1056:R1056)=3,MIN(P1056:R1056)&gt;=0,P1056&lt;=Q1056,Q1056&lt;=R1056),P1056/7*0.5+Q1056/14*0.3+R1056/30*0.2,"")</x:f>
        <x:v>6.95</x:v>
      </x:c>
      <x:c r="H1056" s="10" t="n">
        <x:f>IF(ISNUMBER(U1056),U1056,"")</x:f>
        <x:v>73</x:v>
      </x:c>
      <x:c r="I1056" s="10" t="n">
        <x:v>104</x:v>
      </x:c>
      <x:c r="J1056" s="11" t="n">
        <x:f>IF(AND(Z1056="共同",ISNUMBER(F1056),ISNUMBER(M1056)),F1056-M1056,"")</x:f>
        <x:v>-6.466099847394814</x:v>
      </x:c>
      <x:c r="K1056" s="13" t="n">
        <x:f>IF(AND(ISNUMBER(J1056),M1056&lt;&gt;0),J1056/M1056,"")</x:f>
        <x:v>-0.38103802672148</x:v>
      </x:c>
      <x:c r="L1056" s="10" t="str">
        <x:v>补货提醒</x:v>
      </x:c>
      <x:c r="M1056" s="11" t="n">
        <x:v>16.969696969696972</x:v>
      </x:c>
      <x:c r="N1056" s="10" t="n">
        <x:f>IF(AND(Z1056="共同",COUNT(H1056:I1056)=2),H1056-I1056,"")</x:f>
        <x:v>-31</x:v>
      </x:c>
      <x:c r="O1056" s="10" t="n">
        <x:v>232</x:v>
      </x:c>
      <x:c r="P1056" s="10" t="n">
        <x:v>52</x:v>
      </x:c>
      <x:c r="Q1056" s="10" t="n">
        <x:v>95</x:v>
      </x:c>
      <x:c r="R1056" s="10" t="n">
        <x:v>180</x:v>
      </x:c>
      <x:c r="S1056" s="10" t="n">
        <x:v>108</x:v>
      </x:c>
      <x:c r="T1056" s="10" t="n">
        <x:v>5</x:v>
      </x:c>
      <x:c r="U1056" s="10" t="n">
        <x:f>IF(AND(ISNUMBER(X1056),X1056&gt;=0,Y1056&lt;&gt;1),X1056,"")</x:f>
        <x:v>73</x:v>
      </x:c>
      <x:c r="V1056" s="10" t="n">
        <x:v>31</x:v>
      </x:c>
      <x:c r="W1056" s="10" t="n">
        <x:v>348</x:v>
      </x:c>
      <x:c r="X1056" s="10" t="n">
        <x:v>73</x:v>
      </x:c>
      <x:c r="Y1056" s="3" t="n">
        <x:v>0</x:v>
      </x:c>
      <x:c r="Z1056" s="3" t="str">
        <x:v>共同</x:v>
      </x:c>
      <x:c r="AA1056" s="3" t="str">
        <x:v>在售</x:v>
      </x:c>
      <x:c r="AB1056" s="12" t="n">
        <x:f>IF(AND(Z1056="共同",ISNUMBER(G1056),ISNUMBER(AD1056)),G1056-AD1056,"")</x:f>
        <x:v>0.8214285714285721</x:v>
      </x:c>
      <x:c r="AC1056" s="3" t="str"/>
      <x:c r="AD1056" s="12" t="n">
        <x:v>6.128571428571428</x:v>
      </x:c>
      <x:c r="AE1056" s="3" t="str">
        <x:v>[6574,"2302153-ND-S-Z-9"]</x:v>
      </x:c>
      <x:c r="AF1056" t="n">
        <x:f>IF(ISNUMBER(H1056),1,0)</x:f>
        <x:v>1</x:v>
      </x:c>
      <x:c r="AG1056" t="n">
        <x:f>IF(ISNUMBER(I1056),1,0)</x:f>
        <x:v>1</x:v>
      </x:c>
      <x:c r="AH1056" t="str">
        <x:v>["2302153","2302153-ND-S-Z","ND","裸色"]</x:v>
      </x:c>
      <x:c r="AI1056" t="n">
        <x:f>IF(ISNUMBER(G1056),1,0)</x:f>
        <x:v>1</x:v>
      </x:c>
      <x:c r="AJ1056" t="n">
        <x:f>IF(ISNUMBER(AD1056),1,0)</x:f>
        <x:v>1</x:v>
      </x:c>
    </x:row>
    <x:row r="1057" ht="30" customHeight="1">
      <x:c r="A1057" s="3" t="str">
        <x:v>2302153-ND-S-Z-9.5</x:v>
      </x:c>
      <x:c r="B1057" s="3" t="str">
        <x:v>3店-SANDIEX-US</x:v>
      </x:c>
      <x:c r="C1057" s="3" t="str">
        <x:v>徐新怡</x:v>
      </x:c>
      <x:c r="D1057" s="3" t="str">
        <x:v>2302153</x:v>
      </x:c>
      <x:c r="E1057" s="3" t="str">
        <x:f>IF(Z1057="移出","已移出",IF(NOT(ISNUMBER(H1057)),"数据待核",IF(H1057=0,"断货",IF(NOT(ISNUMBER(G1057)),"数据待核",IF(G1057=0,"零日销待复核",IF(F1057&lt;60,"补货提醒",IF(F1057&lt;=90,"正常库存",IF(F1057&lt;180,"促销",IF(F1057&lt;=365,"红线促销","考虑清仓")))))))))</x:f>
        <x:v>补货提醒</x:v>
      </x:c>
      <x:c r="F1057" s="11" t="n">
        <x:f>IF(AND(ISNUMBER(H1057),ISNUMBER(G1057),G1057&gt;0),H1057/G1057,"")</x:f>
        <x:v>48.155933498948976</x:v>
      </x:c>
      <x:c r="G1057" s="12" t="n">
        <x:f>IF(AND(COUNT(P1057:R1057)=3,MIN(P1057:R1057)&gt;=0,P1057&lt;=Q1057,Q1057&lt;=R1057),P1057/7*0.5+Q1057/14*0.3+R1057/30*0.2,"")</x:f>
        <x:v>2.491904761904762</x:v>
      </x:c>
      <x:c r="H1057" s="10" t="n">
        <x:f>IF(ISNUMBER(U1057),U1057,"")</x:f>
        <x:v>120</x:v>
      </x:c>
      <x:c r="I1057" s="10" t="n">
        <x:v>143</x:v>
      </x:c>
      <x:c r="J1057" s="11" t="n">
        <x:f>IF(AND(Z1057="共同",ISNUMBER(F1057),ISNUMBER(M1057)),F1057-M1057,"")</x:f>
        <x:v>7.103301920001606</x:v>
      </x:c>
      <x:c r="K1057" s="13" t="n">
        <x:f>IF(AND(ISNUMBER(J1057),M1057&lt;&gt;0),J1057/M1057,"")</x:f>
        <x:v>0.17302914933337243</x:v>
      </x:c>
      <x:c r="L1057" s="10" t="str">
        <x:v>补货提醒</x:v>
      </x:c>
      <x:c r="M1057" s="11" t="n">
        <x:v>41.05263157894737</x:v>
      </x:c>
      <x:c r="N1057" s="10" t="n">
        <x:f>IF(AND(Z1057="共同",COUNT(H1057:I1057)=2),H1057-I1057,"")</x:f>
        <x:v>-23</x:v>
      </x:c>
      <x:c r="O1057" s="10" t="n">
        <x:v>313</x:v>
      </x:c>
      <x:c r="P1057" s="10" t="n">
        <x:v>14</x:v>
      </x:c>
      <x:c r="Q1057" s="10" t="n">
        <x:v>41</x:v>
      </x:c>
      <x:c r="R1057" s="10" t="n">
        <x:v>92</x:v>
      </x:c>
      <x:c r="S1057" s="10" t="n">
        <x:v>131</x:v>
      </x:c>
      <x:c r="T1057" s="10" t="n">
        <x:v>2</x:v>
      </x:c>
      <x:c r="U1057" s="10" t="n">
        <x:f>IF(AND(ISNUMBER(X1057),X1057&gt;=0,Y1057&lt;&gt;1),X1057,"")</x:f>
        <x:v>120</x:v>
      </x:c>
      <x:c r="V1057" s="10" t="n">
        <x:v>11</x:v>
      </x:c>
      <x:c r="W1057" s="10" t="n">
        <x:v>160</x:v>
      </x:c>
      <x:c r="X1057" s="10" t="n">
        <x:v>120</x:v>
      </x:c>
      <x:c r="Y1057" s="3" t="n">
        <x:v>0</x:v>
      </x:c>
      <x:c r="Z1057" s="3" t="str">
        <x:v>共同</x:v>
      </x:c>
      <x:c r="AA1057" s="3" t="str">
        <x:v>在售</x:v>
      </x:c>
      <x:c r="AB1057" s="12" t="n">
        <x:f>IF(AND(Z1057="共同",ISNUMBER(G1057),ISNUMBER(AD1057)),G1057-AD1057,"")</x:f>
        <x:v>-0.9914285714285715</x:v>
      </x:c>
      <x:c r="AC1057" s="3" t="str"/>
      <x:c r="AD1057" s="12" t="n">
        <x:v>3.4833333333333334</x:v>
      </x:c>
      <x:c r="AE1057" s="3" t="str">
        <x:v>[6574,"2302153-ND-S-Z-9.5"]</x:v>
      </x:c>
      <x:c r="AF1057" t="n">
        <x:f>IF(ISNUMBER(H1057),1,0)</x:f>
        <x:v>1</x:v>
      </x:c>
      <x:c r="AG1057" t="n">
        <x:f>IF(ISNUMBER(I1057),1,0)</x:f>
        <x:v>1</x:v>
      </x:c>
      <x:c r="AH1057" t="str">
        <x:v>["2302153","2302153-ND-S-Z","ND","裸色"]</x:v>
      </x:c>
      <x:c r="AI1057" t="n">
        <x:f>IF(ISNUMBER(G1057),1,0)</x:f>
        <x:v>1</x:v>
      </x:c>
      <x:c r="AJ1057" t="n">
        <x:f>IF(ISNUMBER(AD1057),1,0)</x:f>
        <x:v>1</x:v>
      </x:c>
    </x:row>
    <x:row r="1058" ht="30" customHeight="1">
      <x:c r="A1058" s="3" t="str">
        <x:v>2302153-NY-37</x:v>
      </x:c>
      <x:c r="B1058" s="3" t="str">
        <x:v>3店-SANDIEX-US</x:v>
      </x:c>
      <x:c r="C1058" s="3" t="str">
        <x:v>徐新怡</x:v>
      </x:c>
      <x:c r="D1058" s="3" t="str">
        <x:v>2302153</x:v>
      </x:c>
      <x:c r="E1058" s="3" t="str">
        <x:f>IF(Z1058="移出","已移出",IF(NOT(ISNUMBER(H1058)),"数据待核",IF(H1058=0,"断货",IF(NOT(ISNUMBER(G1058)),"数据待核",IF(G1058=0,"零日销待复核",IF(F1058&lt;60,"补货提醒",IF(F1058&lt;=90,"正常库存",IF(F1058&lt;180,"促销",IF(F1058&lt;=365,"红线促销","考虑清仓")))))))))</x:f>
        <x:v>补货提醒</x:v>
      </x:c>
      <x:c r="F1058" s="11" t="n">
        <x:f>IF(AND(ISNUMBER(H1058),ISNUMBER(G1058),G1058&gt;0),H1058/G1058,"")</x:f>
        <x:v>13.725490196078432</x:v>
      </x:c>
      <x:c r="G1058" s="12" t="n">
        <x:f>IF(AND(COUNT(P1058:R1058)=3,MIN(P1058:R1058)&gt;=0,P1058&lt;=Q1058,Q1058&lt;=R1058),P1058/7*0.5+Q1058/14*0.3+R1058/30*0.2,"")</x:f>
        <x:v>0.21857142857142856</x:v>
      </x:c>
      <x:c r="H1058" s="10" t="n">
        <x:f>IF(ISNUMBER(U1058),U1058,"")</x:f>
        <x:v>3</x:v>
      </x:c>
      <x:c r="I1058" s="10" t="n">
        <x:v>3</x:v>
      </x:c>
      <x:c r="J1058" s="11" t="n">
        <x:f>IF(AND(Z1058="共同",ISNUMBER(F1058),ISNUMBER(M1058)),F1058-M1058,"")</x:f>
        <x:v>-11.374111397547068</x:v>
      </x:c>
      <x:c r="K1058" s="13" t="n">
        <x:f>IF(AND(ISNUMBER(J1058),M1058&lt;&gt;0),J1058/M1058,"")</x:f>
        <x:v>-0.45315904139433555</x:v>
      </x:c>
      <x:c r="L1058" s="10" t="str">
        <x:v>补货提醒</x:v>
      </x:c>
      <x:c r="M1058" s="11" t="n">
        <x:v>25.0996015936255</x:v>
      </x:c>
      <x:c r="N1058" s="10" t="n">
        <x:f>IF(AND(Z1058="共同",COUNT(H1058:I1058)=2),H1058-I1058,"")</x:f>
        <x:v>0</x:v>
      </x:c>
      <x:c r="O1058" s="10" t="n">
        <x:v>20</x:v>
      </x:c>
      <x:c r="P1058" s="10" t="n">
        <x:v>1</x:v>
      </x:c>
      <x:c r="Q1058" s="10" t="n">
        <x:v>5</x:v>
      </x:c>
      <x:c r="R1058" s="10" t="n">
        <x:v>6</x:v>
      </x:c>
      <x:c r="S1058" s="10" t="n">
        <x:v>9</x:v>
      </x:c>
      <x:c r="T1058" s="10" t="n">
        <x:v>0</x:v>
      </x:c>
      <x:c r="U1058" s="10" t="n">
        <x:f>IF(AND(ISNUMBER(X1058),X1058&gt;=0,Y1058&lt;&gt;1),X1058,"")</x:f>
        <x:v>3</x:v>
      </x:c>
      <x:c r="V1058" s="10" t="n">
        <x:v>0</x:v>
      </x:c>
      <x:c r="W1058" s="10" t="n">
        <x:v>20</x:v>
      </x:c>
      <x:c r="X1058" s="10" t="n">
        <x:v>3</x:v>
      </x:c>
      <x:c r="Y1058" s="3" t="n">
        <x:v>0</x:v>
      </x:c>
      <x:c r="Z1058" s="3" t="str">
        <x:v>共同</x:v>
      </x:c>
      <x:c r="AA1058" s="3" t="str">
        <x:v>在售</x:v>
      </x:c>
      <x:c r="AB1058" s="12" t="n">
        <x:f>IF(AND(Z1058="共同",ISNUMBER(G1058),ISNUMBER(AD1058)),G1058-AD1058,"")</x:f>
        <x:v>0.09904761904761904</x:v>
      </x:c>
      <x:c r="AC1058" s="3" t="str"/>
      <x:c r="AD1058" s="12" t="n">
        <x:v>0.11952380952380952</x:v>
      </x:c>
      <x:c r="AE1058" s="3" t="str">
        <x:v>[6574,"2302153-NY-37"]</x:v>
      </x:c>
      <x:c r="AF1058" t="n">
        <x:f>IF(ISNUMBER(H1058),1,0)</x:f>
        <x:v>1</x:v>
      </x:c>
      <x:c r="AG1058" t="n">
        <x:f>IF(ISNUMBER(I1058),1,0)</x:f>
        <x:v>1</x:v>
      </x:c>
      <x:c r="AH1058" t="str">
        <x:v>["2302153","2302153-NY","NY","藏青色"]</x:v>
      </x:c>
      <x:c r="AI1058" t="n">
        <x:f>IF(ISNUMBER(G1058),1,0)</x:f>
        <x:v>1</x:v>
      </x:c>
      <x:c r="AJ1058" t="n">
        <x:f>IF(ISNUMBER(AD1058),1,0)</x:f>
        <x:v>1</x:v>
      </x:c>
    </x:row>
    <x:row r="1059" ht="30" customHeight="1">
      <x:c r="A1059" s="3" t="str">
        <x:v>2302153-NY-38</x:v>
      </x:c>
      <x:c r="B1059" s="3" t="str">
        <x:v>3店-SANDIEX-US</x:v>
      </x:c>
      <x:c r="C1059" s="3" t="str">
        <x:v>徐新怡</x:v>
      </x:c>
      <x:c r="D1059" s="3" t="str">
        <x:v>2302153</x:v>
      </x:c>
      <x:c r="E1059" s="3" t="str">
        <x:f>IF(Z1059="移出","已移出",IF(NOT(ISNUMBER(H1059)),"数据待核",IF(H1059=0,"断货",IF(NOT(ISNUMBER(G1059)),"数据待核",IF(G1059=0,"零日销待复核",IF(F1059&lt;60,"补货提醒",IF(F1059&lt;=90,"正常库存",IF(F1059&lt;180,"促销",IF(F1059&lt;=365,"红线促销","考虑清仓")))))))))</x:f>
        <x:v>补货提醒</x:v>
      </x:c>
      <x:c r="F1059" s="11" t="n">
        <x:f>IF(AND(ISNUMBER(H1059),ISNUMBER(G1059),G1059&gt;0),H1059/G1059,"")</x:f>
        <x:v>2.678571428571429</x:v>
      </x:c>
      <x:c r="G1059" s="12" t="n">
        <x:f>IF(AND(COUNT(P1059:R1059)=3,MIN(P1059:R1059)&gt;=0,P1059&lt;=Q1059,Q1059&lt;=R1059),P1059/7*0.5+Q1059/14*0.3+R1059/30*0.2,"")</x:f>
        <x:v>0.3733333333333333</x:v>
      </x:c>
      <x:c r="H1059" s="10" t="n">
        <x:f>IF(ISNUMBER(U1059),U1059,"")</x:f>
        <x:v>1</x:v>
      </x:c>
      <x:c r="I1059" s="10" t="n">
        <x:v>0</x:v>
      </x:c>
      <x:c r="J1059" s="11" t="n">
        <x:f>IF(AND(Z1059="共同",ISNUMBER(F1059),ISNUMBER(M1059)),F1059-M1059,"")</x:f>
        <x:v>2.678571428571429</x:v>
      </x:c>
      <x:c r="K1059" s="13" t="str">
        <x:f>IF(AND(ISNUMBER(J1059),M1059&lt;&gt;0),J1059/M1059,"")</x:f>
      </x:c>
      <x:c r="L1059" s="10" t="str">
        <x:v>断货</x:v>
      </x:c>
      <x:c r="M1059" s="11" t="n">
        <x:v>0</x:v>
      </x:c>
      <x:c r="N1059" s="10" t="n">
        <x:f>IF(AND(Z1059="共同",COUNT(H1059:I1059)=2),H1059-I1059,"")</x:f>
        <x:v>1</x:v>
      </x:c>
      <x:c r="O1059" s="10" t="n">
        <x:v>38</x:v>
      </x:c>
      <x:c r="P1059" s="10" t="n">
        <x:v>3</x:v>
      </x:c>
      <x:c r="Q1059" s="10" t="n">
        <x:v>4</x:v>
      </x:c>
      <x:c r="R1059" s="10" t="n">
        <x:v>11</x:v>
      </x:c>
      <x:c r="S1059" s="10" t="n">
        <x:v>18</x:v>
      </x:c>
      <x:c r="T1059" s="10" t="n">
        <x:v>1</x:v>
      </x:c>
      <x:c r="U1059" s="10" t="n">
        <x:f>IF(AND(ISNUMBER(X1059),X1059&gt;=0,Y1059&lt;&gt;1),X1059,"")</x:f>
        <x:v>1</x:v>
      </x:c>
      <x:c r="V1059" s="10" t="n">
        <x:v>0</x:v>
      </x:c>
      <x:c r="W1059" s="10" t="n">
        <x:v>38</x:v>
      </x:c>
      <x:c r="X1059" s="10" t="n">
        <x:v>1</x:v>
      </x:c>
      <x:c r="Y1059" s="3" t="n">
        <x:v>0</x:v>
      </x:c>
      <x:c r="Z1059" s="3" t="str">
        <x:v>共同</x:v>
      </x:c>
      <x:c r="AA1059" s="3" t="str">
        <x:v>在售</x:v>
      </x:c>
      <x:c r="AB1059" s="12" t="n">
        <x:f>IF(AND(Z1059="共同",ISNUMBER(G1059),ISNUMBER(AD1059)),G1059-AD1059,"")</x:f>
        <x:v>-0.057619047619047625</x:v>
      </x:c>
      <x:c r="AC1059" s="3" t="str"/>
      <x:c r="AD1059" s="12" t="n">
        <x:v>0.4309523809523809</x:v>
      </x:c>
      <x:c r="AE1059" s="3" t="str">
        <x:v>[6574,"2302153-NY-38"]</x:v>
      </x:c>
      <x:c r="AF1059" t="n">
        <x:f>IF(ISNUMBER(H1059),1,0)</x:f>
        <x:v>1</x:v>
      </x:c>
      <x:c r="AG1059" t="n">
        <x:f>IF(ISNUMBER(I1059),1,0)</x:f>
        <x:v>1</x:v>
      </x:c>
      <x:c r="AH1059" t="str">
        <x:v>["2302153","2302153-NY","NY","藏青色"]</x:v>
      </x:c>
      <x:c r="AI1059" t="n">
        <x:f>IF(ISNUMBER(G1059),1,0)</x:f>
        <x:v>1</x:v>
      </x:c>
      <x:c r="AJ1059" t="n">
        <x:f>IF(ISNUMBER(AD1059),1,0)</x:f>
        <x:v>1</x:v>
      </x:c>
    </x:row>
    <x:row r="1060" ht="30" customHeight="1">
      <x:c r="A1060" s="3" t="str">
        <x:v>2302153-NY-38.5</x:v>
      </x:c>
      <x:c r="B1060" s="3" t="str">
        <x:v>3店-SANDIEX-US</x:v>
      </x:c>
      <x:c r="C1060" s="3" t="str">
        <x:v>徐新怡</x:v>
      </x:c>
      <x:c r="D1060" s="3" t="str">
        <x:v>2302153</x:v>
      </x:c>
      <x:c r="E1060" s="3" t="str">
        <x:f>IF(Z1060="移出","已移出",IF(NOT(ISNUMBER(H1060)),"数据待核",IF(H1060=0,"断货",IF(NOT(ISNUMBER(G1060)),"数据待核",IF(G1060=0,"零日销待复核",IF(F1060&lt;60,"补货提醒",IF(F1060&lt;=90,"正常库存",IF(F1060&lt;180,"促销",IF(F1060&lt;=365,"红线促销","考虑清仓")))))))))</x:f>
        <x:v>补货提醒</x:v>
      </x:c>
      <x:c r="F1060" s="11" t="n">
        <x:f>IF(AND(ISNUMBER(H1060),ISNUMBER(G1060),G1060&gt;0),H1060/G1060,"")</x:f>
        <x:v>18.502202643171806</x:v>
      </x:c>
      <x:c r="G1060" s="12" t="n">
        <x:f>IF(AND(COUNT(P1060:R1060)=3,MIN(P1060:R1060)&gt;=0,P1060&lt;=Q1060,Q1060&lt;=R1060),P1060/7*0.5+Q1060/14*0.3+R1060/30*0.2,"")</x:f>
        <x:v>0.10809523809523809</x:v>
      </x:c>
      <x:c r="H1060" s="10" t="n">
        <x:f>IF(ISNUMBER(U1060),U1060,"")</x:f>
        <x:v>2</x:v>
      </x:c>
      <x:c r="I1060" s="10" t="n">
        <x:v>0</x:v>
      </x:c>
      <x:c r="J1060" s="11" t="n">
        <x:f>IF(AND(Z1060="共同",ISNUMBER(F1060),ISNUMBER(M1060)),F1060-M1060,"")</x:f>
        <x:v>18.502202643171806</x:v>
      </x:c>
      <x:c r="K1060" s="13" t="str">
        <x:f>IF(AND(ISNUMBER(J1060),M1060&lt;&gt;0),J1060/M1060,"")</x:f>
      </x:c>
      <x:c r="L1060" s="10" t="str">
        <x:v>断货</x:v>
      </x:c>
      <x:c r="M1060" s="11" t="n">
        <x:v>0</x:v>
      </x:c>
      <x:c r="N1060" s="10" t="n">
        <x:f>IF(AND(Z1060="共同",COUNT(H1060:I1060)=2),H1060-I1060,"")</x:f>
        <x:v>2</x:v>
      </x:c>
      <x:c r="O1060" s="10" t="n">
        <x:v>30</x:v>
      </x:c>
      <x:c r="P1060" s="10" t="n">
        <x:v>0</x:v>
      </x:c>
      <x:c r="Q1060" s="10" t="n">
        <x:v>1</x:v>
      </x:c>
      <x:c r="R1060" s="10" t="n">
        <x:v>13</x:v>
      </x:c>
      <x:c r="S1060" s="10" t="n">
        <x:v>20</x:v>
      </x:c>
      <x:c r="T1060" s="10" t="n">
        <x:v>0</x:v>
      </x:c>
      <x:c r="U1060" s="10" t="n">
        <x:f>IF(AND(ISNUMBER(X1060),X1060&gt;=0,Y1060&lt;&gt;1),X1060,"")</x:f>
        <x:v>2</x:v>
      </x:c>
      <x:c r="V1060" s="10" t="n">
        <x:v>0</x:v>
      </x:c>
      <x:c r="W1060" s="10" t="n">
        <x:v>30</x:v>
      </x:c>
      <x:c r="X1060" s="10" t="n">
        <x:v>2</x:v>
      </x:c>
      <x:c r="Y1060" s="3" t="n">
        <x:v>0</x:v>
      </x:c>
      <x:c r="Z1060" s="3" t="str">
        <x:v>共同</x:v>
      </x:c>
      <x:c r="AA1060" s="3" t="str">
        <x:v>在售</x:v>
      </x:c>
      <x:c r="AB1060" s="12" t="n">
        <x:f>IF(AND(Z1060="共同",ISNUMBER(G1060),ISNUMBER(AD1060)),G1060-AD1060,"")</x:f>
        <x:v>-0.6976190476190476</x:v>
      </x:c>
      <x:c r="AC1060" s="3" t="str"/>
      <x:c r="AD1060" s="12" t="n">
        <x:v>0.8057142857142857</x:v>
      </x:c>
      <x:c r="AE1060" s="3" t="str">
        <x:v>[6574,"2302153-NY-38.5"]</x:v>
      </x:c>
      <x:c r="AF1060" t="n">
        <x:f>IF(ISNUMBER(H1060),1,0)</x:f>
        <x:v>1</x:v>
      </x:c>
      <x:c r="AG1060" t="n">
        <x:f>IF(ISNUMBER(I1060),1,0)</x:f>
        <x:v>1</x:v>
      </x:c>
      <x:c r="AH1060" t="str">
        <x:v>["2302153","2302153-NY","NY","藏青色"]</x:v>
      </x:c>
      <x:c r="AI1060" t="n">
        <x:f>IF(ISNUMBER(G1060),1,0)</x:f>
        <x:v>1</x:v>
      </x:c>
      <x:c r="AJ1060" t="n">
        <x:f>IF(ISNUMBER(AD1060),1,0)</x:f>
        <x:v>1</x:v>
      </x:c>
    </x:row>
    <x:row r="1061" ht="30" customHeight="1">
      <x:c r="A1061" s="3" t="str">
        <x:v>2302153-NY-39</x:v>
      </x:c>
      <x:c r="B1061" s="3" t="str">
        <x:v>3店-SANDIEX-US</x:v>
      </x:c>
      <x:c r="C1061" s="3" t="str">
        <x:v>徐新怡</x:v>
      </x:c>
      <x:c r="D1061" s="3" t="str">
        <x:v>2302153</x:v>
      </x:c>
      <x:c r="E1061" s="3" t="str">
        <x:f>IF(Z1061="移出","已移出",IF(NOT(ISNUMBER(H1061)),"数据待核",IF(H1061=0,"断货",IF(NOT(ISNUMBER(G1061)),"数据待核",IF(G1061=0,"零日销待复核",IF(F1061&lt;60,"补货提醒",IF(F1061&lt;=90,"正常库存",IF(F1061&lt;180,"促销",IF(F1061&lt;=365,"红线促销","考虑清仓")))))))))</x:f>
        <x:v>补货提醒</x:v>
      </x:c>
      <x:c r="F1061" s="11" t="n">
        <x:f>IF(AND(ISNUMBER(H1061),ISNUMBER(G1061),G1061&gt;0),H1061/G1061,"")</x:f>
        <x:v>1.9830028328611895</x:v>
      </x:c>
      <x:c r="G1061" s="12" t="n">
        <x:f>IF(AND(COUNT(P1061:R1061)=3,MIN(P1061:R1061)&gt;=0,P1061&lt;=Q1061,Q1061&lt;=R1061),P1061/7*0.5+Q1061/14*0.3+R1061/30*0.2,"")</x:f>
        <x:v>0.5042857142857143</x:v>
      </x:c>
      <x:c r="H1061" s="10" t="n">
        <x:f>IF(ISNUMBER(U1061),U1061,"")</x:f>
        <x:v>1</x:v>
      </x:c>
      <x:c r="I1061" s="10" t="n">
        <x:v>0</x:v>
      </x:c>
      <x:c r="J1061" s="11" t="n">
        <x:f>IF(AND(Z1061="共同",ISNUMBER(F1061),ISNUMBER(M1061)),F1061-M1061,"")</x:f>
        <x:v>1.9830028328611895</x:v>
      </x:c>
      <x:c r="K1061" s="13" t="str">
        <x:f>IF(AND(ISNUMBER(J1061),M1061&lt;&gt;0),J1061/M1061,"")</x:f>
      </x:c>
      <x:c r="L1061" s="10" t="str">
        <x:v>断货</x:v>
      </x:c>
      <x:c r="M1061" s="11" t="n">
        <x:v>0</x:v>
      </x:c>
      <x:c r="N1061" s="10" t="n">
        <x:f>IF(AND(Z1061="共同",COUNT(H1061:I1061)=2),H1061-I1061,"")</x:f>
        <x:v>1</x:v>
      </x:c>
      <x:c r="O1061" s="10" t="n">
        <x:v>69</x:v>
      </x:c>
      <x:c r="P1061" s="10" t="n">
        <x:v>5</x:v>
      </x:c>
      <x:c r="Q1061" s="10" t="n">
        <x:v>5</x:v>
      </x:c>
      <x:c r="R1061" s="10" t="n">
        <x:v>6</x:v>
      </x:c>
      <x:c r="S1061" s="10" t="n">
        <x:v>26</x:v>
      </x:c>
      <x:c r="T1061" s="10" t="n">
        <x:v>0</x:v>
      </x:c>
      <x:c r="U1061" s="10" t="n">
        <x:f>IF(AND(ISNUMBER(X1061),X1061&gt;=0,Y1061&lt;&gt;1),X1061,"")</x:f>
        <x:v>1</x:v>
      </x:c>
      <x:c r="V1061" s="10" t="n">
        <x:v>3</x:v>
      </x:c>
      <x:c r="W1061" s="10" t="n">
        <x:v>59</x:v>
      </x:c>
      <x:c r="X1061" s="10" t="n">
        <x:v>1</x:v>
      </x:c>
      <x:c r="Y1061" s="3" t="n">
        <x:v>0</x:v>
      </x:c>
      <x:c r="Z1061" s="3" t="str">
        <x:v>共同</x:v>
      </x:c>
      <x:c r="AA1061" s="3" t="str">
        <x:v>在售</x:v>
      </x:c>
      <x:c r="AB1061" s="12" t="n">
        <x:f>IF(AND(Z1061="共同",ISNUMBER(G1061),ISNUMBER(AD1061)),G1061-AD1061,"")</x:f>
        <x:v>0.46952380952380957</x:v>
      </x:c>
      <x:c r="AC1061" s="3" t="str"/>
      <x:c r="AD1061" s="12" t="n">
        <x:v>0.03476190476190476</x:v>
      </x:c>
      <x:c r="AE1061" s="3" t="str">
        <x:v>[6574,"2302153-NY-39"]</x:v>
      </x:c>
      <x:c r="AF1061" t="n">
        <x:f>IF(ISNUMBER(H1061),1,0)</x:f>
        <x:v>1</x:v>
      </x:c>
      <x:c r="AG1061" t="n">
        <x:f>IF(ISNUMBER(I1061),1,0)</x:f>
        <x:v>1</x:v>
      </x:c>
      <x:c r="AH1061" t="str">
        <x:v>["2302153","2302153-NY","NY","藏青色"]</x:v>
      </x:c>
      <x:c r="AI1061" t="n">
        <x:f>IF(ISNUMBER(G1061),1,0)</x:f>
        <x:v>1</x:v>
      </x:c>
      <x:c r="AJ1061" t="n">
        <x:f>IF(ISNUMBER(AD1061),1,0)</x:f>
        <x:v>1</x:v>
      </x:c>
    </x:row>
    <x:row r="1062" ht="30" customHeight="1">
      <x:c r="A1062" s="3" t="str">
        <x:v>2302153-NY-40</x:v>
      </x:c>
      <x:c r="B1062" s="3" t="str">
        <x:v>3店-SANDIEX-US</x:v>
      </x:c>
      <x:c r="C1062" s="3" t="str">
        <x:v>徐新怡</x:v>
      </x:c>
      <x:c r="D1062" s="3" t="str">
        <x:v>2302153</x:v>
      </x:c>
      <x:c r="E1062" s="3" t="str">
        <x:f>IF(Z1062="移出","已移出",IF(NOT(ISNUMBER(H1062)),"数据待核",IF(H1062=0,"断货",IF(NOT(ISNUMBER(G1062)),"数据待核",IF(G1062=0,"零日销待复核",IF(F1062&lt;60,"补货提醒",IF(F1062&lt;=90,"正常库存",IF(F1062&lt;180,"促销",IF(F1062&lt;=365,"红线促销","考虑清仓")))))))))</x:f>
        <x:v>补货提醒</x:v>
      </x:c>
      <x:c r="F1062" s="11" t="n">
        <x:f>IF(AND(ISNUMBER(H1062),ISNUMBER(G1062),G1062&gt;0),H1062/G1062,"")</x:f>
        <x:v>46.55775962660444</x:v>
      </x:c>
      <x:c r="G1062" s="12" t="n">
        <x:f>IF(AND(COUNT(P1062:R1062)=3,MIN(P1062:R1062)&gt;=0,P1062&lt;=Q1062,Q1062&lt;=R1062),P1062/7*0.5+Q1062/14*0.3+R1062/30*0.2,"")</x:f>
        <x:v>0.40809523809523807</x:v>
      </x:c>
      <x:c r="H1062" s="10" t="n">
        <x:f>IF(ISNUMBER(U1062),U1062,"")</x:f>
        <x:v>19</x:v>
      </x:c>
      <x:c r="I1062" s="10" t="n">
        <x:v>3</x:v>
      </x:c>
      <x:c r="J1062" s="11" t="n">
        <x:f>IF(AND(Z1062="共同",ISNUMBER(F1062),ISNUMBER(M1062)),F1062-M1062,"")</x:f>
        <x:v>41.76323907865923</x:v>
      </x:c>
      <x:c r="K1062" s="13" t="n">
        <x:f>IF(AND(ISNUMBER(J1062),M1062&lt;&gt;0),J1062/M1062,"")</x:f>
        <x:v>8.710618436406069</x:v>
      </x:c>
      <x:c r="L1062" s="10" t="str">
        <x:v>补货提醒</x:v>
      </x:c>
      <x:c r="M1062" s="11" t="n">
        <x:v>4.794520547945205</x:v>
      </x:c>
      <x:c r="N1062" s="10" t="n">
        <x:f>IF(AND(Z1062="共同",COUNT(H1062:I1062)=2),H1062-I1062,"")</x:f>
        <x:v>16</x:v>
      </x:c>
      <x:c r="O1062" s="10" t="n">
        <x:v>30</x:v>
      </x:c>
      <x:c r="P1062" s="10" t="n">
        <x:v>3</x:v>
      </x:c>
      <x:c r="Q1062" s="10" t="n">
        <x:v>5</x:v>
      </x:c>
      <x:c r="R1062" s="10" t="n">
        <x:v>13</x:v>
      </x:c>
      <x:c r="S1062" s="10" t="n">
        <x:v>24</x:v>
      </x:c>
      <x:c r="T1062" s="10" t="n">
        <x:v>0</x:v>
      </x:c>
      <x:c r="U1062" s="10" t="n">
        <x:f>IF(AND(ISNUMBER(X1062),X1062&gt;=0,Y1062&lt;&gt;1),X1062,"")</x:f>
        <x:v>19</x:v>
      </x:c>
      <x:c r="V1062" s="10" t="n">
        <x:v>0</x:v>
      </x:c>
      <x:c r="W1062" s="10" t="n">
        <x:v>30</x:v>
      </x:c>
      <x:c r="X1062" s="10" t="n">
        <x:v>19</x:v>
      </x:c>
      <x:c r="Y1062" s="3" t="n">
        <x:v>0</x:v>
      </x:c>
      <x:c r="Z1062" s="3" t="str">
        <x:v>共同</x:v>
      </x:c>
      <x:c r="AA1062" s="3" t="str">
        <x:v>在售</x:v>
      </x:c>
      <x:c r="AB1062" s="12" t="n">
        <x:f>IF(AND(Z1062="共同",ISNUMBER(G1062),ISNUMBER(AD1062)),G1062-AD1062,"")</x:f>
        <x:v>-0.2176190476190477</x:v>
      </x:c>
      <x:c r="AC1062" s="3" t="str"/>
      <x:c r="AD1062" s="12" t="n">
        <x:v>0.6257142857142858</x:v>
      </x:c>
      <x:c r="AE1062" s="3" t="str">
        <x:v>[6574,"2302153-NY-40"]</x:v>
      </x:c>
      <x:c r="AF1062" t="n">
        <x:f>IF(ISNUMBER(H1062),1,0)</x:f>
        <x:v>1</x:v>
      </x:c>
      <x:c r="AG1062" t="n">
        <x:f>IF(ISNUMBER(I1062),1,0)</x:f>
        <x:v>1</x:v>
      </x:c>
      <x:c r="AH1062" t="str">
        <x:v>["2302153","2302153-NY","NY","藏青色"]</x:v>
      </x:c>
      <x:c r="AI1062" t="n">
        <x:f>IF(ISNUMBER(G1062),1,0)</x:f>
        <x:v>1</x:v>
      </x:c>
      <x:c r="AJ1062" t="n">
        <x:f>IF(ISNUMBER(AD1062),1,0)</x:f>
        <x:v>1</x:v>
      </x:c>
    </x:row>
    <x:row r="1063" ht="30" customHeight="1">
      <x:c r="A1063" s="3" t="str">
        <x:v>2302153-NY-40.5</x:v>
      </x:c>
      <x:c r="B1063" s="3" t="str">
        <x:v>3店-SANDIEX-US</x:v>
      </x:c>
      <x:c r="C1063" s="3" t="str">
        <x:v>徐新怡</x:v>
      </x:c>
      <x:c r="D1063" s="3" t="str">
        <x:v>2302153</x:v>
      </x:c>
      <x:c r="E1063" s="3" t="str">
        <x:f>IF(Z1063="移出","已移出",IF(NOT(ISNUMBER(H1063)),"数据待核",IF(H1063=0,"断货",IF(NOT(ISNUMBER(G1063)),"数据待核",IF(G1063=0,"零日销待复核",IF(F1063&lt;60,"补货提醒",IF(F1063&lt;=90,"正常库存",IF(F1063&lt;180,"促销",IF(F1063&lt;=365,"红线促销","考虑清仓")))))))))</x:f>
        <x:v>补货提醒</x:v>
      </x:c>
      <x:c r="F1063" s="11" t="n">
        <x:f>IF(AND(ISNUMBER(H1063),ISNUMBER(G1063),G1063&gt;0),H1063/G1063,"")</x:f>
        <x:v>43.86422976501306</x:v>
      </x:c>
      <x:c r="G1063" s="12" t="n">
        <x:f>IF(AND(COUNT(P1063:R1063)=3,MIN(P1063:R1063)&gt;=0,P1063&lt;=Q1063,Q1063&lt;=R1063),P1063/7*0.5+Q1063/14*0.3+R1063/30*0.2,"")</x:f>
        <x:v>0.36476190476190473</x:v>
      </x:c>
      <x:c r="H1063" s="10" t="n">
        <x:f>IF(ISNUMBER(U1063),U1063,"")</x:f>
        <x:v>16</x:v>
      </x:c>
      <x:c r="I1063" s="10" t="n">
        <x:v>21</x:v>
      </x:c>
      <x:c r="J1063" s="11" t="n">
        <x:f>IF(AND(Z1063="共同",ISNUMBER(F1063),ISNUMBER(M1063)),F1063-M1063,"")</x:f>
        <x:v>18.75033454861214</x:v>
      </x:c>
      <x:c r="K1063" s="13" t="n">
        <x:f>IF(AND(ISNUMBER(J1063),M1063&lt;&gt;0),J1063/M1063,"")</x:f>
        <x:v>0.7466119607111772</x:v>
      </x:c>
      <x:c r="L1063" s="10" t="str">
        <x:v>补货提醒</x:v>
      </x:c>
      <x:c r="M1063" s="11" t="n">
        <x:v>25.113895216400916</x:v>
      </x:c>
      <x:c r="N1063" s="10" t="n">
        <x:f>IF(AND(Z1063="共同",COUNT(H1063:I1063)=2),H1063-I1063,"")</x:f>
        <x:v>-5</x:v>
      </x:c>
      <x:c r="O1063" s="10" t="n">
        <x:v>20</x:v>
      </x:c>
      <x:c r="P1063" s="10" t="n">
        <x:v>2</x:v>
      </x:c>
      <x:c r="Q1063" s="10" t="n">
        <x:v>6</x:v>
      </x:c>
      <x:c r="R1063" s="10" t="n">
        <x:v>14</x:v>
      </x:c>
      <x:c r="S1063" s="10" t="n">
        <x:v>22</x:v>
      </x:c>
      <x:c r="T1063" s="10" t="n">
        <x:v>1</x:v>
      </x:c>
      <x:c r="U1063" s="10" t="n">
        <x:f>IF(AND(ISNUMBER(X1063),X1063&gt;=0,Y1063&lt;&gt;1),X1063,"")</x:f>
        <x:v>16</x:v>
      </x:c>
      <x:c r="V1063" s="10" t="n">
        <x:v>0</x:v>
      </x:c>
      <x:c r="W1063" s="10" t="n">
        <x:v>28</x:v>
      </x:c>
      <x:c r="X1063" s="10" t="n">
        <x:v>16</x:v>
      </x:c>
      <x:c r="Y1063" s="3" t="n">
        <x:v>0</x:v>
      </x:c>
      <x:c r="Z1063" s="3" t="str">
        <x:v>共同</x:v>
      </x:c>
      <x:c r="AA1063" s="3" t="str">
        <x:v>在售</x:v>
      </x:c>
      <x:c r="AB1063" s="12" t="n">
        <x:f>IF(AND(Z1063="共同",ISNUMBER(G1063),ISNUMBER(AD1063)),G1063-AD1063,"")</x:f>
        <x:v>-0.4714285714285713</x:v>
      </x:c>
      <x:c r="AC1063" s="3" t="str"/>
      <x:c r="AD1063" s="12" t="n">
        <x:v>0.836190476190476</x:v>
      </x:c>
      <x:c r="AE1063" s="3" t="str">
        <x:v>[6574,"2302153-NY-40.5"]</x:v>
      </x:c>
      <x:c r="AF1063" t="n">
        <x:f>IF(ISNUMBER(H1063),1,0)</x:f>
        <x:v>1</x:v>
      </x:c>
      <x:c r="AG1063" t="n">
        <x:f>IF(ISNUMBER(I1063),1,0)</x:f>
        <x:v>1</x:v>
      </x:c>
      <x:c r="AH1063" t="str">
        <x:v>["2302153","2302153-NY","NY","藏青色"]</x:v>
      </x:c>
      <x:c r="AI1063" t="n">
        <x:f>IF(ISNUMBER(G1063),1,0)</x:f>
        <x:v>1</x:v>
      </x:c>
      <x:c r="AJ1063" t="n">
        <x:f>IF(ISNUMBER(AD1063),1,0)</x:f>
        <x:v>1</x:v>
      </x:c>
    </x:row>
    <x:row r="1064" ht="30" customHeight="1">
      <x:c r="A1064" s="3" t="str">
        <x:v>2302153-RD-S-Z-10.5</x:v>
      </x:c>
      <x:c r="B1064" s="3" t="str">
        <x:v>3店-SANDIEX-US</x:v>
      </x:c>
      <x:c r="C1064" s="3" t="str">
        <x:v>徐新怡</x:v>
      </x:c>
      <x:c r="D1064" s="3" t="str">
        <x:v>2302153</x:v>
      </x:c>
      <x:c r="E1064" s="3" t="str">
        <x:f>IF(Z1064="移出","已移出",IF(NOT(ISNUMBER(H1064)),"数据待核",IF(H1064=0,"断货",IF(NOT(ISNUMBER(G1064)),"数据待核",IF(G1064=0,"零日销待复核",IF(F1064&lt;60,"补货提醒",IF(F1064&lt;=90,"正常库存",IF(F1064&lt;180,"促销",IF(F1064&lt;=365,"红线促销","考虑清仓")))))))))</x:f>
        <x:v>补货提醒</x:v>
      </x:c>
      <x:c r="F1064" s="11" t="n">
        <x:f>IF(AND(ISNUMBER(H1064),ISNUMBER(G1064),G1064&gt;0),H1064/G1064,"")</x:f>
        <x:v>7.094594594594596</x:v>
      </x:c>
      <x:c r="G1064" s="12" t="n">
        <x:f>IF(AND(COUNT(P1064:R1064)=3,MIN(P1064:R1064)&gt;=0,P1064&lt;=Q1064,Q1064&lt;=R1064),P1064/7*0.5+Q1064/14*0.3+R1064/30*0.2,"")</x:f>
        <x:v>0.14095238095238094</x:v>
      </x:c>
      <x:c r="H1064" s="10" t="n">
        <x:f>IF(ISNUMBER(U1064),U1064,"")</x:f>
        <x:v>1</x:v>
      </x:c>
      <x:c r="I1064" s="10" t="n">
        <x:v>3</x:v>
      </x:c>
      <x:c r="J1064" s="11" t="n">
        <x:f>IF(AND(Z1064="共同",ISNUMBER(F1064),ISNUMBER(M1064)),F1064-M1064,"")</x:f>
        <x:v>-7.030965943521996</x:v>
      </x:c>
      <x:c r="K1064" s="13" t="n">
        <x:f>IF(AND(ISNUMBER(J1064),M1064&lt;&gt;0),J1064/M1064,"")</x:f>
        <x:v>-0.49774774774774766</x:v>
      </x:c>
      <x:c r="L1064" s="10" t="str">
        <x:v>补货提醒</x:v>
      </x:c>
      <x:c r="M1064" s="11" t="n">
        <x:v>14.125560538116591</x:v>
      </x:c>
      <x:c r="N1064" s="10" t="n">
        <x:f>IF(AND(Z1064="共同",COUNT(H1064:I1064)=2),H1064-I1064,"")</x:f>
        <x:v>-2</x:v>
      </x:c>
      <x:c r="O1064" s="10" t="n">
        <x:v>0</x:v>
      </x:c>
      <x:c r="P1064" s="10" t="n">
        <x:v>1</x:v>
      </x:c>
      <x:c r="Q1064" s="10" t="n">
        <x:v>2</x:v>
      </x:c>
      <x:c r="R1064" s="10" t="n">
        <x:v>4</x:v>
      </x:c>
      <x:c r="S1064" s="10" t="n">
        <x:v>1</x:v>
      </x:c>
      <x:c r="T1064" s="10" t="n">
        <x:v>0</x:v>
      </x:c>
      <x:c r="U1064" s="10" t="n">
        <x:f>IF(AND(ISNUMBER(X1064),X1064&gt;=0,Y1064&lt;&gt;1),X1064,"")</x:f>
        <x:v>1</x:v>
      </x:c>
      <x:c r="V1064" s="10" t="n">
        <x:v>0</x:v>
      </x:c>
      <x:c r="W1064" s="10" t="n">
        <x:v>0</x:v>
      </x:c>
      <x:c r="X1064" s="10" t="n">
        <x:v>1</x:v>
      </x:c>
      <x:c r="Y1064" s="3" t="n">
        <x:v>0</x:v>
      </x:c>
      <x:c r="Z1064" s="3" t="str">
        <x:v>共同</x:v>
      </x:c>
      <x:c r="AA1064" s="3" t="str">
        <x:v>在售</x:v>
      </x:c>
      <x:c r="AB1064" s="12" t="n">
        <x:f>IF(AND(Z1064="共同",ISNUMBER(G1064),ISNUMBER(AD1064)),G1064-AD1064,"")</x:f>
        <x:v>-0.07142857142857145</x:v>
      </x:c>
      <x:c r="AC1064" s="3" t="str"/>
      <x:c r="AD1064" s="12" t="n">
        <x:v>0.2123809523809524</x:v>
      </x:c>
      <x:c r="AE1064" s="3" t="str">
        <x:v>[6574,"2302153-RD-S-Z-10.5"]</x:v>
      </x:c>
      <x:c r="AF1064" t="n">
        <x:f>IF(ISNUMBER(H1064),1,0)</x:f>
        <x:v>1</x:v>
      </x:c>
      <x:c r="AG1064" t="n">
        <x:f>IF(ISNUMBER(I1064),1,0)</x:f>
        <x:v>1</x:v>
      </x:c>
      <x:c r="AH1064" t="str">
        <x:v>["2302153","2302153-RD-S-Z","RD","红色"]</x:v>
      </x:c>
      <x:c r="AI1064" t="n">
        <x:f>IF(ISNUMBER(G1064),1,0)</x:f>
        <x:v>1</x:v>
      </x:c>
      <x:c r="AJ1064" t="n">
        <x:f>IF(ISNUMBER(AD1064),1,0)</x:f>
        <x:v>1</x:v>
      </x:c>
    </x:row>
    <x:row r="1065" ht="30" customHeight="1">
      <x:c r="A1065" s="3" t="str">
        <x:v>2302153-RD-S-Z-11</x:v>
      </x:c>
      <x:c r="B1065" s="3" t="str">
        <x:v>3店-SANDIEX-US</x:v>
      </x:c>
      <x:c r="C1065" s="3" t="str">
        <x:v>徐新怡</x:v>
      </x:c>
      <x:c r="D1065" s="3" t="str">
        <x:v>2302153</x:v>
      </x:c>
      <x:c r="E1065" s="3" t="str">
        <x:f>IF(Z1065="移出","已移出",IF(NOT(ISNUMBER(H1065)),"数据待核",IF(H1065=0,"断货",IF(NOT(ISNUMBER(G1065)),"数据待核",IF(G1065=0,"零日销待复核",IF(F1065&lt;60,"补货提醒",IF(F1065&lt;=90,"正常库存",IF(F1065&lt;180,"促销",IF(F1065&lt;=365,"红线促销","考虑清仓")))))))))</x:f>
        <x:v>补货提醒</x:v>
      </x:c>
      <x:c r="F1065" s="11" t="n">
        <x:f>IF(AND(ISNUMBER(H1065),ISNUMBER(G1065),G1065&gt;0),H1065/G1065,"")</x:f>
        <x:v>52.12765957446808</x:v>
      </x:c>
      <x:c r="G1065" s="12" t="n">
        <x:f>IF(AND(COUNT(P1065:R1065)=3,MIN(P1065:R1065)&gt;=0,P1065&lt;=Q1065,Q1065&lt;=R1065),P1065/7*0.5+Q1065/14*0.3+R1065/30*0.2,"")</x:f>
        <x:v>0.26857142857142857</x:v>
      </x:c>
      <x:c r="H1065" s="10" t="n">
        <x:f>IF(ISNUMBER(U1065),U1065,"")</x:f>
        <x:v>14</x:v>
      </x:c>
      <x:c r="I1065" s="10" t="n">
        <x:v>17</x:v>
      </x:c>
      <x:c r="J1065" s="11" t="n">
        <x:f>IF(AND(Z1065="共同",ISNUMBER(F1065),ISNUMBER(M1065)),F1065-M1065,"")</x:f>
        <x:v>-797.8723404255319</x:v>
      </x:c>
      <x:c r="K1065" s="13" t="n">
        <x:f>IF(AND(ISNUMBER(J1065),M1065&lt;&gt;0),J1065/M1065,"")</x:f>
        <x:v>-0.9386733416770964</x:v>
      </x:c>
      <x:c r="L1065" s="10" t="str">
        <x:v>考虑清仓</x:v>
      </x:c>
      <x:c r="M1065" s="11" t="n">
        <x:v>850</x:v>
      </x:c>
      <x:c r="N1065" s="10" t="n">
        <x:f>IF(AND(Z1065="共同",COUNT(H1065:I1065)=2),H1065-I1065,"")</x:f>
        <x:v>-3</x:v>
      </x:c>
      <x:c r="O1065" s="10" t="n">
        <x:v>0</x:v>
      </x:c>
      <x:c r="P1065" s="10" t="n">
        <x:v>2</x:v>
      </x:c>
      <x:c r="Q1065" s="10" t="n">
        <x:v>4</x:v>
      </x:c>
      <x:c r="R1065" s="10" t="n">
        <x:v>6</x:v>
      </x:c>
      <x:c r="S1065" s="10" t="n">
        <x:v>14</x:v>
      </x:c>
      <x:c r="T1065" s="10" t="n">
        <x:v>0</x:v>
      </x:c>
      <x:c r="U1065" s="10" t="n">
        <x:f>IF(AND(ISNUMBER(X1065),X1065&gt;=0,Y1065&lt;&gt;1),X1065,"")</x:f>
        <x:v>14</x:v>
      </x:c>
      <x:c r="V1065" s="10" t="n">
        <x:v>0</x:v>
      </x:c>
      <x:c r="W1065" s="10" t="n">
        <x:v>0</x:v>
      </x:c>
      <x:c r="X1065" s="10" t="n">
        <x:v>14</x:v>
      </x:c>
      <x:c r="Y1065" s="3" t="n">
        <x:v>0</x:v>
      </x:c>
      <x:c r="Z1065" s="3" t="str">
        <x:v>共同</x:v>
      </x:c>
      <x:c r="AA1065" s="3" t="str">
        <x:v>在售</x:v>
      </x:c>
      <x:c r="AB1065" s="12" t="n">
        <x:f>IF(AND(Z1065="共同",ISNUMBER(G1065),ISNUMBER(AD1065)),G1065-AD1065,"")</x:f>
        <x:v>0.24857142857142858</x:v>
      </x:c>
      <x:c r="AC1065" s="3" t="str"/>
      <x:c r="AD1065" s="12" t="n">
        <x:v>0.02</x:v>
      </x:c>
      <x:c r="AE1065" s="3" t="str">
        <x:v>[6574,"2302153-RD-S-Z-11"]</x:v>
      </x:c>
      <x:c r="AF1065" t="n">
        <x:f>IF(ISNUMBER(H1065),1,0)</x:f>
        <x:v>1</x:v>
      </x:c>
      <x:c r="AG1065" t="n">
        <x:f>IF(ISNUMBER(I1065),1,0)</x:f>
        <x:v>1</x:v>
      </x:c>
      <x:c r="AH1065" t="str">
        <x:v>["2302153","2302153-RD-S-Z","RD","红色"]</x:v>
      </x:c>
      <x:c r="AI1065" t="n">
        <x:f>IF(ISNUMBER(G1065),1,0)</x:f>
        <x:v>1</x:v>
      </x:c>
      <x:c r="AJ1065" t="n">
        <x:f>IF(ISNUMBER(AD1065),1,0)</x:f>
        <x:v>1</x:v>
      </x:c>
    </x:row>
    <x:row r="1066" ht="30" customHeight="1">
      <x:c r="A1066" s="3" t="str">
        <x:v>2302153-RD-S-Z-9.5</x:v>
      </x:c>
      <x:c r="B1066" s="3" t="str">
        <x:v>3店-SANDIEX-US</x:v>
      </x:c>
      <x:c r="C1066" s="3" t="str">
        <x:v>徐新怡</x:v>
      </x:c>
      <x:c r="D1066" s="3" t="str">
        <x:v>2302153</x:v>
      </x:c>
      <x:c r="E1066" s="3" t="str">
        <x:f>IF(Z1066="移出","已移出",IF(NOT(ISNUMBER(H1066)),"数据待核",IF(H1066=0,"断货",IF(NOT(ISNUMBER(G1066)),"数据待核",IF(G1066=0,"零日销待复核",IF(F1066&lt;60,"补货提醒",IF(F1066&lt;=90,"正常库存",IF(F1066&lt;180,"促销",IF(F1066&lt;=365,"红线促销","考虑清仓")))))))))</x:f>
        <x:v>补货提醒</x:v>
      </x:c>
      <x:c r="F1066" s="11" t="n">
        <x:f>IF(AND(ISNUMBER(H1066),ISNUMBER(G1066),G1066&gt;0),H1066/G1066,"")</x:f>
        <x:v>8.860759493670887</x:v>
      </x:c>
      <x:c r="G1066" s="12" t="n">
        <x:f>IF(AND(COUNT(P1066:R1066)=3,MIN(P1066:R1066)&gt;=0,P1066&lt;=Q1066,Q1066&lt;=R1066),P1066/7*0.5+Q1066/14*0.3+R1066/30*0.2,"")</x:f>
        <x:v>0.11285714285714285</x:v>
      </x:c>
      <x:c r="H1066" s="10" t="n">
        <x:f>IF(ISNUMBER(U1066),U1066,"")</x:f>
        <x:v>1</x:v>
      </x:c>
      <x:c r="I1066" s="10" t="n">
        <x:v>1</x:v>
      </x:c>
      <x:c r="J1066" s="11" t="n">
        <x:f>IF(AND(Z1066="共同",ISNUMBER(F1066),ISNUMBER(M1066)),F1066-M1066,"")</x:f>
        <x:v>3.9996483825597755</x:v>
      </x:c>
      <x:c r="K1066" s="13" t="n">
        <x:f>IF(AND(ISNUMBER(J1066),M1066&lt;&gt;0),J1066/M1066,"")</x:f>
        <x:v>0.8227848101265823</x:v>
      </x:c>
      <x:c r="L1066" s="10" t="str">
        <x:v>补货提醒</x:v>
      </x:c>
      <x:c r="M1066" s="11" t="n">
        <x:v>4.861111111111112</x:v>
      </x:c>
      <x:c r="N1066" s="10" t="n">
        <x:f>IF(AND(Z1066="共同",COUNT(H1066:I1066)=2),H1066-I1066,"")</x:f>
        <x:v>0</x:v>
      </x:c>
      <x:c r="O1066" s="10"/>
      <x:c r="P1066" s="10" t="n">
        <x:v>1</x:v>
      </x:c>
      <x:c r="Q1066" s="10" t="n">
        <x:v>1</x:v>
      </x:c>
      <x:c r="R1066" s="10" t="n">
        <x:v>3</x:v>
      </x:c>
      <x:c r="S1066" s="10" t="n">
        <x:v>1</x:v>
      </x:c>
      <x:c r="T1066" s="10" t="n">
        <x:v>0</x:v>
      </x:c>
      <x:c r="U1066" s="10" t="n">
        <x:f>IF(AND(ISNUMBER(X1066),X1066&gt;=0,Y1066&lt;&gt;1),X1066,"")</x:f>
        <x:v>1</x:v>
      </x:c>
      <x:c r="V1066" s="10" t="n">
        <x:v>0</x:v>
      </x:c>
      <x:c r="W1066" s="10" t="n">
        <x:v>0</x:v>
      </x:c>
      <x:c r="X1066" s="10" t="n">
        <x:v>1</x:v>
      </x:c>
      <x:c r="Y1066" s="3" t="n">
        <x:v>0</x:v>
      </x:c>
      <x:c r="Z1066" s="3" t="str">
        <x:v>共同</x:v>
      </x:c>
      <x:c r="AA1066" s="3" t="str">
        <x:v>在售</x:v>
      </x:c>
      <x:c r="AB1066" s="12" t="n">
        <x:f>IF(AND(Z1066="共同",ISNUMBER(G1066),ISNUMBER(AD1066)),G1066-AD1066,"")</x:f>
        <x:v>-0.09285714285714283</x:v>
      </x:c>
      <x:c r="AC1066" s="3" t="str"/>
      <x:c r="AD1066" s="12" t="n">
        <x:v>0.20571428571428568</x:v>
      </x:c>
      <x:c r="AE1066" s="3" t="str">
        <x:v>[6574,"2302153-RD-S-Z-9.5"]</x:v>
      </x:c>
      <x:c r="AF1066" t="n">
        <x:f>IF(ISNUMBER(H1066),1,0)</x:f>
        <x:v>1</x:v>
      </x:c>
      <x:c r="AG1066" t="n">
        <x:f>IF(ISNUMBER(I1066),1,0)</x:f>
        <x:v>1</x:v>
      </x:c>
      <x:c r="AH1066" t="str">
        <x:v>["2302153","2302153-RD-S-Z","RD","红色"]</x:v>
      </x:c>
      <x:c r="AI1066" t="n">
        <x:f>IF(ISNUMBER(G1066),1,0)</x:f>
        <x:v>1</x:v>
      </x:c>
      <x:c r="AJ1066" t="n">
        <x:f>IF(ISNUMBER(AD1066),1,0)</x:f>
        <x:v>1</x:v>
      </x:c>
    </x:row>
    <x:row r="1067" ht="30" customHeight="1">
      <x:c r="A1067" s="3" t="str">
        <x:v>230918-BK-P-Z-10</x:v>
      </x:c>
      <x:c r="B1067" s="3" t="str">
        <x:v>1店-MUSSHOE-US</x:v>
      </x:c>
      <x:c r="C1067" s="3" t="str">
        <x:v>艾年</x:v>
      </x:c>
      <x:c r="D1067" s="3" t="str">
        <x:v>230918</x:v>
      </x:c>
      <x:c r="E1067" s="3" t="str">
        <x:f>IF(Z1067="移出","已移出",IF(NOT(ISNUMBER(H1067)),"数据待核",IF(H1067=0,"断货",IF(NOT(ISNUMBER(G1067)),"数据待核",IF(G1067=0,"零日销待复核",IF(F1067&lt;60,"补货提醒",IF(F1067&lt;=90,"正常库存",IF(F1067&lt;180,"促销",IF(F1067&lt;=365,"红线促销","考虑清仓")))))))))</x:f>
        <x:v>补货提醒</x:v>
      </x:c>
      <x:c r="F1067" s="11" t="n">
        <x:f>IF(AND(ISNUMBER(H1067),ISNUMBER(G1067),G1067&gt;0),H1067/G1067,"")</x:f>
        <x:v>2.825428859737639</x:v>
      </x:c>
      <x:c r="G1067" s="12" t="n">
        <x:f>IF(AND(COUNT(P1067:R1067)=3,MIN(P1067:R1067)&gt;=0,P1067&lt;=Q1067,Q1067&lt;=R1067),P1067/7*0.5+Q1067/14*0.3+R1067/30*0.2,"")</x:f>
        <x:v>1.4157142857142857</x:v>
      </x:c>
      <x:c r="H1067" s="10" t="n">
        <x:f>IF(ISNUMBER(U1067),U1067,"")</x:f>
        <x:v>4</x:v>
      </x:c>
      <x:c r="I1067" s="10" t="n">
        <x:v>0</x:v>
      </x:c>
      <x:c r="J1067" s="11" t="n">
        <x:f>IF(AND(Z1067="共同",ISNUMBER(F1067),ISNUMBER(M1067)),F1067-M1067,"")</x:f>
        <x:v>2.825428859737639</x:v>
      </x:c>
      <x:c r="K1067" s="13" t="str">
        <x:f>IF(AND(ISNUMBER(J1067),M1067&lt;&gt;0),J1067/M1067,"")</x:f>
      </x:c>
      <x:c r="L1067" s="10" t="str">
        <x:v>断货</x:v>
      </x:c>
      <x:c r="M1067" s="11" t="n">
        <x:v>0</x:v>
      </x:c>
      <x:c r="N1067" s="10" t="n">
        <x:f>IF(AND(Z1067="共同",COUNT(H1067:I1067)=2),H1067-I1067,"")</x:f>
        <x:v>4</x:v>
      </x:c>
      <x:c r="O1067" s="10" t="n">
        <x:v>0</x:v>
      </x:c>
      <x:c r="P1067" s="10" t="n">
        <x:v>11</x:v>
      </x:c>
      <x:c r="Q1067" s="10" t="n">
        <x:v>21</x:v>
      </x:c>
      <x:c r="R1067" s="10" t="n">
        <x:v>27</x:v>
      </x:c>
      <x:c r="S1067" s="10" t="n">
        <x:v>5</x:v>
      </x:c>
      <x:c r="T1067" s="10" t="n">
        <x:v>0</x:v>
      </x:c>
      <x:c r="U1067" s="10" t="n">
        <x:f>IF(AND(ISNUMBER(X1067),X1067&gt;=0,Y1067&lt;&gt;1),X1067,"")</x:f>
        <x:v>4</x:v>
      </x:c>
      <x:c r="V1067" s="10" t="n">
        <x:v>0</x:v>
      </x:c>
      <x:c r="W1067" s="10" t="n">
        <x:v>10</x:v>
      </x:c>
      <x:c r="X1067" s="10" t="n">
        <x:v>4</x:v>
      </x:c>
      <x:c r="Y1067" s="3" t="n">
        <x:v>0</x:v>
      </x:c>
      <x:c r="Z1067" s="3" t="str">
        <x:v>共同</x:v>
      </x:c>
      <x:c r="AA1067" s="3" t="str">
        <x:v>在售</x:v>
      </x:c>
      <x:c r="AB1067" s="12" t="n">
        <x:f>IF(AND(Z1067="共同",ISNUMBER(G1067),ISNUMBER(AD1067)),G1067-AD1067,"")</x:f>
        <x:v>0.8633333333333333</x:v>
      </x:c>
      <x:c r="AC1067" s="3" t="str"/>
      <x:c r="AD1067" s="12" t="n">
        <x:v>0.5523809523809524</x:v>
      </x:c>
      <x:c r="AE1067" s="3" t="str">
        <x:v>[13120,"230918-BK-P-Z-10"]</x:v>
      </x:c>
      <x:c r="AF1067" t="n">
        <x:f>IF(ISNUMBER(H1067),1,0)</x:f>
        <x:v>1</x:v>
      </x:c>
      <x:c r="AG1067" t="n">
        <x:f>IF(ISNUMBER(I1067),1,0)</x:f>
        <x:v>1</x:v>
      </x:c>
      <x:c r="AH1067" t="str">
        <x:v>["230918","230918-BK-P-Z","BK-P","黑色PU"]</x:v>
      </x:c>
      <x:c r="AI1067" t="n">
        <x:f>IF(ISNUMBER(G1067),1,0)</x:f>
        <x:v>1</x:v>
      </x:c>
      <x:c r="AJ1067" t="n">
        <x:f>IF(ISNUMBER(AD1067),1,0)</x:f>
        <x:v>1</x:v>
      </x:c>
    </x:row>
    <x:row r="1068" ht="30" customHeight="1">
      <x:c r="A1068" s="3" t="str">
        <x:v>230918-BK-P-Z-11</x:v>
      </x:c>
      <x:c r="B1068" s="3" t="str">
        <x:v>1店-MUSSHOE-US</x:v>
      </x:c>
      <x:c r="C1068" s="3" t="str">
        <x:v>艾年</x:v>
      </x:c>
      <x:c r="D1068" s="3" t="str">
        <x:v>230918</x:v>
      </x:c>
      <x:c r="E1068" s="3" t="str">
        <x:f>IF(Z1068="移出","已移出",IF(NOT(ISNUMBER(H1068)),"数据待核",IF(H1068=0,"断货",IF(NOT(ISNUMBER(G1068)),"数据待核",IF(G1068=0,"零日销待复核",IF(F1068&lt;60,"补货提醒",IF(F1068&lt;=90,"正常库存",IF(F1068&lt;180,"促销",IF(F1068&lt;=365,"红线促销","考虑清仓")))))))))</x:f>
        <x:v>补货提醒</x:v>
      </x:c>
      <x:c r="F1068" s="11" t="n">
        <x:f>IF(AND(ISNUMBER(H1068),ISNUMBER(G1068),G1068&gt;0),H1068/G1068,"")</x:f>
        <x:v>27.603640040444894</x:v>
      </x:c>
      <x:c r="G1068" s="12" t="n">
        <x:f>IF(AND(COUNT(P1068:R1068)=3,MIN(P1068:R1068)&gt;=0,P1068&lt;=Q1068,Q1068&lt;=R1068),P1068/7*0.5+Q1068/14*0.3+R1068/30*0.2,"")</x:f>
        <x:v>0.47095238095238096</x:v>
      </x:c>
      <x:c r="H1068" s="10" t="n">
        <x:f>IF(ISNUMBER(U1068),U1068,"")</x:f>
        <x:v>13</x:v>
      </x:c>
      <x:c r="I1068" s="10" t="n">
        <x:v>19</x:v>
      </x:c>
      <x:c r="J1068" s="11" t="n">
        <x:f>IF(AND(Z1068="共同",ISNUMBER(F1068),ISNUMBER(M1068)),F1068-M1068,"")</x:f>
        <x:v>-10.468879043524566</x:v>
      </x:c>
      <x:c r="K1068" s="13" t="n">
        <x:f>IF(AND(ISNUMBER(J1068),M1068&lt;&gt;0),J1068/M1068,"")</x:f>
        <x:v>-0.27497206109307637</x:v>
      </x:c>
      <x:c r="L1068" s="10" t="str">
        <x:v>补货提醒</x:v>
      </x:c>
      <x:c r="M1068" s="11" t="n">
        <x:v>38.07251908396946</x:v>
      </x:c>
      <x:c r="N1068" s="10" t="n">
        <x:f>IF(AND(Z1068="共同",COUNT(H1068:I1068)=2),H1068-I1068,"")</x:f>
        <x:v>-6</x:v>
      </x:c>
      <x:c r="O1068" s="10" t="n">
        <x:v>0</x:v>
      </x:c>
      <x:c r="P1068" s="10" t="n">
        <x:v>3</x:v>
      </x:c>
      <x:c r="Q1068" s="10" t="n">
        <x:v>7</x:v>
      </x:c>
      <x:c r="R1068" s="10" t="n">
        <x:v>16</x:v>
      </x:c>
      <x:c r="S1068" s="10" t="n">
        <x:v>20</x:v>
      </x:c>
      <x:c r="T1068" s="10" t="n">
        <x:v>0</x:v>
      </x:c>
      <x:c r="U1068" s="10" t="n">
        <x:f>IF(AND(ISNUMBER(X1068),X1068&gt;=0,Y1068&lt;&gt;1),X1068,"")</x:f>
        <x:v>13</x:v>
      </x:c>
      <x:c r="V1068" s="10" t="n">
        <x:v>0</x:v>
      </x:c>
      <x:c r="W1068" s="10" t="n">
        <x:v>50</x:v>
      </x:c>
      <x:c r="X1068" s="10" t="n">
        <x:v>13</x:v>
      </x:c>
      <x:c r="Y1068" s="3" t="n">
        <x:v>0</x:v>
      </x:c>
      <x:c r="Z1068" s="3" t="str">
        <x:v>共同</x:v>
      </x:c>
      <x:c r="AA1068" s="3" t="str">
        <x:v>在售</x:v>
      </x:c>
      <x:c r="AB1068" s="12" t="n">
        <x:f>IF(AND(Z1068="共同",ISNUMBER(G1068),ISNUMBER(AD1068)),G1068-AD1068,"")</x:f>
        <x:v>-0.028095238095238118</x:v>
      </x:c>
      <x:c r="AC1068" s="3" t="str"/>
      <x:c r="AD1068" s="12" t="n">
        <x:v>0.4990476190476191</x:v>
      </x:c>
      <x:c r="AE1068" s="3" t="str">
        <x:v>[13120,"230918-BK-P-Z-11"]</x:v>
      </x:c>
      <x:c r="AF1068" t="n">
        <x:f>IF(ISNUMBER(H1068),1,0)</x:f>
        <x:v>1</x:v>
      </x:c>
      <x:c r="AG1068" t="n">
        <x:f>IF(ISNUMBER(I1068),1,0)</x:f>
        <x:v>1</x:v>
      </x:c>
      <x:c r="AH1068" t="str">
        <x:v>["230918","230918-BK-P-Z","BK-P","黑色PU"]</x:v>
      </x:c>
      <x:c r="AI1068" t="n">
        <x:f>IF(ISNUMBER(G1068),1,0)</x:f>
        <x:v>1</x:v>
      </x:c>
      <x:c r="AJ1068" t="n">
        <x:f>IF(ISNUMBER(AD1068),1,0)</x:f>
        <x:v>1</x:v>
      </x:c>
    </x:row>
    <x:row r="1069" ht="30" customHeight="1">
      <x:c r="A1069" s="3" t="str">
        <x:v>230918-BK-P-Z-6</x:v>
      </x:c>
      <x:c r="B1069" s="3" t="str">
        <x:v>1店-MUSSHOE-US</x:v>
      </x:c>
      <x:c r="C1069" s="3" t="str">
        <x:v>艾年</x:v>
      </x:c>
      <x:c r="D1069" s="3" t="str">
        <x:v>230918</x:v>
      </x:c>
      <x:c r="E1069" s="3" t="str">
        <x:f>IF(Z1069="移出","已移出",IF(NOT(ISNUMBER(H1069)),"数据待核",IF(H1069=0,"断货",IF(NOT(ISNUMBER(G1069)),"数据待核",IF(G1069=0,"零日销待复核",IF(F1069&lt;60,"补货提醒",IF(F1069&lt;=90,"正常库存",IF(F1069&lt;180,"促销",IF(F1069&lt;=365,"红线促销","考虑清仓")))))))))</x:f>
        <x:v>补货提醒</x:v>
      </x:c>
      <x:c r="F1069" s="11" t="n">
        <x:f>IF(AND(ISNUMBER(H1069),ISNUMBER(G1069),G1069&gt;0),H1069/G1069,"")</x:f>
        <x:v>51.21951219512195</x:v>
      </x:c>
      <x:c r="G1069" s="12" t="n">
        <x:f>IF(AND(COUNT(P1069:R1069)=3,MIN(P1069:R1069)&gt;=0,P1069&lt;=Q1069,Q1069&lt;=R1069),P1069/7*0.5+Q1069/14*0.3+R1069/30*0.2,"")</x:f>
        <x:v>0.42952380952380953</x:v>
      </x:c>
      <x:c r="H1069" s="10" t="n">
        <x:f>IF(ISNUMBER(U1069),U1069,"")</x:f>
        <x:v>22</x:v>
      </x:c>
      <x:c r="I1069" s="10" t="n">
        <x:v>15</x:v>
      </x:c>
      <x:c r="J1069" s="11" t="n">
        <x:f>IF(AND(Z1069="共同",ISNUMBER(F1069),ISNUMBER(M1069)),F1069-M1069,"")</x:f>
        <x:v>3.5644441164532736</x:v>
      </x:c>
      <x:c r="K1069" s="13" t="n">
        <x:f>IF(AND(ISNUMBER(J1069),M1069&lt;&gt;0),J1069/M1069,"")</x:f>
        <x:v>0.07479674796747982</x:v>
      </x:c>
      <x:c r="L1069" s="10" t="str">
        <x:v>补货提醒</x:v>
      </x:c>
      <x:c r="M1069" s="11" t="n">
        <x:v>47.65506807866868</x:v>
      </x:c>
      <x:c r="N1069" s="10" t="n">
        <x:f>IF(AND(Z1069="共同",COUNT(H1069:I1069)=2),H1069-I1069,"")</x:f>
        <x:v>7</x:v>
      </x:c>
      <x:c r="O1069" s="10" t="n">
        <x:v>27</x:v>
      </x:c>
      <x:c r="P1069" s="10" t="n">
        <x:v>3</x:v>
      </x:c>
      <x:c r="Q1069" s="10" t="n">
        <x:v>6</x:v>
      </x:c>
      <x:c r="R1069" s="10" t="n">
        <x:v>13</x:v>
      </x:c>
      <x:c r="S1069" s="10" t="n">
        <x:v>23</x:v>
      </x:c>
      <x:c r="T1069" s="10" t="n">
        <x:v>0</x:v>
      </x:c>
      <x:c r="U1069" s="10" t="n">
        <x:f>IF(AND(ISNUMBER(X1069),X1069&gt;=0,Y1069&lt;&gt;1),X1069,"")</x:f>
        <x:v>22</x:v>
      </x:c>
      <x:c r="V1069" s="10" t="n">
        <x:v>0</x:v>
      </x:c>
      <x:c r="W1069" s="10" t="n">
        <x:v>45</x:v>
      </x:c>
      <x:c r="X1069" s="10" t="n">
        <x:v>22</x:v>
      </x:c>
      <x:c r="Y1069" s="3" t="n">
        <x:v>0</x:v>
      </x:c>
      <x:c r="Z1069" s="3" t="str">
        <x:v>共同</x:v>
      </x:c>
      <x:c r="AA1069" s="3" t="str">
        <x:v>在售</x:v>
      </x:c>
      <x:c r="AB1069" s="12" t="n">
        <x:f>IF(AND(Z1069="共同",ISNUMBER(G1069),ISNUMBER(AD1069)),G1069-AD1069,"")</x:f>
        <x:v>0.11476190476190473</x:v>
      </x:c>
      <x:c r="AC1069" s="3" t="str"/>
      <x:c r="AD1069" s="12" t="n">
        <x:v>0.3147619047619048</x:v>
      </x:c>
      <x:c r="AE1069" s="3" t="str">
        <x:v>[13120,"230918-BK-P-Z-6"]</x:v>
      </x:c>
      <x:c r="AF1069" t="n">
        <x:f>IF(ISNUMBER(H1069),1,0)</x:f>
        <x:v>1</x:v>
      </x:c>
      <x:c r="AG1069" t="n">
        <x:f>IF(ISNUMBER(I1069),1,0)</x:f>
        <x:v>1</x:v>
      </x:c>
      <x:c r="AH1069" t="str">
        <x:v>["230918","230918-BK-P-Z","BK-P","黑色PU"]</x:v>
      </x:c>
      <x:c r="AI1069" t="n">
        <x:f>IF(ISNUMBER(G1069),1,0)</x:f>
        <x:v>1</x:v>
      </x:c>
      <x:c r="AJ1069" t="n">
        <x:f>IF(ISNUMBER(AD1069),1,0)</x:f>
        <x:v>1</x:v>
      </x:c>
    </x:row>
    <x:row r="1070" ht="30" customHeight="1">
      <x:c r="A1070" s="3" t="str">
        <x:v>230918-BK-P-Z-7</x:v>
      </x:c>
      <x:c r="B1070" s="3" t="str">
        <x:v>1店-MUSSHOE-US</x:v>
      </x:c>
      <x:c r="C1070" s="3" t="str">
        <x:v>艾年</x:v>
      </x:c>
      <x:c r="D1070" s="3" t="str">
        <x:v>230918</x:v>
      </x:c>
      <x:c r="E1070" s="3" t="str">
        <x:f>IF(Z1070="移出","已移出",IF(NOT(ISNUMBER(H1070)),"数据待核",IF(H1070=0,"断货",IF(NOT(ISNUMBER(G1070)),"数据待核",IF(G1070=0,"零日销待复核",IF(F1070&lt;60,"补货提醒",IF(F1070&lt;=90,"正常库存",IF(F1070&lt;180,"促销",IF(F1070&lt;=365,"红线促销","考虑清仓")))))))))</x:f>
        <x:v>补货提醒</x:v>
      </x:c>
      <x:c r="F1070" s="11" t="n">
        <x:f>IF(AND(ISNUMBER(H1070),ISNUMBER(G1070),G1070&gt;0),H1070/G1070,"")</x:f>
        <x:v>10.85037674919268</x:v>
      </x:c>
      <x:c r="G1070" s="12" t="n">
        <x:f>IF(AND(COUNT(P1070:R1070)=3,MIN(P1070:R1070)&gt;=0,P1070&lt;=Q1070,Q1070&lt;=R1070),P1070/7*0.5+Q1070/14*0.3+R1070/30*0.2,"")</x:f>
        <x:v>2.211904761904762</x:v>
      </x:c>
      <x:c r="H1070" s="10" t="n">
        <x:f>IF(ISNUMBER(U1070),U1070,"")</x:f>
        <x:v>24</x:v>
      </x:c>
      <x:c r="I1070" s="10" t="n">
        <x:v>14</x:v>
      </x:c>
      <x:c r="J1070" s="11" t="n">
        <x:f>IF(AND(Z1070="共同",ISNUMBER(F1070),ISNUMBER(M1070)),F1070-M1070,"")</x:f>
        <x:v>1.1152774114443353</x:v>
      </x:c>
      <x:c r="K1070" s="13" t="n">
        <x:f>IF(AND(ISNUMBER(J1070),M1070&lt;&gt;0),J1070/M1070,"")</x:f>
        <x:v>0.11456250961094873</x:v>
      </x:c>
      <x:c r="L1070" s="10" t="str">
        <x:v>补货提醒</x:v>
      </x:c>
      <x:c r="M1070" s="11" t="n">
        <x:v>9.735099337748345</x:v>
      </x:c>
      <x:c r="N1070" s="10" t="n">
        <x:f>IF(AND(Z1070="共同",COUNT(H1070:I1070)=2),H1070-I1070,"")</x:f>
        <x:v>10</x:v>
      </x:c>
      <x:c r="O1070" s="10" t="n">
        <x:v>0</x:v>
      </x:c>
      <x:c r="P1070" s="10" t="n">
        <x:v>17</x:v>
      </x:c>
      <x:c r="Q1070" s="10" t="n">
        <x:v>31</x:v>
      </x:c>
      <x:c r="R1070" s="10" t="n">
        <x:v>50</x:v>
      </x:c>
      <x:c r="S1070" s="10" t="n">
        <x:v>33</x:v>
      </x:c>
      <x:c r="T1070" s="10" t="n">
        <x:v>1</x:v>
      </x:c>
      <x:c r="U1070" s="10" t="n">
        <x:f>IF(AND(ISNUMBER(X1070),X1070&gt;=0,Y1070&lt;&gt;1),X1070,"")</x:f>
        <x:v>24</x:v>
      </x:c>
      <x:c r="V1070" s="10" t="n">
        <x:v>0</x:v>
      </x:c>
      <x:c r="W1070" s="10" t="n">
        <x:v>94</x:v>
      </x:c>
      <x:c r="X1070" s="10" t="n">
        <x:v>24</x:v>
      </x:c>
      <x:c r="Y1070" s="3" t="n">
        <x:v>0</x:v>
      </x:c>
      <x:c r="Z1070" s="3" t="str">
        <x:v>共同</x:v>
      </x:c>
      <x:c r="AA1070" s="3" t="str">
        <x:v>在售</x:v>
      </x:c>
      <x:c r="AB1070" s="12" t="n">
        <x:f>IF(AND(Z1070="共同",ISNUMBER(G1070),ISNUMBER(AD1070)),G1070-AD1070,"")</x:f>
        <x:v>0.773809523809524</x:v>
      </x:c>
      <x:c r="AC1070" s="3" t="str"/>
      <x:c r="AD1070" s="12" t="n">
        <x:v>1.438095238095238</x:v>
      </x:c>
      <x:c r="AE1070" s="3" t="str">
        <x:v>[13120,"230918-BK-P-Z-7"]</x:v>
      </x:c>
      <x:c r="AF1070" t="n">
        <x:f>IF(ISNUMBER(H1070),1,0)</x:f>
        <x:v>1</x:v>
      </x:c>
      <x:c r="AG1070" t="n">
        <x:f>IF(ISNUMBER(I1070),1,0)</x:f>
        <x:v>1</x:v>
      </x:c>
      <x:c r="AH1070" t="str">
        <x:v>["230918","230918-BK-P-Z","BK-P","黑色PU"]</x:v>
      </x:c>
      <x:c r="AI1070" t="n">
        <x:f>IF(ISNUMBER(G1070),1,0)</x:f>
        <x:v>1</x:v>
      </x:c>
      <x:c r="AJ1070" t="n">
        <x:f>IF(ISNUMBER(AD1070),1,0)</x:f>
        <x:v>1</x:v>
      </x:c>
    </x:row>
    <x:row r="1071" ht="30" customHeight="1">
      <x:c r="A1071" s="3" t="str">
        <x:v>230918-BK-P-Z-8</x:v>
      </x:c>
      <x:c r="B1071" s="3" t="str">
        <x:v>1店-MUSSHOE-US</x:v>
      </x:c>
      <x:c r="C1071" s="3" t="str">
        <x:v>艾年</x:v>
      </x:c>
      <x:c r="D1071" s="3" t="str">
        <x:v>230918</x:v>
      </x:c>
      <x:c r="E1071" s="3" t="str">
        <x:f>IF(Z1071="移出","已移出",IF(NOT(ISNUMBER(H1071)),"数据待核",IF(H1071=0,"断货",IF(NOT(ISNUMBER(G1071)),"数据待核",IF(G1071=0,"零日销待复核",IF(F1071&lt;60,"补货提醒",IF(F1071&lt;=90,"正常库存",IF(F1071&lt;180,"促销",IF(F1071&lt;=365,"红线促销","考虑清仓")))))))))</x:f>
        <x:v>补货提醒</x:v>
      </x:c>
      <x:c r="F1071" s="11" t="n">
        <x:f>IF(AND(ISNUMBER(H1071),ISNUMBER(G1071),G1071&gt;0),H1071/G1071,"")</x:f>
        <x:v>39.73146170277693</x:v>
      </x:c>
      <x:c r="G1071" s="12" t="n">
        <x:f>IF(AND(COUNT(P1071:R1071)=3,MIN(P1071:R1071)&gt;=0,P1071&lt;=Q1071,Q1071&lt;=R1071),P1071/7*0.5+Q1071/14*0.3+R1071/30*0.2,"")</x:f>
        <x:v>3.1209523809523807</x:v>
      </x:c>
      <x:c r="H1071" s="10" t="n">
        <x:f>IF(ISNUMBER(U1071),U1071,"")</x:f>
        <x:v>124</x:v>
      </x:c>
      <x:c r="I1071" s="10" t="n">
        <x:v>164</x:v>
      </x:c>
      <x:c r="J1071" s="11" t="n">
        <x:f>IF(AND(Z1071="共同",ISNUMBER(F1071),ISNUMBER(M1071)),F1071-M1071,"")</x:f>
        <x:v>-27.18130301453413</x:v>
      </x:c>
      <x:c r="K1071" s="13" t="n">
        <x:f>IF(AND(ISNUMBER(J1071),M1071&lt;&gt;0),J1071/M1071,"")</x:f>
        <x:v>-0.406219995980857</x:v>
      </x:c>
      <x:c r="L1071" s="10" t="str">
        <x:v>正常库存</x:v>
      </x:c>
      <x:c r="M1071" s="11" t="n">
        <x:v>66.91276471731106</x:v>
      </x:c>
      <x:c r="N1071" s="10" t="n">
        <x:f>IF(AND(Z1071="共同",COUNT(H1071:I1071)=2),H1071-I1071,"")</x:f>
        <x:v>-40</x:v>
      </x:c>
      <x:c r="O1071" s="10" t="n">
        <x:v>120</x:v>
      </x:c>
      <x:c r="P1071" s="10" t="n">
        <x:v>24</x:v>
      </x:c>
      <x:c r="Q1071" s="10" t="n">
        <x:v>42</x:v>
      </x:c>
      <x:c r="R1071" s="10" t="n">
        <x:v>76</x:v>
      </x:c>
      <x:c r="S1071" s="10" t="n">
        <x:v>135</x:v>
      </x:c>
      <x:c r="T1071" s="10" t="n">
        <x:v>0</x:v>
      </x:c>
      <x:c r="U1071" s="10" t="n">
        <x:f>IF(AND(ISNUMBER(X1071),X1071&gt;=0,Y1071&lt;&gt;1),X1071,"")</x:f>
        <x:v>124</x:v>
      </x:c>
      <x:c r="V1071" s="10" t="n">
        <x:v>0</x:v>
      </x:c>
      <x:c r="W1071" s="10" t="n">
        <x:v>161</x:v>
      </x:c>
      <x:c r="X1071" s="10" t="n">
        <x:v>124</x:v>
      </x:c>
      <x:c r="Y1071" s="3" t="n">
        <x:v>0</x:v>
      </x:c>
      <x:c r="Z1071" s="3" t="str">
        <x:v>共同</x:v>
      </x:c>
      <x:c r="AA1071" s="3" t="str">
        <x:v>在售</x:v>
      </x:c>
      <x:c r="AB1071" s="12" t="n">
        <x:f>IF(AND(Z1071="共同",ISNUMBER(G1071),ISNUMBER(AD1071)),G1071-AD1071,"")</x:f>
        <x:v>0.6699999999999999</x:v>
      </x:c>
      <x:c r="AC1071" s="3" t="str"/>
      <x:c r="AD1071" s="12" t="n">
        <x:v>2.4509523809523808</x:v>
      </x:c>
      <x:c r="AE1071" s="3" t="str">
        <x:v>[13120,"230918-BK-P-Z-8"]</x:v>
      </x:c>
      <x:c r="AF1071" t="n">
        <x:f>IF(ISNUMBER(H1071),1,0)</x:f>
        <x:v>1</x:v>
      </x:c>
      <x:c r="AG1071" t="n">
        <x:f>IF(ISNUMBER(I1071),1,0)</x:f>
        <x:v>1</x:v>
      </x:c>
      <x:c r="AH1071" t="str">
        <x:v>["230918","230918-BK-P-Z","BK-P","黑色PU"]</x:v>
      </x:c>
      <x:c r="AI1071" t="n">
        <x:f>IF(ISNUMBER(G1071),1,0)</x:f>
        <x:v>1</x:v>
      </x:c>
      <x:c r="AJ1071" t="n">
        <x:f>IF(ISNUMBER(AD1071),1,0)</x:f>
        <x:v>1</x:v>
      </x:c>
    </x:row>
    <x:row r="1072" ht="30" customHeight="1">
      <x:c r="A1072" s="3" t="str">
        <x:v>230918-BK-P-Z-9</x:v>
      </x:c>
      <x:c r="B1072" s="3" t="str">
        <x:v>1店-MUSSHOE-US</x:v>
      </x:c>
      <x:c r="C1072" s="3" t="str">
        <x:v>艾年</x:v>
      </x:c>
      <x:c r="D1072" s="3" t="str">
        <x:v>230918</x:v>
      </x:c>
      <x:c r="E1072" s="3" t="str">
        <x:f>IF(Z1072="移出","已移出",IF(NOT(ISNUMBER(H1072)),"数据待核",IF(H1072=0,"断货",IF(NOT(ISNUMBER(G1072)),"数据待核",IF(G1072=0,"零日销待复核",IF(F1072&lt;60,"补货提醒",IF(F1072&lt;=90,"正常库存",IF(F1072&lt;180,"促销",IF(F1072&lt;=365,"红线促销","考虑清仓")))))))))</x:f>
        <x:v>补货提醒</x:v>
      </x:c>
      <x:c r="F1072" s="11" t="n">
        <x:f>IF(AND(ISNUMBER(H1072),ISNUMBER(G1072),G1072&gt;0),H1072/G1072,"")</x:f>
        <x:v>9.920143965808121</x:v>
      </x:c>
      <x:c r="G1072" s="12" t="n">
        <x:f>IF(AND(COUNT(P1072:R1072)=3,MIN(P1072:R1072)&gt;=0,P1072&lt;=Q1072,Q1072&lt;=R1072),P1072/7*0.5+Q1072/14*0.3+R1072/30*0.2,"")</x:f>
        <x:v>4.233809523809524</x:v>
      </x:c>
      <x:c r="H1072" s="10" t="n">
        <x:f>IF(ISNUMBER(U1072),U1072,"")</x:f>
        <x:v>42</x:v>
      </x:c>
      <x:c r="I1072" s="10" t="n">
        <x:v>58</x:v>
      </x:c>
      <x:c r="J1072" s="11" t="n">
        <x:f>IF(AND(Z1072="共同",ISNUMBER(F1072),ISNUMBER(M1072)),F1072-M1072,"")</x:f>
        <x:v>-11.70243725201542</x:v>
      </x:c>
      <x:c r="K1072" s="13" t="n">
        <x:f>IF(AND(ISNUMBER(J1072),M1072&lt;&gt;0),J1072/M1072,"")</x:f>
        <x:v>-0.5412137031248182</x:v>
      </x:c>
      <x:c r="L1072" s="10" t="str">
        <x:v>补货提醒</x:v>
      </x:c>
      <x:c r="M1072" s="11" t="n">
        <x:v>21.62258121782354</x:v>
      </x:c>
      <x:c r="N1072" s="10" t="n">
        <x:f>IF(AND(Z1072="共同",COUNT(H1072:I1072)=2),H1072-I1072,"")</x:f>
        <x:v>-16</x:v>
      </x:c>
      <x:c r="O1072" s="10" t="n">
        <x:v>127</x:v>
      </x:c>
      <x:c r="P1072" s="10" t="n">
        <x:v>34</x:v>
      </x:c>
      <x:c r="Q1072" s="10" t="n">
        <x:v>55</x:v>
      </x:c>
      <x:c r="R1072" s="10" t="n">
        <x:v>94</x:v>
      </x:c>
      <x:c r="S1072" s="10" t="n">
        <x:v>57</x:v>
      </x:c>
      <x:c r="T1072" s="10" t="n">
        <x:v>4</x:v>
      </x:c>
      <x:c r="U1072" s="10" t="n">
        <x:f>IF(AND(ISNUMBER(X1072),X1072&gt;=0,Y1072&lt;&gt;1),X1072,"")</x:f>
        <x:v>42</x:v>
      </x:c>
      <x:c r="V1072" s="10" t="n">
        <x:v>0</x:v>
      </x:c>
      <x:c r="W1072" s="10" t="n">
        <x:v>196</x:v>
      </x:c>
      <x:c r="X1072" s="10" t="n">
        <x:v>42</x:v>
      </x:c>
      <x:c r="Y1072" s="3" t="n">
        <x:v>0</x:v>
      </x:c>
      <x:c r="Z1072" s="3" t="str">
        <x:v>共同</x:v>
      </x:c>
      <x:c r="AA1072" s="3" t="str">
        <x:v>在售</x:v>
      </x:c>
      <x:c r="AB1072" s="12" t="n">
        <x:f>IF(AND(Z1072="共同",ISNUMBER(G1072),ISNUMBER(AD1072)),G1072-AD1072,"")</x:f>
        <x:v>1.5514285714285716</x:v>
      </x:c>
      <x:c r="AC1072" s="3" t="str"/>
      <x:c r="AD1072" s="12" t="n">
        <x:v>2.682380952380952</x:v>
      </x:c>
      <x:c r="AE1072" s="3" t="str">
        <x:v>[13120,"230918-BK-P-Z-9"]</x:v>
      </x:c>
      <x:c r="AF1072" t="n">
        <x:f>IF(ISNUMBER(H1072),1,0)</x:f>
        <x:v>1</x:v>
      </x:c>
      <x:c r="AG1072" t="n">
        <x:f>IF(ISNUMBER(I1072),1,0)</x:f>
        <x:v>1</x:v>
      </x:c>
      <x:c r="AH1072" t="str">
        <x:v>["230918","230918-BK-P-Z","BK-P","黑色PU"]</x:v>
      </x:c>
      <x:c r="AI1072" t="n">
        <x:f>IF(ISNUMBER(G1072),1,0)</x:f>
        <x:v>1</x:v>
      </x:c>
      <x:c r="AJ1072" t="n">
        <x:f>IF(ISNUMBER(AD1072),1,0)</x:f>
        <x:v>1</x:v>
      </x:c>
    </x:row>
    <x:row r="1073" ht="30" customHeight="1">
      <x:c r="A1073" s="3" t="str">
        <x:v>230918-BK-S-Z-11</x:v>
      </x:c>
      <x:c r="B1073" s="3" t="str">
        <x:v>1店-MUSSHOE-US</x:v>
      </x:c>
      <x:c r="C1073" s="3" t="str">
        <x:v>艾年</x:v>
      </x:c>
      <x:c r="D1073" s="3" t="str">
        <x:v>230918</x:v>
      </x:c>
      <x:c r="E1073" s="3" t="str">
        <x:f>IF(Z1073="移出","已移出",IF(NOT(ISNUMBER(H1073)),"数据待核",IF(H1073=0,"断货",IF(NOT(ISNUMBER(G1073)),"数据待核",IF(G1073=0,"零日销待复核",IF(F1073&lt;60,"补货提醒",IF(F1073&lt;=90,"正常库存",IF(F1073&lt;180,"促销",IF(F1073&lt;=365,"红线促销","考虑清仓")))))))))</x:f>
        <x:v>补货提醒</x:v>
      </x:c>
      <x:c r="F1073" s="11" t="n">
        <x:f>IF(AND(ISNUMBER(H1073),ISNUMBER(G1073),G1073&gt;0),H1073/G1073,"")</x:f>
        <x:v>33.530183727034114</x:v>
      </x:c>
      <x:c r="G1073" s="12" t="n">
        <x:f>IF(AND(COUNT(P1073:R1073)=3,MIN(P1073:R1073)&gt;=0,P1073&lt;=Q1073,Q1073&lt;=R1073),P1073/7*0.5+Q1073/14*0.3+R1073/30*0.2,"")</x:f>
        <x:v>2.1771428571428575</x:v>
      </x:c>
      <x:c r="H1073" s="10" t="n">
        <x:f>IF(ISNUMBER(U1073),U1073,"")</x:f>
        <x:v>73</x:v>
      </x:c>
      <x:c r="I1073" s="10" t="n">
        <x:v>57</x:v>
      </x:c>
      <x:c r="J1073" s="11" t="n">
        <x:f>IF(AND(Z1073="共同",ISNUMBER(F1073),ISNUMBER(M1073)),F1073-M1073,"")</x:f>
        <x:v>-154.3819041850538</x:v>
      </x:c>
      <x:c r="K1073" s="13" t="n">
        <x:f>IF(AND(ISNUMBER(J1073),M1073&lt;&gt;0),J1073/M1073,"")</x:f>
        <x:v>-0.8215645193473623</x:v>
      </x:c>
      <x:c r="L1073" s="10" t="str">
        <x:v>红线促销</x:v>
      </x:c>
      <x:c r="M1073" s="11" t="n">
        <x:v>187.9120879120879</x:v>
      </x:c>
      <x:c r="N1073" s="10" t="n">
        <x:f>IF(AND(Z1073="共同",COUNT(H1073:I1073)=2),H1073-I1073,"")</x:f>
        <x:v>16</x:v>
      </x:c>
      <x:c r="O1073" s="10" t="n">
        <x:v>51</x:v>
      </x:c>
      <x:c r="P1073" s="10" t="n">
        <x:v>19</x:v>
      </x:c>
      <x:c r="Q1073" s="10" t="n">
        <x:v>28</x:v>
      </x:c>
      <x:c r="R1073" s="10" t="n">
        <x:v>33</x:v>
      </x:c>
      <x:c r="S1073" s="10" t="n">
        <x:v>77</x:v>
      </x:c>
      <x:c r="T1073" s="10" t="n">
        <x:v>2</x:v>
      </x:c>
      <x:c r="U1073" s="10" t="n">
        <x:f>IF(AND(ISNUMBER(X1073),X1073&gt;=0,Y1073&lt;&gt;1),X1073,"")</x:f>
        <x:v>73</x:v>
      </x:c>
      <x:c r="V1073" s="10" t="n">
        <x:v>1</x:v>
      </x:c>
      <x:c r="W1073" s="10" t="n">
        <x:v>1</x:v>
      </x:c>
      <x:c r="X1073" s="10" t="n">
        <x:v>73</x:v>
      </x:c>
      <x:c r="Y1073" s="3" t="n">
        <x:v>0</x:v>
      </x:c>
      <x:c r="Z1073" s="3" t="str">
        <x:v>共同</x:v>
      </x:c>
      <x:c r="AA1073" s="3" t="str">
        <x:v>在售</x:v>
      </x:c>
      <x:c r="AB1073" s="12" t="n">
        <x:f>IF(AND(Z1073="共同",ISNUMBER(G1073),ISNUMBER(AD1073)),G1073-AD1073,"")</x:f>
        <x:v>1.8738095238095243</x:v>
      </x:c>
      <x:c r="AC1073" s="3" t="str"/>
      <x:c r="AD1073" s="12" t="n">
        <x:v>0.30333333333333334</x:v>
      </x:c>
      <x:c r="AE1073" s="3" t="str">
        <x:v>[13120,"230918-BK-S-Z-11"]</x:v>
      </x:c>
      <x:c r="AF1073" t="n">
        <x:f>IF(ISNUMBER(H1073),1,0)</x:f>
        <x:v>1</x:v>
      </x:c>
      <x:c r="AG1073" t="n">
        <x:f>IF(ISNUMBER(I1073),1,0)</x:f>
        <x:v>1</x:v>
      </x:c>
      <x:c r="AH1073" t="str">
        <x:v>["230918","230918-BK-S-Z","BK","黑色"]</x:v>
      </x:c>
      <x:c r="AI1073" t="n">
        <x:f>IF(ISNUMBER(G1073),1,0)</x:f>
        <x:v>1</x:v>
      </x:c>
      <x:c r="AJ1073" t="n">
        <x:f>IF(ISNUMBER(AD1073),1,0)</x:f>
        <x:v>1</x:v>
      </x:c>
    </x:row>
    <x:row r="1074" ht="30" customHeight="1">
      <x:c r="A1074" s="3" t="str">
        <x:v>230918-BK-S-Z-6</x:v>
      </x:c>
      <x:c r="B1074" s="3" t="str">
        <x:v>1店-MUSSHOE-US</x:v>
      </x:c>
      <x:c r="C1074" s="3" t="str">
        <x:v>艾年</x:v>
      </x:c>
      <x:c r="D1074" s="3" t="str">
        <x:v>230918</x:v>
      </x:c>
      <x:c r="E1074" s="3" t="str">
        <x:f>IF(Z1074="移出","已移出",IF(NOT(ISNUMBER(H1074)),"数据待核",IF(H1074=0,"断货",IF(NOT(ISNUMBER(G1074)),"数据待核",IF(G1074=0,"零日销待复核",IF(F1074&lt;60,"补货提醒",IF(F1074&lt;=90,"正常库存",IF(F1074&lt;180,"促销",IF(F1074&lt;=365,"红线促销","考虑清仓")))))))))</x:f>
        <x:v>补货提醒</x:v>
      </x:c>
      <x:c r="F1074" s="11" t="n">
        <x:f>IF(AND(ISNUMBER(H1074),ISNUMBER(G1074),G1074&gt;0),H1074/G1074,"")</x:f>
        <x:v>13.258303595937415</x:v>
      </x:c>
      <x:c r="G1074" s="12" t="n">
        <x:f>IF(AND(COUNT(P1074:R1074)=3,MIN(P1074:R1074)&gt;=0,P1074&lt;=Q1074,Q1074&lt;=R1074),P1074/7*0.5+Q1074/14*0.3+R1074/30*0.2,"")</x:f>
        <x:v>1.7347619047619047</x:v>
      </x:c>
      <x:c r="H1074" s="10" t="n">
        <x:f>IF(ISNUMBER(U1074),U1074,"")</x:f>
        <x:v>23</x:v>
      </x:c>
      <x:c r="I1074" s="10" t="n">
        <x:v>31</x:v>
      </x:c>
      <x:c r="J1074" s="11" t="n">
        <x:f>IF(AND(Z1074="共同",ISNUMBER(F1074),ISNUMBER(M1074)),F1074-M1074,"")</x:f>
        <x:v>-28.445732278502042</x:v>
      </x:c>
      <x:c r="K1074" s="13" t="n">
        <x:f>IF(AND(ISNUMBER(J1074),M1074&lt;&gt;0),J1074/M1074,"")</x:f>
        <x:v>-0.6820858385060168</x:v>
      </x:c>
      <x:c r="L1074" s="10" t="str">
        <x:v>补货提醒</x:v>
      </x:c>
      <x:c r="M1074" s="11" t="n">
        <x:v>41.704035874439455</x:v>
      </x:c>
      <x:c r="N1074" s="10" t="n">
        <x:f>IF(AND(Z1074="共同",COUNT(H1074:I1074)=2),H1074-I1074,"")</x:f>
        <x:v>-8</x:v>
      </x:c>
      <x:c r="O1074" s="10" t="n">
        <x:v>122</x:v>
      </x:c>
      <x:c r="P1074" s="10" t="n">
        <x:v>15</x:v>
      </x:c>
      <x:c r="Q1074" s="10" t="n">
        <x:v>21</x:v>
      </x:c>
      <x:c r="R1074" s="10" t="n">
        <x:v>32</x:v>
      </x:c>
      <x:c r="S1074" s="10" t="n">
        <x:v>49</x:v>
      </x:c>
      <x:c r="T1074" s="10" t="n">
        <x:v>1</x:v>
      </x:c>
      <x:c r="U1074" s="10" t="n">
        <x:f>IF(AND(ISNUMBER(X1074),X1074&gt;=0,Y1074&lt;&gt;1),X1074,"")</x:f>
        <x:v>23</x:v>
      </x:c>
      <x:c r="V1074" s="10" t="n">
        <x:v>0</x:v>
      </x:c>
      <x:c r="W1074" s="10" t="n">
        <x:v>102</x:v>
      </x:c>
      <x:c r="X1074" s="10" t="n">
        <x:v>23</x:v>
      </x:c>
      <x:c r="Y1074" s="3" t="n">
        <x:v>0</x:v>
      </x:c>
      <x:c r="Z1074" s="3" t="str">
        <x:v>共同</x:v>
      </x:c>
      <x:c r="AA1074" s="3" t="str">
        <x:v>在售</x:v>
      </x:c>
      <x:c r="AB1074" s="12" t="n">
        <x:f>IF(AND(Z1074="共同",ISNUMBER(G1074),ISNUMBER(AD1074)),G1074-AD1074,"")</x:f>
        <x:v>0.9914285714285713</x:v>
      </x:c>
      <x:c r="AC1074" s="3" t="str"/>
      <x:c r="AD1074" s="12" t="n">
        <x:v>0.7433333333333334</x:v>
      </x:c>
      <x:c r="AE1074" s="3" t="str">
        <x:v>[13120,"230918-BK-S-Z-6"]</x:v>
      </x:c>
      <x:c r="AF1074" t="n">
        <x:f>IF(ISNUMBER(H1074),1,0)</x:f>
        <x:v>1</x:v>
      </x:c>
      <x:c r="AG1074" t="n">
        <x:f>IF(ISNUMBER(I1074),1,0)</x:f>
        <x:v>1</x:v>
      </x:c>
      <x:c r="AH1074" t="str">
        <x:v>["230918","230918-BK-S-Z","BK","黑色"]</x:v>
      </x:c>
      <x:c r="AI1074" t="n">
        <x:f>IF(ISNUMBER(G1074),1,0)</x:f>
        <x:v>1</x:v>
      </x:c>
      <x:c r="AJ1074" t="n">
        <x:f>IF(ISNUMBER(AD1074),1,0)</x:f>
        <x:v>1</x:v>
      </x:c>
    </x:row>
    <x:row r="1075" ht="30" customHeight="1">
      <x:c r="A1075" s="3" t="str">
        <x:v>230918-BK-S-Z-8</x:v>
      </x:c>
      <x:c r="B1075" s="3" t="str">
        <x:v>1店-MUSSHOE-US</x:v>
      </x:c>
      <x:c r="C1075" s="3" t="str">
        <x:v>艾年</x:v>
      </x:c>
      <x:c r="D1075" s="3" t="str">
        <x:v>230918</x:v>
      </x:c>
      <x:c r="E1075" s="3" t="str">
        <x:f>IF(Z1075="移出","已移出",IF(NOT(ISNUMBER(H1075)),"数据待核",IF(H1075=0,"断货",IF(NOT(ISNUMBER(G1075)),"数据待核",IF(G1075=0,"零日销待复核",IF(F1075&lt;60,"补货提醒",IF(F1075&lt;=90,"正常库存",IF(F1075&lt;180,"促销",IF(F1075&lt;=365,"红线促销","考虑清仓")))))))))</x:f>
        <x:v>补货提醒</x:v>
      </x:c>
      <x:c r="F1075" s="11" t="n">
        <x:f>IF(AND(ISNUMBER(H1075),ISNUMBER(G1075),G1075&gt;0),H1075/G1075,"")</x:f>
        <x:v>10.756880733944955</x:v>
      </x:c>
      <x:c r="G1075" s="12" t="n">
        <x:f>IF(AND(COUNT(P1075:R1075)=3,MIN(P1075:R1075)&gt;=0,P1075&lt;=Q1075,Q1075&lt;=R1075),P1075/7*0.5+Q1075/14*0.3+R1075/30*0.2,"")</x:f>
        <x:v>6.228571428571428</x:v>
      </x:c>
      <x:c r="H1075" s="10" t="n">
        <x:f>IF(ISNUMBER(U1075),U1075,"")</x:f>
        <x:v>67</x:v>
      </x:c>
      <x:c r="I1075" s="10" t="n">
        <x:v>88</x:v>
      </x:c>
      <x:c r="J1075" s="11" t="n">
        <x:f>IF(AND(Z1075="共同",ISNUMBER(F1075),ISNUMBER(M1075)),F1075-M1075,"")</x:f>
        <x:v>-8.850546321757962</x:v>
      </x:c>
      <x:c r="K1075" s="13" t="n">
        <x:f>IF(AND(ISNUMBER(J1075),M1075&lt;&gt;0),J1075/M1075,"")</x:f>
        <x:v>-0.4513874409229913</x:v>
      </x:c>
      <x:c r="L1075" s="10" t="str">
        <x:v>补货提醒</x:v>
      </x:c>
      <x:c r="M1075" s="11" t="n">
        <x:v>19.607427055702917</x:v>
      </x:c>
      <x:c r="N1075" s="10" t="n">
        <x:f>IF(AND(Z1075="共同",COUNT(H1075:I1075)=2),H1075-I1075,"")</x:f>
        <x:v>-21</x:v>
      </x:c>
      <x:c r="O1075" s="10" t="n">
        <x:v>548</x:v>
      </x:c>
      <x:c r="P1075" s="10" t="n">
        <x:v>48</x:v>
      </x:c>
      <x:c r="Q1075" s="10" t="n">
        <x:v>84</x:v>
      </x:c>
      <x:c r="R1075" s="10" t="n">
        <x:v>150</x:v>
      </x:c>
      <x:c r="S1075" s="10" t="n">
        <x:v>102</x:v>
      </x:c>
      <x:c r="T1075" s="10" t="n">
        <x:v>2</x:v>
      </x:c>
      <x:c r="U1075" s="10" t="n">
        <x:f>IF(AND(ISNUMBER(X1075),X1075&gt;=0,Y1075&lt;&gt;1),X1075,"")</x:f>
        <x:v>67</x:v>
      </x:c>
      <x:c r="V1075" s="10" t="n">
        <x:v>0</x:v>
      </x:c>
      <x:c r="W1075" s="10" t="n">
        <x:v>283</x:v>
      </x:c>
      <x:c r="X1075" s="10" t="n">
        <x:v>67</x:v>
      </x:c>
      <x:c r="Y1075" s="3" t="n">
        <x:v>0</x:v>
      </x:c>
      <x:c r="Z1075" s="3" t="str">
        <x:v>共同</x:v>
      </x:c>
      <x:c r="AA1075" s="3" t="str">
        <x:v>在售</x:v>
      </x:c>
      <x:c r="AB1075" s="12" t="n">
        <x:f>IF(AND(Z1075="共同",ISNUMBER(G1075),ISNUMBER(AD1075)),G1075-AD1075,"")</x:f>
        <x:v>1.7404761904761896</x:v>
      </x:c>
      <x:c r="AC1075" s="3" t="str"/>
      <x:c r="AD1075" s="12" t="n">
        <x:v>4.488095238095238</x:v>
      </x:c>
      <x:c r="AE1075" s="3" t="str">
        <x:v>[13120,"230918-BK-S-Z-8"]</x:v>
      </x:c>
      <x:c r="AF1075" t="n">
        <x:f>IF(ISNUMBER(H1075),1,0)</x:f>
        <x:v>1</x:v>
      </x:c>
      <x:c r="AG1075" t="n">
        <x:f>IF(ISNUMBER(I1075),1,0)</x:f>
        <x:v>1</x:v>
      </x:c>
      <x:c r="AH1075" t="str">
        <x:v>["230918","230918-BK-S-Z","BK","黑色"]</x:v>
      </x:c>
      <x:c r="AI1075" t="n">
        <x:f>IF(ISNUMBER(G1075),1,0)</x:f>
        <x:v>1</x:v>
      </x:c>
      <x:c r="AJ1075" t="n">
        <x:f>IF(ISNUMBER(AD1075),1,0)</x:f>
        <x:v>1</x:v>
      </x:c>
    </x:row>
    <x:row r="1076" ht="30" customHeight="1">
      <x:c r="A1076" s="3" t="str">
        <x:v>230918-BK-S-Z-9</x:v>
      </x:c>
      <x:c r="B1076" s="3" t="str">
        <x:v>1店-MUSSHOE-US</x:v>
      </x:c>
      <x:c r="C1076" s="3" t="str">
        <x:v>艾年</x:v>
      </x:c>
      <x:c r="D1076" s="3" t="str">
        <x:v>230918</x:v>
      </x:c>
      <x:c r="E1076" s="3" t="str">
        <x:f>IF(Z1076="移出","已移出",IF(NOT(ISNUMBER(H1076)),"数据待核",IF(H1076=0,"断货",IF(NOT(ISNUMBER(G1076)),"数据待核",IF(G1076=0,"零日销待复核",IF(F1076&lt;60,"补货提醒",IF(F1076&lt;=90,"正常库存",IF(F1076&lt;180,"促销",IF(F1076&lt;=365,"红线促销","考虑清仓")))))))))</x:f>
        <x:v>补货提醒</x:v>
      </x:c>
      <x:c r="F1076" s="11" t="n">
        <x:f>IF(AND(ISNUMBER(H1076),ISNUMBER(G1076),G1076&gt;0),H1076/G1076,"")</x:f>
        <x:v>10.158949550794746</x:v>
      </x:c>
      <x:c r="G1076" s="12" t="n">
        <x:f>IF(AND(COUNT(P1076:R1076)=3,MIN(P1076:R1076)&gt;=0,P1076&lt;=Q1076,Q1076&lt;=R1076),P1076/7*0.5+Q1076/14*0.3+R1076/30*0.2,"")</x:f>
        <x:v>9.646666666666668</x:v>
      </x:c>
      <x:c r="H1076" s="10" t="n">
        <x:f>IF(ISNUMBER(U1076),U1076,"")</x:f>
        <x:v>98</x:v>
      </x:c>
      <x:c r="I1076" s="10" t="n">
        <x:v>167</x:v>
      </x:c>
      <x:c r="J1076" s="11" t="n">
        <x:f>IF(AND(Z1076="共同",ISNUMBER(F1076),ISNUMBER(M1076)),F1076-M1076,"")</x:f>
        <x:v>-25.276030746264965</x:v>
      </x:c>
      <x:c r="K1076" s="13" t="n">
        <x:f>IF(AND(ISNUMBER(J1076),M1076&lt;&gt;0),J1076/M1076,"")</x:f>
        <x:v>-0.713307317638393</x:v>
      </x:c>
      <x:c r="L1076" s="10" t="str">
        <x:v>补货提醒</x:v>
      </x:c>
      <x:c r="M1076" s="11" t="n">
        <x:v>35.43498029705971</x:v>
      </x:c>
      <x:c r="N1076" s="10" t="n">
        <x:f>IF(AND(Z1076="共同",COUNT(H1076:I1076)=2),H1076-I1076,"")</x:f>
        <x:v>-69</x:v>
      </x:c>
      <x:c r="O1076" s="10" t="n">
        <x:v>131</x:v>
      </x:c>
      <x:c r="P1076" s="10" t="n">
        <x:v>76</x:v>
      </x:c>
      <x:c r="Q1076" s="10" t="n">
        <x:v>134</x:v>
      </x:c>
      <x:c r="R1076" s="10" t="n">
        <x:v>202</x:v>
      </x:c>
      <x:c r="S1076" s="10" t="n">
        <x:v>154</x:v>
      </x:c>
      <x:c r="T1076" s="10" t="n">
        <x:v>10</x:v>
      </x:c>
      <x:c r="U1076" s="10" t="n">
        <x:f>IF(AND(ISNUMBER(X1076),X1076&gt;=0,Y1076&lt;&gt;1),X1076,"")</x:f>
        <x:v>98</x:v>
      </x:c>
      <x:c r="V1076" s="10" t="n">
        <x:v>0</x:v>
      </x:c>
      <x:c r="W1076" s="10" t="n">
        <x:v>359</x:v>
      </x:c>
      <x:c r="X1076" s="10" t="n">
        <x:v>98</x:v>
      </x:c>
      <x:c r="Y1076" s="3" t="n">
        <x:v>0</x:v>
      </x:c>
      <x:c r="Z1076" s="3" t="str">
        <x:v>共同</x:v>
      </x:c>
      <x:c r="AA1076" s="3" t="str">
        <x:v>在售</x:v>
      </x:c>
      <x:c r="AB1076" s="12" t="n">
        <x:f>IF(AND(Z1076="共同",ISNUMBER(G1076),ISNUMBER(AD1076)),G1076-AD1076,"")</x:f>
        <x:v>4.933809523809525</x:v>
      </x:c>
      <x:c r="AC1076" s="3" t="str"/>
      <x:c r="AD1076" s="12" t="n">
        <x:v>4.7128571428571435</x:v>
      </x:c>
      <x:c r="AE1076" s="3" t="str">
        <x:v>[13120,"230918-BK-S-Z-9"]</x:v>
      </x:c>
      <x:c r="AF1076" t="n">
        <x:f>IF(ISNUMBER(H1076),1,0)</x:f>
        <x:v>1</x:v>
      </x:c>
      <x:c r="AG1076" t="n">
        <x:f>IF(ISNUMBER(I1076),1,0)</x:f>
        <x:v>1</x:v>
      </x:c>
      <x:c r="AH1076" t="str">
        <x:v>["230918","230918-BK-S-Z","BK","黑色"]</x:v>
      </x:c>
      <x:c r="AI1076" t="n">
        <x:f>IF(ISNUMBER(G1076),1,0)</x:f>
        <x:v>1</x:v>
      </x:c>
      <x:c r="AJ1076" t="n">
        <x:f>IF(ISNUMBER(AD1076),1,0)</x:f>
        <x:v>1</x:v>
      </x:c>
    </x:row>
    <x:row r="1077" ht="30" customHeight="1">
      <x:c r="A1077" s="3" t="str">
        <x:v>230918-BW-S-Z-9</x:v>
      </x:c>
      <x:c r="B1077" s="3" t="str">
        <x:v>1店-MUSSHOE-US</x:v>
      </x:c>
      <x:c r="C1077" s="3" t="str">
        <x:v>艾年</x:v>
      </x:c>
      <x:c r="D1077" s="3" t="str">
        <x:v>230918</x:v>
      </x:c>
      <x:c r="E1077" s="3" t="str">
        <x:f>IF(Z1077="移出","已移出",IF(NOT(ISNUMBER(H1077)),"数据待核",IF(H1077=0,"断货",IF(NOT(ISNUMBER(G1077)),"数据待核",IF(G1077=0,"零日销待复核",IF(F1077&lt;60,"补货提醒",IF(F1077&lt;=90,"正常库存",IF(F1077&lt;180,"促销",IF(F1077&lt;=365,"红线促销","考虑清仓")))))))))</x:f>
        <x:v>补货提醒</x:v>
      </x:c>
      <x:c r="F1077" s="11" t="n">
        <x:f>IF(AND(ISNUMBER(H1077),ISNUMBER(G1077),G1077&gt;0),H1077/G1077,"")</x:f>
        <x:v>44.66388150398785</x:v>
      </x:c>
      <x:c r="G1077" s="12" t="n">
        <x:f>IF(AND(COUNT(P1077:R1077)=3,MIN(P1077:R1077)&gt;=0,P1077&lt;=Q1077,Q1077&lt;=R1077),P1077/7*0.5+Q1077/14*0.3+R1077/30*0.2,"")</x:f>
        <x:v>1.2538095238095237</x:v>
      </x:c>
      <x:c r="H1077" s="10" t="n">
        <x:f>IF(ISNUMBER(U1077),U1077,"")</x:f>
        <x:v>56</x:v>
      </x:c>
      <x:c r="I1077" s="10" t="n">
        <x:v>18</x:v>
      </x:c>
      <x:c r="J1077" s="11" t="n">
        <x:f>IF(AND(Z1077="共同",ISNUMBER(F1077),ISNUMBER(M1077)),F1077-M1077,"")</x:f>
        <x:v>27.598418750037517</x:v>
      </x:c>
      <x:c r="K1077" s="13" t="n">
        <x:f>IF(AND(ISNUMBER(J1077),M1077&lt;&gt;0),J1077/M1077,"")</x:f>
        <x:v>1.6172089294003469</x:v>
      </x:c>
      <x:c r="L1077" s="10" t="str">
        <x:v>补货提醒</x:v>
      </x:c>
      <x:c r="M1077" s="11" t="n">
        <x:v>17.065462753950335</x:v>
      </x:c>
      <x:c r="N1077" s="10" t="n">
        <x:f>IF(AND(Z1077="共同",COUNT(H1077:I1077)=2),H1077-I1077,"")</x:f>
        <x:v>38</x:v>
      </x:c>
      <x:c r="O1077" s="10" t="n">
        <x:v>145</x:v>
      </x:c>
      <x:c r="P1077" s="10" t="n">
        <x:v>9</x:v>
      </x:c>
      <x:c r="Q1077" s="10" t="n">
        <x:v>17</x:v>
      </x:c>
      <x:c r="R1077" s="10" t="n">
        <x:v>37</x:v>
      </x:c>
      <x:c r="S1077" s="10" t="n">
        <x:v>87</x:v>
      </x:c>
      <x:c r="T1077" s="10" t="n">
        <x:v>2</x:v>
      </x:c>
      <x:c r="U1077" s="10" t="n">
        <x:f>IF(AND(ISNUMBER(X1077),X1077&gt;=0,Y1077&lt;&gt;1),X1077,"")</x:f>
        <x:v>56</x:v>
      </x:c>
      <x:c r="V1077" s="10" t="n">
        <x:v>0</x:v>
      </x:c>
      <x:c r="W1077" s="10" t="n">
        <x:v>10</x:v>
      </x:c>
      <x:c r="X1077" s="10" t="n">
        <x:v>56</x:v>
      </x:c>
      <x:c r="Y1077" s="3" t="n">
        <x:v>0</x:v>
      </x:c>
      <x:c r="Z1077" s="3" t="str">
        <x:v>共同</x:v>
      </x:c>
      <x:c r="AA1077" s="3" t="str">
        <x:v>在售</x:v>
      </x:c>
      <x:c r="AB1077" s="12" t="n">
        <x:f>IF(AND(Z1077="共同",ISNUMBER(G1077),ISNUMBER(AD1077)),G1077-AD1077,"")</x:f>
        <x:v>0.1990476190476187</x:v>
      </x:c>
      <x:c r="AC1077" s="3" t="str"/>
      <x:c r="AD1077" s="12" t="n">
        <x:v>1.054761904761905</x:v>
      </x:c>
      <x:c r="AE1077" s="3" t="str">
        <x:v>[13120,"230918-BW-S-Z-9"]</x:v>
      </x:c>
      <x:c r="AF1077" t="n">
        <x:f>IF(ISNUMBER(H1077),1,0)</x:f>
        <x:v>1</x:v>
      </x:c>
      <x:c r="AG1077" t="n">
        <x:f>IF(ISNUMBER(I1077),1,0)</x:f>
        <x:v>1</x:v>
      </x:c>
      <x:c r="AH1077" t="str">
        <x:v>["230918","230918-BW-S-Z","BW","米白色PU"]</x:v>
      </x:c>
      <x:c r="AI1077" t="n">
        <x:f>IF(ISNUMBER(G1077),1,0)</x:f>
        <x:v>1</x:v>
      </x:c>
      <x:c r="AJ1077" t="n">
        <x:f>IF(ISNUMBER(AD1077),1,0)</x:f>
        <x:v>1</x:v>
      </x:c>
    </x:row>
    <x:row r="1078" ht="30" customHeight="1">
      <x:c r="A1078" s="3" t="str">
        <x:v>230918-LP-S-Z-6</x:v>
      </x:c>
      <x:c r="B1078" s="3" t="str">
        <x:v>1店-MUSSHOE-US</x:v>
      </x:c>
      <x:c r="C1078" s="3" t="str">
        <x:v>艾年</x:v>
      </x:c>
      <x:c r="D1078" s="3" t="str">
        <x:v>230918</x:v>
      </x:c>
      <x:c r="E1078" s="3" t="str">
        <x:f>IF(Z1078="移出","已移出",IF(NOT(ISNUMBER(H1078)),"数据待核",IF(H1078=0,"断货",IF(NOT(ISNUMBER(G1078)),"数据待核",IF(G1078=0,"零日销待复核",IF(F1078&lt;60,"补货提醒",IF(F1078&lt;=90,"正常库存",IF(F1078&lt;180,"促销",IF(F1078&lt;=365,"红线促销","考虑清仓")))))))))</x:f>
        <x:v>补货提醒</x:v>
      </x:c>
      <x:c r="F1078" s="11" t="n">
        <x:f>IF(AND(ISNUMBER(H1078),ISNUMBER(G1078),G1078&gt;0),H1078/G1078,"")</x:f>
        <x:v>34.027777777777786</x:v>
      </x:c>
      <x:c r="G1078" s="12" t="n">
        <x:f>IF(AND(COUNT(P1078:R1078)=3,MIN(P1078:R1078)&gt;=0,P1078&lt;=Q1078,Q1078&lt;=R1078),P1078/7*0.5+Q1078/14*0.3+R1078/30*0.2,"")</x:f>
        <x:v>0.20571428571428568</x:v>
      </x:c>
      <x:c r="H1078" s="10" t="n">
        <x:f>IF(ISNUMBER(U1078),U1078,"")</x:f>
        <x:v>7</x:v>
      </x:c>
      <x:c r="I1078" s="10" t="n">
        <x:v>0</x:v>
      </x:c>
      <x:c r="J1078" s="11" t="n">
        <x:f>IF(AND(Z1078="共同",ISNUMBER(F1078),ISNUMBER(M1078)),F1078-M1078,"")</x:f>
        <x:v>34.027777777777786</x:v>
      </x:c>
      <x:c r="K1078" s="13" t="str">
        <x:f>IF(AND(ISNUMBER(J1078),M1078&lt;&gt;0),J1078/M1078,"")</x:f>
      </x:c>
      <x:c r="L1078" s="10" t="str">
        <x:v>断货</x:v>
      </x:c>
      <x:c r="M1078" s="11" t="n">
        <x:v>0</x:v>
      </x:c>
      <x:c r="N1078" s="10" t="n">
        <x:f>IF(AND(Z1078="共同",COUNT(H1078:I1078)=2),H1078-I1078,"")</x:f>
        <x:v>7</x:v>
      </x:c>
      <x:c r="O1078" s="10" t="n">
        <x:v>6</x:v>
      </x:c>
      <x:c r="P1078" s="10" t="n">
        <x:v>2</x:v>
      </x:c>
      <x:c r="Q1078" s="10" t="n">
        <x:v>2</x:v>
      </x:c>
      <x:c r="R1078" s="10" t="n">
        <x:v>3</x:v>
      </x:c>
      <x:c r="S1078" s="10" t="n">
        <x:v>7</x:v>
      </x:c>
      <x:c r="T1078" s="10" t="n">
        <x:v>0</x:v>
      </x:c>
      <x:c r="U1078" s="10" t="n">
        <x:f>IF(AND(ISNUMBER(X1078),X1078&gt;=0,Y1078&lt;&gt;1),X1078,"")</x:f>
        <x:v>7</x:v>
      </x:c>
      <x:c r="V1078" s="10" t="n">
        <x:v>0</x:v>
      </x:c>
      <x:c r="W1078" s="10" t="n">
        <x:v>10</x:v>
      </x:c>
      <x:c r="X1078" s="10" t="n">
        <x:v>7</x:v>
      </x:c>
      <x:c r="Y1078" s="3" t="n">
        <x:v>0</x:v>
      </x:c>
      <x:c r="Z1078" s="3" t="str">
        <x:v>共同</x:v>
      </x:c>
      <x:c r="AA1078" s="3" t="str">
        <x:v>在售</x:v>
      </x:c>
      <x:c r="AB1078" s="12" t="n">
        <x:f>IF(AND(Z1078="共同",ISNUMBER(G1078),ISNUMBER(AD1078)),G1078-AD1078,"")</x:f>
        <x:v>0.1776190476190476</x:v>
      </x:c>
      <x:c r="AC1078" s="3" t="str"/>
      <x:c r="AD1078" s="12" t="n">
        <x:v>0.028095238095238097</x:v>
      </x:c>
      <x:c r="AE1078" s="3" t="str">
        <x:v>[13120,"230918-LP-S-Z-6"]</x:v>
      </x:c>
      <x:c r="AF1078" t="n">
        <x:f>IF(ISNUMBER(H1078),1,0)</x:f>
        <x:v>1</x:v>
      </x:c>
      <x:c r="AG1078" t="n">
        <x:f>IF(ISNUMBER(I1078),1,0)</x:f>
        <x:v>1</x:v>
      </x:c>
      <x:c r="AH1078" t="str">
        <x:v>["230918","230918-LP-S-Z","LP","豹纹"]</x:v>
      </x:c>
      <x:c r="AI1078" t="n">
        <x:f>IF(ISNUMBER(G1078),1,0)</x:f>
        <x:v>1</x:v>
      </x:c>
      <x:c r="AJ1078" t="n">
        <x:f>IF(ISNUMBER(AD1078),1,0)</x:f>
        <x:v>1</x:v>
      </x:c>
    </x:row>
    <x:row r="1079" ht="30" customHeight="1">
      <x:c r="A1079" s="3" t="str">
        <x:v>230918-ND-S-Z-10</x:v>
      </x:c>
      <x:c r="B1079" s="3" t="str">
        <x:v>1店-MUSSHOE-US</x:v>
      </x:c>
      <x:c r="C1079" s="3" t="str">
        <x:v>艾年</x:v>
      </x:c>
      <x:c r="D1079" s="3" t="str">
        <x:v>230918</x:v>
      </x:c>
      <x:c r="E1079" s="3" t="str">
        <x:f>IF(Z1079="移出","已移出",IF(NOT(ISNUMBER(H1079)),"数据待核",IF(H1079=0,"断货",IF(NOT(ISNUMBER(G1079)),"数据待核",IF(G1079=0,"零日销待复核",IF(F1079&lt;60,"补货提醒",IF(F1079&lt;=90,"正常库存",IF(F1079&lt;180,"促销",IF(F1079&lt;=365,"红线促销","考虑清仓")))))))))</x:f>
        <x:v>补货提醒</x:v>
      </x:c>
      <x:c r="F1079" s="11" t="n">
        <x:f>IF(AND(ISNUMBER(H1079),ISNUMBER(G1079),G1079&gt;0),H1079/G1079,"")</x:f>
        <x:v>16.967865293283168</x:v>
      </x:c>
      <x:c r="G1079" s="12" t="n">
        <x:f>IF(AND(COUNT(P1079:R1079)=3,MIN(P1079:R1079)&gt;=0,P1079&lt;=Q1079,Q1079&lt;=R1079),P1079/7*0.5+Q1079/14*0.3+R1079/30*0.2,"")</x:f>
        <x:v>7.720476190476191</x:v>
      </x:c>
      <x:c r="H1079" s="10" t="n">
        <x:f>IF(ISNUMBER(U1079),U1079,"")</x:f>
        <x:v>131</x:v>
      </x:c>
      <x:c r="I1079" s="10" t="n">
        <x:v>224</x:v>
      </x:c>
      <x:c r="J1079" s="11" t="n">
        <x:f>IF(AND(Z1079="共同",ISNUMBER(F1079),ISNUMBER(M1079)),F1079-M1079,"")</x:f>
        <x:v>-29.59717133312745</x:v>
      </x:c>
      <x:c r="K1079" s="13" t="n">
        <x:f>IF(AND(ISNUMBER(J1079),M1079&lt;&gt;0),J1079/M1079,"")</x:f>
        <x:v>-0.6356093214439912</x:v>
      </x:c>
      <x:c r="L1079" s="10" t="str">
        <x:v>补货提醒</x:v>
      </x:c>
      <x:c r="M1079" s="11" t="n">
        <x:v>46.56503662641062</x:v>
      </x:c>
      <x:c r="N1079" s="10" t="n">
        <x:f>IF(AND(Z1079="共同",COUNT(H1079:I1079)=2),H1079-I1079,"")</x:f>
        <x:v>-93</x:v>
      </x:c>
      <x:c r="O1079" s="10" t="n">
        <x:v>152</x:v>
      </x:c>
      <x:c r="P1079" s="10" t="n">
        <x:v>59</x:v>
      </x:c>
      <x:c r="Q1079" s="10" t="n">
        <x:v>107</x:v>
      </x:c>
      <x:c r="R1079" s="10" t="n">
        <x:v>182</x:v>
      </x:c>
      <x:c r="S1079" s="10" t="n">
        <x:v>161</x:v>
      </x:c>
      <x:c r="T1079" s="10" t="n">
        <x:v>4</x:v>
      </x:c>
      <x:c r="U1079" s="10" t="n">
        <x:f>IF(AND(ISNUMBER(X1079),X1079&gt;=0,Y1079&lt;&gt;1),X1079,"")</x:f>
        <x:v>131</x:v>
      </x:c>
      <x:c r="V1079" s="10" t="n">
        <x:v>0</x:v>
      </x:c>
      <x:c r="W1079" s="10" t="n">
        <x:v>420</x:v>
      </x:c>
      <x:c r="X1079" s="10" t="n">
        <x:v>131</x:v>
      </x:c>
      <x:c r="Y1079" s="3" t="n">
        <x:v>0</x:v>
      </x:c>
      <x:c r="Z1079" s="3" t="str">
        <x:v>共同</x:v>
      </x:c>
      <x:c r="AA1079" s="3" t="str">
        <x:v>在售</x:v>
      </x:c>
      <x:c r="AB1079" s="12" t="n">
        <x:f>IF(AND(Z1079="共同",ISNUMBER(G1079),ISNUMBER(AD1079)),G1079-AD1079,"")</x:f>
        <x:v>2.910000000000001</x:v>
      </x:c>
      <x:c r="AC1079" s="3" t="str"/>
      <x:c r="AD1079" s="12" t="n">
        <x:v>4.81047619047619</x:v>
      </x:c>
      <x:c r="AE1079" s="3" t="str">
        <x:v>[13120,"230918-ND-S-Z-10"]</x:v>
      </x:c>
      <x:c r="AF1079" t="n">
        <x:f>IF(ISNUMBER(H1079),1,0)</x:f>
        <x:v>1</x:v>
      </x:c>
      <x:c r="AG1079" t="n">
        <x:f>IF(ISNUMBER(I1079),1,0)</x:f>
        <x:v>1</x:v>
      </x:c>
      <x:c r="AH1079" t="str">
        <x:v>["230918","230918-ND-S-Z","ND","裸色"]</x:v>
      </x:c>
      <x:c r="AI1079" t="n">
        <x:f>IF(ISNUMBER(G1079),1,0)</x:f>
        <x:v>1</x:v>
      </x:c>
      <x:c r="AJ1079" t="n">
        <x:f>IF(ISNUMBER(AD1079),1,0)</x:f>
        <x:v>1</x:v>
      </x:c>
    </x:row>
    <x:row r="1080" ht="30" customHeight="1">
      <x:c r="A1080" s="3" t="str">
        <x:v>230918-ND-S-Z-11</x:v>
      </x:c>
      <x:c r="B1080" s="3" t="str">
        <x:v>1店-MUSSHOE-US</x:v>
      </x:c>
      <x:c r="C1080" s="3" t="str">
        <x:v>艾年</x:v>
      </x:c>
      <x:c r="D1080" s="3" t="str">
        <x:v>230918</x:v>
      </x:c>
      <x:c r="E1080" s="3" t="str">
        <x:f>IF(Z1080="移出","已移出",IF(NOT(ISNUMBER(H1080)),"数据待核",IF(H1080=0,"断货",IF(NOT(ISNUMBER(G1080)),"数据待核",IF(G1080=0,"零日销待复核",IF(F1080&lt;60,"补货提醒",IF(F1080&lt;=90,"正常库存",IF(F1080&lt;180,"促销",IF(F1080&lt;=365,"红线促销","考虑清仓")))))))))</x:f>
        <x:v>补货提醒</x:v>
      </x:c>
      <x:c r="F1080" s="11" t="n">
        <x:f>IF(AND(ISNUMBER(H1080),ISNUMBER(G1080),G1080&gt;0),H1080/G1080,"")</x:f>
        <x:v>17.6399149883615</x:v>
      </x:c>
      <x:c r="G1080" s="12" t="n">
        <x:f>IF(AND(COUNT(P1080:R1080)=3,MIN(P1080:R1080)&gt;=0,P1080&lt;=Q1080,Q1080&lt;=R1080),P1080/7*0.5+Q1080/14*0.3+R1080/30*0.2,"")</x:f>
        <x:v>4.705238095238095</x:v>
      </x:c>
      <x:c r="H1080" s="10" t="n">
        <x:f>IF(ISNUMBER(U1080),U1080,"")</x:f>
        <x:v>83</x:v>
      </x:c>
      <x:c r="I1080" s="10" t="n">
        <x:v>114</x:v>
      </x:c>
      <x:c r="J1080" s="11" t="n">
        <x:f>IF(AND(Z1080="共同",ISNUMBER(F1080),ISNUMBER(M1080)),F1080-M1080,"")</x:f>
        <x:v>-29.338106989660478</x:v>
      </x:c>
      <x:c r="K1080" s="13" t="n">
        <x:f>IF(AND(ISNUMBER(J1080),M1080&lt;&gt;0),J1080/M1080,"")</x:f>
        <x:v>-0.6245070727623634</x:v>
      </x:c>
      <x:c r="L1080" s="10" t="str">
        <x:v>补货提醒</x:v>
      </x:c>
      <x:c r="M1080" s="11" t="n">
        <x:v>46.97802197802198</x:v>
      </x:c>
      <x:c r="N1080" s="10" t="n">
        <x:f>IF(AND(Z1080="共同",COUNT(H1080:I1080)=2),H1080-I1080,"")</x:f>
        <x:v>-31</x:v>
      </x:c>
      <x:c r="O1080" s="10" t="n">
        <x:v>57</x:v>
      </x:c>
      <x:c r="P1080" s="10" t="n">
        <x:v>40</x:v>
      </x:c>
      <x:c r="Q1080" s="10" t="n">
        <x:v>57</x:v>
      </x:c>
      <x:c r="R1080" s="10" t="n">
        <x:v>94</x:v>
      </x:c>
      <x:c r="S1080" s="10" t="n">
        <x:v>107</x:v>
      </x:c>
      <x:c r="T1080" s="10" t="n">
        <x:v>1</x:v>
      </x:c>
      <x:c r="U1080" s="10" t="n">
        <x:f>IF(AND(ISNUMBER(X1080),X1080&gt;=0,Y1080&lt;&gt;1),X1080,"")</x:f>
        <x:v>83</x:v>
      </x:c>
      <x:c r="V1080" s="10" t="n">
        <x:v>0</x:v>
      </x:c>
      <x:c r="W1080" s="10" t="n">
        <x:v>182</x:v>
      </x:c>
      <x:c r="X1080" s="10" t="n">
        <x:v>83</x:v>
      </x:c>
      <x:c r="Y1080" s="3" t="n">
        <x:v>0</x:v>
      </x:c>
      <x:c r="Z1080" s="3" t="str">
        <x:v>共同</x:v>
      </x:c>
      <x:c r="AA1080" s="3" t="str">
        <x:v>在售</x:v>
      </x:c>
      <x:c r="AB1080" s="12" t="n">
        <x:f>IF(AND(Z1080="共同",ISNUMBER(G1080),ISNUMBER(AD1080)),G1080-AD1080,"")</x:f>
        <x:v>2.2785714285714285</x:v>
      </x:c>
      <x:c r="AC1080" s="3" t="str"/>
      <x:c r="AD1080" s="12" t="n">
        <x:v>2.4266666666666667</x:v>
      </x:c>
      <x:c r="AE1080" s="3" t="str">
        <x:v>[13120,"230918-ND-S-Z-11"]</x:v>
      </x:c>
      <x:c r="AF1080" t="n">
        <x:f>IF(ISNUMBER(H1080),1,0)</x:f>
        <x:v>1</x:v>
      </x:c>
      <x:c r="AG1080" t="n">
        <x:f>IF(ISNUMBER(I1080),1,0)</x:f>
        <x:v>1</x:v>
      </x:c>
      <x:c r="AH1080" t="str">
        <x:v>["230918","230918-ND-S-Z","ND","裸色"]</x:v>
      </x:c>
      <x:c r="AI1080" t="n">
        <x:f>IF(ISNUMBER(G1080),1,0)</x:f>
        <x:v>1</x:v>
      </x:c>
      <x:c r="AJ1080" t="n">
        <x:f>IF(ISNUMBER(AD1080),1,0)</x:f>
        <x:v>1</x:v>
      </x:c>
    </x:row>
    <x:row r="1081" ht="30" customHeight="1">
      <x:c r="A1081" s="3" t="str">
        <x:v>230918-ND-S-Z-6</x:v>
      </x:c>
      <x:c r="B1081" s="3" t="str">
        <x:v>1店-MUSSHOE-US</x:v>
      </x:c>
      <x:c r="C1081" s="3" t="str">
        <x:v>艾年</x:v>
      </x:c>
      <x:c r="D1081" s="3" t="str">
        <x:v>230918</x:v>
      </x:c>
      <x:c r="E1081" s="3" t="str">
        <x:f>IF(Z1081="移出","已移出",IF(NOT(ISNUMBER(H1081)),"数据待核",IF(H1081=0,"断货",IF(NOT(ISNUMBER(G1081)),"数据待核",IF(G1081=0,"零日销待复核",IF(F1081&lt;60,"补货提醒",IF(F1081&lt;=90,"正常库存",IF(F1081&lt;180,"促销",IF(F1081&lt;=365,"红线促销","考虑清仓")))))))))</x:f>
        <x:v>补货提醒</x:v>
      </x:c>
      <x:c r="F1081" s="11" t="n">
        <x:f>IF(AND(ISNUMBER(H1081),ISNUMBER(G1081),G1081&gt;0),H1081/G1081,"")</x:f>
        <x:v>22.050520059435364</x:v>
      </x:c>
      <x:c r="G1081" s="12" t="n">
        <x:f>IF(AND(COUNT(P1081:R1081)=3,MIN(P1081:R1081)&gt;=0,P1081&lt;=Q1081,Q1081&lt;=R1081),P1081/7*0.5+Q1081/14*0.3+R1081/30*0.2,"")</x:f>
        <x:v>4.807142857142857</x:v>
      </x:c>
      <x:c r="H1081" s="10" t="n">
        <x:f>IF(ISNUMBER(U1081),U1081,"")</x:f>
        <x:v>106</x:v>
      </x:c>
      <x:c r="I1081" s="10" t="n">
        <x:v>149</x:v>
      </x:c>
      <x:c r="J1081" s="11" t="n">
        <x:f>IF(AND(Z1081="共同",ISNUMBER(F1081),ISNUMBER(M1081)),F1081-M1081,"")</x:f>
        <x:v>-26.42353106372498</x:v>
      </x:c>
      <x:c r="K1081" s="13" t="n">
        <x:f>IF(AND(ISNUMBER(J1081),M1081&lt;&gt;0),J1081/M1081,"")</x:f>
        <x:v>-0.54510672104936</x:v>
      </x:c>
      <x:c r="L1081" s="10" t="str">
        <x:v>补货提醒</x:v>
      </x:c>
      <x:c r="M1081" s="11" t="n">
        <x:v>48.47405112316034</x:v>
      </x:c>
      <x:c r="N1081" s="10" t="n">
        <x:f>IF(AND(Z1081="共同",COUNT(H1081:I1081)=2),H1081-I1081,"")</x:f>
        <x:v>-43</x:v>
      </x:c>
      <x:c r="O1081" s="10" t="n">
        <x:v>188</x:v>
      </x:c>
      <x:c r="P1081" s="10" t="n">
        <x:v>36</x:v>
      </x:c>
      <x:c r="Q1081" s="10" t="n">
        <x:v>67</x:v>
      </x:c>
      <x:c r="R1081" s="10" t="n">
        <x:v>120</x:v>
      </x:c>
      <x:c r="S1081" s="10" t="n">
        <x:v>122</x:v>
      </x:c>
      <x:c r="T1081" s="10" t="n">
        <x:v>3</x:v>
      </x:c>
      <x:c r="U1081" s="10" t="n">
        <x:f>IF(AND(ISNUMBER(X1081),X1081&gt;=0,Y1081&lt;&gt;1),X1081,"")</x:f>
        <x:v>106</x:v>
      </x:c>
      <x:c r="V1081" s="10" t="n">
        <x:v>0</x:v>
      </x:c>
      <x:c r="W1081" s="10" t="n">
        <x:v>190</x:v>
      </x:c>
      <x:c r="X1081" s="10" t="n">
        <x:v>106</x:v>
      </x:c>
      <x:c r="Y1081" s="3" t="n">
        <x:v>0</x:v>
      </x:c>
      <x:c r="Z1081" s="3" t="str">
        <x:v>共同</x:v>
      </x:c>
      <x:c r="AA1081" s="3" t="str">
        <x:v>在售</x:v>
      </x:c>
      <x:c r="AB1081" s="12" t="n">
        <x:f>IF(AND(Z1081="共同",ISNUMBER(G1081),ISNUMBER(AD1081)),G1081-AD1081,"")</x:f>
        <x:v>1.7333333333333334</x:v>
      </x:c>
      <x:c r="AC1081" s="3" t="str"/>
      <x:c r="AD1081" s="12" t="n">
        <x:v>3.0738095238095235</x:v>
      </x:c>
      <x:c r="AE1081" s="3" t="str">
        <x:v>[13120,"230918-ND-S-Z-6"]</x:v>
      </x:c>
      <x:c r="AF1081" t="n">
        <x:f>IF(ISNUMBER(H1081),1,0)</x:f>
        <x:v>1</x:v>
      </x:c>
      <x:c r="AG1081" t="n">
        <x:f>IF(ISNUMBER(I1081),1,0)</x:f>
        <x:v>1</x:v>
      </x:c>
      <x:c r="AH1081" t="str">
        <x:v>["230918","230918-ND-S-Z","ND","裸色"]</x:v>
      </x:c>
      <x:c r="AI1081" t="n">
        <x:f>IF(ISNUMBER(G1081),1,0)</x:f>
        <x:v>1</x:v>
      </x:c>
      <x:c r="AJ1081" t="n">
        <x:f>IF(ISNUMBER(AD1081),1,0)</x:f>
        <x:v>1</x:v>
      </x:c>
    </x:row>
    <x:row r="1082" ht="30" customHeight="1">
      <x:c r="A1082" s="3" t="str">
        <x:v>230918-ND-S-Z-7</x:v>
      </x:c>
      <x:c r="B1082" s="3" t="str">
        <x:v>1店-MUSSHOE-US</x:v>
      </x:c>
      <x:c r="C1082" s="3" t="str">
        <x:v>艾年</x:v>
      </x:c>
      <x:c r="D1082" s="3" t="str">
        <x:v>230918</x:v>
      </x:c>
      <x:c r="E1082" s="3" t="str">
        <x:f>IF(Z1082="移出","已移出",IF(NOT(ISNUMBER(H1082)),"数据待核",IF(H1082=0,"断货",IF(NOT(ISNUMBER(G1082)),"数据待核",IF(G1082=0,"零日销待复核",IF(F1082&lt;60,"补货提醒",IF(F1082&lt;=90,"正常库存",IF(F1082&lt;180,"促销",IF(F1082&lt;=365,"红线促销","考虑清仓")))))))))</x:f>
        <x:v>补货提醒</x:v>
      </x:c>
      <x:c r="F1082" s="11" t="n">
        <x:f>IF(AND(ISNUMBER(H1082),ISNUMBER(G1082),G1082&gt;0),H1082/G1082,"")</x:f>
        <x:v>23.919297154408333</x:v>
      </x:c>
      <x:c r="G1082" s="12" t="n">
        <x:f>IF(AND(COUNT(P1082:R1082)=3,MIN(P1082:R1082)&gt;=0,P1082&lt;=Q1082,Q1082&lt;=R1082),P1082/7*0.5+Q1082/14*0.3+R1082/30*0.2,"")</x:f>
        <x:v>12.24952380952381</x:v>
      </x:c>
      <x:c r="H1082" s="10" t="n">
        <x:f>IF(ISNUMBER(U1082),U1082,"")</x:f>
        <x:v>293</x:v>
      </x:c>
      <x:c r="I1082" s="10" t="n">
        <x:v>412</x:v>
      </x:c>
      <x:c r="J1082" s="11" t="n">
        <x:f>IF(AND(Z1082="共同",ISNUMBER(F1082),ISNUMBER(M1082)),F1082-M1082,"")</x:f>
        <x:v>-37.147896521480995</x:v>
      </x:c>
      <x:c r="K1082" s="13" t="n">
        <x:f>IF(AND(ISNUMBER(J1082),M1082&lt;&gt;0),J1082/M1082,"")</x:f>
        <x:v>-0.6083118330054816</x:v>
      </x:c>
      <x:c r="L1082" s="10" t="str">
        <x:v>正常库存</x:v>
      </x:c>
      <x:c r="M1082" s="11" t="n">
        <x:v>61.06719367588933</x:v>
      </x:c>
      <x:c r="N1082" s="10" t="n">
        <x:f>IF(AND(Z1082="共同",COUNT(H1082:I1082)=2),H1082-I1082,"")</x:f>
        <x:v>-119</x:v>
      </x:c>
      <x:c r="O1082" s="10" t="n">
        <x:v>0</x:v>
      </x:c>
      <x:c r="P1082" s="10" t="n">
        <x:v>97</x:v>
      </x:c>
      <x:c r="Q1082" s="10" t="n">
        <x:v>164</x:v>
      </x:c>
      <x:c r="R1082" s="10" t="n">
        <x:v>271</x:v>
      </x:c>
      <x:c r="S1082" s="10" t="n">
        <x:v>325</x:v>
      </x:c>
      <x:c r="T1082" s="10" t="n">
        <x:v>5</x:v>
      </x:c>
      <x:c r="U1082" s="10" t="n">
        <x:f>IF(AND(ISNUMBER(X1082),X1082&gt;=0,Y1082&lt;&gt;1),X1082,"")</x:f>
        <x:v>293</x:v>
      </x:c>
      <x:c r="V1082" s="10" t="n">
        <x:v>0</x:v>
      </x:c>
      <x:c r="W1082" s="10" t="n">
        <x:v>442</x:v>
      </x:c>
      <x:c r="X1082" s="10" t="n">
        <x:v>293</x:v>
      </x:c>
      <x:c r="Y1082" s="3" t="n">
        <x:v>0</x:v>
      </x:c>
      <x:c r="Z1082" s="3" t="str">
        <x:v>共同</x:v>
      </x:c>
      <x:c r="AA1082" s="3" t="str">
        <x:v>在售</x:v>
      </x:c>
      <x:c r="AB1082" s="12" t="n">
        <x:f>IF(AND(Z1082="共同",ISNUMBER(G1082),ISNUMBER(AD1082)),G1082-AD1082,"")</x:f>
        <x:v>5.502857142857143</x:v>
      </x:c>
      <x:c r="AC1082" s="3" t="str"/>
      <x:c r="AD1082" s="12" t="n">
        <x:v>6.746666666666667</x:v>
      </x:c>
      <x:c r="AE1082" s="3" t="str">
        <x:v>[13120,"230918-ND-S-Z-7"]</x:v>
      </x:c>
      <x:c r="AF1082" t="n">
        <x:f>IF(ISNUMBER(H1082),1,0)</x:f>
        <x:v>1</x:v>
      </x:c>
      <x:c r="AG1082" t="n">
        <x:f>IF(ISNUMBER(I1082),1,0)</x:f>
        <x:v>1</x:v>
      </x:c>
      <x:c r="AH1082" t="str">
        <x:v>["230918","230918-ND-S-Z","ND","裸色"]</x:v>
      </x:c>
      <x:c r="AI1082" t="n">
        <x:f>IF(ISNUMBER(G1082),1,0)</x:f>
        <x:v>1</x:v>
      </x:c>
      <x:c r="AJ1082" t="n">
        <x:f>IF(ISNUMBER(AD1082),1,0)</x:f>
        <x:v>1</x:v>
      </x:c>
    </x:row>
    <x:row r="1083" ht="30" customHeight="1">
      <x:c r="A1083" s="3" t="str">
        <x:v>230918-ND-S-Z-8</x:v>
      </x:c>
      <x:c r="B1083" s="3" t="str">
        <x:v>1店-MUSSHOE-US</x:v>
      </x:c>
      <x:c r="C1083" s="3" t="str">
        <x:v>艾年</x:v>
      </x:c>
      <x:c r="D1083" s="3" t="str">
        <x:v>230918</x:v>
      </x:c>
      <x:c r="E1083" s="3" t="str">
        <x:f>IF(Z1083="移出","已移出",IF(NOT(ISNUMBER(H1083)),"数据待核",IF(H1083=0,"断货",IF(NOT(ISNUMBER(G1083)),"数据待核",IF(G1083=0,"零日销待复核",IF(F1083&lt;60,"补货提醒",IF(F1083&lt;=90,"正常库存",IF(F1083&lt;180,"促销",IF(F1083&lt;=365,"红线促销","考虑清仓")))))))))</x:f>
        <x:v>补货提醒</x:v>
      </x:c>
      <x:c r="F1083" s="11" t="n">
        <x:f>IF(AND(ISNUMBER(H1083),ISNUMBER(G1083),G1083&gt;0),H1083/G1083,"")</x:f>
        <x:v>18.81622300708749</x:v>
      </x:c>
      <x:c r="G1083" s="12" t="n">
        <x:f>IF(AND(COUNT(P1083:R1083)=3,MIN(P1083:R1083)&gt;=0,P1083&lt;=Q1083,Q1083&lt;=R1083),P1083/7*0.5+Q1083/14*0.3+R1083/30*0.2,"")</x:f>
        <x:v>20.08904761904762</x:v>
      </x:c>
      <x:c r="H1083" s="10" t="n">
        <x:f>IF(ISNUMBER(U1083),U1083,"")</x:f>
        <x:v>378</x:v>
      </x:c>
      <x:c r="I1083" s="10" t="n">
        <x:v>597</x:v>
      </x:c>
      <x:c r="J1083" s="11" t="n">
        <x:f>IF(AND(Z1083="共同",ISNUMBER(F1083),ISNUMBER(M1083)),F1083-M1083,"")</x:f>
        <x:v>-33.39734577388789</x:v>
      </x:c>
      <x:c r="K1083" s="13" t="n">
        <x:f>IF(AND(ISNUMBER(J1083),M1083&lt;&gt;0),J1083/M1083,"")</x:f>
        <x:v>-0.6396296317913553</x:v>
      </x:c>
      <x:c r="L1083" s="10" t="str">
        <x:v>补货提醒</x:v>
      </x:c>
      <x:c r="M1083" s="11" t="n">
        <x:v>52.213568780975386</x:v>
      </x:c>
      <x:c r="N1083" s="10" t="n">
        <x:f>IF(AND(Z1083="共同",COUNT(H1083:I1083)=2),H1083-I1083,"")</x:f>
        <x:v>-219</x:v>
      </x:c>
      <x:c r="O1083" s="10" t="n">
        <x:v>86</x:v>
      </x:c>
      <x:c r="P1083" s="10" t="n">
        <x:v>159</x:v>
      </x:c>
      <x:c r="Q1083" s="10" t="n">
        <x:v>265</x:v>
      </x:c>
      <x:c r="R1083" s="10" t="n">
        <x:v>458</x:v>
      </x:c>
      <x:c r="S1083" s="10" t="n">
        <x:v>427</x:v>
      </x:c>
      <x:c r="T1083" s="10" t="n">
        <x:v>5</x:v>
      </x:c>
      <x:c r="U1083" s="10" t="n">
        <x:f>IF(AND(ISNUMBER(X1083),X1083&gt;=0,Y1083&lt;&gt;1),X1083,"")</x:f>
        <x:v>378</x:v>
      </x:c>
      <x:c r="V1083" s="10" t="n">
        <x:v>0</x:v>
      </x:c>
      <x:c r="W1083" s="10" t="n">
        <x:v>1020</x:v>
      </x:c>
      <x:c r="X1083" s="10" t="n">
        <x:v>378</x:v>
      </x:c>
      <x:c r="Y1083" s="3" t="n">
        <x:v>0</x:v>
      </x:c>
      <x:c r="Z1083" s="3" t="str">
        <x:v>共同</x:v>
      </x:c>
      <x:c r="AA1083" s="3" t="str">
        <x:v>在售</x:v>
      </x:c>
      <x:c r="AB1083" s="12" t="n">
        <x:f>IF(AND(Z1083="共同",ISNUMBER(G1083),ISNUMBER(AD1083)),G1083-AD1083,"")</x:f>
        <x:v>8.655238095238095</x:v>
      </x:c>
      <x:c r="AC1083" s="3" t="str"/>
      <x:c r="AD1083" s="12" t="n">
        <x:v>11.433809523809524</x:v>
      </x:c>
      <x:c r="AE1083" s="3" t="str">
        <x:v>[13120,"230918-ND-S-Z-8"]</x:v>
      </x:c>
      <x:c r="AF1083" t="n">
        <x:f>IF(ISNUMBER(H1083),1,0)</x:f>
        <x:v>1</x:v>
      </x:c>
      <x:c r="AG1083" t="n">
        <x:f>IF(ISNUMBER(I1083),1,0)</x:f>
        <x:v>1</x:v>
      </x:c>
      <x:c r="AH1083" t="str">
        <x:v>["230918","230918-ND-S-Z","ND","裸色"]</x:v>
      </x:c>
      <x:c r="AI1083" t="n">
        <x:f>IF(ISNUMBER(G1083),1,0)</x:f>
        <x:v>1</x:v>
      </x:c>
      <x:c r="AJ1083" t="n">
        <x:f>IF(ISNUMBER(AD1083),1,0)</x:f>
        <x:v>1</x:v>
      </x:c>
    </x:row>
    <x:row r="1084" ht="30" customHeight="1">
      <x:c r="A1084" s="3" t="str">
        <x:v>230918-ND-S-Z-9</x:v>
      </x:c>
      <x:c r="B1084" s="3" t="str">
        <x:v>1店-MUSSHOE-US</x:v>
      </x:c>
      <x:c r="C1084" s="3" t="str">
        <x:v>艾年</x:v>
      </x:c>
      <x:c r="D1084" s="3" t="str">
        <x:v>230918</x:v>
      </x:c>
      <x:c r="E1084" s="3" t="str">
        <x:f>IF(Z1084="移出","已移出",IF(NOT(ISNUMBER(H1084)),"数据待核",IF(H1084=0,"断货",IF(NOT(ISNUMBER(G1084)),"数据待核",IF(G1084=0,"零日销待复核",IF(F1084&lt;60,"补货提醒",IF(F1084&lt;=90,"正常库存",IF(F1084&lt;180,"促销",IF(F1084&lt;=365,"红线促销","考虑清仓")))))))))</x:f>
        <x:v>补货提醒</x:v>
      </x:c>
      <x:c r="F1084" s="11" t="n">
        <x:f>IF(AND(ISNUMBER(H1084),ISNUMBER(G1084),G1084&gt;0),H1084/G1084,"")</x:f>
        <x:v>56.04881974248927</x:v>
      </x:c>
      <x:c r="G1084" s="12" t="n">
        <x:f>IF(AND(COUNT(P1084:R1084)=3,MIN(P1084:R1084)&gt;=0,P1084&lt;=Q1084,Q1084&lt;=R1084),P1084/7*0.5+Q1084/14*0.3+R1084/30*0.2,"")</x:f>
        <x:v>14.201904761904762</x:v>
      </x:c>
      <x:c r="H1084" s="10" t="n">
        <x:f>IF(ISNUMBER(U1084),U1084,"")</x:f>
        <x:v>796</x:v>
      </x:c>
      <x:c r="I1084" s="10" t="n">
        <x:v>954</x:v>
      </x:c>
      <x:c r="J1084" s="11" t="n">
        <x:f>IF(AND(Z1084="共同",ISNUMBER(F1084),ISNUMBER(M1084)),F1084-M1084,"")</x:f>
        <x:v>-31.588975533101276</x:v>
      </x:c>
      <x:c r="K1084" s="13" t="n">
        <x:f>IF(AND(ISNUMBER(J1084),M1084&lt;&gt;0),J1084/M1084,"")</x:f>
        <x:v>-0.360449226658029</x:v>
      </x:c>
      <x:c r="L1084" s="10" t="str">
        <x:v>正常库存</x:v>
      </x:c>
      <x:c r="M1084" s="11" t="n">
        <x:v>87.63779527559055</x:v>
      </x:c>
      <x:c r="N1084" s="10" t="n">
        <x:f>IF(AND(Z1084="共同",COUNT(H1084:I1084)=2),H1084-I1084,"")</x:f>
        <x:v>-158</x:v>
      </x:c>
      <x:c r="O1084" s="10" t="n">
        <x:v>230</x:v>
      </x:c>
      <x:c r="P1084" s="10" t="n">
        <x:v>108</x:v>
      </x:c>
      <x:c r="Q1084" s="10" t="n">
        <x:v>192</x:v>
      </x:c>
      <x:c r="R1084" s="10" t="n">
        <x:v>356</x:v>
      </x:c>
      <x:c r="S1084" s="10" t="n">
        <x:v>862</x:v>
      </x:c>
      <x:c r="T1084" s="10" t="n">
        <x:v>1</x:v>
      </x:c>
      <x:c r="U1084" s="10" t="n">
        <x:f>IF(AND(ISNUMBER(X1084),X1084&gt;=0,Y1084&lt;&gt;1),X1084,"")</x:f>
        <x:v>796</x:v>
      </x:c>
      <x:c r="V1084" s="10" t="n">
        <x:v>0</x:v>
      </x:c>
      <x:c r="W1084" s="10" t="n">
        <x:v>547</x:v>
      </x:c>
      <x:c r="X1084" s="10" t="n">
        <x:v>796</x:v>
      </x:c>
      <x:c r="Y1084" s="3" t="n">
        <x:v>0</x:v>
      </x:c>
      <x:c r="Z1084" s="3" t="str">
        <x:v>共同</x:v>
      </x:c>
      <x:c r="AA1084" s="3" t="str">
        <x:v>在售</x:v>
      </x:c>
      <x:c r="AB1084" s="12" t="n">
        <x:f>IF(AND(Z1084="共同",ISNUMBER(G1084),ISNUMBER(AD1084)),G1084-AD1084,"")</x:f>
        <x:v>3.316190476190476</x:v>
      </x:c>
      <x:c r="AC1084" s="3" t="str"/>
      <x:c r="AD1084" s="12" t="n">
        <x:v>10.885714285714286</x:v>
      </x:c>
      <x:c r="AE1084" s="3" t="str">
        <x:v>[13120,"230918-ND-S-Z-9"]</x:v>
      </x:c>
      <x:c r="AF1084" t="n">
        <x:f>IF(ISNUMBER(H1084),1,0)</x:f>
        <x:v>1</x:v>
      </x:c>
      <x:c r="AG1084" t="n">
        <x:f>IF(ISNUMBER(I1084),1,0)</x:f>
        <x:v>1</x:v>
      </x:c>
      <x:c r="AH1084" t="str">
        <x:v>["230918","230918-ND-S-Z","ND","裸色"]</x:v>
      </x:c>
      <x:c r="AI1084" t="n">
        <x:f>IF(ISNUMBER(G1084),1,0)</x:f>
        <x:v>1</x:v>
      </x:c>
      <x:c r="AJ1084" t="n">
        <x:f>IF(ISNUMBER(AD1084),1,0)</x:f>
        <x:v>1</x:v>
      </x:c>
    </x:row>
    <x:row r="1085" ht="30" customHeight="1">
      <x:c r="A1085" s="3" t="str">
        <x:v>230918-TN-P-Z-10</x:v>
      </x:c>
      <x:c r="B1085" s="3" t="str">
        <x:v>1店-MUSSHOE-US</x:v>
      </x:c>
      <x:c r="C1085" s="3" t="str">
        <x:v>艾年</x:v>
      </x:c>
      <x:c r="D1085" s="3" t="str">
        <x:v>230918</x:v>
      </x:c>
      <x:c r="E1085" s="3" t="str">
        <x:f>IF(Z1085="移出","已移出",IF(NOT(ISNUMBER(H1085)),"数据待核",IF(H1085=0,"断货",IF(NOT(ISNUMBER(G1085)),"数据待核",IF(G1085=0,"零日销待复核",IF(F1085&lt;60,"补货提醒",IF(F1085&lt;=90,"正常库存",IF(F1085&lt;180,"促销",IF(F1085&lt;=365,"红线促销","考虑清仓")))))))))</x:f>
        <x:v>补货提醒</x:v>
      </x:c>
      <x:c r="F1085" s="11" t="n">
        <x:f>IF(AND(ISNUMBER(H1085),ISNUMBER(G1085),G1085&gt;0),H1085/G1085,"")</x:f>
        <x:v>2.3026315789473686</x:v>
      </x:c>
      <x:c r="G1085" s="12" t="n">
        <x:f>IF(AND(COUNT(P1085:R1085)=3,MIN(P1085:R1085)&gt;=0,P1085&lt;=Q1085,Q1085&lt;=R1085),P1085/7*0.5+Q1085/14*0.3+R1085/30*0.2,"")</x:f>
        <x:v>0.4342857142857143</x:v>
      </x:c>
      <x:c r="H1085" s="10" t="n">
        <x:f>IF(ISNUMBER(U1085),U1085,"")</x:f>
        <x:v>1</x:v>
      </x:c>
      <x:c r="I1085" s="10" t="n">
        <x:v>7</x:v>
      </x:c>
      <x:c r="J1085" s="11" t="n">
        <x:f>IF(AND(Z1085="共同",ISNUMBER(F1085),ISNUMBER(M1085)),F1085-M1085,"")</x:f>
        <x:v>-7.286409516943044</x:v>
      </x:c>
      <x:c r="K1085" s="13" t="n">
        <x:f>IF(AND(ISNUMBER(J1085),M1085&lt;&gt;0),J1085/M1085,"")</x:f>
        <x:v>-0.7598684210526316</x:v>
      </x:c>
      <x:c r="L1085" s="10" t="str">
        <x:v>补货提醒</x:v>
      </x:c>
      <x:c r="M1085" s="11" t="n">
        <x:v>9.589041095890412</x:v>
      </x:c>
      <x:c r="N1085" s="10" t="n">
        <x:f>IF(AND(Z1085="共同",COUNT(H1085:I1085)=2),H1085-I1085,"")</x:f>
        <x:v>-6</x:v>
      </x:c>
      <x:c r="O1085" s="10" t="n">
        <x:v>1</x:v>
      </x:c>
      <x:c r="P1085" s="10" t="n">
        <x:v>2</x:v>
      </x:c>
      <x:c r="Q1085" s="10" t="n">
        <x:v>8</x:v>
      </x:c>
      <x:c r="R1085" s="10" t="n">
        <x:v>18</x:v>
      </x:c>
      <x:c r="S1085" s="10" t="n">
        <x:v>10</x:v>
      </x:c>
      <x:c r="T1085" s="10" t="n">
        <x:v>1</x:v>
      </x:c>
      <x:c r="U1085" s="10" t="n">
        <x:f>IF(AND(ISNUMBER(X1085),X1085&gt;=0,Y1085&lt;&gt;1),X1085,"")</x:f>
        <x:v>1</x:v>
      </x:c>
      <x:c r="V1085" s="10" t="n">
        <x:v>0</x:v>
      </x:c>
      <x:c r="W1085" s="10" t="n">
        <x:v>98</x:v>
      </x:c>
      <x:c r="X1085" s="10" t="n">
        <x:v>1</x:v>
      </x:c>
      <x:c r="Y1085" s="3" t="n">
        <x:v>0</x:v>
      </x:c>
      <x:c r="Z1085" s="3" t="str">
        <x:v>共同</x:v>
      </x:c>
      <x:c r="AA1085" s="3" t="str">
        <x:v>在售</x:v>
      </x:c>
      <x:c r="AB1085" s="12" t="n">
        <x:f>IF(AND(Z1085="共同",ISNUMBER(G1085),ISNUMBER(AD1085)),G1085-AD1085,"")</x:f>
        <x:v>-0.2957142857142857</x:v>
      </x:c>
      <x:c r="AC1085" s="3" t="str"/>
      <x:c r="AD1085" s="12" t="n">
        <x:v>0.73</x:v>
      </x:c>
      <x:c r="AE1085" s="3" t="str">
        <x:v>[13120,"230918-TN-P-Z-10"]</x:v>
      </x:c>
      <x:c r="AF1085" t="n">
        <x:f>IF(ISNUMBER(H1085),1,0)</x:f>
        <x:v>1</x:v>
      </x:c>
      <x:c r="AG1085" t="n">
        <x:f>IF(ISNUMBER(I1085),1,0)</x:f>
        <x:v>1</x:v>
      </x:c>
      <x:c r="AH1085" t="str">
        <x:v>["230918","230918-TN-P-Z","TN-P","驼色PU"]</x:v>
      </x:c>
      <x:c r="AI1085" t="n">
        <x:f>IF(ISNUMBER(G1085),1,0)</x:f>
        <x:v>1</x:v>
      </x:c>
      <x:c r="AJ1085" t="n">
        <x:f>IF(ISNUMBER(AD1085),1,0)</x:f>
        <x:v>1</x:v>
      </x:c>
    </x:row>
    <x:row r="1086" ht="30" customHeight="1">
      <x:c r="A1086" s="3" t="str">
        <x:v>230918-TN-P-Z-7</x:v>
      </x:c>
      <x:c r="B1086" s="3" t="str">
        <x:v>1店-MUSSHOE-US</x:v>
      </x:c>
      <x:c r="C1086" s="3" t="str">
        <x:v>艾年</x:v>
      </x:c>
      <x:c r="D1086" s="3" t="str">
        <x:v>230918</x:v>
      </x:c>
      <x:c r="E1086" s="3" t="str">
        <x:f>IF(Z1086="移出","已移出",IF(NOT(ISNUMBER(H1086)),"数据待核",IF(H1086=0,"断货",IF(NOT(ISNUMBER(G1086)),"数据待核",IF(G1086=0,"零日销待复核",IF(F1086&lt;60,"补货提醒",IF(F1086&lt;=90,"正常库存",IF(F1086&lt;180,"促销",IF(F1086&lt;=365,"红线促销","考虑清仓")))))))))</x:f>
        <x:v>补货提醒</x:v>
      </x:c>
      <x:c r="F1086" s="11" t="n">
        <x:f>IF(AND(ISNUMBER(H1086),ISNUMBER(G1086),G1086&gt;0),H1086/G1086,"")</x:f>
        <x:v>23.028720626631856</x:v>
      </x:c>
      <x:c r="G1086" s="12" t="n">
        <x:f>IF(AND(COUNT(P1086:R1086)=3,MIN(P1086:R1086)&gt;=0,P1086&lt;=Q1086,Q1086&lt;=R1086),P1086/7*0.5+Q1086/14*0.3+R1086/30*0.2,"")</x:f>
        <x:v>0.9119047619047619</x:v>
      </x:c>
      <x:c r="H1086" s="10" t="n">
        <x:f>IF(ISNUMBER(U1086),U1086,"")</x:f>
        <x:v>21</x:v>
      </x:c>
      <x:c r="I1086" s="10" t="n">
        <x:v>33</x:v>
      </x:c>
      <x:c r="J1086" s="11" t="n">
        <x:f>IF(AND(Z1086="共同",ISNUMBER(F1086),ISNUMBER(M1086)),F1086-M1086,"")</x:f>
        <x:v>-52.62630120742929</x:v>
      </x:c>
      <x:c r="K1086" s="13" t="n">
        <x:f>IF(AND(ISNUMBER(J1086),M1086&lt;&gt;0),J1086/M1086,"")</x:f>
        <x:v>-0.6956088298124852</x:v>
      </x:c>
      <x:c r="L1086" s="10" t="str">
        <x:v>正常库存</x:v>
      </x:c>
      <x:c r="M1086" s="11" t="n">
        <x:v>75.65502183406115</x:v>
      </x:c>
      <x:c r="N1086" s="10" t="n">
        <x:f>IF(AND(Z1086="共同",COUNT(H1086:I1086)=2),H1086-I1086,"")</x:f>
        <x:v>-12</x:v>
      </x:c>
      <x:c r="O1086" s="10" t="n">
        <x:v>50</x:v>
      </x:c>
      <x:c r="P1086" s="10" t="n">
        <x:v>7</x:v>
      </x:c>
      <x:c r="Q1086" s="10" t="n">
        <x:v>13</x:v>
      </x:c>
      <x:c r="R1086" s="10" t="n">
        <x:v>20</x:v>
      </x:c>
      <x:c r="S1086" s="10" t="n">
        <x:v>30</x:v>
      </x:c>
      <x:c r="T1086" s="10" t="n">
        <x:v>3</x:v>
      </x:c>
      <x:c r="U1086" s="10" t="n">
        <x:f>IF(AND(ISNUMBER(X1086),X1086&gt;=0,Y1086&lt;&gt;1),X1086,"")</x:f>
        <x:v>21</x:v>
      </x:c>
      <x:c r="V1086" s="10" t="n">
        <x:v>0</x:v>
      </x:c>
      <x:c r="W1086" s="10" t="n">
        <x:v>55</x:v>
      </x:c>
      <x:c r="X1086" s="10" t="n">
        <x:v>21</x:v>
      </x:c>
      <x:c r="Y1086" s="3" t="n">
        <x:v>0</x:v>
      </x:c>
      <x:c r="Z1086" s="3" t="str">
        <x:v>共同</x:v>
      </x:c>
      <x:c r="AA1086" s="3" t="str">
        <x:v>在售</x:v>
      </x:c>
      <x:c r="AB1086" s="12" t="n">
        <x:f>IF(AND(Z1086="共同",ISNUMBER(G1086),ISNUMBER(AD1086)),G1086-AD1086,"")</x:f>
        <x:v>0.47571428571428576</x:v>
      </x:c>
      <x:c r="AC1086" s="3" t="str"/>
      <x:c r="AD1086" s="12" t="n">
        <x:v>0.43619047619047613</x:v>
      </x:c>
      <x:c r="AE1086" s="3" t="str">
        <x:v>[13120,"230918-TN-P-Z-7"]</x:v>
      </x:c>
      <x:c r="AF1086" t="n">
        <x:f>IF(ISNUMBER(H1086),1,0)</x:f>
        <x:v>1</x:v>
      </x:c>
      <x:c r="AG1086" t="n">
        <x:f>IF(ISNUMBER(I1086),1,0)</x:f>
        <x:v>1</x:v>
      </x:c>
      <x:c r="AH1086" t="str">
        <x:v>["230918","230918-TN-P-Z","TN-P","驼色PU"]</x:v>
      </x:c>
      <x:c r="AI1086" t="n">
        <x:f>IF(ISNUMBER(G1086),1,0)</x:f>
        <x:v>1</x:v>
      </x:c>
      <x:c r="AJ1086" t="n">
        <x:f>IF(ISNUMBER(AD1086),1,0)</x:f>
        <x:v>1</x:v>
      </x:c>
    </x:row>
    <x:row r="1087" ht="30" customHeight="1">
      <x:c r="A1087" s="3" t="str">
        <x:v>230918-TN-S-Z-6</x:v>
      </x:c>
      <x:c r="B1087" s="3" t="str">
        <x:v>1店-MUSSHOE-US</x:v>
      </x:c>
      <x:c r="C1087" s="3" t="str">
        <x:v>艾年</x:v>
      </x:c>
      <x:c r="D1087" s="3" t="str">
        <x:v>230918</x:v>
      </x:c>
      <x:c r="E1087" s="3" t="str">
        <x:f>IF(Z1087="移出","已移出",IF(NOT(ISNUMBER(H1087)),"数据待核",IF(H1087=0,"断货",IF(NOT(ISNUMBER(G1087)),"数据待核",IF(G1087=0,"零日销待复核",IF(F1087&lt;60,"补货提醒",IF(F1087&lt;=90,"正常库存",IF(F1087&lt;180,"促销",IF(F1087&lt;=365,"红线促销","考虑清仓")))))))))</x:f>
        <x:v>补货提醒</x:v>
      </x:c>
      <x:c r="F1087" s="11" t="n">
        <x:f>IF(AND(ISNUMBER(H1087),ISNUMBER(G1087),G1087&gt;0),H1087/G1087,"")</x:f>
        <x:v>21.384928716904277</x:v>
      </x:c>
      <x:c r="G1087" s="12" t="n">
        <x:f>IF(AND(COUNT(P1087:R1087)=3,MIN(P1087:R1087)&gt;=0,P1087&lt;=Q1087,Q1087&lt;=R1087),P1087/7*0.5+Q1087/14*0.3+R1087/30*0.2,"")</x:f>
        <x:v>0.4676190476190476</x:v>
      </x:c>
      <x:c r="H1087" s="10" t="n">
        <x:f>IF(ISNUMBER(U1087),U1087,"")</x:f>
        <x:v>10</x:v>
      </x:c>
      <x:c r="I1087" s="10" t="n">
        <x:v>10</x:v>
      </x:c>
      <x:c r="J1087" s="11" t="n">
        <x:f>IF(AND(Z1087="共同",ISNUMBER(F1087),ISNUMBER(M1087)),F1087-M1087,"")</x:f>
        <x:v>-43.42988609791055</x:v>
      </x:c>
      <x:c r="K1087" s="13" t="n">
        <x:f>IF(AND(ISNUMBER(J1087),M1087&lt;&gt;0),J1087/M1087,"")</x:f>
        <x:v>-0.6700610997963341</x:v>
      </x:c>
      <x:c r="L1087" s="10" t="str">
        <x:v>正常库存</x:v>
      </x:c>
      <x:c r="M1087" s="11" t="n">
        <x:v>64.81481481481482</x:v>
      </x:c>
      <x:c r="N1087" s="10" t="n">
        <x:f>IF(AND(Z1087="共同",COUNT(H1087:I1087)=2),H1087-I1087,"")</x:f>
        <x:v>0</x:v>
      </x:c>
      <x:c r="O1087" s="10" t="n">
        <x:v>21</x:v>
      </x:c>
      <x:c r="P1087" s="10" t="n">
        <x:v>4</x:v>
      </x:c>
      <x:c r="Q1087" s="10" t="n">
        <x:v>6</x:v>
      </x:c>
      <x:c r="R1087" s="10" t="n">
        <x:v>8</x:v>
      </x:c>
      <x:c r="S1087" s="10" t="n">
        <x:v>14</x:v>
      </x:c>
      <x:c r="T1087" s="10" t="n">
        <x:v>2</x:v>
      </x:c>
      <x:c r="U1087" s="10" t="n">
        <x:f>IF(AND(ISNUMBER(X1087),X1087&gt;=0,Y1087&lt;&gt;1),X1087,"")</x:f>
        <x:v>10</x:v>
      </x:c>
      <x:c r="V1087" s="10" t="n">
        <x:v>0</x:v>
      </x:c>
      <x:c r="W1087" s="10" t="n">
        <x:v>33</x:v>
      </x:c>
      <x:c r="X1087" s="10" t="n">
        <x:v>10</x:v>
      </x:c>
      <x:c r="Y1087" s="3" t="n">
        <x:v>0</x:v>
      </x:c>
      <x:c r="Z1087" s="3" t="str">
        <x:v>共同</x:v>
      </x:c>
      <x:c r="AA1087" s="3" t="str">
        <x:v>在售</x:v>
      </x:c>
      <x:c r="AB1087" s="12" t="n">
        <x:f>IF(AND(Z1087="共同",ISNUMBER(G1087),ISNUMBER(AD1087)),G1087-AD1087,"")</x:f>
        <x:v>0.31333333333333335</x:v>
      </x:c>
      <x:c r="AC1087" s="3" t="str"/>
      <x:c r="AD1087" s="12" t="n">
        <x:v>0.15428571428571428</x:v>
      </x:c>
      <x:c r="AE1087" s="3" t="str">
        <x:v>[13120,"230918-TN-S-Z-6"]</x:v>
      </x:c>
      <x:c r="AF1087" t="n">
        <x:f>IF(ISNUMBER(H1087),1,0)</x:f>
        <x:v>1</x:v>
      </x:c>
      <x:c r="AG1087" t="n">
        <x:f>IF(ISNUMBER(I1087),1,0)</x:f>
        <x:v>1</x:v>
      </x:c>
      <x:c r="AH1087" t="str">
        <x:v>["230918","230918-TN-S-Z","TN","驼色"]</x:v>
      </x:c>
      <x:c r="AI1087" t="n">
        <x:f>IF(ISNUMBER(G1087),1,0)</x:f>
        <x:v>1</x:v>
      </x:c>
      <x:c r="AJ1087" t="n">
        <x:f>IF(ISNUMBER(AD1087),1,0)</x:f>
        <x:v>1</x:v>
      </x:c>
    </x:row>
    <x:row r="1088" ht="30" customHeight="1">
      <x:c r="A1088" s="3" t="str">
        <x:v>230918-TN-S-Z-7</x:v>
      </x:c>
      <x:c r="B1088" s="3" t="str">
        <x:v>1店-MUSSHOE-US</x:v>
      </x:c>
      <x:c r="C1088" s="3" t="str">
        <x:v>艾年</x:v>
      </x:c>
      <x:c r="D1088" s="3" t="str">
        <x:v>230918</x:v>
      </x:c>
      <x:c r="E1088" s="3" t="str">
        <x:f>IF(Z1088="移出","已移出",IF(NOT(ISNUMBER(H1088)),"数据待核",IF(H1088=0,"断货",IF(NOT(ISNUMBER(G1088)),"数据待核",IF(G1088=0,"零日销待复核",IF(F1088&lt;60,"补货提醒",IF(F1088&lt;=90,"正常库存",IF(F1088&lt;180,"促销",IF(F1088&lt;=365,"红线促销","考虑清仓")))))))))</x:f>
        <x:v>补货提醒</x:v>
      </x:c>
      <x:c r="F1088" s="11" t="n">
        <x:f>IF(AND(ISNUMBER(H1088),ISNUMBER(G1088),G1088&gt;0),H1088/G1088,"")</x:f>
        <x:v>20.20618556701031</x:v>
      </x:c>
      <x:c r="G1088" s="12" t="n">
        <x:f>IF(AND(COUNT(P1088:R1088)=3,MIN(P1088:R1088)&gt;=0,P1088&lt;=Q1088,Q1088&lt;=R1088),P1088/7*0.5+Q1088/14*0.3+R1088/30*0.2,"")</x:f>
        <x:v>0.6928571428571428</x:v>
      </x:c>
      <x:c r="H1088" s="10" t="n">
        <x:f>IF(ISNUMBER(U1088),U1088,"")</x:f>
        <x:v>14</x:v>
      </x:c>
      <x:c r="I1088" s="10" t="n">
        <x:v>21</x:v>
      </x:c>
      <x:c r="J1088" s="11" t="n">
        <x:f>IF(AND(Z1088="共同",ISNUMBER(F1088),ISNUMBER(M1088)),F1088-M1088,"")</x:f>
        <x:v>-56.48946660690274</x:v>
      </x:c>
      <x:c r="K1088" s="13" t="n">
        <x:f>IF(AND(ISNUMBER(J1088),M1088&lt;&gt;0),J1088/M1088,"")</x:f>
        <x:v>-0.736540664375716</x:v>
      </x:c>
      <x:c r="L1088" s="10" t="str">
        <x:v>正常库存</x:v>
      </x:c>
      <x:c r="M1088" s="11" t="n">
        <x:v>76.69565217391305</x:v>
      </x:c>
      <x:c r="N1088" s="10" t="n">
        <x:f>IF(AND(Z1088="共同",COUNT(H1088:I1088)=2),H1088-I1088,"")</x:f>
        <x:v>-7</x:v>
      </x:c>
      <x:c r="O1088" s="10" t="n">
        <x:v>0</x:v>
      </x:c>
      <x:c r="P1088" s="10" t="n">
        <x:v>5</x:v>
      </x:c>
      <x:c r="Q1088" s="10" t="n">
        <x:v>11</x:v>
      </x:c>
      <x:c r="R1088" s="10" t="n">
        <x:v>15</x:v>
      </x:c>
      <x:c r="S1088" s="10" t="n">
        <x:v>23</x:v>
      </x:c>
      <x:c r="T1088" s="10" t="n">
        <x:v>2</x:v>
      </x:c>
      <x:c r="U1088" s="10" t="n">
        <x:f>IF(AND(ISNUMBER(X1088),X1088&gt;=0,Y1088&lt;&gt;1),X1088,"")</x:f>
        <x:v>14</x:v>
      </x:c>
      <x:c r="V1088" s="10" t="n">
        <x:v>0</x:v>
      </x:c>
      <x:c r="W1088" s="10" t="n">
        <x:v>25</x:v>
      </x:c>
      <x:c r="X1088" s="10" t="n">
        <x:v>14</x:v>
      </x:c>
      <x:c r="Y1088" s="3" t="n">
        <x:v>0</x:v>
      </x:c>
      <x:c r="Z1088" s="3" t="str">
        <x:v>共同</x:v>
      </x:c>
      <x:c r="AA1088" s="3" t="str">
        <x:v>在售</x:v>
      </x:c>
      <x:c r="AB1088" s="12" t="n">
        <x:f>IF(AND(Z1088="共同",ISNUMBER(G1088),ISNUMBER(AD1088)),G1088-AD1088,"")</x:f>
        <x:v>0.41904761904761906</x:v>
      </x:c>
      <x:c r="AC1088" s="3" t="str"/>
      <x:c r="AD1088" s="12" t="n">
        <x:v>0.2738095238095238</x:v>
      </x:c>
      <x:c r="AE1088" s="3" t="str">
        <x:v>[13120,"230918-TN-S-Z-7"]</x:v>
      </x:c>
      <x:c r="AF1088" t="n">
        <x:f>IF(ISNUMBER(H1088),1,0)</x:f>
        <x:v>1</x:v>
      </x:c>
      <x:c r="AG1088" t="n">
        <x:f>IF(ISNUMBER(I1088),1,0)</x:f>
        <x:v>1</x:v>
      </x:c>
      <x:c r="AH1088" t="str">
        <x:v>["230918","230918-TN-S-Z","TN","驼色"]</x:v>
      </x:c>
      <x:c r="AI1088" t="n">
        <x:f>IF(ISNUMBER(G1088),1,0)</x:f>
        <x:v>1</x:v>
      </x:c>
      <x:c r="AJ1088" t="n">
        <x:f>IF(ISNUMBER(AD1088),1,0)</x:f>
        <x:v>1</x:v>
      </x:c>
    </x:row>
    <x:row r="1089" ht="30" customHeight="1">
      <x:c r="A1089" s="3" t="str">
        <x:v>230918-TN-S-Z-8</x:v>
      </x:c>
      <x:c r="B1089" s="3" t="str">
        <x:v>1店-MUSSHOE-US</x:v>
      </x:c>
      <x:c r="C1089" s="3" t="str">
        <x:v>艾年</x:v>
      </x:c>
      <x:c r="D1089" s="3" t="str">
        <x:v>230918</x:v>
      </x:c>
      <x:c r="E1089" s="3" t="str">
        <x:f>IF(Z1089="移出","已移出",IF(NOT(ISNUMBER(H1089)),"数据待核",IF(H1089=0,"断货",IF(NOT(ISNUMBER(G1089)),"数据待核",IF(G1089=0,"零日销待复核",IF(F1089&lt;60,"补货提醒",IF(F1089&lt;=90,"正常库存",IF(F1089&lt;180,"促销",IF(F1089&lt;=365,"红线促销","考虑清仓")))))))))</x:f>
        <x:v>补货提醒</x:v>
      </x:c>
      <x:c r="F1089" s="11" t="n">
        <x:f>IF(AND(ISNUMBER(H1089),ISNUMBER(G1089),G1089&gt;0),H1089/G1089,"")</x:f>
        <x:v>13.991116751269034</x:v>
      </x:c>
      <x:c r="G1089" s="12" t="n">
        <x:f>IF(AND(COUNT(P1089:R1089)=3,MIN(P1089:R1089)&gt;=0,P1089&lt;=Q1089,Q1089&lt;=R1089),P1089/7*0.5+Q1089/14*0.3+R1089/30*0.2,"")</x:f>
        <x:v>1.500952380952381</x:v>
      </x:c>
      <x:c r="H1089" s="10" t="n">
        <x:f>IF(ISNUMBER(U1089),U1089,"")</x:f>
        <x:v>21</x:v>
      </x:c>
      <x:c r="I1089" s="10" t="n">
        <x:v>27</x:v>
      </x:c>
      <x:c r="J1089" s="11" t="n">
        <x:f>IF(AND(Z1089="共同",ISNUMBER(F1089),ISNUMBER(M1089)),F1089-M1089,"")</x:f>
        <x:v>-24.03705226281548</x:v>
      </x:c>
      <x:c r="K1089" s="13" t="n">
        <x:f>IF(AND(ISNUMBER(J1089),M1089&lt;&gt;0),J1089/M1089,"")</x:f>
        <x:v>-0.6320854483925551</x:v>
      </x:c>
      <x:c r="L1089" s="10" t="str">
        <x:v>补货提醒</x:v>
      </x:c>
      <x:c r="M1089" s="11" t="n">
        <x:v>38.02816901408451</x:v>
      </x:c>
      <x:c r="N1089" s="10" t="n">
        <x:f>IF(AND(Z1089="共同",COUNT(H1089:I1089)=2),H1089-I1089,"")</x:f>
        <x:v>-6</x:v>
      </x:c>
      <x:c r="O1089" s="10" t="n">
        <x:v>0</x:v>
      </x:c>
      <x:c r="P1089" s="10" t="n">
        <x:v>13</x:v>
      </x:c>
      <x:c r="Q1089" s="10" t="n">
        <x:v>18</x:v>
      </x:c>
      <x:c r="R1089" s="10" t="n">
        <x:v>28</x:v>
      </x:c>
      <x:c r="S1089" s="10" t="n">
        <x:v>22</x:v>
      </x:c>
      <x:c r="T1089" s="10" t="n">
        <x:v>0</x:v>
      </x:c>
      <x:c r="U1089" s="10" t="n">
        <x:f>IF(AND(ISNUMBER(X1089),X1089&gt;=0,Y1089&lt;&gt;1),X1089,"")</x:f>
        <x:v>21</x:v>
      </x:c>
      <x:c r="V1089" s="10" t="n">
        <x:v>0</x:v>
      </x:c>
      <x:c r="W1089" s="10" t="n">
        <x:v>71</x:v>
      </x:c>
      <x:c r="X1089" s="10" t="n">
        <x:v>21</x:v>
      </x:c>
      <x:c r="Y1089" s="3" t="n">
        <x:v>0</x:v>
      </x:c>
      <x:c r="Z1089" s="3" t="str">
        <x:v>共同</x:v>
      </x:c>
      <x:c r="AA1089" s="3" t="str">
        <x:v>在售</x:v>
      </x:c>
      <x:c r="AB1089" s="12" t="n">
        <x:f>IF(AND(Z1089="共同",ISNUMBER(G1089),ISNUMBER(AD1089)),G1089-AD1089,"")</x:f>
        <x:v>0.7909523809523811</x:v>
      </x:c>
      <x:c r="AC1089" s="3" t="str"/>
      <x:c r="AD1089" s="12" t="n">
        <x:v>0.71</x:v>
      </x:c>
      <x:c r="AE1089" s="3" t="str">
        <x:v>[13120,"230918-TN-S-Z-8"]</x:v>
      </x:c>
      <x:c r="AF1089" t="n">
        <x:f>IF(ISNUMBER(H1089),1,0)</x:f>
        <x:v>1</x:v>
      </x:c>
      <x:c r="AG1089" t="n">
        <x:f>IF(ISNUMBER(I1089),1,0)</x:f>
        <x:v>1</x:v>
      </x:c>
      <x:c r="AH1089" t="str">
        <x:v>["230918","230918-TN-S-Z","TN","驼色"]</x:v>
      </x:c>
      <x:c r="AI1089" t="n">
        <x:f>IF(ISNUMBER(G1089),1,0)</x:f>
        <x:v>1</x:v>
      </x:c>
      <x:c r="AJ1089" t="n">
        <x:f>IF(ISNUMBER(AD1089),1,0)</x:f>
        <x:v>1</x:v>
      </x:c>
    </x:row>
    <x:row r="1090" ht="30" customHeight="1">
      <x:c r="A1090" s="3" t="str">
        <x:v>230918-TN-S-Z-9</x:v>
      </x:c>
      <x:c r="B1090" s="3" t="str">
        <x:v>1店-MUSSHOE-US</x:v>
      </x:c>
      <x:c r="C1090" s="3" t="str">
        <x:v>艾年</x:v>
      </x:c>
      <x:c r="D1090" s="3" t="str">
        <x:v>230918</x:v>
      </x:c>
      <x:c r="E1090" s="3" t="str">
        <x:f>IF(Z1090="移出","已移出",IF(NOT(ISNUMBER(H1090)),"数据待核",IF(H1090=0,"断货",IF(NOT(ISNUMBER(G1090)),"数据待核",IF(G1090=0,"零日销待复核",IF(F1090&lt;60,"补货提醒",IF(F1090&lt;=90,"正常库存",IF(F1090&lt;180,"促销",IF(F1090&lt;=365,"红线促销","考虑清仓")))))))))</x:f>
        <x:v>补货提醒</x:v>
      </x:c>
      <x:c r="F1090" s="11" t="n">
        <x:f>IF(AND(ISNUMBER(H1090),ISNUMBER(G1090),G1090&gt;0),H1090/G1090,"")</x:f>
        <x:v>28.091353996737354</x:v>
      </x:c>
      <x:c r="G1090" s="12" t="n">
        <x:f>IF(AND(COUNT(P1090:R1090)=3,MIN(P1090:R1090)&gt;=0,P1090&lt;=Q1090,Q1090&lt;=R1090),P1090/7*0.5+Q1090/14*0.3+R1090/30*0.2,"")</x:f>
        <x:v>1.4595238095238097</x:v>
      </x:c>
      <x:c r="H1090" s="10" t="n">
        <x:f>IF(ISNUMBER(U1090),U1090,"")</x:f>
        <x:v>41</x:v>
      </x:c>
      <x:c r="I1090" s="10" t="n">
        <x:v>50</x:v>
      </x:c>
      <x:c r="J1090" s="11" t="n">
        <x:f>IF(AND(Z1090="共同",ISNUMBER(F1090),ISNUMBER(M1090)),F1090-M1090,"")</x:f>
        <x:v>-100.11377420839085</x:v>
      </x:c>
      <x:c r="K1090" s="13" t="n">
        <x:f>IF(AND(ISNUMBER(J1090),M1090&lt;&gt;0),J1090/M1090,"")</x:f>
        <x:v>-0.7808874388254486</x:v>
      </x:c>
      <x:c r="L1090" s="10" t="str">
        <x:v>促销</x:v>
      </x:c>
      <x:c r="M1090" s="11" t="n">
        <x:v>128.2051282051282</x:v>
      </x:c>
      <x:c r="N1090" s="10" t="n">
        <x:f>IF(AND(Z1090="共同",COUNT(H1090:I1090)=2),H1090-I1090,"")</x:f>
        <x:v>-9</x:v>
      </x:c>
      <x:c r="O1090" s="10" t="n">
        <x:v>59</x:v>
      </x:c>
      <x:c r="P1090" s="10" t="n">
        <x:v>13</x:v>
      </x:c>
      <x:c r="Q1090" s="10" t="n">
        <x:v>17</x:v>
      </x:c>
      <x:c r="R1090" s="10" t="n">
        <x:v>25</x:v>
      </x:c>
      <x:c r="S1090" s="10" t="n">
        <x:v>44</x:v>
      </x:c>
      <x:c r="T1090" s="10" t="n">
        <x:v>0</x:v>
      </x:c>
      <x:c r="U1090" s="10" t="n">
        <x:f>IF(AND(ISNUMBER(X1090),X1090&gt;=0,Y1090&lt;&gt;1),X1090,"")</x:f>
        <x:v>41</x:v>
      </x:c>
      <x:c r="V1090" s="10" t="n">
        <x:v>4</x:v>
      </x:c>
      <x:c r="W1090" s="10" t="n">
        <x:v>24</x:v>
      </x:c>
      <x:c r="X1090" s="10" t="n">
        <x:v>41</x:v>
      </x:c>
      <x:c r="Y1090" s="3" t="n">
        <x:v>0</x:v>
      </x:c>
      <x:c r="Z1090" s="3" t="str">
        <x:v>共同</x:v>
      </x:c>
      <x:c r="AA1090" s="3" t="str">
        <x:v>在售</x:v>
      </x:c>
      <x:c r="AB1090" s="12" t="n">
        <x:f>IF(AND(Z1090="共同",ISNUMBER(G1090),ISNUMBER(AD1090)),G1090-AD1090,"")</x:f>
        <x:v>1.0695238095238095</x:v>
      </x:c>
      <x:c r="AC1090" s="3" t="str"/>
      <x:c r="AD1090" s="12" t="n">
        <x:v>0.39</x:v>
      </x:c>
      <x:c r="AE1090" s="3" t="str">
        <x:v>[13120,"230918-TN-S-Z-9"]</x:v>
      </x:c>
      <x:c r="AF1090" t="n">
        <x:f>IF(ISNUMBER(H1090),1,0)</x:f>
        <x:v>1</x:v>
      </x:c>
      <x:c r="AG1090" t="n">
        <x:f>IF(ISNUMBER(I1090),1,0)</x:f>
        <x:v>1</x:v>
      </x:c>
      <x:c r="AH1090" t="str">
        <x:v>["230918","230918-TN-S-Z","TN","驼色"]</x:v>
      </x:c>
      <x:c r="AI1090" t="n">
        <x:f>IF(ISNUMBER(G1090),1,0)</x:f>
        <x:v>1</x:v>
      </x:c>
      <x:c r="AJ1090" t="n">
        <x:f>IF(ISNUMBER(AD1090),1,0)</x:f>
        <x:v>1</x:v>
      </x:c>
    </x:row>
    <x:row r="1091" ht="30" customHeight="1">
      <x:c r="A1091" s="3" t="str">
        <x:v>2311062-GD-P-O-10</x:v>
      </x:c>
      <x:c r="B1091" s="3" t="str">
        <x:v>4店-彬郁-US</x:v>
      </x:c>
      <x:c r="C1091" s="3" t="str">
        <x:v>陈晨</x:v>
      </x:c>
      <x:c r="D1091" s="3" t="str">
        <x:v>2311062</x:v>
      </x:c>
      <x:c r="E1091" s="3" t="str">
        <x:f>IF(Z1091="移出","已移出",IF(NOT(ISNUMBER(H1091)),"数据待核",IF(H1091=0,"断货",IF(NOT(ISNUMBER(G1091)),"数据待核",IF(G1091=0,"零日销待复核",IF(F1091&lt;60,"补货提醒",IF(F1091&lt;=90,"正常库存",IF(F1091&lt;180,"促销",IF(F1091&lt;=365,"红线促销","考虑清仓")))))))))</x:f>
        <x:v>补货提醒</x:v>
      </x:c>
      <x:c r="F1091" s="11" t="n">
        <x:f>IF(AND(ISNUMBER(H1091),ISNUMBER(G1091),G1091&gt;0),H1091/G1091,"")</x:f>
        <x:v>13.847944142746314</x:v>
      </x:c>
      <x:c r="G1091" s="12" t="n">
        <x:f>IF(AND(COUNT(P1091:R1091)=3,MIN(P1091:R1091)&gt;=0,P1091&lt;=Q1091,Q1091&lt;=R1091),P1091/7*0.5+Q1091/14*0.3+R1091/30*0.2,"")</x:f>
        <x:v>1.2276190476190476</x:v>
      </x:c>
      <x:c r="H1091" s="10" t="n">
        <x:f>IF(ISNUMBER(U1091),U1091,"")</x:f>
        <x:v>17</x:v>
      </x:c>
      <x:c r="I1091" s="10" t="n">
        <x:v>0</x:v>
      </x:c>
      <x:c r="J1091" s="11" t="n">
        <x:f>IF(AND(Z1091="共同",ISNUMBER(F1091),ISNUMBER(M1091)),F1091-M1091,"")</x:f>
        <x:v>13.847944142746314</x:v>
      </x:c>
      <x:c r="K1091" s="13" t="str">
        <x:f>IF(AND(ISNUMBER(J1091),M1091&lt;&gt;0),J1091/M1091,"")</x:f>
      </x:c>
      <x:c r="L1091" s="10" t="str">
        <x:v>断货</x:v>
      </x:c>
      <x:c r="M1091" s="11" t="n">
        <x:v>0</x:v>
      </x:c>
      <x:c r="N1091" s="10" t="n">
        <x:f>IF(AND(Z1091="共同",COUNT(H1091:I1091)=2),H1091-I1091,"")</x:f>
        <x:v>17</x:v>
      </x:c>
      <x:c r="O1091" s="10" t="n">
        <x:v>0</x:v>
      </x:c>
      <x:c r="P1091" s="10" t="n">
        <x:v>10</x:v>
      </x:c>
      <x:c r="Q1091" s="10" t="n">
        <x:v>14</x:v>
      </x:c>
      <x:c r="R1091" s="10" t="n">
        <x:v>32</x:v>
      </x:c>
      <x:c r="S1091" s="10" t="n">
        <x:v>53</x:v>
      </x:c>
      <x:c r="T1091" s="10" t="n">
        <x:v>1</x:v>
      </x:c>
      <x:c r="U1091" s="10" t="n">
        <x:f>IF(AND(ISNUMBER(X1091),X1091&gt;=0,Y1091&lt;&gt;1),X1091,"")</x:f>
        <x:v>17</x:v>
      </x:c>
      <x:c r="V1091" s="10" t="n">
        <x:v>0</x:v>
      </x:c>
      <x:c r="W1091" s="10" t="n">
        <x:v>60</x:v>
      </x:c>
      <x:c r="X1091" s="10" t="n">
        <x:v>17</x:v>
      </x:c>
      <x:c r="Y1091" s="3" t="n">
        <x:v>0</x:v>
      </x:c>
      <x:c r="Z1091" s="3" t="str">
        <x:v>共同</x:v>
      </x:c>
      <x:c r="AA1091" s="3" t="str">
        <x:v>在售</x:v>
      </x:c>
      <x:c r="AB1091" s="12" t="n">
        <x:f>IF(AND(Z1091="共同",ISNUMBER(G1091),ISNUMBER(AD1091)),G1091-AD1091,"")</x:f>
        <x:v>0.210952380952381</x:v>
      </x:c>
      <x:c r="AC1091" s="3" t="str"/>
      <x:c r="AD1091" s="12" t="n">
        <x:v>1.0166666666666666</x:v>
      </x:c>
      <x:c r="AE1091" s="3" t="str">
        <x:v>[13306,"2311062-GD-P-O-10"]</x:v>
      </x:c>
      <x:c r="AF1091" t="n">
        <x:f>IF(ISNUMBER(H1091),1,0)</x:f>
        <x:v>1</x:v>
      </x:c>
      <x:c r="AG1091" t="n">
        <x:f>IF(ISNUMBER(I1091),1,0)</x:f>
        <x:v>1</x:v>
      </x:c>
      <x:c r="AH1091" t="str">
        <x:v>["2311062","2311062-GD-P-O","GD-P","金色 PU"]</x:v>
      </x:c>
      <x:c r="AI1091" t="n">
        <x:f>IF(ISNUMBER(G1091),1,0)</x:f>
        <x:v>1</x:v>
      </x:c>
      <x:c r="AJ1091" t="n">
        <x:f>IF(ISNUMBER(AD1091),1,0)</x:f>
        <x:v>1</x:v>
      </x:c>
    </x:row>
    <x:row r="1092" ht="30" customHeight="1">
      <x:c r="A1092" s="3" t="str">
        <x:v>2311062-GD-P-O-7</x:v>
      </x:c>
      <x:c r="B1092" s="3" t="str">
        <x:v>4店-彬郁-US</x:v>
      </x:c>
      <x:c r="C1092" s="3" t="str">
        <x:v>陈晨</x:v>
      </x:c>
      <x:c r="D1092" s="3" t="str">
        <x:v>2311062</x:v>
      </x:c>
      <x:c r="E1092" s="3" t="str">
        <x:f>IF(Z1092="移出","已移出",IF(NOT(ISNUMBER(H1092)),"数据待核",IF(H1092=0,"断货",IF(NOT(ISNUMBER(G1092)),"数据待核",IF(G1092=0,"零日销待复核",IF(F1092&lt;60,"补货提醒",IF(F1092&lt;=90,"正常库存",IF(F1092&lt;180,"促销",IF(F1092&lt;=365,"红线促销","考虑清仓")))))))))</x:f>
        <x:v>补货提醒</x:v>
      </x:c>
      <x:c r="F1092" s="11" t="n">
        <x:f>IF(AND(ISNUMBER(H1092),ISNUMBER(G1092),G1092&gt;0),H1092/G1092,"")</x:f>
        <x:v>12.449392712550608</x:v>
      </x:c>
      <x:c r="G1092" s="12" t="n">
        <x:f>IF(AND(COUNT(P1092:R1092)=3,MIN(P1092:R1092)&gt;=0,P1092&lt;=Q1092,Q1092&lt;=R1092),P1092/7*0.5+Q1092/14*0.3+R1092/30*0.2,"")</x:f>
        <x:v>3.293333333333333</x:v>
      </x:c>
      <x:c r="H1092" s="10" t="n">
        <x:f>IF(ISNUMBER(U1092),U1092,"")</x:f>
        <x:v>41</x:v>
      </x:c>
      <x:c r="I1092" s="10" t="n">
        <x:v>42</x:v>
      </x:c>
      <x:c r="J1092" s="11" t="n">
        <x:f>IF(AND(Z1092="共同",ISNUMBER(F1092),ISNUMBER(M1092)),F1092-M1092,"")</x:f>
        <x:v>-5.0540801987413175</x:v>
      </x:c>
      <x:c r="K1092" s="13" t="n">
        <x:f>IF(AND(ISNUMBER(J1092),M1092&lt;&gt;0),J1092/M1092,"")</x:f>
        <x:v>-0.2887472802886337</x:v>
      </x:c>
      <x:c r="L1092" s="10" t="str">
        <x:v>补货提醒</x:v>
      </x:c>
      <x:c r="M1092" s="11" t="n">
        <x:v>17.503472911291926</x:v>
      </x:c>
      <x:c r="N1092" s="10" t="n">
        <x:f>IF(AND(Z1092="共同",COUNT(H1092:I1092)=2),H1092-I1092,"")</x:f>
        <x:v>-1</x:v>
      </x:c>
      <x:c r="O1092" s="10" t="n">
        <x:v>125</x:v>
      </x:c>
      <x:c r="P1092" s="10" t="n">
        <x:v>24</x:v>
      </x:c>
      <x:c r="Q1092" s="10" t="n">
        <x:v>46</x:v>
      </x:c>
      <x:c r="R1092" s="10" t="n">
        <x:v>89</x:v>
      </x:c>
      <x:c r="S1092" s="10" t="n">
        <x:v>116</x:v>
      </x:c>
      <x:c r="T1092" s="10" t="n">
        <x:v>3</x:v>
      </x:c>
      <x:c r="U1092" s="10" t="n">
        <x:f>IF(AND(ISNUMBER(X1092),X1092&gt;=0,Y1092&lt;&gt;1),X1092,"")</x:f>
        <x:v>41</x:v>
      </x:c>
      <x:c r="V1092" s="10" t="n">
        <x:v>0</x:v>
      </x:c>
      <x:c r="W1092" s="10" t="n">
        <x:v>95</x:v>
      </x:c>
      <x:c r="X1092" s="10" t="n">
        <x:v>41</x:v>
      </x:c>
      <x:c r="Y1092" s="3" t="n">
        <x:v>0</x:v>
      </x:c>
      <x:c r="Z1092" s="3" t="str">
        <x:v>共同</x:v>
      </x:c>
      <x:c r="AA1092" s="3" t="str">
        <x:v>在售</x:v>
      </x:c>
      <x:c r="AB1092" s="12" t="n">
        <x:f>IF(AND(Z1092="共同",ISNUMBER(G1092),ISNUMBER(AD1092)),G1092-AD1092,"")</x:f>
        <x:v>0.8938095238095238</x:v>
      </x:c>
      <x:c r="AC1092" s="3" t="str"/>
      <x:c r="AD1092" s="12" t="n">
        <x:v>2.399523809523809</x:v>
      </x:c>
      <x:c r="AE1092" s="3" t="str">
        <x:v>[13306,"2311062-GD-P-O-7"]</x:v>
      </x:c>
      <x:c r="AF1092" t="n">
        <x:f>IF(ISNUMBER(H1092),1,0)</x:f>
        <x:v>1</x:v>
      </x:c>
      <x:c r="AG1092" t="n">
        <x:f>IF(ISNUMBER(I1092),1,0)</x:f>
        <x:v>1</x:v>
      </x:c>
      <x:c r="AH1092" t="str">
        <x:v>["2311062","2311062-GD-P-O","GD-P","金色 PU"]</x:v>
      </x:c>
      <x:c r="AI1092" t="n">
        <x:f>IF(ISNUMBER(G1092),1,0)</x:f>
        <x:v>1</x:v>
      </x:c>
      <x:c r="AJ1092" t="n">
        <x:f>IF(ISNUMBER(AD1092),1,0)</x:f>
        <x:v>1</x:v>
      </x:c>
    </x:row>
    <x:row r="1093" ht="30" customHeight="1">
      <x:c r="A1093" s="3" t="str">
        <x:v>2311062-GD-P-O-8</x:v>
      </x:c>
      <x:c r="B1093" s="3" t="str">
        <x:v>4店-彬郁-US</x:v>
      </x:c>
      <x:c r="C1093" s="3" t="str">
        <x:v>陈晨</x:v>
      </x:c>
      <x:c r="D1093" s="3" t="str">
        <x:v>2311062</x:v>
      </x:c>
      <x:c r="E1093" s="3" t="str">
        <x:f>IF(Z1093="移出","已移出",IF(NOT(ISNUMBER(H1093)),"数据待核",IF(H1093=0,"断货",IF(NOT(ISNUMBER(G1093)),"数据待核",IF(G1093=0,"零日销待复核",IF(F1093&lt;60,"补货提醒",IF(F1093&lt;=90,"正常库存",IF(F1093&lt;180,"促销",IF(F1093&lt;=365,"红线促销","考虑清仓")))))))))</x:f>
        <x:v>补货提醒</x:v>
      </x:c>
      <x:c r="F1093" s="11" t="n">
        <x:f>IF(AND(ISNUMBER(H1093),ISNUMBER(G1093),G1093&gt;0),H1093/G1093,"")</x:f>
        <x:v>3.304721030042918</x:v>
      </x:c>
      <x:c r="G1093" s="12" t="n">
        <x:f>IF(AND(COUNT(P1093:R1093)=3,MIN(P1093:R1093)&gt;=0,P1093&lt;=Q1093,Q1093&lt;=R1093),P1093/7*0.5+Q1093/14*0.3+R1093/30*0.2,"")</x:f>
        <x:v>3.3285714285714287</x:v>
      </x:c>
      <x:c r="H1093" s="10" t="n">
        <x:f>IF(ISNUMBER(U1093),U1093,"")</x:f>
        <x:v>11</x:v>
      </x:c>
      <x:c r="I1093" s="10" t="n">
        <x:v>7</x:v>
      </x:c>
      <x:c r="J1093" s="11" t="n">
        <x:f>IF(AND(Z1093="共同",ISNUMBER(F1093),ISNUMBER(M1093)),F1093-M1093,"")</x:f>
        <x:v>1.4621539706295315</x:v>
      </x:c>
      <x:c r="K1093" s="13" t="n">
        <x:f>IF(AND(ISNUMBER(J1093),M1093&lt;&gt;0),J1093/M1093,"")</x:f>
        <x:v>0.7935417944001635</x:v>
      </x:c>
      <x:c r="L1093" s="10" t="str">
        <x:v>补货提醒</x:v>
      </x:c>
      <x:c r="M1093" s="11" t="n">
        <x:v>1.8425670594133867</x:v>
      </x:c>
      <x:c r="N1093" s="10" t="n">
        <x:f>IF(AND(Z1093="共同",COUNT(H1093:I1093)=2),H1093-I1093,"")</x:f>
        <x:v>4</x:v>
      </x:c>
      <x:c r="O1093" s="10" t="n">
        <x:v>198</x:v>
      </x:c>
      <x:c r="P1093" s="10" t="n">
        <x:v>23</x:v>
      </x:c>
      <x:c r="Q1093" s="10" t="n">
        <x:v>46</x:v>
      </x:c>
      <x:c r="R1093" s="10" t="n">
        <x:v>105</x:v>
      </x:c>
      <x:c r="S1093" s="10" t="n">
        <x:v>94</x:v>
      </x:c>
      <x:c r="T1093" s="10" t="n">
        <x:v>4</x:v>
      </x:c>
      <x:c r="U1093" s="10" t="n">
        <x:f>IF(AND(ISNUMBER(X1093),X1093&gt;=0,Y1093&lt;&gt;1),X1093,"")</x:f>
        <x:v>11</x:v>
      </x:c>
      <x:c r="V1093" s="10" t="n">
        <x:v>0</x:v>
      </x:c>
      <x:c r="W1093" s="10" t="n">
        <x:v>161</x:v>
      </x:c>
      <x:c r="X1093" s="10" t="n">
        <x:v>11</x:v>
      </x:c>
      <x:c r="Y1093" s="3" t="n">
        <x:v>0</x:v>
      </x:c>
      <x:c r="Z1093" s="3" t="str">
        <x:v>共同</x:v>
      </x:c>
      <x:c r="AA1093" s="3" t="str">
        <x:v>在售</x:v>
      </x:c>
      <x:c r="AB1093" s="12" t="n">
        <x:f>IF(AND(Z1093="共同",ISNUMBER(G1093),ISNUMBER(AD1093)),G1093-AD1093,"")</x:f>
        <x:v>-0.4704761904761905</x:v>
      </x:c>
      <x:c r="AC1093" s="3" t="str"/>
      <x:c r="AD1093" s="12" t="n">
        <x:v>3.7990476190476192</x:v>
      </x:c>
      <x:c r="AE1093" s="3" t="str">
        <x:v>[13306,"2311062-GD-P-O-8"]</x:v>
      </x:c>
      <x:c r="AF1093" t="n">
        <x:f>IF(ISNUMBER(H1093),1,0)</x:f>
        <x:v>1</x:v>
      </x:c>
      <x:c r="AG1093" t="n">
        <x:f>IF(ISNUMBER(I1093),1,0)</x:f>
        <x:v>1</x:v>
      </x:c>
      <x:c r="AH1093" t="str">
        <x:v>["2311062","2311062-GD-P-O","GD-P","金色 PU"]</x:v>
      </x:c>
      <x:c r="AI1093" t="n">
        <x:f>IF(ISNUMBER(G1093),1,0)</x:f>
        <x:v>1</x:v>
      </x:c>
      <x:c r="AJ1093" t="n">
        <x:f>IF(ISNUMBER(AD1093),1,0)</x:f>
        <x:v>1</x:v>
      </x:c>
    </x:row>
    <x:row r="1094" ht="30" customHeight="1">
      <x:c r="A1094" s="3" t="str">
        <x:v>2311062-GD-P-O-9</x:v>
      </x:c>
      <x:c r="B1094" s="3" t="str">
        <x:v>4店-彬郁-US</x:v>
      </x:c>
      <x:c r="C1094" s="3" t="str">
        <x:v>陈晨</x:v>
      </x:c>
      <x:c r="D1094" s="3" t="str">
        <x:v>2311062</x:v>
      </x:c>
      <x:c r="E1094" s="3" t="str">
        <x:f>IF(Z1094="移出","已移出",IF(NOT(ISNUMBER(H1094)),"数据待核",IF(H1094=0,"断货",IF(NOT(ISNUMBER(G1094)),"数据待核",IF(G1094=0,"零日销待复核",IF(F1094&lt;60,"补货提醒",IF(F1094&lt;=90,"正常库存",IF(F1094&lt;180,"促销",IF(F1094&lt;=365,"红线促销","考虑清仓")))))))))</x:f>
        <x:v>补货提醒</x:v>
      </x:c>
      <x:c r="F1094" s="11" t="n">
        <x:f>IF(AND(ISNUMBER(H1094),ISNUMBER(G1094),G1094&gt;0),H1094/G1094,"")</x:f>
        <x:v>8.446455505279035</x:v>
      </x:c>
      <x:c r="G1094" s="12" t="n">
        <x:f>IF(AND(COUNT(P1094:R1094)=3,MIN(P1094:R1094)&gt;=0,P1094&lt;=Q1094,Q1094&lt;=R1094),P1094/7*0.5+Q1094/14*0.3+R1094/30*0.2,"")</x:f>
        <x:v>2.841428571428571</x:v>
      </x:c>
      <x:c r="H1094" s="10" t="n">
        <x:f>IF(ISNUMBER(U1094),U1094,"")</x:f>
        <x:v>24</x:v>
      </x:c>
      <x:c r="I1094" s="10" t="n">
        <x:v>6</x:v>
      </x:c>
      <x:c r="J1094" s="11" t="n">
        <x:f>IF(AND(Z1094="共同",ISNUMBER(F1094),ISNUMBER(M1094)),F1094-M1094,"")</x:f>
        <x:v>6.478320547453356</x:v>
      </x:c>
      <x:c r="K1094" s="13" t="n">
        <x:f>IF(AND(ISNUMBER(J1094),M1094&lt;&gt;0),J1094/M1094,"")</x:f>
        <x:v>3.291603821015586</x:v>
      </x:c>
      <x:c r="L1094" s="10" t="str">
        <x:v>补货提醒</x:v>
      </x:c>
      <x:c r="M1094" s="11" t="n">
        <x:v>1.9681349578256795</x:v>
      </x:c>
      <x:c r="N1094" s="10" t="n">
        <x:f>IF(AND(Z1094="共同",COUNT(H1094:I1094)=2),H1094-I1094,"")</x:f>
        <x:v>18</x:v>
      </x:c>
      <x:c r="O1094" s="10" t="n">
        <x:v>104</x:v>
      </x:c>
      <x:c r="P1094" s="10" t="n">
        <x:v>22</x:v>
      </x:c>
      <x:c r="Q1094" s="10" t="n">
        <x:v>35</x:v>
      </x:c>
      <x:c r="R1094" s="10" t="n">
        <x:v>78</x:v>
      </x:c>
      <x:c r="S1094" s="10" t="n">
        <x:v>102</x:v>
      </x:c>
      <x:c r="T1094" s="10" t="n">
        <x:v>2</x:v>
      </x:c>
      <x:c r="U1094" s="10" t="n">
        <x:f>IF(AND(ISNUMBER(X1094),X1094&gt;=0,Y1094&lt;&gt;1),X1094,"")</x:f>
        <x:v>24</x:v>
      </x:c>
      <x:c r="V1094" s="10" t="n">
        <x:v>0</x:v>
      </x:c>
      <x:c r="W1094" s="10" t="n">
        <x:v>180</x:v>
      </x:c>
      <x:c r="X1094" s="10" t="n">
        <x:v>24</x:v>
      </x:c>
      <x:c r="Y1094" s="3" t="n">
        <x:v>0</x:v>
      </x:c>
      <x:c r="Z1094" s="3" t="str">
        <x:v>共同</x:v>
      </x:c>
      <x:c r="AA1094" s="3" t="str">
        <x:v>在售</x:v>
      </x:c>
      <x:c r="AB1094" s="12" t="n">
        <x:f>IF(AND(Z1094="共同",ISNUMBER(G1094),ISNUMBER(AD1094)),G1094-AD1094,"")</x:f>
        <x:v>-0.2071428571428573</x:v>
      </x:c>
      <x:c r="AC1094" s="3" t="str"/>
      <x:c r="AD1094" s="12" t="n">
        <x:v>3.0485714285714285</x:v>
      </x:c>
      <x:c r="AE1094" s="3" t="str">
        <x:v>[13306,"2311062-GD-P-O-9"]</x:v>
      </x:c>
      <x:c r="AF1094" t="n">
        <x:f>IF(ISNUMBER(H1094),1,0)</x:f>
        <x:v>1</x:v>
      </x:c>
      <x:c r="AG1094" t="n">
        <x:f>IF(ISNUMBER(I1094),1,0)</x:f>
        <x:v>1</x:v>
      </x:c>
      <x:c r="AH1094" t="str">
        <x:v>["2311062","2311062-GD-P-O","GD-P","金色 PU"]</x:v>
      </x:c>
      <x:c r="AI1094" t="n">
        <x:f>IF(ISNUMBER(G1094),1,0)</x:f>
        <x:v>1</x:v>
      </x:c>
      <x:c r="AJ1094" t="n">
        <x:f>IF(ISNUMBER(AD1094),1,0)</x:f>
        <x:v>1</x:v>
      </x:c>
    </x:row>
    <x:row r="1095" ht="30" customHeight="1">
      <x:c r="A1095" s="3" t="str">
        <x:v>2311062-ND-P-O-6</x:v>
      </x:c>
      <x:c r="B1095" s="3" t="str">
        <x:v>4店-彬郁-US</x:v>
      </x:c>
      <x:c r="C1095" s="3" t="str">
        <x:v>陈晨</x:v>
      </x:c>
      <x:c r="D1095" s="3" t="str">
        <x:v>2311062</x:v>
      </x:c>
      <x:c r="E1095" s="3" t="str">
        <x:f>IF(Z1095="移出","已移出",IF(NOT(ISNUMBER(H1095)),"数据待核",IF(H1095=0,"断货",IF(NOT(ISNUMBER(G1095)),"数据待核",IF(G1095=0,"零日销待复核",IF(F1095&lt;60,"补货提醒",IF(F1095&lt;=90,"正常库存",IF(F1095&lt;180,"促销",IF(F1095&lt;=365,"红线促销","考虑清仓")))))))))</x:f>
        <x:v>补货提醒</x:v>
      </x:c>
      <x:c r="F1095" s="11" t="n">
        <x:f>IF(AND(ISNUMBER(H1095),ISNUMBER(G1095),G1095&gt;0),H1095/G1095,"")</x:f>
        <x:v>9.32642487046632</x:v>
      </x:c>
      <x:c r="G1095" s="12" t="n">
        <x:f>IF(AND(COUNT(P1095:R1095)=3,MIN(P1095:R1095)&gt;=0,P1095&lt;=Q1095,Q1095&lt;=R1095),P1095/7*0.5+Q1095/14*0.3+R1095/30*0.2,"")</x:f>
        <x:v>0.6433333333333334</x:v>
      </x:c>
      <x:c r="H1095" s="10" t="n">
        <x:f>IF(ISNUMBER(U1095),U1095,"")</x:f>
        <x:v>6</x:v>
      </x:c>
      <x:c r="I1095" s="10" t="n">
        <x:v>4</x:v>
      </x:c>
      <x:c r="J1095" s="11" t="str">
        <x:f>IF(AND(Z1095="共同",ISNUMBER(F1095),ISNUMBER(M1095)),F1095-M1095,"")</x:f>
      </x:c>
      <x:c r="K1095" s="13" t="str">
        <x:f>IF(AND(ISNUMBER(J1095),M1095&lt;&gt;0),J1095/M1095,"")</x:f>
      </x:c>
      <x:c r="L1095" s="10" t="str">
        <x:v>数据待核</x:v>
      </x:c>
      <x:c r="M1095" s="11"/>
      <x:c r="N1095" s="10" t="n">
        <x:f>IF(AND(Z1095="共同",COUNT(H1095:I1095)=2),H1095-I1095,"")</x:f>
        <x:v>2</x:v>
      </x:c>
      <x:c r="O1095" s="10" t="n">
        <x:v>58</x:v>
      </x:c>
      <x:c r="P1095" s="10" t="n">
        <x:v>5</x:v>
      </x:c>
      <x:c r="Q1095" s="10" t="n">
        <x:v>9</x:v>
      </x:c>
      <x:c r="R1095" s="10" t="n">
        <x:v>14</x:v>
      </x:c>
      <x:c r="S1095" s="10" t="n">
        <x:v>13</x:v>
      </x:c>
      <x:c r="T1095" s="10" t="n">
        <x:v>0</x:v>
      </x:c>
      <x:c r="U1095" s="10" t="n">
        <x:f>IF(AND(ISNUMBER(X1095),X1095&gt;=0,Y1095&lt;&gt;1),X1095,"")</x:f>
        <x:v>6</x:v>
      </x:c>
      <x:c r="V1095" s="10" t="n">
        <x:v>0</x:v>
      </x:c>
      <x:c r="W1095" s="10" t="n">
        <x:v>27</x:v>
      </x:c>
      <x:c r="X1095" s="10" t="n">
        <x:v>6</x:v>
      </x:c>
      <x:c r="Y1095" s="3" t="n">
        <x:v>0</x:v>
      </x:c>
      <x:c r="Z1095" s="3" t="str">
        <x:v>共同</x:v>
      </x:c>
      <x:c r="AA1095" s="3" t="str">
        <x:v>在售</x:v>
      </x:c>
      <x:c r="AB1095" s="12" t="str">
        <x:f>IF(AND(Z1095="共同",ISNUMBER(G1095),ISNUMBER(AD1095)),G1095-AD1095,"")</x:f>
      </x:c>
      <x:c r="AC1095" s="3" t="str"/>
      <x:c r="AD1095" s="12"/>
      <x:c r="AE1095" s="3" t="str">
        <x:v>[13306,"2311062-ND-P-O-6"]</x:v>
      </x:c>
      <x:c r="AF1095" t="n">
        <x:f>IF(ISNUMBER(H1095),1,0)</x:f>
        <x:v>1</x:v>
      </x:c>
      <x:c r="AG1095" t="n">
        <x:f>IF(ISNUMBER(I1095),1,0)</x:f>
        <x:v>1</x:v>
      </x:c>
      <x:c r="AH1095" t="str">
        <x:v>["2311062","2311062-ND-P-O","ND-P","裸色 PU"]</x:v>
      </x:c>
      <x:c r="AI1095" t="n">
        <x:f>IF(ISNUMBER(G1095),1,0)</x:f>
        <x:v>1</x:v>
      </x:c>
      <x:c r="AJ1095" t="n">
        <x:f>IF(ISNUMBER(AD1095),1,0)</x:f>
        <x:v>0</x:v>
      </x:c>
    </x:row>
    <x:row r="1096" ht="30" customHeight="1">
      <x:c r="A1096" s="3" t="str">
        <x:v>2311062-ND-P-O-7</x:v>
      </x:c>
      <x:c r="B1096" s="3" t="str">
        <x:v>4店-彬郁-US</x:v>
      </x:c>
      <x:c r="C1096" s="3" t="str">
        <x:v>陈晨</x:v>
      </x:c>
      <x:c r="D1096" s="3" t="str">
        <x:v>2311062</x:v>
      </x:c>
      <x:c r="E1096" s="3" t="str">
        <x:f>IF(Z1096="移出","已移出",IF(NOT(ISNUMBER(H1096)),"数据待核",IF(H1096=0,"断货",IF(NOT(ISNUMBER(G1096)),"数据待核",IF(G1096=0,"零日销待复核",IF(F1096&lt;60,"补货提醒",IF(F1096&lt;=90,"正常库存",IF(F1096&lt;180,"促销",IF(F1096&lt;=365,"红线促销","考虑清仓")))))))))</x:f>
        <x:v>补货提醒</x:v>
      </x:c>
      <x:c r="F1096" s="11" t="n">
        <x:f>IF(AND(ISNUMBER(H1096),ISNUMBER(G1096),G1096&gt;0),H1096/G1096,"")</x:f>
        <x:v>34.511092851273624</x:v>
      </x:c>
      <x:c r="G1096" s="12" t="n">
        <x:f>IF(AND(COUNT(P1096:R1096)=3,MIN(P1096:R1096)&gt;=0,P1096&lt;=Q1096,Q1096&lt;=R1096),P1096/7*0.5+Q1096/14*0.3+R1096/30*0.2,"")</x:f>
        <x:v>1.159047619047619</x:v>
      </x:c>
      <x:c r="H1096" s="10" t="n">
        <x:f>IF(ISNUMBER(U1096),U1096,"")</x:f>
        <x:v>40</x:v>
      </x:c>
      <x:c r="I1096" s="10" t="n">
        <x:v>44</x:v>
      </x:c>
      <x:c r="J1096" s="11" t="str">
        <x:f>IF(AND(Z1096="共同",ISNUMBER(F1096),ISNUMBER(M1096)),F1096-M1096,"")</x:f>
      </x:c>
      <x:c r="K1096" s="13" t="str">
        <x:f>IF(AND(ISNUMBER(J1096),M1096&lt;&gt;0),J1096/M1096,"")</x:f>
      </x:c>
      <x:c r="L1096" s="10" t="str">
        <x:v>数据待核</x:v>
      </x:c>
      <x:c r="M1096" s="11"/>
      <x:c r="N1096" s="10" t="n">
        <x:f>IF(AND(Z1096="共同",COUNT(H1096:I1096)=2),H1096-I1096,"")</x:f>
        <x:v>-4</x:v>
      </x:c>
      <x:c r="O1096" s="10" t="n">
        <x:v>121</x:v>
      </x:c>
      <x:c r="P1096" s="10" t="n">
        <x:v>9</x:v>
      </x:c>
      <x:c r="Q1096" s="10" t="n">
        <x:v>16</x:v>
      </x:c>
      <x:c r="R1096" s="10" t="n">
        <x:v>26</x:v>
      </x:c>
      <x:c r="S1096" s="10" t="n">
        <x:v>57</x:v>
      </x:c>
      <x:c r="T1096" s="10" t="n">
        <x:v>1</x:v>
      </x:c>
      <x:c r="U1096" s="10" t="n">
        <x:f>IF(AND(ISNUMBER(X1096),X1096&gt;=0,Y1096&lt;&gt;1),X1096,"")</x:f>
        <x:v>40</x:v>
      </x:c>
      <x:c r="V1096" s="10" t="n">
        <x:v>1</x:v>
      </x:c>
      <x:c r="W1096" s="10" t="n">
        <x:v>1</x:v>
      </x:c>
      <x:c r="X1096" s="10" t="n">
        <x:v>40</x:v>
      </x:c>
      <x:c r="Y1096" s="3" t="n">
        <x:v>0</x:v>
      </x:c>
      <x:c r="Z1096" s="3" t="str">
        <x:v>共同</x:v>
      </x:c>
      <x:c r="AA1096" s="3" t="str">
        <x:v>在售</x:v>
      </x:c>
      <x:c r="AB1096" s="12" t="str">
        <x:f>IF(AND(Z1096="共同",ISNUMBER(G1096),ISNUMBER(AD1096)),G1096-AD1096,"")</x:f>
      </x:c>
      <x:c r="AC1096" s="3" t="str"/>
      <x:c r="AD1096" s="12"/>
      <x:c r="AE1096" s="3" t="str">
        <x:v>[13306,"2311062-ND-P-O-7"]</x:v>
      </x:c>
      <x:c r="AF1096" t="n">
        <x:f>IF(ISNUMBER(H1096),1,0)</x:f>
        <x:v>1</x:v>
      </x:c>
      <x:c r="AG1096" t="n">
        <x:f>IF(ISNUMBER(I1096),1,0)</x:f>
        <x:v>1</x:v>
      </x:c>
      <x:c r="AH1096" t="str">
        <x:v>["2311062","2311062-ND-P-O","ND-P","裸色 PU"]</x:v>
      </x:c>
      <x:c r="AI1096" t="n">
        <x:f>IF(ISNUMBER(G1096),1,0)</x:f>
        <x:v>1</x:v>
      </x:c>
      <x:c r="AJ1096" t="n">
        <x:f>IF(ISNUMBER(AD1096),1,0)</x:f>
        <x:v>0</x:v>
      </x:c>
    </x:row>
    <x:row r="1097" ht="30" customHeight="1">
      <x:c r="A1097" s="3" t="str">
        <x:v>2311062-TN-P-O-9</x:v>
      </x:c>
      <x:c r="B1097" s="3" t="str">
        <x:v>4店-彬郁-US</x:v>
      </x:c>
      <x:c r="C1097" s="3" t="str">
        <x:v>陈晨</x:v>
      </x:c>
      <x:c r="D1097" s="3" t="str">
        <x:v>2311062</x:v>
      </x:c>
      <x:c r="E1097" s="3" t="str">
        <x:f>IF(Z1097="移出","已移出",IF(NOT(ISNUMBER(H1097)),"数据待核",IF(H1097=0,"断货",IF(NOT(ISNUMBER(G1097)),"数据待核",IF(G1097=0,"零日销待复核",IF(F1097&lt;60,"补货提醒",IF(F1097&lt;=90,"正常库存",IF(F1097&lt;180,"促销",IF(F1097&lt;=365,"红线促销","考虑清仓")))))))))</x:f>
        <x:v>补货提醒</x:v>
      </x:c>
      <x:c r="F1097" s="11" t="n">
        <x:f>IF(AND(ISNUMBER(H1097),ISNUMBER(G1097),G1097&gt;0),H1097/G1097,"")</x:f>
        <x:v>41.1764705882353</x:v>
      </x:c>
      <x:c r="G1097" s="12" t="n">
        <x:f>IF(AND(COUNT(P1097:R1097)=3,MIN(P1097:R1097)&gt;=0,P1097&lt;=Q1097,Q1097&lt;=R1097),P1097/7*0.5+Q1097/14*0.3+R1097/30*0.2,"")</x:f>
        <x:v>0.21857142857142856</x:v>
      </x:c>
      <x:c r="H1097" s="10" t="n">
        <x:f>IF(ISNUMBER(U1097),U1097,"")</x:f>
        <x:v>9</x:v>
      </x:c>
      <x:c r="I1097" s="10" t="n">
        <x:v>12</x:v>
      </x:c>
      <x:c r="J1097" s="11" t="n">
        <x:f>IF(AND(Z1097="共同",ISNUMBER(F1097),ISNUMBER(M1097)),F1097-M1097,"")</x:f>
        <x:v>-49.146110056926</x:v>
      </x:c>
      <x:c r="K1097" s="13" t="n">
        <x:f>IF(AND(ISNUMBER(J1097),M1097&lt;&gt;0),J1097/M1097,"")</x:f>
        <x:v>-0.5441176470588235</x:v>
      </x:c>
      <x:c r="L1097" s="10" t="str">
        <x:v>促销</x:v>
      </x:c>
      <x:c r="M1097" s="11" t="n">
        <x:v>90.3225806451613</x:v>
      </x:c>
      <x:c r="N1097" s="10" t="n">
        <x:f>IF(AND(Z1097="共同",COUNT(H1097:I1097)=2),H1097-I1097,"")</x:f>
        <x:v>-3</x:v>
      </x:c>
      <x:c r="O1097" s="10" t="n">
        <x:v>0</x:v>
      </x:c>
      <x:c r="P1097" s="10" t="n">
        <x:v>1</x:v>
      </x:c>
      <x:c r="Q1097" s="10" t="n">
        <x:v>5</x:v>
      </x:c>
      <x:c r="R1097" s="10" t="n">
        <x:v>6</x:v>
      </x:c>
      <x:c r="S1097" s="10" t="n">
        <x:v>49</x:v>
      </x:c>
      <x:c r="T1097" s="10" t="n">
        <x:v>0</x:v>
      </x:c>
      <x:c r="U1097" s="10" t="n">
        <x:f>IF(AND(ISNUMBER(X1097),X1097&gt;=0,Y1097&lt;&gt;1),X1097,"")</x:f>
        <x:v>9</x:v>
      </x:c>
      <x:c r="V1097" s="10" t="n">
        <x:v>0</x:v>
      </x:c>
      <x:c r="W1097" s="10" t="n">
        <x:v>38</x:v>
      </x:c>
      <x:c r="X1097" s="10" t="n">
        <x:v>9</x:v>
      </x:c>
      <x:c r="Y1097" s="3" t="n">
        <x:v>0</x:v>
      </x:c>
      <x:c r="Z1097" s="3" t="str">
        <x:v>共同</x:v>
      </x:c>
      <x:c r="AA1097" s="3" t="str">
        <x:v>在售</x:v>
      </x:c>
      <x:c r="AB1097" s="12" t="n">
        <x:f>IF(AND(Z1097="共同",ISNUMBER(G1097),ISNUMBER(AD1097)),G1097-AD1097,"")</x:f>
        <x:v>0.08571428571428572</x:v>
      </x:c>
      <x:c r="AC1097" s="3" t="str"/>
      <x:c r="AD1097" s="12" t="n">
        <x:v>0.13285714285714284</x:v>
      </x:c>
      <x:c r="AE1097" s="3" t="str">
        <x:v>[13306,"2311062-TN-P-O-9"]</x:v>
      </x:c>
      <x:c r="AF1097" t="n">
        <x:f>IF(ISNUMBER(H1097),1,0)</x:f>
        <x:v>1</x:v>
      </x:c>
      <x:c r="AG1097" t="n">
        <x:f>IF(ISNUMBER(I1097),1,0)</x:f>
        <x:v>1</x:v>
      </x:c>
      <x:c r="AH1097" t="str">
        <x:v>["2311062","2311062-TN-P-O","TN-P","驼色 PU"]</x:v>
      </x:c>
      <x:c r="AI1097" t="n">
        <x:f>IF(ISNUMBER(G1097),1,0)</x:f>
        <x:v>1</x:v>
      </x:c>
      <x:c r="AJ1097" t="n">
        <x:f>IF(ISNUMBER(AD1097),1,0)</x:f>
        <x:v>1</x:v>
      </x:c>
    </x:row>
    <x:row r="1098" ht="30" customHeight="1">
      <x:c r="A1098" s="3" t="str">
        <x:v>2311062-WT-P-O-6</x:v>
      </x:c>
      <x:c r="B1098" s="3" t="str">
        <x:v>4店-彬郁-US</x:v>
      </x:c>
      <x:c r="C1098" s="3" t="str">
        <x:v>陈晨</x:v>
      </x:c>
      <x:c r="D1098" s="3" t="str">
        <x:v>2311062</x:v>
      </x:c>
      <x:c r="E1098" s="3" t="str">
        <x:f>IF(Z1098="移出","已移出",IF(NOT(ISNUMBER(H1098)),"数据待核",IF(H1098=0,"断货",IF(NOT(ISNUMBER(G1098)),"数据待核",IF(G1098=0,"零日销待复核",IF(F1098&lt;60,"补货提醒",IF(F1098&lt;=90,"正常库存",IF(F1098&lt;180,"促销",IF(F1098&lt;=365,"红线促销","考虑清仓")))))))))</x:f>
        <x:v>补货提醒</x:v>
      </x:c>
      <x:c r="F1098" s="11" t="n">
        <x:f>IF(AND(ISNUMBER(H1098),ISNUMBER(G1098),G1098&gt;0),H1098/G1098,"")</x:f>
        <x:v>8.740894901144642</x:v>
      </x:c>
      <x:c r="G1098" s="12" t="n">
        <x:f>IF(AND(COUNT(P1098:R1098)=3,MIN(P1098:R1098)&gt;=0,P1098&lt;=Q1098,Q1098&lt;=R1098),P1098/7*0.5+Q1098/14*0.3+R1098/30*0.2,"")</x:f>
        <x:v>0.4576190476190476</x:v>
      </x:c>
      <x:c r="H1098" s="10" t="n">
        <x:f>IF(ISNUMBER(U1098),U1098,"")</x:f>
        <x:v>4</x:v>
      </x:c>
      <x:c r="I1098" s="10" t="n">
        <x:v>3</x:v>
      </x:c>
      <x:c r="J1098" s="11" t="n">
        <x:f>IF(AND(Z1098="共同",ISNUMBER(F1098),ISNUMBER(M1098)),F1098-M1098,"")</x:f>
        <x:v>4.185580367522083</x:v>
      </x:c>
      <x:c r="K1098" s="13" t="n">
        <x:f>IF(AND(ISNUMBER(J1098),M1098&lt;&gt;0),J1098/M1098,"")</x:f>
        <x:v>0.9188345473465144</x:v>
      </x:c>
      <x:c r="L1098" s="10" t="str">
        <x:v>补货提醒</x:v>
      </x:c>
      <x:c r="M1098" s="11" t="n">
        <x:v>4.55531453362256</x:v>
      </x:c>
      <x:c r="N1098" s="10" t="n">
        <x:f>IF(AND(Z1098="共同",COUNT(H1098:I1098)=2),H1098-I1098,"")</x:f>
        <x:v>1</x:v>
      </x:c>
      <x:c r="O1098" s="10" t="n">
        <x:v>5</x:v>
      </x:c>
      <x:c r="P1098" s="10" t="n">
        <x:v>3</x:v>
      </x:c>
      <x:c r="Q1098" s="10" t="n">
        <x:v>7</x:v>
      </x:c>
      <x:c r="R1098" s="10" t="n">
        <x:v>14</x:v>
      </x:c>
      <x:c r="S1098" s="10" t="n">
        <x:v>66</x:v>
      </x:c>
      <x:c r="T1098" s="10" t="n">
        <x:v>1</x:v>
      </x:c>
      <x:c r="U1098" s="10" t="n">
        <x:f>IF(AND(ISNUMBER(X1098),X1098&gt;=0,Y1098&lt;&gt;1),X1098,"")</x:f>
        <x:v>4</x:v>
      </x:c>
      <x:c r="V1098" s="10" t="n">
        <x:v>0</x:v>
      </x:c>
      <x:c r="W1098" s="10" t="n">
        <x:v>60</x:v>
      </x:c>
      <x:c r="X1098" s="10" t="n">
        <x:v>4</x:v>
      </x:c>
      <x:c r="Y1098" s="3" t="n">
        <x:v>0</x:v>
      </x:c>
      <x:c r="Z1098" s="3" t="str">
        <x:v>共同</x:v>
      </x:c>
      <x:c r="AA1098" s="3" t="str">
        <x:v>在售</x:v>
      </x:c>
      <x:c r="AB1098" s="12" t="n">
        <x:f>IF(AND(Z1098="共同",ISNUMBER(G1098),ISNUMBER(AD1098)),G1098-AD1098,"")</x:f>
        <x:v>-0.200952380952381</x:v>
      </x:c>
      <x:c r="AC1098" s="3" t="str"/>
      <x:c r="AD1098" s="12" t="n">
        <x:v>0.6585714285714286</x:v>
      </x:c>
      <x:c r="AE1098" s="3" t="str">
        <x:v>[13306,"2311062-WT-P-O-6"]</x:v>
      </x:c>
      <x:c r="AF1098" t="n">
        <x:f>IF(ISNUMBER(H1098),1,0)</x:f>
        <x:v>1</x:v>
      </x:c>
      <x:c r="AG1098" t="n">
        <x:f>IF(ISNUMBER(I1098),1,0)</x:f>
        <x:v>1</x:v>
      </x:c>
      <x:c r="AH1098" t="str">
        <x:v>["2311062","2311062-WT-P-O","WT-P","白色 PU"]</x:v>
      </x:c>
      <x:c r="AI1098" t="n">
        <x:f>IF(ISNUMBER(G1098),1,0)</x:f>
        <x:v>1</x:v>
      </x:c>
      <x:c r="AJ1098" t="n">
        <x:f>IF(ISNUMBER(AD1098),1,0)</x:f>
        <x:v>1</x:v>
      </x:c>
    </x:row>
    <x:row r="1099" ht="30" customHeight="1">
      <x:c r="A1099" s="3" t="str">
        <x:v>2311062-WT-P-O-7</x:v>
      </x:c>
      <x:c r="B1099" s="3" t="str">
        <x:v>4店-彬郁-US</x:v>
      </x:c>
      <x:c r="C1099" s="3" t="str">
        <x:v>陈晨</x:v>
      </x:c>
      <x:c r="D1099" s="3" t="str">
        <x:v>2311062</x:v>
      </x:c>
      <x:c r="E1099" s="3" t="str">
        <x:f>IF(Z1099="移出","已移出",IF(NOT(ISNUMBER(H1099)),"数据待核",IF(H1099=0,"断货",IF(NOT(ISNUMBER(G1099)),"数据待核",IF(G1099=0,"零日销待复核",IF(F1099&lt;60,"补货提醒",IF(F1099&lt;=90,"正常库存",IF(F1099&lt;180,"促销",IF(F1099&lt;=365,"红线促销","考虑清仓")))))))))</x:f>
        <x:v>补货提醒</x:v>
      </x:c>
      <x:c r="F1099" s="11" t="n">
        <x:f>IF(AND(ISNUMBER(H1099),ISNUMBER(G1099),G1099&gt;0),H1099/G1099,"")</x:f>
        <x:v>43.52640545144804</x:v>
      </x:c>
      <x:c r="G1099" s="12" t="n">
        <x:f>IF(AND(COUNT(P1099:R1099)=3,MIN(P1099:R1099)&gt;=0,P1099&lt;=Q1099,Q1099&lt;=R1099),P1099/7*0.5+Q1099/14*0.3+R1099/30*0.2,"")</x:f>
        <x:v>1.677142857142857</x:v>
      </x:c>
      <x:c r="H1099" s="10" t="n">
        <x:f>IF(ISNUMBER(U1099),U1099,"")</x:f>
        <x:v>73</x:v>
      </x:c>
      <x:c r="I1099" s="10" t="n">
        <x:v>59</x:v>
      </x:c>
      <x:c r="J1099" s="11" t="n">
        <x:f>IF(AND(Z1099="共同",ISNUMBER(F1099),ISNUMBER(M1099)),F1099-M1099,"")</x:f>
        <x:v>-16.270891845849256</x:v>
      </x:c>
      <x:c r="K1099" s="13" t="n">
        <x:f>IF(AND(ISNUMBER(J1099),M1099&lt;&gt;0),J1099/M1099,"")</x:f>
        <x:v>-0.27210079019047345</x:v>
      </x:c>
      <x:c r="L1099" s="10" t="str">
        <x:v>补货提醒</x:v>
      </x:c>
      <x:c r="M1099" s="11" t="n">
        <x:v>59.7972972972973</x:v>
      </x:c>
      <x:c r="N1099" s="10" t="n">
        <x:f>IF(AND(Z1099="共同",COUNT(H1099:I1099)=2),H1099-I1099,"")</x:f>
        <x:v>14</x:v>
      </x:c>
      <x:c r="O1099" s="10" t="n">
        <x:v>202</x:v>
      </x:c>
      <x:c r="P1099" s="10" t="n">
        <x:v>15</x:v>
      </x:c>
      <x:c r="Q1099" s="10" t="n">
        <x:v>18</x:v>
      </x:c>
      <x:c r="R1099" s="10" t="n">
        <x:v>33</x:v>
      </x:c>
      <x:c r="S1099" s="10" t="n">
        <x:v>137</x:v>
      </x:c>
      <x:c r="T1099" s="10" t="n">
        <x:v>0</x:v>
      </x:c>
      <x:c r="U1099" s="10" t="n">
        <x:f>IF(AND(ISNUMBER(X1099),X1099&gt;=0,Y1099&lt;&gt;1),X1099,"")</x:f>
        <x:v>73</x:v>
      </x:c>
      <x:c r="V1099" s="10" t="n">
        <x:v>0</x:v>
      </x:c>
      <x:c r="W1099" s="10" t="n">
        <x:v>100</x:v>
      </x:c>
      <x:c r="X1099" s="10" t="n">
        <x:v>73</x:v>
      </x:c>
      <x:c r="Y1099" s="3" t="n">
        <x:v>0</x:v>
      </x:c>
      <x:c r="Z1099" s="3" t="str">
        <x:v>共同</x:v>
      </x:c>
      <x:c r="AA1099" s="3" t="str">
        <x:v>在售</x:v>
      </x:c>
      <x:c r="AB1099" s="12" t="n">
        <x:f>IF(AND(Z1099="共同",ISNUMBER(G1099),ISNUMBER(AD1099)),G1099-AD1099,"")</x:f>
        <x:v>0.6904761904761904</x:v>
      </x:c>
      <x:c r="AC1099" s="3" t="str"/>
      <x:c r="AD1099" s="12" t="n">
        <x:v>0.9866666666666667</x:v>
      </x:c>
      <x:c r="AE1099" s="3" t="str">
        <x:v>[13306,"2311062-WT-P-O-7"]</x:v>
      </x:c>
      <x:c r="AF1099" t="n">
        <x:f>IF(ISNUMBER(H1099),1,0)</x:f>
        <x:v>1</x:v>
      </x:c>
      <x:c r="AG1099" t="n">
        <x:f>IF(ISNUMBER(I1099),1,0)</x:f>
        <x:v>1</x:v>
      </x:c>
      <x:c r="AH1099" t="str">
        <x:v>["2311062","2311062-WT-P-O","WT-P","白色 PU"]</x:v>
      </x:c>
      <x:c r="AI1099" t="n">
        <x:f>IF(ISNUMBER(G1099),1,0)</x:f>
        <x:v>1</x:v>
      </x:c>
      <x:c r="AJ1099" t="n">
        <x:f>IF(ISNUMBER(AD1099),1,0)</x:f>
        <x:v>1</x:v>
      </x:c>
    </x:row>
    <x:row r="1100" ht="30" customHeight="1">
      <x:c r="A1100" s="3" t="str">
        <x:v>32582-BK-38.5</x:v>
      </x:c>
      <x:c r="B1100" s="3" t="str">
        <x:v>3店-SANDIEX-US</x:v>
      </x:c>
      <x:c r="C1100" s="3" t="str">
        <x:v>徐新怡</x:v>
      </x:c>
      <x:c r="D1100" s="3" t="str">
        <x:v>32582</x:v>
      </x:c>
      <x:c r="E1100" s="3" t="str">
        <x:f>IF(Z1100="移出","已移出",IF(NOT(ISNUMBER(H1100)),"数据待核",IF(H1100=0,"断货",IF(NOT(ISNUMBER(G1100)),"数据待核",IF(G1100=0,"零日销待复核",IF(F1100&lt;60,"补货提醒",IF(F1100&lt;=90,"正常库存",IF(F1100&lt;180,"促销",IF(F1100&lt;=365,"红线促销","考虑清仓")))))))))</x:f>
        <x:v>补货提醒</x:v>
      </x:c>
      <x:c r="F1100" s="11" t="n">
        <x:f>IF(AND(ISNUMBER(H1100),ISNUMBER(G1100),G1100&gt;0),H1100/G1100,"")</x:f>
        <x:v>53.29428989751098</x:v>
      </x:c>
      <x:c r="G1100" s="12" t="n">
        <x:f>IF(AND(COUNT(P1100:R1100)=3,MIN(P1100:R1100)&gt;=0,P1100&lt;=Q1100,Q1100&lt;=R1100),P1100/7*0.5+Q1100/14*0.3+R1100/30*0.2,"")</x:f>
        <x:v>0.9757142857142858</x:v>
      </x:c>
      <x:c r="H1100" s="10" t="n">
        <x:f>IF(ISNUMBER(U1100),U1100,"")</x:f>
        <x:v>52</x:v>
      </x:c>
      <x:c r="I1100" s="10" t="n">
        <x:v>61</x:v>
      </x:c>
      <x:c r="J1100" s="11" t="n">
        <x:f>IF(AND(Z1100="共同",ISNUMBER(F1100),ISNUMBER(M1100)),F1100-M1100,"")</x:f>
        <x:v>18.784591621648907</x:v>
      </x:c>
      <x:c r="K1100" s="13" t="n">
        <x:f>IF(AND(ISNUMBER(J1100),M1100&lt;&gt;0),J1100/M1100,"")</x:f>
        <x:v>0.544327900855275</x:v>
      </x:c>
      <x:c r="L1100" s="10" t="str">
        <x:v>补货提醒</x:v>
      </x:c>
      <x:c r="M1100" s="11" t="n">
        <x:v>34.50969827586207</x:v>
      </x:c>
      <x:c r="N1100" s="10" t="n">
        <x:f>IF(AND(Z1100="共同",COUNT(H1100:I1100)=2),H1100-I1100,"")</x:f>
        <x:v>-9</x:v>
      </x:c>
      <x:c r="O1100" s="10" t="n">
        <x:v>0</x:v>
      </x:c>
      <x:c r="P1100" s="10" t="n">
        <x:v>7</x:v>
      </x:c>
      <x:c r="Q1100" s="10" t="n">
        <x:v>11</x:v>
      </x:c>
      <x:c r="R1100" s="10" t="n">
        <x:v>36</x:v>
      </x:c>
      <x:c r="S1100" s="10" t="n">
        <x:v>52</x:v>
      </x:c>
      <x:c r="T1100" s="10" t="n">
        <x:v>0</x:v>
      </x:c>
      <x:c r="U1100" s="10" t="n">
        <x:f>IF(AND(ISNUMBER(X1100),X1100&gt;=0,Y1100&lt;&gt;1),X1100,"")</x:f>
        <x:v>52</x:v>
      </x:c>
      <x:c r="V1100" s="10" t="n">
        <x:v>0</x:v>
      </x:c>
      <x:c r="W1100" s="10" t="n">
        <x:v>0</x:v>
      </x:c>
      <x:c r="X1100" s="10" t="n">
        <x:v>52</x:v>
      </x:c>
      <x:c r="Y1100" s="3" t="n">
        <x:v>0</x:v>
      </x:c>
      <x:c r="Z1100" s="3" t="str">
        <x:v>共同</x:v>
      </x:c>
      <x:c r="AA1100" s="3" t="str">
        <x:v>在售</x:v>
      </x:c>
      <x:c r="AB1100" s="12" t="n">
        <x:f>IF(AND(Z1100="共同",ISNUMBER(G1100),ISNUMBER(AD1100)),G1100-AD1100,"")</x:f>
        <x:v>-0.7919047619047619</x:v>
      </x:c>
      <x:c r="AC1100" s="3" t="str"/>
      <x:c r="AD1100" s="12" t="n">
        <x:v>1.7676190476190476</x:v>
      </x:c>
      <x:c r="AE1100" s="3" t="str">
        <x:v>[6574,"32582-BK-38.5"]</x:v>
      </x:c>
      <x:c r="AF1100" t="n">
        <x:f>IF(ISNUMBER(H1100),1,0)</x:f>
        <x:v>1</x:v>
      </x:c>
      <x:c r="AG1100" t="n">
        <x:f>IF(ISNUMBER(I1100),1,0)</x:f>
        <x:v>1</x:v>
      </x:c>
      <x:c r="AH1100" t="str">
        <x:v>["32582","32582-BK","BK","黑色"]</x:v>
      </x:c>
      <x:c r="AI1100" t="n">
        <x:f>IF(ISNUMBER(G1100),1,0)</x:f>
        <x:v>1</x:v>
      </x:c>
      <x:c r="AJ1100" t="n">
        <x:f>IF(ISNUMBER(AD1100),1,0)</x:f>
        <x:v>1</x:v>
      </x:c>
    </x:row>
    <x:row r="1101" ht="30" customHeight="1">
      <x:c r="A1101" s="3" t="str">
        <x:v>32582-BK-39</x:v>
      </x:c>
      <x:c r="B1101" s="3" t="str">
        <x:v>3店-SANDIEX-US</x:v>
      </x:c>
      <x:c r="C1101" s="3" t="str">
        <x:v>徐新怡</x:v>
      </x:c>
      <x:c r="D1101" s="3" t="str">
        <x:v>32582</x:v>
      </x:c>
      <x:c r="E1101" s="3" t="str">
        <x:f>IF(Z1101="移出","已移出",IF(NOT(ISNUMBER(H1101)),"数据待核",IF(H1101=0,"断货",IF(NOT(ISNUMBER(G1101)),"数据待核",IF(G1101=0,"零日销待复核",IF(F1101&lt;60,"补货提醒",IF(F1101&lt;=90,"正常库存",IF(F1101&lt;180,"促销",IF(F1101&lt;=365,"红线促销","考虑清仓")))))))))</x:f>
        <x:v>补货提醒</x:v>
      </x:c>
      <x:c r="F1101" s="11" t="n">
        <x:f>IF(AND(ISNUMBER(H1101),ISNUMBER(G1101),G1101&gt;0),H1101/G1101,"")</x:f>
        <x:v>19.148936170212767</x:v>
      </x:c>
      <x:c r="G1101" s="12" t="n">
        <x:f>IF(AND(COUNT(P1101:R1101)=3,MIN(P1101:R1101)&gt;=0,P1101&lt;=Q1101,Q1101&lt;=R1101),P1101/7*0.5+Q1101/14*0.3+R1101/30*0.2,"")</x:f>
        <x:v>1.41</x:v>
      </x:c>
      <x:c r="H1101" s="10" t="n">
        <x:f>IF(ISNUMBER(U1101),U1101,"")</x:f>
        <x:v>27</x:v>
      </x:c>
      <x:c r="I1101" s="10" t="n">
        <x:v>43</x:v>
      </x:c>
      <x:c r="J1101" s="11" t="n">
        <x:f>IF(AND(Z1101="共同",ISNUMBER(F1101),ISNUMBER(M1101)),F1101-M1101,"")</x:f>
        <x:v>-18.984509775733184</x:v>
      </x:c>
      <x:c r="K1101" s="13" t="n">
        <x:f>IF(AND(ISNUMBER(J1101),M1101&lt;&gt;0),J1101/M1101,"")</x:f>
        <x:v>-0.4978440658796918</x:v>
      </x:c>
      <x:c r="L1101" s="10" t="str">
        <x:v>补货提醒</x:v>
      </x:c>
      <x:c r="M1101" s="11" t="n">
        <x:v>38.13344594594595</x:v>
      </x:c>
      <x:c r="N1101" s="10" t="n">
        <x:f>IF(AND(Z1101="共同",COUNT(H1101:I1101)=2),H1101-I1101,"")</x:f>
        <x:v>-16</x:v>
      </x:c>
      <x:c r="O1101" s="10" t="n">
        <x:v>0</x:v>
      </x:c>
      <x:c r="P1101" s="10" t="n">
        <x:v>11</x:v>
      </x:c>
      <x:c r="Q1101" s="10" t="n">
        <x:v>17</x:v>
      </x:c>
      <x:c r="R1101" s="10" t="n">
        <x:v>39</x:v>
      </x:c>
      <x:c r="S1101" s="10" t="n">
        <x:v>30</x:v>
      </x:c>
      <x:c r="T1101" s="10" t="n">
        <x:v>1</x:v>
      </x:c>
      <x:c r="U1101" s="10" t="n">
        <x:f>IF(AND(ISNUMBER(X1101),X1101&gt;=0,Y1101&lt;&gt;1),X1101,"")</x:f>
        <x:v>27</x:v>
      </x:c>
      <x:c r="V1101" s="10" t="n">
        <x:v>0</x:v>
      </x:c>
      <x:c r="W1101" s="10" t="n">
        <x:v>0</x:v>
      </x:c>
      <x:c r="X1101" s="10" t="n">
        <x:v>27</x:v>
      </x:c>
      <x:c r="Y1101" s="3" t="n">
        <x:v>0</x:v>
      </x:c>
      <x:c r="Z1101" s="3" t="str">
        <x:v>共同</x:v>
      </x:c>
      <x:c r="AA1101" s="3" t="str">
        <x:v>在售</x:v>
      </x:c>
      <x:c r="AB1101" s="12" t="n">
        <x:f>IF(AND(Z1101="共同",ISNUMBER(G1101),ISNUMBER(AD1101)),G1101-AD1101,"")</x:f>
        <x:v>0.2823809523809524</x:v>
      </x:c>
      <x:c r="AC1101" s="3" t="str"/>
      <x:c r="AD1101" s="12" t="n">
        <x:v>1.1276190476190475</x:v>
      </x:c>
      <x:c r="AE1101" s="3" t="str">
        <x:v>[6574,"32582-BK-39"]</x:v>
      </x:c>
      <x:c r="AF1101" t="n">
        <x:f>IF(ISNUMBER(H1101),1,0)</x:f>
        <x:v>1</x:v>
      </x:c>
      <x:c r="AG1101" t="n">
        <x:f>IF(ISNUMBER(I1101),1,0)</x:f>
        <x:v>1</x:v>
      </x:c>
      <x:c r="AH1101" t="str">
        <x:v>["32582","32582-BK","BK","黑色"]</x:v>
      </x:c>
      <x:c r="AI1101" t="n">
        <x:f>IF(ISNUMBER(G1101),1,0)</x:f>
        <x:v>1</x:v>
      </x:c>
      <x:c r="AJ1101" t="n">
        <x:f>IF(ISNUMBER(AD1101),1,0)</x:f>
        <x:v>1</x:v>
      </x:c>
    </x:row>
    <x:row r="1102" ht="30" customHeight="1">
      <x:c r="A1102" s="3" t="str">
        <x:v>32582-BK-39.5</x:v>
      </x:c>
      <x:c r="B1102" s="3" t="str">
        <x:v>3店-SANDIEX-US</x:v>
      </x:c>
      <x:c r="C1102" s="3" t="str">
        <x:v>徐新怡</x:v>
      </x:c>
      <x:c r="D1102" s="3" t="str">
        <x:v>32582</x:v>
      </x:c>
      <x:c r="E1102" s="3" t="str">
        <x:f>IF(Z1102="移出","已移出",IF(NOT(ISNUMBER(H1102)),"数据待核",IF(H1102=0,"断货",IF(NOT(ISNUMBER(G1102)),"数据待核",IF(G1102=0,"零日销待复核",IF(F1102&lt;60,"补货提醒",IF(F1102&lt;=90,"正常库存",IF(F1102&lt;180,"促销",IF(F1102&lt;=365,"红线促销","考虑清仓")))))))))</x:f>
        <x:v>补货提醒</x:v>
      </x:c>
      <x:c r="F1102" s="11" t="n">
        <x:f>IF(AND(ISNUMBER(H1102),ISNUMBER(G1102),G1102&gt;0),H1102/G1102,"")</x:f>
        <x:v>39.494163424124515</x:v>
      </x:c>
      <x:c r="G1102" s="12" t="n">
        <x:f>IF(AND(COUNT(P1102:R1102)=3,MIN(P1102:R1102)&gt;=0,P1102&lt;=Q1102,Q1102&lt;=R1102),P1102/7*0.5+Q1102/14*0.3+R1102/30*0.2,"")</x:f>
        <x:v>0.7342857142857142</x:v>
      </x:c>
      <x:c r="H1102" s="10" t="n">
        <x:f>IF(ISNUMBER(U1102),U1102,"")</x:f>
        <x:v>29</x:v>
      </x:c>
      <x:c r="I1102" s="10" t="n">
        <x:v>41</x:v>
      </x:c>
      <x:c r="J1102" s="11" t="n">
        <x:f>IF(AND(Z1102="共同",ISNUMBER(F1102),ISNUMBER(M1102)),F1102-M1102,"")</x:f>
        <x:v>13.442726207785633</x:v>
      </x:c>
      <x:c r="K1102" s="13" t="n">
        <x:f>IF(AND(ISNUMBER(J1102),M1102&lt;&gt;0),J1102/M1102,"")</x:f>
        <x:v>0.5160070861409003</x:v>
      </x:c>
      <x:c r="L1102" s="10" t="str">
        <x:v>补货提醒</x:v>
      </x:c>
      <x:c r="M1102" s="11" t="n">
        <x:v>26.051437216338883</x:v>
      </x:c>
      <x:c r="N1102" s="10" t="n">
        <x:f>IF(AND(Z1102="共同",COUNT(H1102:I1102)=2),H1102-I1102,"")</x:f>
        <x:v>-12</x:v>
      </x:c>
      <x:c r="O1102" s="10" t="n">
        <x:v>0</x:v>
      </x:c>
      <x:c r="P1102" s="10" t="n">
        <x:v>3</x:v>
      </x:c>
      <x:c r="Q1102" s="10" t="n">
        <x:v>14</x:v>
      </x:c>
      <x:c r="R1102" s="10" t="n">
        <x:v>33</x:v>
      </x:c>
      <x:c r="S1102" s="10" t="n">
        <x:v>32</x:v>
      </x:c>
      <x:c r="T1102" s="10" t="n">
        <x:v>0</x:v>
      </x:c>
      <x:c r="U1102" s="10" t="n">
        <x:f>IF(AND(ISNUMBER(X1102),X1102&gt;=0,Y1102&lt;&gt;1),X1102,"")</x:f>
        <x:v>29</x:v>
      </x:c>
      <x:c r="V1102" s="10" t="n">
        <x:v>0</x:v>
      </x:c>
      <x:c r="W1102" s="10" t="n">
        <x:v>0</x:v>
      </x:c>
      <x:c r="X1102" s="10" t="n">
        <x:v>29</x:v>
      </x:c>
      <x:c r="Y1102" s="3" t="n">
        <x:v>0</x:v>
      </x:c>
      <x:c r="Z1102" s="3" t="str">
        <x:v>共同</x:v>
      </x:c>
      <x:c r="AA1102" s="3" t="str">
        <x:v>在售</x:v>
      </x:c>
      <x:c r="AB1102" s="12" t="n">
        <x:f>IF(AND(Z1102="共同",ISNUMBER(G1102),ISNUMBER(AD1102)),G1102-AD1102,"")</x:f>
        <x:v>-0.8395238095238096</x:v>
      </x:c>
      <x:c r="AC1102" s="3" t="str"/>
      <x:c r="AD1102" s="12" t="n">
        <x:v>1.5738095238095238</x:v>
      </x:c>
      <x:c r="AE1102" s="3" t="str">
        <x:v>[6574,"32582-BK-39.5"]</x:v>
      </x:c>
      <x:c r="AF1102" t="n">
        <x:f>IF(ISNUMBER(H1102),1,0)</x:f>
        <x:v>1</x:v>
      </x:c>
      <x:c r="AG1102" t="n">
        <x:f>IF(ISNUMBER(I1102),1,0)</x:f>
        <x:v>1</x:v>
      </x:c>
      <x:c r="AH1102" t="str">
        <x:v>["32582","32582-BK","BK","黑色"]</x:v>
      </x:c>
      <x:c r="AI1102" t="n">
        <x:f>IF(ISNUMBER(G1102),1,0)</x:f>
        <x:v>1</x:v>
      </x:c>
      <x:c r="AJ1102" t="n">
        <x:f>IF(ISNUMBER(AD1102),1,0)</x:f>
        <x:v>1</x:v>
      </x:c>
    </x:row>
    <x:row r="1103" ht="30" customHeight="1">
      <x:c r="A1103" s="3" t="str">
        <x:v>32582-BK-41</x:v>
      </x:c>
      <x:c r="B1103" s="3" t="str">
        <x:v>3店-SANDIEX-US</x:v>
      </x:c>
      <x:c r="C1103" s="3" t="str">
        <x:v>徐新怡</x:v>
      </x:c>
      <x:c r="D1103" s="3" t="str">
        <x:v>32582</x:v>
      </x:c>
      <x:c r="E1103" s="3" t="str">
        <x:f>IF(Z1103="移出","已移出",IF(NOT(ISNUMBER(H1103)),"数据待核",IF(H1103=0,"断货",IF(NOT(ISNUMBER(G1103)),"数据待核",IF(G1103=0,"零日销待复核",IF(F1103&lt;60,"补货提醒",IF(F1103&lt;=90,"正常库存",IF(F1103&lt;180,"促销",IF(F1103&lt;=365,"红线促销","考虑清仓")))))))))</x:f>
        <x:v>补货提醒</x:v>
      </x:c>
      <x:c r="F1103" s="11" t="n">
        <x:f>IF(AND(ISNUMBER(H1103),ISNUMBER(G1103),G1103&gt;0),H1103/G1103,"")</x:f>
        <x:v>12.403452975920036</x:v>
      </x:c>
      <x:c r="G1103" s="12" t="n">
        <x:f>IF(AND(COUNT(P1103:R1103)=3,MIN(P1103:R1103)&gt;=0,P1103&lt;=Q1103,Q1103&lt;=R1103),P1103/7*0.5+Q1103/14*0.3+R1103/30*0.2,"")</x:f>
        <x:v>1.0480952380952382</x:v>
      </x:c>
      <x:c r="H1103" s="10" t="n">
        <x:f>IF(ISNUMBER(U1103),U1103,"")</x:f>
        <x:v>13</x:v>
      </x:c>
      <x:c r="I1103" s="10" t="n">
        <x:v>27</x:v>
      </x:c>
      <x:c r="J1103" s="11" t="n">
        <x:f>IF(AND(Z1103="共同",ISNUMBER(F1103),ISNUMBER(M1103)),F1103-M1103,"")</x:f>
        <x:v>-5.488626544433387</x:v>
      </x:c>
      <x:c r="K1103" s="13" t="n">
        <x:f>IF(AND(ISNUMBER(J1103),M1103&lt;&gt;0),J1103/M1103,"")</x:f>
        <x:v>-0.3067629192118061</x:v>
      </x:c>
      <x:c r="L1103" s="10" t="str">
        <x:v>补货提醒</x:v>
      </x:c>
      <x:c r="M1103" s="11" t="n">
        <x:v>17.892079520353423</x:v>
      </x:c>
      <x:c r="N1103" s="10" t="n">
        <x:f>IF(AND(Z1103="共同",COUNT(H1103:I1103)=2),H1103-I1103,"")</x:f>
        <x:v>-14</x:v>
      </x:c>
      <x:c r="O1103" s="10" t="n">
        <x:v>0</x:v>
      </x:c>
      <x:c r="P1103" s="10" t="n">
        <x:v>7</x:v>
      </x:c>
      <x:c r="Q1103" s="10" t="n">
        <x:v>15</x:v>
      </x:c>
      <x:c r="R1103" s="10" t="n">
        <x:v>34</x:v>
      </x:c>
      <x:c r="S1103" s="10" t="n">
        <x:v>16</x:v>
      </x:c>
      <x:c r="T1103" s="10" t="n">
        <x:v>0</x:v>
      </x:c>
      <x:c r="U1103" s="10" t="n">
        <x:f>IF(AND(ISNUMBER(X1103),X1103&gt;=0,Y1103&lt;&gt;1),X1103,"")</x:f>
        <x:v>13</x:v>
      </x:c>
      <x:c r="V1103" s="10" t="n">
        <x:v>0</x:v>
      </x:c>
      <x:c r="W1103" s="10" t="n">
        <x:v>21</x:v>
      </x:c>
      <x:c r="X1103" s="10" t="n">
        <x:v>13</x:v>
      </x:c>
      <x:c r="Y1103" s="3" t="n">
        <x:v>0</x:v>
      </x:c>
      <x:c r="Z1103" s="3" t="str">
        <x:v>共同</x:v>
      </x:c>
      <x:c r="AA1103" s="3" t="str">
        <x:v>在售</x:v>
      </x:c>
      <x:c r="AB1103" s="12" t="n">
        <x:f>IF(AND(Z1103="共同",ISNUMBER(G1103),ISNUMBER(AD1103)),G1103-AD1103,"")</x:f>
        <x:v>-0.460952380952381</x:v>
      </x:c>
      <x:c r="AC1103" s="3" t="str"/>
      <x:c r="AD1103" s="12" t="n">
        <x:v>1.5090476190476192</x:v>
      </x:c>
      <x:c r="AE1103" s="3" t="str">
        <x:v>[6574,"32582-BK-41"]</x:v>
      </x:c>
      <x:c r="AF1103" t="n">
        <x:f>IF(ISNUMBER(H1103),1,0)</x:f>
        <x:v>1</x:v>
      </x:c>
      <x:c r="AG1103" t="n">
        <x:f>IF(ISNUMBER(I1103),1,0)</x:f>
        <x:v>1</x:v>
      </x:c>
      <x:c r="AH1103" t="str">
        <x:v>["32582","32582-BK","BK","黑色"]</x:v>
      </x:c>
      <x:c r="AI1103" t="n">
        <x:f>IF(ISNUMBER(G1103),1,0)</x:f>
        <x:v>1</x:v>
      </x:c>
      <x:c r="AJ1103" t="n">
        <x:f>IF(ISNUMBER(AD1103),1,0)</x:f>
        <x:v>1</x:v>
      </x:c>
    </x:row>
    <x:row r="1104" ht="30" customHeight="1">
      <x:c r="A1104" s="3" t="str">
        <x:v>32582-BK-41.5</x:v>
      </x:c>
      <x:c r="B1104" s="3" t="str">
        <x:v>3店-SANDIEX-US</x:v>
      </x:c>
      <x:c r="C1104" s="3" t="str">
        <x:v>徐新怡</x:v>
      </x:c>
      <x:c r="D1104" s="3" t="str">
        <x:v>32582</x:v>
      </x:c>
      <x:c r="E1104" s="3" t="str">
        <x:f>IF(Z1104="移出","已移出",IF(NOT(ISNUMBER(H1104)),"数据待核",IF(H1104=0,"断货",IF(NOT(ISNUMBER(G1104)),"数据待核",IF(G1104=0,"零日销待复核",IF(F1104&lt;60,"补货提醒",IF(F1104&lt;=90,"正常库存",IF(F1104&lt;180,"促销",IF(F1104&lt;=365,"红线促销","考虑清仓")))))))))</x:f>
        <x:v>补货提醒</x:v>
      </x:c>
      <x:c r="F1104" s="11" t="n">
        <x:f>IF(AND(ISNUMBER(H1104),ISNUMBER(G1104),G1104&gt;0),H1104/G1104,"")</x:f>
        <x:v>39.39393939393939</x:v>
      </x:c>
      <x:c r="G1104" s="12" t="n">
        <x:f>IF(AND(COUNT(P1104:R1104)=3,MIN(P1104:R1104)&gt;=0,P1104&lt;=Q1104,Q1104&lt;=R1104),P1104/7*0.5+Q1104/14*0.3+R1104/30*0.2,"")</x:f>
        <x:v>0.33</x:v>
      </x:c>
      <x:c r="H1104" s="10" t="n">
        <x:f>IF(ISNUMBER(U1104),U1104,"")</x:f>
        <x:v>13</x:v>
      </x:c>
      <x:c r="I1104" s="10" t="n">
        <x:v>16</x:v>
      </x:c>
      <x:c r="J1104" s="11" t="n">
        <x:f>IF(AND(Z1104="共同",ISNUMBER(F1104),ISNUMBER(M1104)),F1104-M1104,"")</x:f>
        <x:v>11.510121966553498</x:v>
      </x:c>
      <x:c r="K1104" s="13" t="n">
        <x:f>IF(AND(ISNUMBER(J1104),M1104&lt;&gt;0),J1104/M1104,"")</x:f>
        <x:v>0.41278860028860015</x:v>
      </x:c>
      <x:c r="L1104" s="10" t="str">
        <x:v>补货提醒</x:v>
      </x:c>
      <x:c r="M1104" s="11" t="n">
        <x:v>27.883817427385893</x:v>
      </x:c>
      <x:c r="N1104" s="10" t="n">
        <x:f>IF(AND(Z1104="共同",COUNT(H1104:I1104)=2),H1104-I1104,"")</x:f>
        <x:v>-3</x:v>
      </x:c>
      <x:c r="O1104" s="10" t="n">
        <x:v>0</x:v>
      </x:c>
      <x:c r="P1104" s="10" t="n">
        <x:v>2</x:v>
      </x:c>
      <x:c r="Q1104" s="10" t="n">
        <x:v>5</x:v>
      </x:c>
      <x:c r="R1104" s="10" t="n">
        <x:v>12</x:v>
      </x:c>
      <x:c r="S1104" s="10" t="n">
        <x:v>14</x:v>
      </x:c>
      <x:c r="T1104" s="10" t="n">
        <x:v>1</x:v>
      </x:c>
      <x:c r="U1104" s="10" t="n">
        <x:f>IF(AND(ISNUMBER(X1104),X1104&gt;=0,Y1104&lt;&gt;1),X1104,"")</x:f>
        <x:v>13</x:v>
      </x:c>
      <x:c r="V1104" s="10" t="n">
        <x:v>0</x:v>
      </x:c>
      <x:c r="W1104" s="10" t="n">
        <x:v>0</x:v>
      </x:c>
      <x:c r="X1104" s="10" t="n">
        <x:v>13</x:v>
      </x:c>
      <x:c r="Y1104" s="3" t="n">
        <x:v>0</x:v>
      </x:c>
      <x:c r="Z1104" s="3" t="str">
        <x:v>共同</x:v>
      </x:c>
      <x:c r="AA1104" s="3" t="str">
        <x:v>在售</x:v>
      </x:c>
      <x:c r="AB1104" s="12" t="n">
        <x:f>IF(AND(Z1104="共同",ISNUMBER(G1104),ISNUMBER(AD1104)),G1104-AD1104,"")</x:f>
        <x:v>-0.24380952380952375</x:v>
      </x:c>
      <x:c r="AC1104" s="3" t="str"/>
      <x:c r="AD1104" s="12" t="n">
        <x:v>0.5738095238095238</x:v>
      </x:c>
      <x:c r="AE1104" s="3" t="str">
        <x:v>[6574,"32582-BK-41.5"]</x:v>
      </x:c>
      <x:c r="AF1104" t="n">
        <x:f>IF(ISNUMBER(H1104),1,0)</x:f>
        <x:v>1</x:v>
      </x:c>
      <x:c r="AG1104" t="n">
        <x:f>IF(ISNUMBER(I1104),1,0)</x:f>
        <x:v>1</x:v>
      </x:c>
      <x:c r="AH1104" t="str">
        <x:v>["32582","32582-BK","BK","黑色"]</x:v>
      </x:c>
      <x:c r="AI1104" t="n">
        <x:f>IF(ISNUMBER(G1104),1,0)</x:f>
        <x:v>1</x:v>
      </x:c>
      <x:c r="AJ1104" t="n">
        <x:f>IF(ISNUMBER(AD1104),1,0)</x:f>
        <x:v>1</x:v>
      </x:c>
    </x:row>
    <x:row r="1105" ht="30" customHeight="1">
      <x:c r="A1105" s="3" t="str">
        <x:v>32582-BKW-37.5</x:v>
      </x:c>
      <x:c r="B1105" s="3" t="str">
        <x:v>3店-SANDIEX-US</x:v>
      </x:c>
      <x:c r="C1105" s="3" t="str">
        <x:v>徐新怡</x:v>
      </x:c>
      <x:c r="D1105" s="3" t="str">
        <x:v>32582</x:v>
      </x:c>
      <x:c r="E1105" s="3" t="str">
        <x:f>IF(Z1105="移出","已移出",IF(NOT(ISNUMBER(H1105)),"数据待核",IF(H1105=0,"断货",IF(NOT(ISNUMBER(G1105)),"数据待核",IF(G1105=0,"零日销待复核",IF(F1105&lt;60,"补货提醒",IF(F1105&lt;=90,"正常库存",IF(F1105&lt;180,"促销",IF(F1105&lt;=365,"红线促销","考虑清仓")))))))))</x:f>
        <x:v>补货提醒</x:v>
      </x:c>
      <x:c r="F1105" s="11" t="n">
        <x:f>IF(AND(ISNUMBER(H1105),ISNUMBER(G1105),G1105&gt;0),H1105/G1105,"")</x:f>
        <x:v>6.213017751479291</x:v>
      </x:c>
      <x:c r="G1105" s="12" t="n">
        <x:f>IF(AND(COUNT(P1105:R1105)=3,MIN(P1105:R1105)&gt;=0,P1105&lt;=Q1105,Q1105&lt;=R1105),P1105/7*0.5+Q1105/14*0.3+R1105/30*0.2,"")</x:f>
        <x:v>0.16095238095238093</x:v>
      </x:c>
      <x:c r="H1105" s="10" t="n">
        <x:f>IF(ISNUMBER(U1105),U1105,"")</x:f>
        <x:v>1</x:v>
      </x:c>
      <x:c r="I1105" s="10" t="n">
        <x:v>0</x:v>
      </x:c>
      <x:c r="J1105" s="11" t="n">
        <x:f>IF(AND(Z1105="共同",ISNUMBER(F1105),ISNUMBER(M1105)),F1105-M1105,"")</x:f>
        <x:v>6.213017751479291</x:v>
      </x:c>
      <x:c r="K1105" s="13" t="str">
        <x:f>IF(AND(ISNUMBER(J1105),M1105&lt;&gt;0),J1105/M1105,"")</x:f>
      </x:c>
      <x:c r="L1105" s="10" t="str">
        <x:v>断货</x:v>
      </x:c>
      <x:c r="M1105" s="11" t="n">
        <x:v>0</x:v>
      </x:c>
      <x:c r="N1105" s="10" t="n">
        <x:f>IF(AND(Z1105="共同",COUNT(H1105:I1105)=2),H1105-I1105,"")</x:f>
        <x:v>1</x:v>
      </x:c>
      <x:c r="O1105" s="10" t="n">
        <x:v>78</x:v>
      </x:c>
      <x:c r="P1105" s="10" t="n">
        <x:v>1</x:v>
      </x:c>
      <x:c r="Q1105" s="10" t="n">
        <x:v>2</x:v>
      </x:c>
      <x:c r="R1105" s="10" t="n">
        <x:v>7</x:v>
      </x:c>
      <x:c r="S1105" s="10" t="n">
        <x:v>2</x:v>
      </x:c>
      <x:c r="T1105" s="10" t="n">
        <x:v>0</x:v>
      </x:c>
      <x:c r="U1105" s="10" t="n">
        <x:f>IF(AND(ISNUMBER(X1105),X1105&gt;=0,Y1105&lt;&gt;1),X1105,"")</x:f>
        <x:v>1</x:v>
      </x:c>
      <x:c r="V1105" s="10" t="n">
        <x:v>0</x:v>
      </x:c>
      <x:c r="W1105" s="10" t="n">
        <x:v>0</x:v>
      </x:c>
      <x:c r="X1105" s="10" t="n">
        <x:v>1</x:v>
      </x:c>
      <x:c r="Y1105" s="3" t="n">
        <x:v>0</x:v>
      </x:c>
      <x:c r="Z1105" s="3" t="str">
        <x:v>共同</x:v>
      </x:c>
      <x:c r="AA1105" s="3" t="str">
        <x:v>在售</x:v>
      </x:c>
      <x:c r="AB1105" s="12" t="n">
        <x:f>IF(AND(Z1105="共同",ISNUMBER(G1105),ISNUMBER(AD1105)),G1105-AD1105,"")</x:f>
        <x:v>-0.2852380952380952</x:v>
      </x:c>
      <x:c r="AC1105" s="3" t="str"/>
      <x:c r="AD1105" s="12" t="n">
        <x:v>0.44619047619047614</x:v>
      </x:c>
      <x:c r="AE1105" s="3" t="str">
        <x:v>[6574,"32582-BKW-37.5"]</x:v>
      </x:c>
      <x:c r="AF1105" t="n">
        <x:f>IF(ISNUMBER(H1105),1,0)</x:f>
        <x:v>1</x:v>
      </x:c>
      <x:c r="AG1105" t="n">
        <x:f>IF(ISNUMBER(I1105),1,0)</x:f>
        <x:v>1</x:v>
      </x:c>
      <x:c r="AH1105" t="str">
        <x:v>["32582","32582-BKW","BKW","黑色白色内里"]</x:v>
      </x:c>
      <x:c r="AI1105" t="n">
        <x:f>IF(ISNUMBER(G1105),1,0)</x:f>
        <x:v>1</x:v>
      </x:c>
      <x:c r="AJ1105" t="n">
        <x:f>IF(ISNUMBER(AD1105),1,0)</x:f>
        <x:v>1</x:v>
      </x:c>
    </x:row>
    <x:row r="1106" ht="30" customHeight="1">
      <x:c r="A1106" s="3" t="str">
        <x:v>32582-BKW-38</x:v>
      </x:c>
      <x:c r="B1106" s="3" t="str">
        <x:v>3店-SANDIEX-US</x:v>
      </x:c>
      <x:c r="C1106" s="3" t="str">
        <x:v>徐新怡</x:v>
      </x:c>
      <x:c r="D1106" s="3" t="str">
        <x:v>32582</x:v>
      </x:c>
      <x:c r="E1106" s="3" t="str">
        <x:f>IF(Z1106="移出","已移出",IF(NOT(ISNUMBER(H1106)),"数据待核",IF(H1106=0,"断货",IF(NOT(ISNUMBER(G1106)),"数据待核",IF(G1106=0,"零日销待复核",IF(F1106&lt;60,"补货提醒",IF(F1106&lt;=90,"正常库存",IF(F1106&lt;180,"促销",IF(F1106&lt;=365,"红线促销","考虑清仓")))))))))</x:f>
        <x:v>补货提醒</x:v>
      </x:c>
      <x:c r="F1106" s="11" t="n">
        <x:f>IF(AND(ISNUMBER(H1106),ISNUMBER(G1106),G1106&gt;0),H1106/G1106,"")</x:f>
        <x:v>43.75000000000001</x:v>
      </x:c>
      <x:c r="G1106" s="12" t="n">
        <x:f>IF(AND(COUNT(P1106:R1106)=3,MIN(P1106:R1106)&gt;=0,P1106&lt;=Q1106,Q1106&lt;=R1106),P1106/7*0.5+Q1106/14*0.3+R1106/30*0.2,"")</x:f>
        <x:v>0.20571428571428568</x:v>
      </x:c>
      <x:c r="H1106" s="10" t="n">
        <x:f>IF(ISNUMBER(U1106),U1106,"")</x:f>
        <x:v>9</x:v>
      </x:c>
      <x:c r="I1106" s="10" t="n">
        <x:v>11</x:v>
      </x:c>
      <x:c r="J1106" s="11" t="n">
        <x:f>IF(AND(Z1106="共同",ISNUMBER(F1106),ISNUMBER(M1106)),F1106-M1106,"")</x:f>
        <x:v>-66.7763157894737</x:v>
      </x:c>
      <x:c r="K1106" s="13" t="n">
        <x:f>IF(AND(ISNUMBER(J1106),M1106&lt;&gt;0),J1106/M1106,"")</x:f>
        <x:v>-0.6041666666666667</x:v>
      </x:c>
      <x:c r="L1106" s="10" t="str">
        <x:v>促销</x:v>
      </x:c>
      <x:c r="M1106" s="11" t="n">
        <x:v>110.5263157894737</x:v>
      </x:c>
      <x:c r="N1106" s="10" t="n">
        <x:f>IF(AND(Z1106="共同",COUNT(H1106:I1106)=2),H1106-I1106,"")</x:f>
        <x:v>-2</x:v>
      </x:c>
      <x:c r="O1106" s="10" t="n">
        <x:v>0</x:v>
      </x:c>
      <x:c r="P1106" s="10" t="n">
        <x:v>2</x:v>
      </x:c>
      <x:c r="Q1106" s="10" t="n">
        <x:v>2</x:v>
      </x:c>
      <x:c r="R1106" s="10" t="n">
        <x:v>3</x:v>
      </x:c>
      <x:c r="S1106" s="10" t="n">
        <x:v>10</x:v>
      </x:c>
      <x:c r="T1106" s="10" t="n">
        <x:v>0</x:v>
      </x:c>
      <x:c r="U1106" s="10" t="n">
        <x:f>IF(AND(ISNUMBER(X1106),X1106&gt;=0,Y1106&lt;&gt;1),X1106,"")</x:f>
        <x:v>9</x:v>
      </x:c>
      <x:c r="V1106" s="10" t="n">
        <x:v>0</x:v>
      </x:c>
      <x:c r="W1106" s="10" t="n">
        <x:v>0</x:v>
      </x:c>
      <x:c r="X1106" s="10" t="n">
        <x:v>9</x:v>
      </x:c>
      <x:c r="Y1106" s="3" t="n">
        <x:v>0</x:v>
      </x:c>
      <x:c r="Z1106" s="3" t="str">
        <x:v>共同</x:v>
      </x:c>
      <x:c r="AA1106" s="3" t="str">
        <x:v>在售</x:v>
      </x:c>
      <x:c r="AB1106" s="12" t="n">
        <x:f>IF(AND(Z1106="共同",ISNUMBER(G1106),ISNUMBER(AD1106)),G1106-AD1106,"")</x:f>
        <x:v>0.10619047619047617</x:v>
      </x:c>
      <x:c r="AC1106" s="3" t="str"/>
      <x:c r="AD1106" s="12" t="n">
        <x:v>0.09952380952380951</x:v>
      </x:c>
      <x:c r="AE1106" s="3" t="str">
        <x:v>[6574,"32582-BKW-38"]</x:v>
      </x:c>
      <x:c r="AF1106" t="n">
        <x:f>IF(ISNUMBER(H1106),1,0)</x:f>
        <x:v>1</x:v>
      </x:c>
      <x:c r="AG1106" t="n">
        <x:f>IF(ISNUMBER(I1106),1,0)</x:f>
        <x:v>1</x:v>
      </x:c>
      <x:c r="AH1106" t="str">
        <x:v>["32582","32582-BKW","BKW","黑色白色内里"]</x:v>
      </x:c>
      <x:c r="AI1106" t="n">
        <x:f>IF(ISNUMBER(G1106),1,0)</x:f>
        <x:v>1</x:v>
      </x:c>
      <x:c r="AJ1106" t="n">
        <x:f>IF(ISNUMBER(AD1106),1,0)</x:f>
        <x:v>1</x:v>
      </x:c>
    </x:row>
    <x:row r="1107" ht="30" customHeight="1">
      <x:c r="A1107" s="3" t="str">
        <x:v>32582-BKW-42</x:v>
      </x:c>
      <x:c r="B1107" s="3" t="str">
        <x:v>3店-SANDIEX-US</x:v>
      </x:c>
      <x:c r="C1107" s="3" t="str">
        <x:v>徐新怡</x:v>
      </x:c>
      <x:c r="D1107" s="3" t="str">
        <x:v>32582</x:v>
      </x:c>
      <x:c r="E1107" s="3" t="str">
        <x:f>IF(Z1107="移出","已移出",IF(NOT(ISNUMBER(H1107)),"数据待核",IF(H1107=0,"断货",IF(NOT(ISNUMBER(G1107)),"数据待核",IF(G1107=0,"零日销待复核",IF(F1107&lt;60,"补货提醒",IF(F1107&lt;=90,"正常库存",IF(F1107&lt;180,"促销",IF(F1107&lt;=365,"红线促销","考虑清仓")))))))))</x:f>
        <x:v>补货提醒</x:v>
      </x:c>
      <x:c r="F1107" s="11" t="n">
        <x:f>IF(AND(ISNUMBER(H1107),ISNUMBER(G1107),G1107&gt;0),H1107/G1107,"")</x:f>
        <x:v>21.298174442190668</x:v>
      </x:c>
      <x:c r="G1107" s="12" t="n">
        <x:f>IF(AND(COUNT(P1107:R1107)=3,MIN(P1107:R1107)&gt;=0,P1107&lt;=Q1107,Q1107&lt;=R1107),P1107/7*0.5+Q1107/14*0.3+R1107/30*0.2,"")</x:f>
        <x:v>0.46952380952380957</x:v>
      </x:c>
      <x:c r="H1107" s="10" t="n">
        <x:f>IF(ISNUMBER(U1107),U1107,"")</x:f>
        <x:v>10</x:v>
      </x:c>
      <x:c r="I1107" s="10" t="n">
        <x:v>12</x:v>
      </x:c>
      <x:c r="J1107" s="11" t="n">
        <x:f>IF(AND(Z1107="共同",ISNUMBER(F1107),ISNUMBER(M1107)),F1107-M1107,"")</x:f>
        <x:v>3.7371988324345686</x:v>
      </x:c>
      <x:c r="K1107" s="13" t="n">
        <x:f>IF(AND(ISNUMBER(J1107),M1107&lt;&gt;0),J1107/M1107,"")</x:f>
        <x:v>0.2128127112914129</x:v>
      </x:c>
      <x:c r="L1107" s="10" t="str">
        <x:v>补货提醒</x:v>
      </x:c>
      <x:c r="M1107" s="11" t="n">
        <x:v>17.5609756097561</x:v>
      </x:c>
      <x:c r="N1107" s="10" t="n">
        <x:f>IF(AND(Z1107="共同",COUNT(H1107:I1107)=2),H1107-I1107,"")</x:f>
        <x:v>-2</x:v>
      </x:c>
      <x:c r="O1107" s="10" t="n">
        <x:v>16</x:v>
      </x:c>
      <x:c r="P1107" s="10" t="n">
        <x:v>3</x:v>
      </x:c>
      <x:c r="Q1107" s="10" t="n">
        <x:v>6</x:v>
      </x:c>
      <x:c r="R1107" s="10" t="n">
        <x:v>19</x:v>
      </x:c>
      <x:c r="S1107" s="10" t="n">
        <x:v>12</x:v>
      </x:c>
      <x:c r="T1107" s="10" t="n">
        <x:v>0</x:v>
      </x:c>
      <x:c r="U1107" s="10" t="n">
        <x:f>IF(AND(ISNUMBER(X1107),X1107&gt;=0,Y1107&lt;&gt;1),X1107,"")</x:f>
        <x:v>10</x:v>
      </x:c>
      <x:c r="V1107" s="10" t="n">
        <x:v>0</x:v>
      </x:c>
      <x:c r="W1107" s="10" t="n">
        <x:v>16</x:v>
      </x:c>
      <x:c r="X1107" s="10" t="n">
        <x:v>10</x:v>
      </x:c>
      <x:c r="Y1107" s="3" t="n">
        <x:v>0</x:v>
      </x:c>
      <x:c r="Z1107" s="3" t="str">
        <x:v>共同</x:v>
      </x:c>
      <x:c r="AA1107" s="3" t="str">
        <x:v>在售</x:v>
      </x:c>
      <x:c r="AB1107" s="12" t="n">
        <x:f>IF(AND(Z1107="共同",ISNUMBER(G1107),ISNUMBER(AD1107)),G1107-AD1107,"")</x:f>
        <x:v>-0.21380952380952378</x:v>
      </x:c>
      <x:c r="AC1107" s="3" t="str"/>
      <x:c r="AD1107" s="12" t="n">
        <x:v>0.6833333333333333</x:v>
      </x:c>
      <x:c r="AE1107" s="3" t="str">
        <x:v>[6574,"32582-BKW-42"]</x:v>
      </x:c>
      <x:c r="AF1107" t="n">
        <x:f>IF(ISNUMBER(H1107),1,0)</x:f>
        <x:v>1</x:v>
      </x:c>
      <x:c r="AG1107" t="n">
        <x:f>IF(ISNUMBER(I1107),1,0)</x:f>
        <x:v>1</x:v>
      </x:c>
      <x:c r="AH1107" t="str">
        <x:v>["32582","32582-BKW","BKW","黑色白色内里"]</x:v>
      </x:c>
      <x:c r="AI1107" t="n">
        <x:f>IF(ISNUMBER(G1107),1,0)</x:f>
        <x:v>1</x:v>
      </x:c>
      <x:c r="AJ1107" t="n">
        <x:f>IF(ISNUMBER(AD1107),1,0)</x:f>
        <x:v>1</x:v>
      </x:c>
    </x:row>
    <x:row r="1108" ht="30" customHeight="1">
      <x:c r="A1108" s="3" t="str">
        <x:v>32582-GY-38</x:v>
      </x:c>
      <x:c r="B1108" s="3" t="str">
        <x:v>3店-SANDIEX-US</x:v>
      </x:c>
      <x:c r="C1108" s="3" t="str">
        <x:v>徐新怡</x:v>
      </x:c>
      <x:c r="D1108" s="3" t="str">
        <x:v>32582</x:v>
      </x:c>
      <x:c r="E1108" s="3" t="str">
        <x:f>IF(Z1108="移出","已移出",IF(NOT(ISNUMBER(H1108)),"数据待核",IF(H1108=0,"断货",IF(NOT(ISNUMBER(G1108)),"数据待核",IF(G1108=0,"零日销待复核",IF(F1108&lt;60,"补货提醒",IF(F1108&lt;=90,"正常库存",IF(F1108&lt;180,"促销",IF(F1108&lt;=365,"红线促销","考虑清仓")))))))))</x:f>
        <x:v>补货提醒</x:v>
      </x:c>
      <x:c r="F1108" s="11" t="n">
        <x:f>IF(AND(ISNUMBER(H1108),ISNUMBER(G1108),G1108&gt;0),H1108/G1108,"")</x:f>
        <x:v>37.668161434977584</x:v>
      </x:c>
      <x:c r="G1108" s="12" t="n">
        <x:f>IF(AND(COUNT(P1108:R1108)=3,MIN(P1108:R1108)&gt;=0,P1108&lt;=Q1108,Q1108&lt;=R1108),P1108/7*0.5+Q1108/14*0.3+R1108/30*0.2,"")</x:f>
        <x:v>0.10619047619047618</x:v>
      </x:c>
      <x:c r="H1108" s="10" t="n">
        <x:f>IF(ISNUMBER(U1108),U1108,"")</x:f>
        <x:v>4</x:v>
      </x:c>
      <x:c r="I1108" s="10" t="n">
        <x:v>5</x:v>
      </x:c>
      <x:c r="J1108" s="11" t="n">
        <x:f>IF(AND(Z1108="共同",ISNUMBER(F1108),ISNUMBER(M1108)),F1108-M1108,"")</x:f>
        <x:v>-12.571073014783188</x:v>
      </x:c>
      <x:c r="K1108" s="13" t="n">
        <x:f>IF(AND(ISNUMBER(J1108),M1108&lt;&gt;0),J1108/M1108,"")</x:f>
        <x:v>-0.25022421524663674</x:v>
      </x:c>
      <x:c r="L1108" s="10" t="str">
        <x:v>补货提醒</x:v>
      </x:c>
      <x:c r="M1108" s="11" t="n">
        <x:v>50.23923444976077</x:v>
      </x:c>
      <x:c r="N1108" s="10" t="n">
        <x:f>IF(AND(Z1108="共同",COUNT(H1108:I1108)=2),H1108-I1108,"")</x:f>
        <x:v>-1</x:v>
      </x:c>
      <x:c r="O1108" s="10" t="n">
        <x:v>20</x:v>
      </x:c>
      <x:c r="P1108" s="10" t="n">
        <x:v>1</x:v>
      </x:c>
      <x:c r="Q1108" s="10" t="n">
        <x:v>1</x:v>
      </x:c>
      <x:c r="R1108" s="10" t="n">
        <x:v>2</x:v>
      </x:c>
      <x:c r="S1108" s="10" t="n">
        <x:v>5</x:v>
      </x:c>
      <x:c r="T1108" s="10" t="n">
        <x:v>0</x:v>
      </x:c>
      <x:c r="U1108" s="10" t="n">
        <x:f>IF(AND(ISNUMBER(X1108),X1108&gt;=0,Y1108&lt;&gt;1),X1108,"")</x:f>
        <x:v>4</x:v>
      </x:c>
      <x:c r="V1108" s="10" t="n">
        <x:v>0</x:v>
      </x:c>
      <x:c r="W1108" s="10" t="n">
        <x:v>0</x:v>
      </x:c>
      <x:c r="X1108" s="10" t="n">
        <x:v>4</x:v>
      </x:c>
      <x:c r="Y1108" s="3" t="n">
        <x:v>0</x:v>
      </x:c>
      <x:c r="Z1108" s="3" t="str">
        <x:v>共同</x:v>
      </x:c>
      <x:c r="AA1108" s="3" t="str">
        <x:v>在售</x:v>
      </x:c>
      <x:c r="AB1108" s="12" t="n">
        <x:f>IF(AND(Z1108="共同",ISNUMBER(G1108),ISNUMBER(AD1108)),G1108-AD1108,"")</x:f>
        <x:v>0.006666666666666668</x:v>
      </x:c>
      <x:c r="AC1108" s="3" t="str"/>
      <x:c r="AD1108" s="12" t="n">
        <x:v>0.09952380952380951</x:v>
      </x:c>
      <x:c r="AE1108" s="3" t="str">
        <x:v>[6574,"32582-GY-38"]</x:v>
      </x:c>
      <x:c r="AF1108" t="n">
        <x:f>IF(ISNUMBER(H1108),1,0)</x:f>
        <x:v>1</x:v>
      </x:c>
      <x:c r="AG1108" t="n">
        <x:f>IF(ISNUMBER(I1108),1,0)</x:f>
        <x:v>1</x:v>
      </x:c>
      <x:c r="AH1108" t="str">
        <x:v>["32582","32582-GY","GY","灰色"]</x:v>
      </x:c>
      <x:c r="AI1108" t="n">
        <x:f>IF(ISNUMBER(G1108),1,0)</x:f>
        <x:v>1</x:v>
      </x:c>
      <x:c r="AJ1108" t="n">
        <x:f>IF(ISNUMBER(AD1108),1,0)</x:f>
        <x:v>1</x:v>
      </x:c>
    </x:row>
    <x:row r="1109" ht="30" customHeight="1">
      <x:c r="A1109" s="3" t="str">
        <x:v>32582-LD-37</x:v>
      </x:c>
      <x:c r="B1109" s="3" t="str">
        <x:v>3店-SANDIEX-US</x:v>
      </x:c>
      <x:c r="C1109" s="3" t="str">
        <x:v>徐新怡</x:v>
      </x:c>
      <x:c r="D1109" s="3" t="str">
        <x:v>32582</x:v>
      </x:c>
      <x:c r="E1109" s="3" t="str">
        <x:f>IF(Z1109="移出","已移出",IF(NOT(ISNUMBER(H1109)),"数据待核",IF(H1109=0,"断货",IF(NOT(ISNUMBER(G1109)),"数据待核",IF(G1109=0,"零日销待复核",IF(F1109&lt;60,"补货提醒",IF(F1109&lt;=90,"正常库存",IF(F1109&lt;180,"促销",IF(F1109&lt;=365,"红线促销","考虑清仓")))))))))</x:f>
        <x:v>补货提醒</x:v>
      </x:c>
      <x:c r="F1109" s="11" t="n">
        <x:f>IF(AND(ISNUMBER(H1109),ISNUMBER(G1109),G1109&gt;0),H1109/G1109,"")</x:f>
        <x:v>36.41618497109827</x:v>
      </x:c>
      <x:c r="G1109" s="12" t="n">
        <x:f>IF(AND(COUNT(P1109:R1109)=3,MIN(P1109:R1109)&gt;=0,P1109&lt;=Q1109,Q1109&lt;=R1109),P1109/7*0.5+Q1109/14*0.3+R1109/30*0.2,"")</x:f>
        <x:v>0.24714285714285714</x:v>
      </x:c>
      <x:c r="H1109" s="10" t="n">
        <x:f>IF(ISNUMBER(U1109),U1109,"")</x:f>
        <x:v>9</x:v>
      </x:c>
      <x:c r="I1109" s="10" t="n">
        <x:v>10</x:v>
      </x:c>
      <x:c r="J1109" s="11" t="n">
        <x:f>IF(AND(Z1109="共同",ISNUMBER(F1109),ISNUMBER(M1109)),F1109-M1109,"")</x:f>
        <x:v>-6.616601914147637</x:v>
      </x:c>
      <x:c r="K1109" s="13" t="n">
        <x:f>IF(AND(ISNUMBER(J1109),M1109&lt;&gt;0),J1109/M1109,"")</x:f>
        <x:v>-0.15375722543352602</x:v>
      </x:c>
      <x:c r="L1109" s="10" t="str">
        <x:v>补货提醒</x:v>
      </x:c>
      <x:c r="M1109" s="11" t="n">
        <x:v>43.032786885245905</x:v>
      </x:c>
      <x:c r="N1109" s="10" t="n">
        <x:f>IF(AND(Z1109="共同",COUNT(H1109:I1109)=2),H1109-I1109,"")</x:f>
        <x:v>-1</x:v>
      </x:c>
      <x:c r="O1109" s="10" t="n">
        <x:v>195</x:v>
      </x:c>
      <x:c r="P1109" s="10" t="n">
        <x:v>2</x:v>
      </x:c>
      <x:c r="Q1109" s="10" t="n">
        <x:v>3</x:v>
      </x:c>
      <x:c r="R1109" s="10" t="n">
        <x:v>6</x:v>
      </x:c>
      <x:c r="S1109" s="10" t="n">
        <x:v>9</x:v>
      </x:c>
      <x:c r="T1109" s="10" t="n">
        <x:v>0</x:v>
      </x:c>
      <x:c r="U1109" s="10" t="n">
        <x:f>IF(AND(ISNUMBER(X1109),X1109&gt;=0,Y1109&lt;&gt;1),X1109,"")</x:f>
        <x:v>9</x:v>
      </x:c>
      <x:c r="V1109" s="10" t="n">
        <x:v>0</x:v>
      </x:c>
      <x:c r="W1109" s="10" t="n">
        <x:v>0</x:v>
      </x:c>
      <x:c r="X1109" s="10" t="n">
        <x:v>9</x:v>
      </x:c>
      <x:c r="Y1109" s="3" t="n">
        <x:v>0</x:v>
      </x:c>
      <x:c r="Z1109" s="3" t="str">
        <x:v>共同</x:v>
      </x:c>
      <x:c r="AA1109" s="3" t="str">
        <x:v>在售</x:v>
      </x:c>
      <x:c r="AB1109" s="12" t="n">
        <x:f>IF(AND(Z1109="共同",ISNUMBER(G1109),ISNUMBER(AD1109)),G1109-AD1109,"")</x:f>
        <x:v>0.014761904761904782</x:v>
      </x:c>
      <x:c r="AC1109" s="3" t="str"/>
      <x:c r="AD1109" s="12" t="n">
        <x:v>0.23238095238095235</x:v>
      </x:c>
      <x:c r="AE1109" s="3" t="str">
        <x:v>[6574,"32582-LD-37"]</x:v>
      </x:c>
      <x:c r="AF1109" t="n">
        <x:f>IF(ISNUMBER(H1109),1,0)</x:f>
        <x:v>1</x:v>
      </x:c>
      <x:c r="AG1109" t="n">
        <x:f>IF(ISNUMBER(I1109),1,0)</x:f>
        <x:v>1</x:v>
      </x:c>
      <x:c r="AH1109" t="str">
        <x:v>["32582","32582-LD","LD","豹纹"]</x:v>
      </x:c>
      <x:c r="AI1109" t="n">
        <x:f>IF(ISNUMBER(G1109),1,0)</x:f>
        <x:v>1</x:v>
      </x:c>
      <x:c r="AJ1109" t="n">
        <x:f>IF(ISNUMBER(AD1109),1,0)</x:f>
        <x:v>1</x:v>
      </x:c>
    </x:row>
    <x:row r="1110" ht="30" customHeight="1">
      <x:c r="A1110" s="3" t="str">
        <x:v>32582-LD-39</x:v>
      </x:c>
      <x:c r="B1110" s="3" t="str">
        <x:v>3店-SANDIEX-US</x:v>
      </x:c>
      <x:c r="C1110" s="3" t="str">
        <x:v>徐新怡</x:v>
      </x:c>
      <x:c r="D1110" s="3" t="str">
        <x:v>32582</x:v>
      </x:c>
      <x:c r="E1110" s="3" t="str">
        <x:f>IF(Z1110="移出","已移出",IF(NOT(ISNUMBER(H1110)),"数据待核",IF(H1110=0,"断货",IF(NOT(ISNUMBER(G1110)),"数据待核",IF(G1110=0,"零日销待复核",IF(F1110&lt;60,"补货提醒",IF(F1110&lt;=90,"正常库存",IF(F1110&lt;180,"促销",IF(F1110&lt;=365,"红线促销","考虑清仓")))))))))</x:f>
        <x:v>补货提醒</x:v>
      </x:c>
      <x:c r="F1110" s="11" t="n">
        <x:f>IF(AND(ISNUMBER(H1110),ISNUMBER(G1110),G1110&gt;0),H1110/G1110,"")</x:f>
        <x:v>31.732325957906095</x:v>
      </x:c>
      <x:c r="G1110" s="12" t="n">
        <x:f>IF(AND(COUNT(P1110:R1110)=3,MIN(P1110:R1110)&gt;=0,P1110&lt;=Q1110,Q1110&lt;=R1110),P1110/7*0.5+Q1110/14*0.3+R1110/30*0.2,"")</x:f>
        <x:v>0.8823809523809525</x:v>
      </x:c>
      <x:c r="H1110" s="10" t="n">
        <x:f>IF(ISNUMBER(U1110),U1110,"")</x:f>
        <x:v>28</x:v>
      </x:c>
      <x:c r="I1110" s="10" t="n">
        <x:v>37</x:v>
      </x:c>
      <x:c r="J1110" s="11" t="n">
        <x:f>IF(AND(Z1110="共同",ISNUMBER(F1110),ISNUMBER(M1110)),F1110-M1110,"")</x:f>
        <x:v>-20.033163715644864</x:v>
      </x:c>
      <x:c r="K1110" s="13" t="n">
        <x:f>IF(AND(ISNUMBER(J1110),M1110&lt;&gt;0),J1110/M1110,"")</x:f>
        <x:v>-0.3869984393459838</x:v>
      </x:c>
      <x:c r="L1110" s="10" t="str">
        <x:v>补货提醒</x:v>
      </x:c>
      <x:c r="M1110" s="11" t="n">
        <x:v>51.76548967355096</x:v>
      </x:c>
      <x:c r="N1110" s="10" t="n">
        <x:f>IF(AND(Z1110="共同",COUNT(H1110:I1110)=2),H1110-I1110,"")</x:f>
        <x:v>-9</x:v>
      </x:c>
      <x:c r="O1110" s="10" t="n">
        <x:v>168</x:v>
      </x:c>
      <x:c r="P1110" s="10" t="n">
        <x:v>7</x:v>
      </x:c>
      <x:c r="Q1110" s="10" t="n">
        <x:v>11</x:v>
      </x:c>
      <x:c r="R1110" s="10" t="n">
        <x:v>22</x:v>
      </x:c>
      <x:c r="S1110" s="10" t="n">
        <x:v>30</x:v>
      </x:c>
      <x:c r="T1110" s="10" t="n">
        <x:v>0</x:v>
      </x:c>
      <x:c r="U1110" s="10" t="n">
        <x:f>IF(AND(ISNUMBER(X1110),X1110&gt;=0,Y1110&lt;&gt;1),X1110,"")</x:f>
        <x:v>28</x:v>
      </x:c>
      <x:c r="V1110" s="10" t="n">
        <x:v>0</x:v>
      </x:c>
      <x:c r="W1110" s="10" t="n">
        <x:v>0</x:v>
      </x:c>
      <x:c r="X1110" s="10" t="n">
        <x:v>28</x:v>
      </x:c>
      <x:c r="Y1110" s="3" t="n">
        <x:v>0</x:v>
      </x:c>
      <x:c r="Z1110" s="3" t="str">
        <x:v>共同</x:v>
      </x:c>
      <x:c r="AA1110" s="3" t="str">
        <x:v>在售</x:v>
      </x:c>
      <x:c r="AB1110" s="12" t="n">
        <x:f>IF(AND(Z1110="共同",ISNUMBER(G1110),ISNUMBER(AD1110)),G1110-AD1110,"")</x:f>
        <x:v>0.16761904761904767</x:v>
      </x:c>
      <x:c r="AC1110" s="3" t="str"/>
      <x:c r="AD1110" s="12" t="n">
        <x:v>0.7147619047619048</x:v>
      </x:c>
      <x:c r="AE1110" s="3" t="str">
        <x:v>[6574,"32582-LD-39"]</x:v>
      </x:c>
      <x:c r="AF1110" t="n">
        <x:f>IF(ISNUMBER(H1110),1,0)</x:f>
        <x:v>1</x:v>
      </x:c>
      <x:c r="AG1110" t="n">
        <x:f>IF(ISNUMBER(I1110),1,0)</x:f>
        <x:v>1</x:v>
      </x:c>
      <x:c r="AH1110" t="str">
        <x:v>["32582","32582-LD","LD","豹纹"]</x:v>
      </x:c>
      <x:c r="AI1110" t="n">
        <x:f>IF(ISNUMBER(G1110),1,0)</x:f>
        <x:v>1</x:v>
      </x:c>
      <x:c r="AJ1110" t="n">
        <x:f>IF(ISNUMBER(AD1110),1,0)</x:f>
        <x:v>1</x:v>
      </x:c>
    </x:row>
    <x:row r="1111" ht="30" customHeight="1">
      <x:c r="A1111" s="3" t="str">
        <x:v>32582-LD-39.5</x:v>
      </x:c>
      <x:c r="B1111" s="3" t="str">
        <x:v>3店-SANDIEX-US</x:v>
      </x:c>
      <x:c r="C1111" s="3" t="str">
        <x:v>徐新怡</x:v>
      </x:c>
      <x:c r="D1111" s="3" t="str">
        <x:v>32582</x:v>
      </x:c>
      <x:c r="E1111" s="3" t="str">
        <x:f>IF(Z1111="移出","已移出",IF(NOT(ISNUMBER(H1111)),"数据待核",IF(H1111=0,"断货",IF(NOT(ISNUMBER(G1111)),"数据待核",IF(G1111=0,"零日销待复核",IF(F1111&lt;60,"补货提醒",IF(F1111&lt;=90,"正常库存",IF(F1111&lt;180,"促销",IF(F1111&lt;=365,"红线促销","考虑清仓")))))))))</x:f>
        <x:v>补货提醒</x:v>
      </x:c>
      <x:c r="F1111" s="11" t="n">
        <x:f>IF(AND(ISNUMBER(H1111),ISNUMBER(G1111),G1111&gt;0),H1111/G1111,"")</x:f>
        <x:v>1.1615044247787611</x:v>
      </x:c>
      <x:c r="G1111" s="12" t="n">
        <x:f>IF(AND(COUNT(P1111:R1111)=3,MIN(P1111:R1111)&gt;=0,P1111&lt;=Q1111,Q1111&lt;=R1111),P1111/7*0.5+Q1111/14*0.3+R1111/30*0.2,"")</x:f>
        <x:v>0.8609523809523809</x:v>
      </x:c>
      <x:c r="H1111" s="10" t="n">
        <x:f>IF(ISNUMBER(U1111),U1111,"")</x:f>
        <x:v>1</x:v>
      </x:c>
      <x:c r="I1111" s="10" t="n">
        <x:v>8</x:v>
      </x:c>
      <x:c r="J1111" s="11" t="n">
        <x:f>IF(AND(Z1111="共同",ISNUMBER(F1111),ISNUMBER(M1111)),F1111-M1111,"")</x:f>
        <x:v>-8.645851091858717</x:v>
      </x:c>
      <x:c r="K1111" s="13" t="n">
        <x:f>IF(AND(ISNUMBER(J1111),M1111&lt;&gt;0),J1111/M1111,"")</x:f>
        <x:v>-0.8815680309734514</x:v>
      </x:c>
      <x:c r="L1111" s="10" t="str">
        <x:v>补货提醒</x:v>
      </x:c>
      <x:c r="M1111" s="11" t="n">
        <x:v>9.807355516637477</x:v>
      </x:c>
      <x:c r="N1111" s="10" t="n">
        <x:f>IF(AND(Z1111="共同",COUNT(H1111:I1111)=2),H1111-I1111,"")</x:f>
        <x:v>-7</x:v>
      </x:c>
      <x:c r="O1111" s="10" t="n">
        <x:v>130</x:v>
      </x:c>
      <x:c r="P1111" s="10" t="n">
        <x:v>7</x:v>
      </x:c>
      <x:c r="Q1111" s="10" t="n">
        <x:v>10</x:v>
      </x:c>
      <x:c r="R1111" s="10" t="n">
        <x:v>22</x:v>
      </x:c>
      <x:c r="S1111" s="10" t="n">
        <x:v>6</x:v>
      </x:c>
      <x:c r="T1111" s="10" t="n">
        <x:v>1</x:v>
      </x:c>
      <x:c r="U1111" s="10" t="n">
        <x:f>IF(AND(ISNUMBER(X1111),X1111&gt;=0,Y1111&lt;&gt;1),X1111,"")</x:f>
        <x:v>1</x:v>
      </x:c>
      <x:c r="V1111" s="10" t="n">
        <x:v>0</x:v>
      </x:c>
      <x:c r="W1111" s="10" t="n">
        <x:v>0</x:v>
      </x:c>
      <x:c r="X1111" s="10" t="n">
        <x:v>1</x:v>
      </x:c>
      <x:c r="Y1111" s="3" t="n">
        <x:v>0</x:v>
      </x:c>
      <x:c r="Z1111" s="3" t="str">
        <x:v>共同</x:v>
      </x:c>
      <x:c r="AA1111" s="3" t="str">
        <x:v>在售</x:v>
      </x:c>
      <x:c r="AB1111" s="12" t="n">
        <x:f>IF(AND(Z1111="共同",ISNUMBER(G1111),ISNUMBER(AD1111)),G1111-AD1111,"")</x:f>
        <x:v>0.04523809523809508</x:v>
      </x:c>
      <x:c r="AC1111" s="3" t="str"/>
      <x:c r="AD1111" s="12" t="n">
        <x:v>0.8157142857142858</x:v>
      </x:c>
      <x:c r="AE1111" s="3" t="str">
        <x:v>[6574,"32582-LD-39.5"]</x:v>
      </x:c>
      <x:c r="AF1111" t="n">
        <x:f>IF(ISNUMBER(H1111),1,0)</x:f>
        <x:v>1</x:v>
      </x:c>
      <x:c r="AG1111" t="n">
        <x:f>IF(ISNUMBER(I1111),1,0)</x:f>
        <x:v>1</x:v>
      </x:c>
      <x:c r="AH1111" t="str">
        <x:v>["32582","32582-LD","LD","豹纹"]</x:v>
      </x:c>
      <x:c r="AI1111" t="n">
        <x:f>IF(ISNUMBER(G1111),1,0)</x:f>
        <x:v>1</x:v>
      </x:c>
      <x:c r="AJ1111" t="n">
        <x:f>IF(ISNUMBER(AD1111),1,0)</x:f>
        <x:v>1</x:v>
      </x:c>
    </x:row>
    <x:row r="1112" ht="30" customHeight="1">
      <x:c r="A1112" s="3" t="str">
        <x:v>32582-LD-40.5</x:v>
      </x:c>
      <x:c r="B1112" s="3" t="str">
        <x:v>3店-SANDIEX-US</x:v>
      </x:c>
      <x:c r="C1112" s="3" t="str">
        <x:v>徐新怡</x:v>
      </x:c>
      <x:c r="D1112" s="3" t="str">
        <x:v>32582</x:v>
      </x:c>
      <x:c r="E1112" s="3" t="str">
        <x:f>IF(Z1112="移出","已移出",IF(NOT(ISNUMBER(H1112)),"数据待核",IF(H1112=0,"断货",IF(NOT(ISNUMBER(G1112)),"数据待核",IF(G1112=0,"零日销待复核",IF(F1112&lt;60,"补货提醒",IF(F1112&lt;=90,"正常库存",IF(F1112&lt;180,"促销",IF(F1112&lt;=365,"红线促销","考虑清仓")))))))))</x:f>
        <x:v>补货提醒</x:v>
      </x:c>
      <x:c r="F1112" s="11" t="n">
        <x:f>IF(AND(ISNUMBER(H1112),ISNUMBER(G1112),G1112&gt;0),H1112/G1112,"")</x:f>
        <x:v>22.483940042826557</x:v>
      </x:c>
      <x:c r="G1112" s="12" t="n">
        <x:f>IF(AND(COUNT(P1112:R1112)=3,MIN(P1112:R1112)&gt;=0,P1112&lt;=Q1112,Q1112&lt;=R1112),P1112/7*0.5+Q1112/14*0.3+R1112/30*0.2,"")</x:f>
        <x:v>0.4447619047619047</x:v>
      </x:c>
      <x:c r="H1112" s="10" t="n">
        <x:f>IF(ISNUMBER(U1112),U1112,"")</x:f>
        <x:v>10</x:v>
      </x:c>
      <x:c r="I1112" s="10" t="n">
        <x:v>13</x:v>
      </x:c>
      <x:c r="J1112" s="11" t="n">
        <x:f>IF(AND(Z1112="共同",ISNUMBER(F1112),ISNUMBER(M1112)),F1112-M1112,"")</x:f>
        <x:v>-0.4379743148560671</x:v>
      </x:c>
      <x:c r="K1112" s="13" t="n">
        <x:f>IF(AND(ISNUMBER(J1112),M1112&lt;&gt;0),J1112/M1112,"")</x:f>
        <x:v>-0.01910723109866578</x:v>
      </x:c>
      <x:c r="L1112" s="10" t="str">
        <x:v>补货提醒</x:v>
      </x:c>
      <x:c r="M1112" s="11" t="n">
        <x:v>22.921914357682624</x:v>
      </x:c>
      <x:c r="N1112" s="10" t="n">
        <x:f>IF(AND(Z1112="共同",COUNT(H1112:I1112)=2),H1112-I1112,"")</x:f>
        <x:v>-3</x:v>
      </x:c>
      <x:c r="O1112" s="10" t="n">
        <x:v>32</x:v>
      </x:c>
      <x:c r="P1112" s="10" t="n">
        <x:v>4</x:v>
      </x:c>
      <x:c r="Q1112" s="10" t="n">
        <x:v>4</x:v>
      </x:c>
      <x:c r="R1112" s="10" t="n">
        <x:v>11</x:v>
      </x:c>
      <x:c r="S1112" s="10" t="n">
        <x:v>11</x:v>
      </x:c>
      <x:c r="T1112" s="10" t="n">
        <x:v>0</x:v>
      </x:c>
      <x:c r="U1112" s="10" t="n">
        <x:f>IF(AND(ISNUMBER(X1112),X1112&gt;=0,Y1112&lt;&gt;1),X1112,"")</x:f>
        <x:v>10</x:v>
      </x:c>
      <x:c r="V1112" s="10" t="n">
        <x:v>0</x:v>
      </x:c>
      <x:c r="W1112" s="10" t="n">
        <x:v>0</x:v>
      </x:c>
      <x:c r="X1112" s="10" t="n">
        <x:v>10</x:v>
      </x:c>
      <x:c r="Y1112" s="3" t="n">
        <x:v>0</x:v>
      </x:c>
      <x:c r="Z1112" s="3" t="str">
        <x:v>共同</x:v>
      </x:c>
      <x:c r="AA1112" s="3" t="str">
        <x:v>在售</x:v>
      </x:c>
      <x:c r="AB1112" s="12" t="n">
        <x:f>IF(AND(Z1112="共同",ISNUMBER(G1112),ISNUMBER(AD1112)),G1112-AD1112,"")</x:f>
        <x:v>-0.12238095238095237</x:v>
      </x:c>
      <x:c r="AC1112" s="3" t="str"/>
      <x:c r="AD1112" s="12" t="n">
        <x:v>0.5671428571428571</x:v>
      </x:c>
      <x:c r="AE1112" s="3" t="str">
        <x:v>[6574,"32582-LD-40.5"]</x:v>
      </x:c>
      <x:c r="AF1112" t="n">
        <x:f>IF(ISNUMBER(H1112),1,0)</x:f>
        <x:v>1</x:v>
      </x:c>
      <x:c r="AG1112" t="n">
        <x:f>IF(ISNUMBER(I1112),1,0)</x:f>
        <x:v>1</x:v>
      </x:c>
      <x:c r="AH1112" t="str">
        <x:v>["32582","32582-LD","LD","豹纹"]</x:v>
      </x:c>
      <x:c r="AI1112" t="n">
        <x:f>IF(ISNUMBER(G1112),1,0)</x:f>
        <x:v>1</x:v>
      </x:c>
      <x:c r="AJ1112" t="n">
        <x:f>IF(ISNUMBER(AD1112),1,0)</x:f>
        <x:v>1</x:v>
      </x:c>
    </x:row>
    <x:row r="1113" ht="30" customHeight="1">
      <x:c r="A1113" s="3" t="str">
        <x:v>32582-LD-41</x:v>
      </x:c>
      <x:c r="B1113" s="3" t="str">
        <x:v>3店-SANDIEX-US</x:v>
      </x:c>
      <x:c r="C1113" s="3" t="str">
        <x:v>徐新怡</x:v>
      </x:c>
      <x:c r="D1113" s="3" t="str">
        <x:v>32582</x:v>
      </x:c>
      <x:c r="E1113" s="3" t="str">
        <x:f>IF(Z1113="移出","已移出",IF(NOT(ISNUMBER(H1113)),"数据待核",IF(H1113=0,"断货",IF(NOT(ISNUMBER(G1113)),"数据待核",IF(G1113=0,"零日销待复核",IF(F1113&lt;60,"补货提醒",IF(F1113&lt;=90,"正常库存",IF(F1113&lt;180,"促销",IF(F1113&lt;=365,"红线促销","考虑清仓")))))))))</x:f>
        <x:v>补货提醒</x:v>
      </x:c>
      <x:c r="F1113" s="11" t="n">
        <x:f>IF(AND(ISNUMBER(H1113),ISNUMBER(G1113),G1113&gt;0),H1113/G1113,"")</x:f>
        <x:v>54.0650406504065</x:v>
      </x:c>
      <x:c r="G1113" s="12" t="n">
        <x:f>IF(AND(COUNT(P1113:R1113)=3,MIN(P1113:R1113)&gt;=0,P1113&lt;=Q1113,Q1113&lt;=R1113),P1113/7*0.5+Q1113/14*0.3+R1113/30*0.2,"")</x:f>
        <x:v>0.3514285714285714</x:v>
      </x:c>
      <x:c r="H1113" s="10" t="n">
        <x:f>IF(ISNUMBER(U1113),U1113,"")</x:f>
        <x:v>19</x:v>
      </x:c>
      <x:c r="I1113" s="10" t="n">
        <x:v>6</x:v>
      </x:c>
      <x:c r="J1113" s="11" t="n">
        <x:f>IF(AND(Z1113="共同",ISNUMBER(F1113),ISNUMBER(M1113)),F1113-M1113,"")</x:f>
        <x:v>38.393398859361724</x:v>
      </x:c>
      <x:c r="K1113" s="13" t="n">
        <x:f>IF(AND(ISNUMBER(J1113),M1113&lt;&gt;0),J1113/M1113,"")</x:f>
        <x:v>2.449864498644986</x:v>
      </x:c>
      <x:c r="L1113" s="10" t="str">
        <x:v>补货提醒</x:v>
      </x:c>
      <x:c r="M1113" s="11" t="n">
        <x:v>15.671641791044777</x:v>
      </x:c>
      <x:c r="N1113" s="10" t="n">
        <x:f>IF(AND(Z1113="共同",COUNT(H1113:I1113)=2),H1113-I1113,"")</x:f>
        <x:v>13</x:v>
      </x:c>
      <x:c r="O1113" s="10" t="n">
        <x:v>0</x:v>
      </x:c>
      <x:c r="P1113" s="10" t="n">
        <x:v>2</x:v>
      </x:c>
      <x:c r="Q1113" s="10" t="n">
        <x:v>6</x:v>
      </x:c>
      <x:c r="R1113" s="10" t="n">
        <x:v>12</x:v>
      </x:c>
      <x:c r="S1113" s="10" t="n">
        <x:v>21</x:v>
      </x:c>
      <x:c r="T1113" s="10" t="n">
        <x:v>0</x:v>
      </x:c>
      <x:c r="U1113" s="10" t="n">
        <x:f>IF(AND(ISNUMBER(X1113),X1113&gt;=0,Y1113&lt;&gt;1),X1113,"")</x:f>
        <x:v>19</x:v>
      </x:c>
      <x:c r="V1113" s="10" t="n">
        <x:v>0</x:v>
      </x:c>
      <x:c r="W1113" s="10" t="n">
        <x:v>0</x:v>
      </x:c>
      <x:c r="X1113" s="10" t="n">
        <x:v>19</x:v>
      </x:c>
      <x:c r="Y1113" s="3" t="n">
        <x:v>0</x:v>
      </x:c>
      <x:c r="Z1113" s="3" t="str">
        <x:v>共同</x:v>
      </x:c>
      <x:c r="AA1113" s="3" t="str">
        <x:v>在售</x:v>
      </x:c>
      <x:c r="AB1113" s="12" t="n">
        <x:f>IF(AND(Z1113="共同",ISNUMBER(G1113),ISNUMBER(AD1113)),G1113-AD1113,"")</x:f>
        <x:v>-0.03142857142857142</x:v>
      </x:c>
      <x:c r="AC1113" s="3" t="str"/>
      <x:c r="AD1113" s="12" t="n">
        <x:v>0.38285714285714284</x:v>
      </x:c>
      <x:c r="AE1113" s="3" t="str">
        <x:v>[6574,"32582-LD-41"]</x:v>
      </x:c>
      <x:c r="AF1113" t="n">
        <x:f>IF(ISNUMBER(H1113),1,0)</x:f>
        <x:v>1</x:v>
      </x:c>
      <x:c r="AG1113" t="n">
        <x:f>IF(ISNUMBER(I1113),1,0)</x:f>
        <x:v>1</x:v>
      </x:c>
      <x:c r="AH1113" t="str">
        <x:v>["32582","32582-LD","LD","豹纹"]</x:v>
      </x:c>
      <x:c r="AI1113" t="n">
        <x:f>IF(ISNUMBER(G1113),1,0)</x:f>
        <x:v>1</x:v>
      </x:c>
      <x:c r="AJ1113" t="n">
        <x:f>IF(ISNUMBER(AD1113),1,0)</x:f>
        <x:v>1</x:v>
      </x:c>
    </x:row>
    <x:row r="1114" ht="30" customHeight="1">
      <x:c r="A1114" s="3" t="str">
        <x:v>32582-LPB-37.5</x:v>
      </x:c>
      <x:c r="B1114" s="3" t="str">
        <x:v>3店-SANDIEX-US</x:v>
      </x:c>
      <x:c r="C1114" s="3" t="str">
        <x:v>徐新怡</x:v>
      </x:c>
      <x:c r="D1114" s="3" t="str">
        <x:v>32582</x:v>
      </x:c>
      <x:c r="E1114" s="3" t="str">
        <x:f>IF(Z1114="移出","已移出",IF(NOT(ISNUMBER(H1114)),"数据待核",IF(H1114=0,"断货",IF(NOT(ISNUMBER(G1114)),"数据待核",IF(G1114=0,"零日销待复核",IF(F1114&lt;60,"补货提醒",IF(F1114&lt;=90,"正常库存",IF(F1114&lt;180,"促销",IF(F1114&lt;=365,"红线促销","考虑清仓")))))))))</x:f>
        <x:v>补货提醒</x:v>
      </x:c>
      <x:c r="F1114" s="11" t="n">
        <x:f>IF(AND(ISNUMBER(H1114),ISNUMBER(G1114),G1114&gt;0),H1114/G1114,"")</x:f>
        <x:v>37.668161434977584</x:v>
      </x:c>
      <x:c r="G1114" s="12" t="n">
        <x:f>IF(AND(COUNT(P1114:R1114)=3,MIN(P1114:R1114)&gt;=0,P1114&lt;=Q1114,Q1114&lt;=R1114),P1114/7*0.5+Q1114/14*0.3+R1114/30*0.2,"")</x:f>
        <x:v>0.10619047619047618</x:v>
      </x:c>
      <x:c r="H1114" s="10" t="n">
        <x:f>IF(ISNUMBER(U1114),U1114,"")</x:f>
        <x:v>4</x:v>
      </x:c>
      <x:c r="I1114" s="10" t="n">
        <x:v>5</x:v>
      </x:c>
      <x:c r="J1114" s="11" t="n">
        <x:f>IF(AND(Z1114="共同",ISNUMBER(F1114),ISNUMBER(M1114)),F1114-M1114,"")</x:f>
        <x:v>-9.417040358744387</x:v>
      </x:c>
      <x:c r="K1114" s="13" t="n">
        <x:f>IF(AND(ISNUMBER(J1114),M1114&lt;&gt;0),J1114/M1114,"")</x:f>
        <x:v>-0.19999999999999984</x:v>
      </x:c>
      <x:c r="L1114" s="10" t="str">
        <x:v>补货提醒</x:v>
      </x:c>
      <x:c r="M1114" s="11" t="n">
        <x:v>47.08520179372197</x:v>
      </x:c>
      <x:c r="N1114" s="10" t="n">
        <x:f>IF(AND(Z1114="共同",COUNT(H1114:I1114)=2),H1114-I1114,"")</x:f>
        <x:v>-1</x:v>
      </x:c>
      <x:c r="O1114" s="10" t="n">
        <x:v>48</x:v>
      </x:c>
      <x:c r="P1114" s="10" t="n">
        <x:v>1</x:v>
      </x:c>
      <x:c r="Q1114" s="10" t="n">
        <x:v>1</x:v>
      </x:c>
      <x:c r="R1114" s="10" t="n">
        <x:v>2</x:v>
      </x:c>
      <x:c r="S1114" s="10" t="n">
        <x:v>4</x:v>
      </x:c>
      <x:c r="T1114" s="10" t="n">
        <x:v>0</x:v>
      </x:c>
      <x:c r="U1114" s="10" t="n">
        <x:f>IF(AND(ISNUMBER(X1114),X1114&gt;=0,Y1114&lt;&gt;1),X1114,"")</x:f>
        <x:v>4</x:v>
      </x:c>
      <x:c r="V1114" s="10" t="n">
        <x:v>0</x:v>
      </x:c>
      <x:c r="W1114" s="10" t="n">
        <x:v>20</x:v>
      </x:c>
      <x:c r="X1114" s="10" t="n">
        <x:v>4</x:v>
      </x:c>
      <x:c r="Y1114" s="3" t="n">
        <x:v>0</x:v>
      </x:c>
      <x:c r="Z1114" s="3" t="str">
        <x:v>共同</x:v>
      </x:c>
      <x:c r="AA1114" s="3" t="str">
        <x:v>在售</x:v>
      </x:c>
      <x:c r="AB1114" s="12" t="n">
        <x:f>IF(AND(Z1114="共同",ISNUMBER(G1114),ISNUMBER(AD1114)),G1114-AD1114,"")</x:f>
        <x:v>-1.3877787807814457e-17</x:v>
      </x:c>
      <x:c r="AC1114" s="3" t="str"/>
      <x:c r="AD1114" s="12" t="n">
        <x:v>0.1061904761904762</x:v>
      </x:c>
      <x:c r="AE1114" s="3" t="str">
        <x:v>[6574,"32582-LPB-37.5"]</x:v>
      </x:c>
      <x:c r="AF1114" t="n">
        <x:f>IF(ISNUMBER(H1114),1,0)</x:f>
        <x:v>1</x:v>
      </x:c>
      <x:c r="AG1114" t="n">
        <x:f>IF(ISNUMBER(I1114),1,0)</x:f>
        <x:v>1</x:v>
      </x:c>
      <x:c r="AH1114" t="str">
        <x:v>["32582","32582-LPB","LPB","豹纹黑色内里"]</x:v>
      </x:c>
      <x:c r="AI1114" t="n">
        <x:f>IF(ISNUMBER(G1114),1,0)</x:f>
        <x:v>1</x:v>
      </x:c>
      <x:c r="AJ1114" t="n">
        <x:f>IF(ISNUMBER(AD1114),1,0)</x:f>
        <x:v>1</x:v>
      </x:c>
    </x:row>
    <x:row r="1115" ht="30" customHeight="1">
      <x:c r="A1115" s="3" t="str">
        <x:v>32582-LPB-38</x:v>
      </x:c>
      <x:c r="B1115" s="3" t="str">
        <x:v>3店-SANDIEX-US</x:v>
      </x:c>
      <x:c r="C1115" s="3" t="str">
        <x:v>徐新怡</x:v>
      </x:c>
      <x:c r="D1115" s="3" t="str">
        <x:v>32582</x:v>
      </x:c>
      <x:c r="E1115" s="3" t="str">
        <x:f>IF(Z1115="移出","已移出",IF(NOT(ISNUMBER(H1115)),"数据待核",IF(H1115=0,"断货",IF(NOT(ISNUMBER(G1115)),"数据待核",IF(G1115=0,"零日销待复核",IF(F1115&lt;60,"补货提醒",IF(F1115&lt;=90,"正常库存",IF(F1115&lt;180,"促销",IF(F1115&lt;=365,"红线促销","考虑清仓")))))))))</x:f>
        <x:v>补货提醒</x:v>
      </x:c>
      <x:c r="F1115" s="11" t="n">
        <x:f>IF(AND(ISNUMBER(H1115),ISNUMBER(G1115),G1115&gt;0),H1115/G1115,"")</x:f>
        <x:v>11.072056239015817</x:v>
      </x:c>
      <x:c r="G1115" s="12" t="n">
        <x:f>IF(AND(COUNT(P1115:R1115)=3,MIN(P1115:R1115)&gt;=0,P1115&lt;=Q1115,Q1115&lt;=R1115),P1115/7*0.5+Q1115/14*0.3+R1115/30*0.2,"")</x:f>
        <x:v>0.5419047619047619</x:v>
      </x:c>
      <x:c r="H1115" s="10" t="n">
        <x:f>IF(ISNUMBER(U1115),U1115,"")</x:f>
        <x:v>6</x:v>
      </x:c>
      <x:c r="I1115" s="10" t="n">
        <x:v>15</x:v>
      </x:c>
      <x:c r="J1115" s="11" t="n">
        <x:f>IF(AND(Z1115="共同",ISNUMBER(F1115),ISNUMBER(M1115)),F1115-M1115,"")</x:f>
        <x:v>-20.116062572865374</x:v>
      </x:c>
      <x:c r="K1115" s="13" t="n">
        <x:f>IF(AND(ISNUMBER(J1115),M1115&lt;&gt;0),J1115/M1115,"")</x:f>
        <x:v>-0.6449912126537787</x:v>
      </x:c>
      <x:c r="L1115" s="10" t="str">
        <x:v>补货提醒</x:v>
      </x:c>
      <x:c r="M1115" s="11" t="n">
        <x:v>31.18811881188119</x:v>
      </x:c>
      <x:c r="N1115" s="10" t="n">
        <x:f>IF(AND(Z1115="共同",COUNT(H1115:I1115)=2),H1115-I1115,"")</x:f>
        <x:v>-9</x:v>
      </x:c>
      <x:c r="O1115" s="10" t="n">
        <x:v>75</x:v>
      </x:c>
      <x:c r="P1115" s="10" t="n">
        <x:v>3</x:v>
      </x:c>
      <x:c r="Q1115" s="10" t="n">
        <x:v>10</x:v>
      </x:c>
      <x:c r="R1115" s="10" t="n">
        <x:v>17</x:v>
      </x:c>
      <x:c r="S1115" s="10" t="n">
        <x:v>6</x:v>
      </x:c>
      <x:c r="T1115" s="10" t="n">
        <x:v>0</x:v>
      </x:c>
      <x:c r="U1115" s="10" t="n">
        <x:f>IF(AND(ISNUMBER(X1115),X1115&gt;=0,Y1115&lt;&gt;1),X1115,"")</x:f>
        <x:v>6</x:v>
      </x:c>
      <x:c r="V1115" s="10" t="n">
        <x:v>0</x:v>
      </x:c>
      <x:c r="W1115" s="10" t="n">
        <x:v>0</x:v>
      </x:c>
      <x:c r="X1115" s="10" t="n">
        <x:v>6</x:v>
      </x:c>
      <x:c r="Y1115" s="3" t="n">
        <x:v>0</x:v>
      </x:c>
      <x:c r="Z1115" s="3" t="str">
        <x:v>共同</x:v>
      </x:c>
      <x:c r="AA1115" s="3" t="str">
        <x:v>在售</x:v>
      </x:c>
      <x:c r="AB1115" s="12" t="n">
        <x:f>IF(AND(Z1115="共同",ISNUMBER(G1115),ISNUMBER(AD1115)),G1115-AD1115,"")</x:f>
        <x:v>0.06095238095238098</x:v>
      </x:c>
      <x:c r="AC1115" s="3" t="str"/>
      <x:c r="AD1115" s="12" t="n">
        <x:v>0.4809523809523809</x:v>
      </x:c>
      <x:c r="AE1115" s="3" t="str">
        <x:v>[6574,"32582-LPB-38"]</x:v>
      </x:c>
      <x:c r="AF1115" t="n">
        <x:f>IF(ISNUMBER(H1115),1,0)</x:f>
        <x:v>1</x:v>
      </x:c>
      <x:c r="AG1115" t="n">
        <x:f>IF(ISNUMBER(I1115),1,0)</x:f>
        <x:v>1</x:v>
      </x:c>
      <x:c r="AH1115" t="str">
        <x:v>["32582","32582-LPB","LPB","豹纹黑色内里"]</x:v>
      </x:c>
      <x:c r="AI1115" t="n">
        <x:f>IF(ISNUMBER(G1115),1,0)</x:f>
        <x:v>1</x:v>
      </x:c>
      <x:c r="AJ1115" t="n">
        <x:f>IF(ISNUMBER(AD1115),1,0)</x:f>
        <x:v>1</x:v>
      </x:c>
    </x:row>
    <x:row r="1116" ht="30" customHeight="1">
      <x:c r="A1116" s="3" t="str">
        <x:v>32582-LPB-39</x:v>
      </x:c>
      <x:c r="B1116" s="3" t="str">
        <x:v>3店-SANDIEX-US</x:v>
      </x:c>
      <x:c r="C1116" s="3" t="str">
        <x:v>徐新怡</x:v>
      </x:c>
      <x:c r="D1116" s="3" t="str">
        <x:v>32582</x:v>
      </x:c>
      <x:c r="E1116" s="3" t="str">
        <x:f>IF(Z1116="移出","已移出",IF(NOT(ISNUMBER(H1116)),"数据待核",IF(H1116=0,"断货",IF(NOT(ISNUMBER(G1116)),"数据待核",IF(G1116=0,"零日销待复核",IF(F1116&lt;60,"补货提醒",IF(F1116&lt;=90,"正常库存",IF(F1116&lt;180,"促销",IF(F1116&lt;=365,"红线促销","考虑清仓")))))))))</x:f>
        <x:v>补货提醒</x:v>
      </x:c>
      <x:c r="F1116" s="11" t="n">
        <x:f>IF(AND(ISNUMBER(H1116),ISNUMBER(G1116),G1116&gt;0),H1116/G1116,"")</x:f>
        <x:v>45.91254752851711</x:v>
      </x:c>
      <x:c r="G1116" s="12" t="n">
        <x:f>IF(AND(COUNT(P1116:R1116)=3,MIN(P1116:R1116)&gt;=0,P1116&lt;=Q1116,Q1116&lt;=R1116),P1116/7*0.5+Q1116/14*0.3+R1116/30*0.2,"")</x:f>
        <x:v>0.5009523809523809</x:v>
      </x:c>
      <x:c r="H1116" s="10" t="n">
        <x:f>IF(ISNUMBER(U1116),U1116,"")</x:f>
        <x:v>23</x:v>
      </x:c>
      <x:c r="I1116" s="10" t="n">
        <x:v>28</x:v>
      </x:c>
      <x:c r="J1116" s="11" t="n">
        <x:f>IF(AND(Z1116="共同",ISNUMBER(F1116),ISNUMBER(M1116)),F1116-M1116,"")</x:f>
        <x:v>-10.571602327390679</x:v>
      </x:c>
      <x:c r="K1116" s="13" t="n">
        <x:f>IF(AND(ISNUMBER(J1116),M1116&lt;&gt;0),J1116/M1116,"")</x:f>
        <x:v>-0.18716051059206965</x:v>
      </x:c>
      <x:c r="L1116" s="10" t="str">
        <x:v>补货提醒</x:v>
      </x:c>
      <x:c r="M1116" s="11" t="n">
        <x:v>56.48414985590779</x:v>
      </x:c>
      <x:c r="N1116" s="10" t="n">
        <x:f>IF(AND(Z1116="共同",COUNT(H1116:I1116)=2),H1116-I1116,"")</x:f>
        <x:v>-5</x:v>
      </x:c>
      <x:c r="O1116" s="10" t="n">
        <x:v>40</x:v>
      </x:c>
      <x:c r="P1116" s="10" t="n">
        <x:v>4</x:v>
      </x:c>
      <x:c r="Q1116" s="10" t="n">
        <x:v>6</x:v>
      </x:c>
      <x:c r="R1116" s="10" t="n">
        <x:v>13</x:v>
      </x:c>
      <x:c r="S1116" s="10" t="n">
        <x:v>24</x:v>
      </x:c>
      <x:c r="T1116" s="10" t="n">
        <x:v>0</x:v>
      </x:c>
      <x:c r="U1116" s="10" t="n">
        <x:f>IF(AND(ISNUMBER(X1116),X1116&gt;=0,Y1116&lt;&gt;1),X1116,"")</x:f>
        <x:v>23</x:v>
      </x:c>
      <x:c r="V1116" s="10" t="n">
        <x:v>0</x:v>
      </x:c>
      <x:c r="W1116" s="10" t="n">
        <x:v>23</x:v>
      </x:c>
      <x:c r="X1116" s="10" t="n">
        <x:v>23</x:v>
      </x:c>
      <x:c r="Y1116" s="3" t="n">
        <x:v>0</x:v>
      </x:c>
      <x:c r="Z1116" s="3" t="str">
        <x:v>共同</x:v>
      </x:c>
      <x:c r="AA1116" s="3" t="str">
        <x:v>在售</x:v>
      </x:c>
      <x:c r="AB1116" s="12" t="n">
        <x:f>IF(AND(Z1116="共同",ISNUMBER(G1116),ISNUMBER(AD1116)),G1116-AD1116,"")</x:f>
        <x:v>0.005238095238095264</x:v>
      </x:c>
      <x:c r="AC1116" s="3" t="str"/>
      <x:c r="AD1116" s="12" t="n">
        <x:v>0.49571428571428566</x:v>
      </x:c>
      <x:c r="AE1116" s="3" t="str">
        <x:v>[6574,"32582-LPB-39"]</x:v>
      </x:c>
      <x:c r="AF1116" t="n">
        <x:f>IF(ISNUMBER(H1116),1,0)</x:f>
        <x:v>1</x:v>
      </x:c>
      <x:c r="AG1116" t="n">
        <x:f>IF(ISNUMBER(I1116),1,0)</x:f>
        <x:v>1</x:v>
      </x:c>
      <x:c r="AH1116" t="str">
        <x:v>["32582","32582-LPB","LPB","豹纹黑色内里"]</x:v>
      </x:c>
      <x:c r="AI1116" t="n">
        <x:f>IF(ISNUMBER(G1116),1,0)</x:f>
        <x:v>1</x:v>
      </x:c>
      <x:c r="AJ1116" t="n">
        <x:f>IF(ISNUMBER(AD1116),1,0)</x:f>
        <x:v>1</x:v>
      </x:c>
    </x:row>
    <x:row r="1117" ht="30" customHeight="1">
      <x:c r="A1117" s="3" t="str">
        <x:v>32582-LPB-41</x:v>
      </x:c>
      <x:c r="B1117" s="3" t="str">
        <x:v>3店-SANDIEX-US</x:v>
      </x:c>
      <x:c r="C1117" s="3" t="str">
        <x:v>徐新怡</x:v>
      </x:c>
      <x:c r="D1117" s="3" t="str">
        <x:v>32582</x:v>
      </x:c>
      <x:c r="E1117" s="3" t="str">
        <x:f>IF(Z1117="移出","已移出",IF(NOT(ISNUMBER(H1117)),"数据待核",IF(H1117=0,"断货",IF(NOT(ISNUMBER(G1117)),"数据待核",IF(G1117=0,"零日销待复核",IF(F1117&lt;60,"补货提醒",IF(F1117&lt;=90,"正常库存",IF(F1117&lt;180,"促销",IF(F1117&lt;=365,"红线促销","考虑清仓")))))))))</x:f>
        <x:v>补货提醒</x:v>
      </x:c>
      <x:c r="F1117" s="11" t="n">
        <x:f>IF(AND(ISNUMBER(H1117),ISNUMBER(G1117),G1117&gt;0),H1117/G1117,"")</x:f>
        <x:v>33.93536121673004</x:v>
      </x:c>
      <x:c r="G1117" s="12" t="n">
        <x:f>IF(AND(COUNT(P1117:R1117)=3,MIN(P1117:R1117)&gt;=0,P1117&lt;=Q1117,Q1117&lt;=R1117),P1117/7*0.5+Q1117/14*0.3+R1117/30*0.2,"")</x:f>
        <x:v>0.5009523809523809</x:v>
      </x:c>
      <x:c r="H1117" s="10" t="n">
        <x:f>IF(ISNUMBER(U1117),U1117,"")</x:f>
        <x:v>17</x:v>
      </x:c>
      <x:c r="I1117" s="10" t="n">
        <x:v>21</x:v>
      </x:c>
      <x:c r="J1117" s="11" t="n">
        <x:f>IF(AND(Z1117="共同",ISNUMBER(F1117),ISNUMBER(M1117)),F1117-M1117,"")</x:f>
        <x:v>-7.865586650568545</x:v>
      </x:c>
      <x:c r="K1117" s="13" t="n">
        <x:f>IF(AND(ISNUMBER(J1117),M1117&lt;&gt;0),J1117/M1117,"")</x:f>
        <x:v>-0.18816766250226336</x:v>
      </x:c>
      <x:c r="L1117" s="10" t="str">
        <x:v>补货提醒</x:v>
      </x:c>
      <x:c r="M1117" s="11" t="n">
        <x:v>41.80094786729858</x:v>
      </x:c>
      <x:c r="N1117" s="10" t="n">
        <x:f>IF(AND(Z1117="共同",COUNT(H1117:I1117)=2),H1117-I1117,"")</x:f>
        <x:v>-4</x:v>
      </x:c>
      <x:c r="O1117" s="10" t="n">
        <x:v>46</x:v>
      </x:c>
      <x:c r="P1117" s="10" t="n">
        <x:v>4</x:v>
      </x:c>
      <x:c r="Q1117" s="10" t="n">
        <x:v>6</x:v>
      </x:c>
      <x:c r="R1117" s="10" t="n">
        <x:v>13</x:v>
      </x:c>
      <x:c r="S1117" s="10" t="n">
        <x:v>18</x:v>
      </x:c>
      <x:c r="T1117" s="10" t="n">
        <x:v>0</x:v>
      </x:c>
      <x:c r="U1117" s="10" t="n">
        <x:f>IF(AND(ISNUMBER(X1117),X1117&gt;=0,Y1117&lt;&gt;1),X1117,"")</x:f>
        <x:v>17</x:v>
      </x:c>
      <x:c r="V1117" s="10" t="n">
        <x:v>0</x:v>
      </x:c>
      <x:c r="W1117" s="10" t="n">
        <x:v>10</x:v>
      </x:c>
      <x:c r="X1117" s="10" t="n">
        <x:v>17</x:v>
      </x:c>
      <x:c r="Y1117" s="3" t="n">
        <x:v>0</x:v>
      </x:c>
      <x:c r="Z1117" s="3" t="str">
        <x:v>共同</x:v>
      </x:c>
      <x:c r="AA1117" s="3" t="str">
        <x:v>在售</x:v>
      </x:c>
      <x:c r="AB1117" s="12" t="n">
        <x:f>IF(AND(Z1117="共同",ISNUMBER(G1117),ISNUMBER(AD1117)),G1117-AD1117,"")</x:f>
        <x:v>-0.0014285714285714457</x:v>
      </x:c>
      <x:c r="AC1117" s="3" t="str"/>
      <x:c r="AD1117" s="12" t="n">
        <x:v>0.5023809523809524</x:v>
      </x:c>
      <x:c r="AE1117" s="3" t="str">
        <x:v>[6574,"32582-LPB-41"]</x:v>
      </x:c>
      <x:c r="AF1117" t="n">
        <x:f>IF(ISNUMBER(H1117),1,0)</x:f>
        <x:v>1</x:v>
      </x:c>
      <x:c r="AG1117" t="n">
        <x:f>IF(ISNUMBER(I1117),1,0)</x:f>
        <x:v>1</x:v>
      </x:c>
      <x:c r="AH1117" t="str">
        <x:v>["32582","32582-LPB","LPB","豹纹黑色内里"]</x:v>
      </x:c>
      <x:c r="AI1117" t="n">
        <x:f>IF(ISNUMBER(G1117),1,0)</x:f>
        <x:v>1</x:v>
      </x:c>
      <x:c r="AJ1117" t="n">
        <x:f>IF(ISNUMBER(AD1117),1,0)</x:f>
        <x:v>1</x:v>
      </x:c>
    </x:row>
    <x:row r="1118" ht="30" customHeight="1">
      <x:c r="A1118" s="3" t="str">
        <x:v>32582-MT-39.5</x:v>
      </x:c>
      <x:c r="B1118" s="3" t="str">
        <x:v>3店-SANDIEX-US</x:v>
      </x:c>
      <x:c r="C1118" s="3" t="str">
        <x:v>徐新怡</x:v>
      </x:c>
      <x:c r="D1118" s="3" t="str">
        <x:v>32582</x:v>
      </x:c>
      <x:c r="E1118" s="3" t="str">
        <x:f>IF(Z1118="移出","已移出",IF(NOT(ISNUMBER(H1118)),"数据待核",IF(H1118=0,"断货",IF(NOT(ISNUMBER(G1118)),"数据待核",IF(G1118=0,"零日销待复核",IF(F1118&lt;60,"补货提醒",IF(F1118&lt;=90,"正常库存",IF(F1118&lt;180,"促销",IF(F1118&lt;=365,"红线促销","考虑清仓")))))))))</x:f>
        <x:v>补货提醒</x:v>
      </x:c>
      <x:c r="F1118" s="11" t="n">
        <x:f>IF(AND(ISNUMBER(H1118),ISNUMBER(G1118),G1118&gt;0),H1118/G1118,"")</x:f>
        <x:v>21.283783783783786</x:v>
      </x:c>
      <x:c r="G1118" s="12" t="n">
        <x:f>IF(AND(COUNT(P1118:R1118)=3,MIN(P1118:R1118)&gt;=0,P1118&lt;=Q1118,Q1118&lt;=R1118),P1118/7*0.5+Q1118/14*0.3+R1118/30*0.2,"")</x:f>
        <x:v>0.14095238095238094</x:v>
      </x:c>
      <x:c r="H1118" s="10" t="n">
        <x:f>IF(ISNUMBER(U1118),U1118,"")</x:f>
        <x:v>3</x:v>
      </x:c>
      <x:c r="I1118" s="10" t="n">
        <x:v>4</x:v>
      </x:c>
      <x:c r="J1118" s="11" t="n">
        <x:f>IF(AND(Z1118="共同",ISNUMBER(F1118),ISNUMBER(M1118)),F1118-M1118,"")</x:f>
        <x:v>-7.0945945945945965</x:v>
      </x:c>
      <x:c r="K1118" s="13" t="n">
        <x:f>IF(AND(ISNUMBER(J1118),M1118&lt;&gt;0),J1118/M1118,"")</x:f>
        <x:v>-0.25000000000000006</x:v>
      </x:c>
      <x:c r="L1118" s="10" t="str">
        <x:v>补货提醒</x:v>
      </x:c>
      <x:c r="M1118" s="11" t="n">
        <x:v>28.378378378378383</x:v>
      </x:c>
      <x:c r="N1118" s="10" t="n">
        <x:f>IF(AND(Z1118="共同",COUNT(H1118:I1118)=2),H1118-I1118,"")</x:f>
        <x:v>-1</x:v>
      </x:c>
      <x:c r="O1118" s="10" t="n">
        <x:v>31</x:v>
      </x:c>
      <x:c r="P1118" s="10" t="n">
        <x:v>1</x:v>
      </x:c>
      <x:c r="Q1118" s="10" t="n">
        <x:v>2</x:v>
      </x:c>
      <x:c r="R1118" s="10" t="n">
        <x:v>4</x:v>
      </x:c>
      <x:c r="S1118" s="10" t="n">
        <x:v>3</x:v>
      </x:c>
      <x:c r="T1118" s="10" t="n">
        <x:v>0</x:v>
      </x:c>
      <x:c r="U1118" s="10" t="n">
        <x:f>IF(AND(ISNUMBER(X1118),X1118&gt;=0,Y1118&lt;&gt;1),X1118,"")</x:f>
        <x:v>3</x:v>
      </x:c>
      <x:c r="V1118" s="10" t="n">
        <x:v>0</x:v>
      </x:c>
      <x:c r="W1118" s="10" t="n">
        <x:v>10</x:v>
      </x:c>
      <x:c r="X1118" s="10" t="n">
        <x:v>3</x:v>
      </x:c>
      <x:c r="Y1118" s="3" t="n">
        <x:v>0</x:v>
      </x:c>
      <x:c r="Z1118" s="3" t="str">
        <x:v>共同</x:v>
      </x:c>
      <x:c r="AA1118" s="3" t="str">
        <x:v>在售</x:v>
      </x:c>
      <x:c r="AB1118" s="12" t="n">
        <x:f>IF(AND(Z1118="共同",ISNUMBER(G1118),ISNUMBER(AD1118)),G1118-AD1118,"")</x:f>
        <x:v>0</x:v>
      </x:c>
      <x:c r="AC1118" s="3" t="str"/>
      <x:c r="AD1118" s="12" t="n">
        <x:v>0.14095238095238094</x:v>
      </x:c>
      <x:c r="AE1118" s="3" t="str">
        <x:v>[6574,"32582-MT-39.5"]</x:v>
      </x:c>
      <x:c r="AF1118" t="n">
        <x:f>IF(ISNUMBER(H1118),1,0)</x:f>
        <x:v>1</x:v>
      </x:c>
      <x:c r="AG1118" t="n">
        <x:f>IF(ISNUMBER(I1118),1,0)</x:f>
        <x:v>1</x:v>
      </x:c>
      <x:c r="AH1118" t="str">
        <x:v>["32582","32582-MT","MT","黄色"]</x:v>
      </x:c>
      <x:c r="AI1118" t="n">
        <x:f>IF(ISNUMBER(G1118),1,0)</x:f>
        <x:v>1</x:v>
      </x:c>
      <x:c r="AJ1118" t="n">
        <x:f>IF(ISNUMBER(AD1118),1,0)</x:f>
        <x:v>1</x:v>
      </x:c>
    </x:row>
    <x:row r="1119" ht="30" customHeight="1">
      <x:c r="A1119" s="3" t="str">
        <x:v>32582-ND-37</x:v>
      </x:c>
      <x:c r="B1119" s="3" t="str">
        <x:v>3店-SANDIEX-US</x:v>
      </x:c>
      <x:c r="C1119" s="3" t="str">
        <x:v>徐新怡</x:v>
      </x:c>
      <x:c r="D1119" s="3" t="str">
        <x:v>32582</x:v>
      </x:c>
      <x:c r="E1119" s="3" t="str">
        <x:f>IF(Z1119="移出","已移出",IF(NOT(ISNUMBER(H1119)),"数据待核",IF(H1119=0,"断货",IF(NOT(ISNUMBER(G1119)),"数据待核",IF(G1119=0,"零日销待复核",IF(F1119&lt;60,"补货提醒",IF(F1119&lt;=90,"正常库存",IF(F1119&lt;180,"促销",IF(F1119&lt;=365,"红线促销","考虑清仓")))))))))</x:f>
        <x:v>补货提醒</x:v>
      </x:c>
      <x:c r="F1119" s="11" t="n">
        <x:f>IF(AND(ISNUMBER(H1119),ISNUMBER(G1119),G1119&gt;0),H1119/G1119,"")</x:f>
        <x:v>21.516393442622952</x:v>
      </x:c>
      <x:c r="G1119" s="12" t="n">
        <x:f>IF(AND(COUNT(P1119:R1119)=3,MIN(P1119:R1119)&gt;=0,P1119&lt;=Q1119,Q1119&lt;=R1119),P1119/7*0.5+Q1119/14*0.3+R1119/30*0.2,"")</x:f>
        <x:v>0.23238095238095235</x:v>
      </x:c>
      <x:c r="H1119" s="10" t="n">
        <x:f>IF(ISNUMBER(U1119),U1119,"")</x:f>
        <x:v>5</x:v>
      </x:c>
      <x:c r="I1119" s="10" t="n">
        <x:v>4</x:v>
      </x:c>
      <x:c r="J1119" s="11" t="n">
        <x:f>IF(AND(Z1119="共同",ISNUMBER(F1119),ISNUMBER(M1119)),F1119-M1119,"")</x:f>
        <x:v>9.75168756027001</x:v>
      </x:c>
      <x:c r="K1119" s="13" t="n">
        <x:f>IF(AND(ISNUMBER(J1119),M1119&lt;&gt;0),J1119/M1119,"")</x:f>
        <x:v>0.8288934426229508</x:v>
      </x:c>
      <x:c r="L1119" s="10" t="str">
        <x:v>补货提醒</x:v>
      </x:c>
      <x:c r="M1119" s="11" t="n">
        <x:v>11.764705882352942</x:v>
      </x:c>
      <x:c r="N1119" s="10" t="n">
        <x:f>IF(AND(Z1119="共同",COUNT(H1119:I1119)=2),H1119-I1119,"")</x:f>
        <x:v>1</x:v>
      </x:c>
      <x:c r="O1119" s="10" t="n">
        <x:v>8</x:v>
      </x:c>
      <x:c r="P1119" s="10" t="n">
        <x:v>2</x:v>
      </x:c>
      <x:c r="Q1119" s="10" t="n">
        <x:v>2</x:v>
      </x:c>
      <x:c r="R1119" s="10" t="n">
        <x:v>7</x:v>
      </x:c>
      <x:c r="S1119" s="10" t="n">
        <x:v>5</x:v>
      </x:c>
      <x:c r="T1119" s="10" t="n">
        <x:v>0</x:v>
      </x:c>
      <x:c r="U1119" s="10" t="n">
        <x:f>IF(AND(ISNUMBER(X1119),X1119&gt;=0,Y1119&lt;&gt;1),X1119,"")</x:f>
        <x:v>5</x:v>
      </x:c>
      <x:c r="V1119" s="10" t="n">
        <x:v>0</x:v>
      </x:c>
      <x:c r="W1119" s="10" t="n">
        <x:v>15</x:v>
      </x:c>
      <x:c r="X1119" s="10" t="n">
        <x:v>5</x:v>
      </x:c>
      <x:c r="Y1119" s="3" t="n">
        <x:v>0</x:v>
      </x:c>
      <x:c r="Z1119" s="3" t="str">
        <x:v>共同</x:v>
      </x:c>
      <x:c r="AA1119" s="3" t="str">
        <x:v>在售</x:v>
      </x:c>
      <x:c r="AB1119" s="12" t="n">
        <x:f>IF(AND(Z1119="共同",ISNUMBER(G1119),ISNUMBER(AD1119)),G1119-AD1119,"")</x:f>
        <x:v>-0.10761904761904761</x:v>
      </x:c>
      <x:c r="AC1119" s="3" t="str"/>
      <x:c r="AD1119" s="12" t="n">
        <x:v>0.33999999999999997</x:v>
      </x:c>
      <x:c r="AE1119" s="3" t="str">
        <x:v>[6574,"32582-ND-37"]</x:v>
      </x:c>
      <x:c r="AF1119" t="n">
        <x:f>IF(ISNUMBER(H1119),1,0)</x:f>
        <x:v>1</x:v>
      </x:c>
      <x:c r="AG1119" t="n">
        <x:f>IF(ISNUMBER(I1119),1,0)</x:f>
        <x:v>1</x:v>
      </x:c>
      <x:c r="AH1119" t="str">
        <x:v>["32582","32582-ND","ND","裸色"]</x:v>
      </x:c>
      <x:c r="AI1119" t="n">
        <x:f>IF(ISNUMBER(G1119),1,0)</x:f>
        <x:v>1</x:v>
      </x:c>
      <x:c r="AJ1119" t="n">
        <x:f>IF(ISNUMBER(AD1119),1,0)</x:f>
        <x:v>1</x:v>
      </x:c>
    </x:row>
    <x:row r="1120" ht="30" customHeight="1">
      <x:c r="A1120" s="3" t="str">
        <x:v>32582-ND-38</x:v>
      </x:c>
      <x:c r="B1120" s="3" t="str">
        <x:v>3店-SANDIEX-US</x:v>
      </x:c>
      <x:c r="C1120" s="3" t="str">
        <x:v>徐新怡</x:v>
      </x:c>
      <x:c r="D1120" s="3" t="str">
        <x:v>32582</x:v>
      </x:c>
      <x:c r="E1120" s="3" t="str">
        <x:f>IF(Z1120="移出","已移出",IF(NOT(ISNUMBER(H1120)),"数据待核",IF(H1120=0,"断货",IF(NOT(ISNUMBER(G1120)),"数据待核",IF(G1120=0,"零日销待复核",IF(F1120&lt;60,"补货提醒",IF(F1120&lt;=90,"正常库存",IF(F1120&lt;180,"促销",IF(F1120&lt;=365,"红线促销","考虑清仓")))))))))</x:f>
        <x:v>补货提醒</x:v>
      </x:c>
      <x:c r="F1120" s="11" t="n">
        <x:f>IF(AND(ISNUMBER(H1120),ISNUMBER(G1120),G1120&gt;0),H1120/G1120,"")</x:f>
        <x:v>46.12005856515373</x:v>
      </x:c>
      <x:c r="G1120" s="12" t="n">
        <x:f>IF(AND(COUNT(P1120:R1120)=3,MIN(P1120:R1120)&gt;=0,P1120&lt;=Q1120,Q1120&lt;=R1120),P1120/7*0.5+Q1120/14*0.3+R1120/30*0.2,"")</x:f>
        <x:v>0.32523809523809527</x:v>
      </x:c>
      <x:c r="H1120" s="10" t="n">
        <x:f>IF(ISNUMBER(U1120),U1120,"")</x:f>
        <x:v>15</x:v>
      </x:c>
      <x:c r="I1120" s="10" t="n">
        <x:v>15</x:v>
      </x:c>
      <x:c r="J1120" s="11" t="n">
        <x:f>IF(AND(Z1120="共同",ISNUMBER(F1120),ISNUMBER(M1120)),F1120-M1120,"")</x:f>
        <x:v>-27.997588493669795</x:v>
      </x:c>
      <x:c r="K1120" s="13" t="n">
        <x:f>IF(AND(ISNUMBER(J1120),M1120&lt;&gt;0),J1120/M1120,"")</x:f>
        <x:v>-0.37774524158125916</x:v>
      </x:c>
      <x:c r="L1120" s="10" t="str">
        <x:v>正常库存</x:v>
      </x:c>
      <x:c r="M1120" s="11" t="n">
        <x:v>74.11764705882352</x:v>
      </x:c>
      <x:c r="N1120" s="10" t="n">
        <x:f>IF(AND(Z1120="共同",COUNT(H1120:I1120)=2),H1120-I1120,"")</x:f>
        <x:v>0</x:v>
      </x:c>
      <x:c r="O1120" s="10" t="n">
        <x:v>52</x:v>
      </x:c>
      <x:c r="P1120" s="10" t="n">
        <x:v>3</x:v>
      </x:c>
      <x:c r="Q1120" s="10" t="n">
        <x:v>3</x:v>
      </x:c>
      <x:c r="R1120" s="10" t="n">
        <x:v>7</x:v>
      </x:c>
      <x:c r="S1120" s="10" t="n">
        <x:v>15</x:v>
      </x:c>
      <x:c r="T1120" s="10" t="n">
        <x:v>0</x:v>
      </x:c>
      <x:c r="U1120" s="10" t="n">
        <x:f>IF(AND(ISNUMBER(X1120),X1120&gt;=0,Y1120&lt;&gt;1),X1120,"")</x:f>
        <x:v>15</x:v>
      </x:c>
      <x:c r="V1120" s="10" t="n">
        <x:v>0</x:v>
      </x:c>
      <x:c r="W1120" s="10" t="n">
        <x:v>40</x:v>
      </x:c>
      <x:c r="X1120" s="10" t="n">
        <x:v>15</x:v>
      </x:c>
      <x:c r="Y1120" s="3" t="n">
        <x:v>0</x:v>
      </x:c>
      <x:c r="Z1120" s="3" t="str">
        <x:v>共同</x:v>
      </x:c>
      <x:c r="AA1120" s="3" t="str">
        <x:v>在售</x:v>
      </x:c>
      <x:c r="AB1120" s="12" t="n">
        <x:f>IF(AND(Z1120="共同",ISNUMBER(G1120),ISNUMBER(AD1120)),G1120-AD1120,"")</x:f>
        <x:v>0.12285714285714289</x:v>
      </x:c>
      <x:c r="AC1120" s="3" t="str"/>
      <x:c r="AD1120" s="12" t="n">
        <x:v>0.20238095238095238</x:v>
      </x:c>
      <x:c r="AE1120" s="3" t="str">
        <x:v>[6574,"32582-ND-38"]</x:v>
      </x:c>
      <x:c r="AF1120" t="n">
        <x:f>IF(ISNUMBER(H1120),1,0)</x:f>
        <x:v>1</x:v>
      </x:c>
      <x:c r="AG1120" t="n">
        <x:f>IF(ISNUMBER(I1120),1,0)</x:f>
        <x:v>1</x:v>
      </x:c>
      <x:c r="AH1120" t="str">
        <x:v>["32582","32582-ND","ND","裸色"]</x:v>
      </x:c>
      <x:c r="AI1120" t="n">
        <x:f>IF(ISNUMBER(G1120),1,0)</x:f>
        <x:v>1</x:v>
      </x:c>
      <x:c r="AJ1120" t="n">
        <x:f>IF(ISNUMBER(AD1120),1,0)</x:f>
        <x:v>1</x:v>
      </x:c>
    </x:row>
    <x:row r="1121" ht="30" customHeight="1">
      <x:c r="A1121" s="3" t="str">
        <x:v>32582-ND-41</x:v>
      </x:c>
      <x:c r="B1121" s="3" t="str">
        <x:v>3店-SANDIEX-US</x:v>
      </x:c>
      <x:c r="C1121" s="3" t="str">
        <x:v>徐新怡</x:v>
      </x:c>
      <x:c r="D1121" s="3" t="str">
        <x:v>32582</x:v>
      </x:c>
      <x:c r="E1121" s="3" t="str">
        <x:f>IF(Z1121="移出","已移出",IF(NOT(ISNUMBER(H1121)),"数据待核",IF(H1121=0,"断货",IF(NOT(ISNUMBER(G1121)),"数据待核",IF(G1121=0,"零日销待复核",IF(F1121&lt;60,"补货提醒",IF(F1121&lt;=90,"正常库存",IF(F1121&lt;180,"促销",IF(F1121&lt;=365,"红线促销","考虑清仓")))))))))</x:f>
        <x:v>补货提醒</x:v>
      </x:c>
      <x:c r="F1121" s="11" t="n">
        <x:f>IF(AND(ISNUMBER(H1121),ISNUMBER(G1121),G1121&gt;0),H1121/G1121,"")</x:f>
        <x:v>51.1304347826087</x:v>
      </x:c>
      <x:c r="G1121" s="12" t="n">
        <x:f>IF(AND(COUNT(P1121:R1121)=3,MIN(P1121:R1121)&gt;=0,P1121&lt;=Q1121,Q1121&lt;=R1121),P1121/7*0.5+Q1121/14*0.3+R1121/30*0.2,"")</x:f>
        <x:v>0.2738095238095238</x:v>
      </x:c>
      <x:c r="H1121" s="10" t="n">
        <x:f>IF(ISNUMBER(U1121),U1121,"")</x:f>
        <x:v>14</x:v>
      </x:c>
      <x:c r="I1121" s="10" t="n">
        <x:v>16</x:v>
      </x:c>
      <x:c r="J1121" s="11" t="n">
        <x:f>IF(AND(Z1121="共同",ISNUMBER(F1121),ISNUMBER(M1121)),F1121-M1121,"")</x:f>
        <x:v>14.003362959404278</x:v>
      </x:c>
      <x:c r="K1121" s="13" t="n">
        <x:f>IF(AND(ISNUMBER(J1121),M1121&lt;&gt;0),J1121/M1121,"")</x:f>
        <x:v>0.37717391304347825</x:v>
      </x:c>
      <x:c r="L1121" s="10" t="str">
        <x:v>补货提醒</x:v>
      </x:c>
      <x:c r="M1121" s="11" t="n">
        <x:v>37.127071823204425</x:v>
      </x:c>
      <x:c r="N1121" s="10" t="n">
        <x:f>IF(AND(Z1121="共同",COUNT(H1121:I1121)=2),H1121-I1121,"")</x:f>
        <x:v>-2</x:v>
      </x:c>
      <x:c r="O1121" s="10" t="n">
        <x:v>44</x:v>
      </x:c>
      <x:c r="P1121" s="10" t="n">
        <x:v>2</x:v>
      </x:c>
      <x:c r="Q1121" s="10" t="n">
        <x:v>3</x:v>
      </x:c>
      <x:c r="R1121" s="10" t="n">
        <x:v>10</x:v>
      </x:c>
      <x:c r="S1121" s="10" t="n">
        <x:v>14</x:v>
      </x:c>
      <x:c r="T1121" s="10" t="n">
        <x:v>0</x:v>
      </x:c>
      <x:c r="U1121" s="10" t="n">
        <x:f>IF(AND(ISNUMBER(X1121),X1121&gt;=0,Y1121&lt;&gt;1),X1121,"")</x:f>
        <x:v>14</x:v>
      </x:c>
      <x:c r="V1121" s="10" t="n">
        <x:v>0</x:v>
      </x:c>
      <x:c r="W1121" s="10" t="n">
        <x:v>38</x:v>
      </x:c>
      <x:c r="X1121" s="10" t="n">
        <x:v>14</x:v>
      </x:c>
      <x:c r="Y1121" s="3" t="n">
        <x:v>0</x:v>
      </x:c>
      <x:c r="Z1121" s="3" t="str">
        <x:v>共同</x:v>
      </x:c>
      <x:c r="AA1121" s="3" t="str">
        <x:v>在售</x:v>
      </x:c>
      <x:c r="AB1121" s="12" t="n">
        <x:f>IF(AND(Z1121="共同",ISNUMBER(G1121),ISNUMBER(AD1121)),G1121-AD1121,"")</x:f>
        <x:v>-0.15714285714285714</x:v>
      </x:c>
      <x:c r="AC1121" s="3" t="str"/>
      <x:c r="AD1121" s="12" t="n">
        <x:v>0.4309523809523809</x:v>
      </x:c>
      <x:c r="AE1121" s="3" t="str">
        <x:v>[6574,"32582-ND-41"]</x:v>
      </x:c>
      <x:c r="AF1121" t="n">
        <x:f>IF(ISNUMBER(H1121),1,0)</x:f>
        <x:v>1</x:v>
      </x:c>
      <x:c r="AG1121" t="n">
        <x:f>IF(ISNUMBER(I1121),1,0)</x:f>
        <x:v>1</x:v>
      </x:c>
      <x:c r="AH1121" t="str">
        <x:v>["32582","32582-ND","ND","裸色"]</x:v>
      </x:c>
      <x:c r="AI1121" t="n">
        <x:f>IF(ISNUMBER(G1121),1,0)</x:f>
        <x:v>1</x:v>
      </x:c>
      <x:c r="AJ1121" t="n">
        <x:f>IF(ISNUMBER(AD1121),1,0)</x:f>
        <x:v>1</x:v>
      </x:c>
    </x:row>
    <x:row r="1122" ht="30" customHeight="1">
      <x:c r="A1122" s="3" t="str">
        <x:v>32582-PK-39.5</x:v>
      </x:c>
      <x:c r="B1122" s="3" t="str">
        <x:v>3店-SANDIEX-US</x:v>
      </x:c>
      <x:c r="C1122" s="3" t="str">
        <x:v>徐新怡</x:v>
      </x:c>
      <x:c r="D1122" s="3" t="str">
        <x:v>32582</x:v>
      </x:c>
      <x:c r="E1122" s="3" t="str">
        <x:f>IF(Z1122="移出","已移出",IF(NOT(ISNUMBER(H1122)),"数据待核",IF(H1122=0,"断货",IF(NOT(ISNUMBER(G1122)),"数据待核",IF(G1122=0,"零日销待复核",IF(F1122&lt;60,"补货提醒",IF(F1122&lt;=90,"正常库存",IF(F1122&lt;180,"促销",IF(F1122&lt;=365,"红线促销","考虑清仓")))))))))</x:f>
        <x:v>补货提醒</x:v>
      </x:c>
      <x:c r="F1122" s="11" t="n">
        <x:f>IF(AND(ISNUMBER(H1122),ISNUMBER(G1122),G1122&gt;0),H1122/G1122,"")</x:f>
        <x:v>24.13793103448276</x:v>
      </x:c>
      <x:c r="G1122" s="12" t="n">
        <x:f>IF(AND(COUNT(P1122:R1122)=3,MIN(P1122:R1122)&gt;=0,P1122&lt;=Q1122,Q1122&lt;=R1122),P1122/7*0.5+Q1122/14*0.3+R1122/30*0.2,"")</x:f>
        <x:v>0.041428571428571426</x:v>
      </x:c>
      <x:c r="H1122" s="10" t="n">
        <x:f>IF(ISNUMBER(U1122),U1122,"")</x:f>
        <x:v>1</x:v>
      </x:c>
      <x:c r="I1122" s="10" t="n">
        <x:v>2</x:v>
      </x:c>
      <x:c r="J1122" s="11" t="n">
        <x:f>IF(AND(Z1122="共同",ISNUMBER(F1122),ISNUMBER(M1122)),F1122-M1122,"")</x:f>
        <x:v>14.415708812260538</x:v>
      </x:c>
      <x:c r="K1122" s="13" t="n">
        <x:f>IF(AND(ISNUMBER(J1122),M1122&lt;&gt;0),J1122/M1122,"")</x:f>
        <x:v>1.4827586206896552</x:v>
      </x:c>
      <x:c r="L1122" s="10" t="str">
        <x:v>补货提醒</x:v>
      </x:c>
      <x:c r="M1122" s="11" t="n">
        <x:v>9.722222222222223</x:v>
      </x:c>
      <x:c r="N1122" s="10" t="n">
        <x:f>IF(AND(Z1122="共同",COUNT(H1122:I1122)=2),H1122-I1122,"")</x:f>
        <x:v>-1</x:v>
      </x:c>
      <x:c r="O1122" s="10" t="n">
        <x:v>0</x:v>
      </x:c>
      <x:c r="P1122" s="10" t="n">
        <x:v>0</x:v>
      </x:c>
      <x:c r="Q1122" s="10" t="n">
        <x:v>1</x:v>
      </x:c>
      <x:c r="R1122" s="10" t="n">
        <x:v>3</x:v>
      </x:c>
      <x:c r="S1122" s="10" t="n">
        <x:v>1</x:v>
      </x:c>
      <x:c r="T1122" s="10" t="n">
        <x:v>0</x:v>
      </x:c>
      <x:c r="U1122" s="10" t="n">
        <x:f>IF(AND(ISNUMBER(X1122),X1122&gt;=0,Y1122&lt;&gt;1),X1122,"")</x:f>
        <x:v>1</x:v>
      </x:c>
      <x:c r="V1122" s="10" t="n">
        <x:v>0</x:v>
      </x:c>
      <x:c r="W1122" s="10" t="n">
        <x:v>0</x:v>
      </x:c>
      <x:c r="X1122" s="10" t="n">
        <x:v>1</x:v>
      </x:c>
      <x:c r="Y1122" s="3" t="n">
        <x:v>0</x:v>
      </x:c>
      <x:c r="Z1122" s="3" t="str">
        <x:v>共同</x:v>
      </x:c>
      <x:c r="AA1122" s="3" t="str">
        <x:v>在售</x:v>
      </x:c>
      <x:c r="AB1122" s="12" t="n">
        <x:f>IF(AND(Z1122="共同",ISNUMBER(G1122),ISNUMBER(AD1122)),G1122-AD1122,"")</x:f>
        <x:v>-0.16428571428571426</x:v>
      </x:c>
      <x:c r="AC1122" s="3" t="str"/>
      <x:c r="AD1122" s="12" t="n">
        <x:v>0.20571428571428568</x:v>
      </x:c>
      <x:c r="AE1122" s="3" t="str">
        <x:v>[6574,"32582-PK-39.5"]</x:v>
      </x:c>
      <x:c r="AF1122" t="n">
        <x:f>IF(ISNUMBER(H1122),1,0)</x:f>
        <x:v>1</x:v>
      </x:c>
      <x:c r="AG1122" t="n">
        <x:f>IF(ISNUMBER(I1122),1,0)</x:f>
        <x:v>1</x:v>
      </x:c>
      <x:c r="AH1122" t="str">
        <x:v>["32582","32582-PK","PK","粉色"]</x:v>
      </x:c>
      <x:c r="AI1122" t="n">
        <x:f>IF(ISNUMBER(G1122),1,0)</x:f>
        <x:v>1</x:v>
      </x:c>
      <x:c r="AJ1122" t="n">
        <x:f>IF(ISNUMBER(AD1122),1,0)</x:f>
        <x:v>1</x:v>
      </x:c>
    </x:row>
    <x:row r="1123" ht="30" customHeight="1">
      <x:c r="A1123" s="3" t="str">
        <x:v>32582-TN-37.5</x:v>
      </x:c>
      <x:c r="B1123" s="3" t="str">
        <x:v>3店-SANDIEX-US</x:v>
      </x:c>
      <x:c r="C1123" s="3" t="str">
        <x:v>徐新怡</x:v>
      </x:c>
      <x:c r="D1123" s="3" t="str">
        <x:v>32582</x:v>
      </x:c>
      <x:c r="E1123" s="3" t="str">
        <x:f>IF(Z1123="移出","已移出",IF(NOT(ISNUMBER(H1123)),"数据待核",IF(H1123=0,"断货",IF(NOT(ISNUMBER(G1123)),"数据待核",IF(G1123=0,"零日销待复核",IF(F1123&lt;60,"补货提醒",IF(F1123&lt;=90,"正常库存",IF(F1123&lt;180,"促销",IF(F1123&lt;=365,"红线促销","考虑清仓")))))))))</x:f>
        <x:v>补货提醒</x:v>
      </x:c>
      <x:c r="F1123" s="11" t="n">
        <x:f>IF(AND(ISNUMBER(H1123),ISNUMBER(G1123),G1123&gt;0),H1123/G1123,"")</x:f>
        <x:v>36.52173913043479</x:v>
      </x:c>
      <x:c r="G1123" s="12" t="n">
        <x:f>IF(AND(COUNT(P1123:R1123)=3,MIN(P1123:R1123)&gt;=0,P1123&lt;=Q1123,Q1123&lt;=R1123),P1123/7*0.5+Q1123/14*0.3+R1123/30*0.2,"")</x:f>
        <x:v>0.21904761904761902</x:v>
      </x:c>
      <x:c r="H1123" s="10" t="n">
        <x:f>IF(ISNUMBER(U1123),U1123,"")</x:f>
        <x:v>8</x:v>
      </x:c>
      <x:c r="I1123" s="10" t="n">
        <x:v>9</x:v>
      </x:c>
      <x:c r="J1123" s="11" t="n">
        <x:f>IF(AND(Z1123="共同",ISNUMBER(F1123),ISNUMBER(M1123)),F1123-M1123,"")</x:f>
        <x:v>6.378198460578332</x:v>
      </x:c>
      <x:c r="K1123" s="13" t="n">
        <x:f>IF(AND(ISNUMBER(J1123),M1123&lt;&gt;0),J1123/M1123,"")</x:f>
        <x:v>0.21159420289855105</x:v>
      </x:c>
      <x:c r="L1123" s="10" t="str">
        <x:v>补货提醒</x:v>
      </x:c>
      <x:c r="M1123" s="11" t="n">
        <x:v>30.143540669856456</x:v>
      </x:c>
      <x:c r="N1123" s="10" t="n">
        <x:f>IF(AND(Z1123="共同",COUNT(H1123:I1123)=2),H1123-I1123,"")</x:f>
        <x:v>-1</x:v>
      </x:c>
      <x:c r="O1123" s="10" t="n">
        <x:v>25</x:v>
      </x:c>
      <x:c r="P1123" s="10" t="n">
        <x:v>2</x:v>
      </x:c>
      <x:c r="Q1123" s="10" t="n">
        <x:v>2</x:v>
      </x:c>
      <x:c r="R1123" s="10" t="n">
        <x:v>5</x:v>
      </x:c>
      <x:c r="S1123" s="10" t="n">
        <x:v>9</x:v>
      </x:c>
      <x:c r="T1123" s="10" t="n">
        <x:v>1</x:v>
      </x:c>
      <x:c r="U1123" s="10" t="n">
        <x:f>IF(AND(ISNUMBER(X1123),X1123&gt;=0,Y1123&lt;&gt;1),X1123,"")</x:f>
        <x:v>8</x:v>
      </x:c>
      <x:c r="V1123" s="10" t="n">
        <x:v>0</x:v>
      </x:c>
      <x:c r="W1123" s="10" t="n">
        <x:v>0</x:v>
      </x:c>
      <x:c r="X1123" s="10" t="n">
        <x:v>8</x:v>
      </x:c>
      <x:c r="Y1123" s="3" t="n">
        <x:v>0</x:v>
      </x:c>
      <x:c r="Z1123" s="3" t="str">
        <x:v>共同</x:v>
      </x:c>
      <x:c r="AA1123" s="3" t="str">
        <x:v>在售</x:v>
      </x:c>
      <x:c r="AB1123" s="12" t="n">
        <x:f>IF(AND(Z1123="共同",ISNUMBER(G1123),ISNUMBER(AD1123)),G1123-AD1123,"")</x:f>
        <x:v>-0.07952380952380958</x:v>
      </x:c>
      <x:c r="AC1123" s="3" t="str"/>
      <x:c r="AD1123" s="12" t="n">
        <x:v>0.2985714285714286</x:v>
      </x:c>
      <x:c r="AE1123" s="3" t="str">
        <x:v>[6574,"32582-TN-37.5"]</x:v>
      </x:c>
      <x:c r="AF1123" t="n">
        <x:f>IF(ISNUMBER(H1123),1,0)</x:f>
        <x:v>1</x:v>
      </x:c>
      <x:c r="AG1123" t="n">
        <x:f>IF(ISNUMBER(I1123),1,0)</x:f>
        <x:v>1</x:v>
      </x:c>
      <x:c r="AH1123" t="str">
        <x:v>["32582","32582-TN","TN","驼色"]</x:v>
      </x:c>
      <x:c r="AI1123" t="n">
        <x:f>IF(ISNUMBER(G1123),1,0)</x:f>
        <x:v>1</x:v>
      </x:c>
      <x:c r="AJ1123" t="n">
        <x:f>IF(ISNUMBER(AD1123),1,0)</x:f>
        <x:v>1</x:v>
      </x:c>
    </x:row>
    <x:row r="1124" ht="30" customHeight="1">
      <x:c r="A1124" s="3" t="str">
        <x:v>32582-TN-39</x:v>
      </x:c>
      <x:c r="B1124" s="3" t="str">
        <x:v>3店-SANDIEX-US</x:v>
      </x:c>
      <x:c r="C1124" s="3" t="str">
        <x:v>徐新怡</x:v>
      </x:c>
      <x:c r="D1124" s="3" t="str">
        <x:v>32582</x:v>
      </x:c>
      <x:c r="E1124" s="3" t="str">
        <x:f>IF(Z1124="移出","已移出",IF(NOT(ISNUMBER(H1124)),"数据待核",IF(H1124=0,"断货",IF(NOT(ISNUMBER(G1124)),"数据待核",IF(G1124=0,"零日销待复核",IF(F1124&lt;60,"补货提醒",IF(F1124&lt;=90,"正常库存",IF(F1124&lt;180,"促销",IF(F1124&lt;=365,"红线促销","考虑清仓")))))))))</x:f>
        <x:v>补货提醒</x:v>
      </x:c>
      <x:c r="F1124" s="11" t="n">
        <x:f>IF(AND(ISNUMBER(H1124),ISNUMBER(G1124),G1124&gt;0),H1124/G1124,"")</x:f>
        <x:v>30.466321243523318</x:v>
      </x:c>
      <x:c r="G1124" s="12" t="n">
        <x:f>IF(AND(COUNT(P1124:R1124)=3,MIN(P1124:R1124)&gt;=0,P1124&lt;=Q1124,Q1124&lt;=R1124),P1124/7*0.5+Q1124/14*0.3+R1124/30*0.2,"")</x:f>
        <x:v>0.4595238095238095</x:v>
      </x:c>
      <x:c r="H1124" s="10" t="n">
        <x:f>IF(ISNUMBER(U1124),U1124,"")</x:f>
        <x:v>14</x:v>
      </x:c>
      <x:c r="I1124" s="10" t="n">
        <x:v>19</x:v>
      </x:c>
      <x:c r="J1124" s="11" t="n">
        <x:f>IF(AND(Z1124="共同",ISNUMBER(F1124),ISNUMBER(M1124)),F1124-M1124,"")</x:f>
        <x:v>-40.6566734088831</x:v>
      </x:c>
      <x:c r="K1124" s="13" t="n">
        <x:f>IF(AND(ISNUMBER(J1124),M1124&lt;&gt;0),J1124/M1124,"")</x:f>
        <x:v>-0.5716389419143714</x:v>
      </x:c>
      <x:c r="L1124" s="10" t="str">
        <x:v>正常库存</x:v>
      </x:c>
      <x:c r="M1124" s="11" t="n">
        <x:v>71.12299465240642</x:v>
      </x:c>
      <x:c r="N1124" s="10" t="n">
        <x:f>IF(AND(Z1124="共同",COUNT(H1124:I1124)=2),H1124-I1124,"")</x:f>
        <x:v>-5</x:v>
      </x:c>
      <x:c r="O1124" s="10" t="n">
        <x:v>275</x:v>
      </x:c>
      <x:c r="P1124" s="10" t="n">
        <x:v>4</x:v>
      </x:c>
      <x:c r="Q1124" s="10" t="n">
        <x:v>5</x:v>
      </x:c>
      <x:c r="R1124" s="10" t="n">
        <x:v>10</x:v>
      </x:c>
      <x:c r="S1124" s="10" t="n">
        <x:v>14</x:v>
      </x:c>
      <x:c r="T1124" s="10" t="n">
        <x:v>0</x:v>
      </x:c>
      <x:c r="U1124" s="10" t="n">
        <x:f>IF(AND(ISNUMBER(X1124),X1124&gt;=0,Y1124&lt;&gt;1),X1124,"")</x:f>
        <x:v>14</x:v>
      </x:c>
      <x:c r="V1124" s="10" t="n">
        <x:v>0</x:v>
      </x:c>
      <x:c r="W1124" s="10" t="n">
        <x:v>0</x:v>
      </x:c>
      <x:c r="X1124" s="10" t="n">
        <x:v>14</x:v>
      </x:c>
      <x:c r="Y1124" s="3" t="n">
        <x:v>0</x:v>
      </x:c>
      <x:c r="Z1124" s="3" t="str">
        <x:v>共同</x:v>
      </x:c>
      <x:c r="AA1124" s="3" t="str">
        <x:v>在售</x:v>
      </x:c>
      <x:c r="AB1124" s="12" t="n">
        <x:f>IF(AND(Z1124="共同",ISNUMBER(G1124),ISNUMBER(AD1124)),G1124-AD1124,"")</x:f>
        <x:v>0.19238095238095237</x:v>
      </x:c>
      <x:c r="AC1124" s="3" t="str"/>
      <x:c r="AD1124" s="12" t="n">
        <x:v>0.2671428571428571</x:v>
      </x:c>
      <x:c r="AE1124" s="3" t="str">
        <x:v>[6574,"32582-TN-39"]</x:v>
      </x:c>
      <x:c r="AF1124" t="n">
        <x:f>IF(ISNUMBER(H1124),1,0)</x:f>
        <x:v>1</x:v>
      </x:c>
      <x:c r="AG1124" t="n">
        <x:f>IF(ISNUMBER(I1124),1,0)</x:f>
        <x:v>1</x:v>
      </x:c>
      <x:c r="AH1124" t="str">
        <x:v>["32582","32582-TN","TN","驼色"]</x:v>
      </x:c>
      <x:c r="AI1124" t="n">
        <x:f>IF(ISNUMBER(G1124),1,0)</x:f>
        <x:v>1</x:v>
      </x:c>
      <x:c r="AJ1124" t="n">
        <x:f>IF(ISNUMBER(AD1124),1,0)</x:f>
        <x:v>1</x:v>
      </x:c>
    </x:row>
    <x:row r="1125" ht="30" customHeight="1">
      <x:c r="A1125" s="3" t="str">
        <x:v>32582-TN-39.5</x:v>
      </x:c>
      <x:c r="B1125" s="3" t="str">
        <x:v>3店-SANDIEX-US</x:v>
      </x:c>
      <x:c r="C1125" s="3" t="str">
        <x:v>徐新怡</x:v>
      </x:c>
      <x:c r="D1125" s="3" t="str">
        <x:v>32582</x:v>
      </x:c>
      <x:c r="E1125" s="3" t="str">
        <x:f>IF(Z1125="移出","已移出",IF(NOT(ISNUMBER(H1125)),"数据待核",IF(H1125=0,"断货",IF(NOT(ISNUMBER(G1125)),"数据待核",IF(G1125=0,"零日销待复核",IF(F1125&lt;60,"补货提醒",IF(F1125&lt;=90,"正常库存",IF(F1125&lt;180,"促销",IF(F1125&lt;=365,"红线促销","考虑清仓")))))))))</x:f>
        <x:v>补货提醒</x:v>
      </x:c>
      <x:c r="F1125" s="11" t="n">
        <x:f>IF(AND(ISNUMBER(H1125),ISNUMBER(G1125),G1125&gt;0),H1125/G1125,"")</x:f>
        <x:v>47.96954314720813</x:v>
      </x:c>
      <x:c r="G1125" s="12" t="n">
        <x:f>IF(AND(COUNT(P1125:R1125)=3,MIN(P1125:R1125)&gt;=0,P1125&lt;=Q1125,Q1125&lt;=R1125),P1125/7*0.5+Q1125/14*0.3+R1125/30*0.2,"")</x:f>
        <x:v>0.1876190476190476</x:v>
      </x:c>
      <x:c r="H1125" s="10" t="n">
        <x:f>IF(ISNUMBER(U1125),U1125,"")</x:f>
        <x:v>9</x:v>
      </x:c>
      <x:c r="I1125" s="10" t="n">
        <x:v>8</x:v>
      </x:c>
      <x:c r="J1125" s="11" t="n">
        <x:f>IF(AND(Z1125="共同",ISNUMBER(F1125),ISNUMBER(M1125)),F1125-M1125,"")</x:f>
        <x:v>33.47428861744109</x:v>
      </x:c>
      <x:c r="K1125" s="13" t="n">
        <x:f>IF(AND(ISNUMBER(J1125),M1125&lt;&gt;0),J1125/M1125,"")</x:f>
        <x:v>2.3093274111675135</x:v>
      </x:c>
      <x:c r="L1125" s="10" t="str">
        <x:v>补货提醒</x:v>
      </x:c>
      <x:c r="M1125" s="11" t="n">
        <x:v>14.49525452976704</x:v>
      </x:c>
      <x:c r="N1125" s="10" t="n">
        <x:f>IF(AND(Z1125="共同",COUNT(H1125:I1125)=2),H1125-I1125,"")</x:f>
        <x:v>1</x:v>
      </x:c>
      <x:c r="O1125" s="10" t="n">
        <x:v>341</x:v>
      </x:c>
      <x:c r="P1125" s="10" t="n">
        <x:v>1</x:v>
      </x:c>
      <x:c r="Q1125" s="10" t="n">
        <x:v>2</x:v>
      </x:c>
      <x:c r="R1125" s="10" t="n">
        <x:v>11</x:v>
      </x:c>
      <x:c r="S1125" s="10" t="n">
        <x:v>19</x:v>
      </x:c>
      <x:c r="T1125" s="10" t="n">
        <x:v>0</x:v>
      </x:c>
      <x:c r="U1125" s="10" t="n">
        <x:f>IF(AND(ISNUMBER(X1125),X1125&gt;=0,Y1125&lt;&gt;1),X1125,"")</x:f>
        <x:v>9</x:v>
      </x:c>
      <x:c r="V1125" s="10" t="n">
        <x:v>0</x:v>
      </x:c>
      <x:c r="W1125" s="10" t="n">
        <x:v>19</x:v>
      </x:c>
      <x:c r="X1125" s="10" t="n">
        <x:v>9</x:v>
      </x:c>
      <x:c r="Y1125" s="3" t="n">
        <x:v>0</x:v>
      </x:c>
      <x:c r="Z1125" s="3" t="str">
        <x:v>共同</x:v>
      </x:c>
      <x:c r="AA1125" s="3" t="str">
        <x:v>在售</x:v>
      </x:c>
      <x:c r="AB1125" s="12" t="n">
        <x:f>IF(AND(Z1125="共同",ISNUMBER(G1125),ISNUMBER(AD1125)),G1125-AD1125,"")</x:f>
        <x:v>-0.3642857142857143</x:v>
      </x:c>
      <x:c r="AC1125" s="3" t="str"/>
      <x:c r="AD1125" s="12" t="n">
        <x:v>0.5519047619047619</x:v>
      </x:c>
      <x:c r="AE1125" s="3" t="str">
        <x:v>[6574,"32582-TN-39.5"]</x:v>
      </x:c>
      <x:c r="AF1125" t="n">
        <x:f>IF(ISNUMBER(H1125),1,0)</x:f>
        <x:v>1</x:v>
      </x:c>
      <x:c r="AG1125" t="n">
        <x:f>IF(ISNUMBER(I1125),1,0)</x:f>
        <x:v>1</x:v>
      </x:c>
      <x:c r="AH1125" t="str">
        <x:v>["32582","32582-TN","TN","驼色"]</x:v>
      </x:c>
      <x:c r="AI1125" t="n">
        <x:f>IF(ISNUMBER(G1125),1,0)</x:f>
        <x:v>1</x:v>
      </x:c>
      <x:c r="AJ1125" t="n">
        <x:f>IF(ISNUMBER(AD1125),1,0)</x:f>
        <x:v>1</x:v>
      </x:c>
    </x:row>
    <x:row r="1126" ht="30" customHeight="1">
      <x:c r="A1126" s="3" t="str">
        <x:v>32582-WT0P-38.5</x:v>
      </x:c>
      <x:c r="B1126" s="3" t="str">
        <x:v>3店-SANDIEX-US</x:v>
      </x:c>
      <x:c r="C1126" s="3" t="str">
        <x:v>徐新怡</x:v>
      </x:c>
      <x:c r="D1126" s="3" t="str">
        <x:v>32582</x:v>
      </x:c>
      <x:c r="E1126" s="3" t="str">
        <x:f>IF(Z1126="移出","已移出",IF(NOT(ISNUMBER(H1126)),"数据待核",IF(H1126=0,"断货",IF(NOT(ISNUMBER(G1126)),"数据待核",IF(G1126=0,"零日销待复核",IF(F1126&lt;60,"补货提醒",IF(F1126&lt;=90,"正常库存",IF(F1126&lt;180,"促销",IF(F1126&lt;=365,"红线促销","考虑清仓")))))))))</x:f>
        <x:v>补货提醒</x:v>
      </x:c>
      <x:c r="F1126" s="11" t="n">
        <x:f>IF(AND(ISNUMBER(H1126),ISNUMBER(G1126),G1126&gt;0),H1126/G1126,"")</x:f>
        <x:v>41.584158415841586</x:v>
      </x:c>
      <x:c r="G1126" s="12" t="n">
        <x:f>IF(AND(COUNT(P1126:R1126)=3,MIN(P1126:R1126)&gt;=0,P1126&lt;=Q1126,Q1126&lt;=R1126),P1126/7*0.5+Q1126/14*0.3+R1126/30*0.2,"")</x:f>
        <x:v>0.24047619047619045</x:v>
      </x:c>
      <x:c r="H1126" s="10" t="n">
        <x:f>IF(ISNUMBER(U1126),U1126,"")</x:f>
        <x:v>10</x:v>
      </x:c>
      <x:c r="I1126" s="10" t="n">
        <x:v>13</x:v>
      </x:c>
      <x:c r="J1126" s="11" t="n">
        <x:f>IF(AND(Z1126="共同",ISNUMBER(F1126),ISNUMBER(M1126)),F1126-M1126,"")</x:f>
        <x:v>-189.77177378754823</x:v>
      </x:c>
      <x:c r="K1126" s="13" t="n">
        <x:f>IF(AND(ISNUMBER(J1126),M1126&lt;&gt;0),J1126/M1126,"")</x:f>
        <x:v>-0.8202589489718203</x:v>
      </x:c>
      <x:c r="L1126" s="10" t="str">
        <x:v>红线促销</x:v>
      </x:c>
      <x:c r="M1126" s="11" t="n">
        <x:v>231.3559322033898</x:v>
      </x:c>
      <x:c r="N1126" s="10" t="n">
        <x:f>IF(AND(Z1126="共同",COUNT(H1126:I1126)=2),H1126-I1126,"")</x:f>
        <x:v>-3</x:v>
      </x:c>
      <x:c r="O1126" s="10" t="n">
        <x:v>20</x:v>
      </x:c>
      <x:c r="P1126" s="10" t="n">
        <x:v>2</x:v>
      </x:c>
      <x:c r="Q1126" s="10" t="n">
        <x:v>3</x:v>
      </x:c>
      <x:c r="R1126" s="10" t="n">
        <x:v>5</x:v>
      </x:c>
      <x:c r="S1126" s="10" t="n">
        <x:v>11</x:v>
      </x:c>
      <x:c r="T1126" s="10" t="n">
        <x:v>0</x:v>
      </x:c>
      <x:c r="U1126" s="10" t="n">
        <x:f>IF(AND(ISNUMBER(X1126),X1126&gt;=0,Y1126&lt;&gt;1),X1126,"")</x:f>
        <x:v>10</x:v>
      </x:c>
      <x:c r="V1126" s="10" t="n">
        <x:v>0</x:v>
      </x:c>
      <x:c r="W1126" s="10" t="n">
        <x:v>0</x:v>
      </x:c>
      <x:c r="X1126" s="10" t="n">
        <x:v>10</x:v>
      </x:c>
      <x:c r="Y1126" s="3" t="n">
        <x:v>0</x:v>
      </x:c>
      <x:c r="Z1126" s="3" t="str">
        <x:v>共同</x:v>
      </x:c>
      <x:c r="AA1126" s="3" t="str">
        <x:v>在售</x:v>
      </x:c>
      <x:c r="AB1126" s="12" t="n">
        <x:f>IF(AND(Z1126="共同",ISNUMBER(G1126),ISNUMBER(AD1126)),G1126-AD1126,"")</x:f>
        <x:v>0.18428571428571427</x:v>
      </x:c>
      <x:c r="AC1126" s="3" t="str"/>
      <x:c r="AD1126" s="12" t="n">
        <x:v>0.05619047619047619</x:v>
      </x:c>
      <x:c r="AE1126" s="3" t="str">
        <x:v>[6574,"32582-WT0P-38.5"]</x:v>
      </x:c>
      <x:c r="AF1126" t="n">
        <x:f>IF(ISNUMBER(H1126),1,0)</x:f>
        <x:v>1</x:v>
      </x:c>
      <x:c r="AG1126" t="n">
        <x:f>IF(ISNUMBER(I1126),1,0)</x:f>
        <x:v>1</x:v>
      </x:c>
      <x:c r="AH1126" t="str">
        <x:v>["32582","32582-WT0P","WT0P","白色"]</x:v>
      </x:c>
      <x:c r="AI1126" t="n">
        <x:f>IF(ISNUMBER(G1126),1,0)</x:f>
        <x:v>1</x:v>
      </x:c>
      <x:c r="AJ1126" t="n">
        <x:f>IF(ISNUMBER(AD1126),1,0)</x:f>
        <x:v>1</x:v>
      </x:c>
    </x:row>
    <x:row r="1127" ht="30" customHeight="1">
      <x:c r="A1127" s="3" t="str">
        <x:v>32582-WT0P-42</x:v>
      </x:c>
      <x:c r="B1127" s="3" t="str">
        <x:v>3店-SANDIEX-US</x:v>
      </x:c>
      <x:c r="C1127" s="3" t="str">
        <x:v>徐新怡</x:v>
      </x:c>
      <x:c r="D1127" s="3" t="str">
        <x:v>32582</x:v>
      </x:c>
      <x:c r="E1127" s="3" t="str">
        <x:f>IF(Z1127="移出","已移出",IF(NOT(ISNUMBER(H1127)),"数据待核",IF(H1127=0,"断货",IF(NOT(ISNUMBER(G1127)),"数据待核",IF(G1127=0,"零日销待复核",IF(F1127&lt;60,"补货提醒",IF(F1127&lt;=90,"正常库存",IF(F1127&lt;180,"促销",IF(F1127&lt;=365,"红线促销","考虑清仓")))))))))</x:f>
        <x:v>补货提醒</x:v>
      </x:c>
      <x:c r="F1127" s="11" t="n">
        <x:f>IF(AND(ISNUMBER(H1127),ISNUMBER(G1127),G1127&gt;0),H1127/G1127,"")</x:f>
        <x:v>44.30379746835443</x:v>
      </x:c>
      <x:c r="G1127" s="12" t="n">
        <x:f>IF(AND(COUNT(P1127:R1127)=3,MIN(P1127:R1127)&gt;=0,P1127&lt;=Q1127,Q1127&lt;=R1127),P1127/7*0.5+Q1127/14*0.3+R1127/30*0.2,"")</x:f>
        <x:v>0.11285714285714285</x:v>
      </x:c>
      <x:c r="H1127" s="10" t="n">
        <x:f>IF(ISNUMBER(U1127),U1127,"")</x:f>
        <x:v>5</x:v>
      </x:c>
      <x:c r="I1127" s="10" t="n">
        <x:v>6</x:v>
      </x:c>
      <x:c r="J1127" s="11" t="n">
        <x:f>IF(AND(Z1127="共同",ISNUMBER(F1127),ISNUMBER(M1127)),F1127-M1127,"")</x:f>
        <x:v>-2.7111279047799</x:v>
      </x:c>
      <x:c r="K1127" s="13" t="n">
        <x:f>IF(AND(ISNUMBER(J1127),M1127&lt;&gt;0),J1127/M1127,"")</x:f>
        <x:v>-0.05766526019690581</x:v>
      </x:c>
      <x:c r="L1127" s="10" t="str">
        <x:v>补货提醒</x:v>
      </x:c>
      <x:c r="M1127" s="11" t="n">
        <x:v>47.01492537313433</x:v>
      </x:c>
      <x:c r="N1127" s="10" t="n">
        <x:f>IF(AND(Z1127="共同",COUNT(H1127:I1127)=2),H1127-I1127,"")</x:f>
        <x:v>-1</x:v>
      </x:c>
      <x:c r="O1127" s="10" t="n">
        <x:v>7</x:v>
      </x:c>
      <x:c r="P1127" s="10" t="n">
        <x:v>1</x:v>
      </x:c>
      <x:c r="Q1127" s="10" t="n">
        <x:v>1</x:v>
      </x:c>
      <x:c r="R1127" s="10" t="n">
        <x:v>3</x:v>
      </x:c>
      <x:c r="S1127" s="10" t="n">
        <x:v>6</x:v>
      </x:c>
      <x:c r="T1127" s="10" t="n">
        <x:v>0</x:v>
      </x:c>
      <x:c r="U1127" s="10" t="n">
        <x:f>IF(AND(ISNUMBER(X1127),X1127&gt;=0,Y1127&lt;&gt;1),X1127,"")</x:f>
        <x:v>5</x:v>
      </x:c>
      <x:c r="V1127" s="10" t="n">
        <x:v>0</x:v>
      </x:c>
      <x:c r="W1127" s="10" t="n">
        <x:v>0</x:v>
      </x:c>
      <x:c r="X1127" s="10" t="n">
        <x:v>5</x:v>
      </x:c>
      <x:c r="Y1127" s="3" t="n">
        <x:v>0</x:v>
      </x:c>
      <x:c r="Z1127" s="3" t="str">
        <x:v>共同</x:v>
      </x:c>
      <x:c r="AA1127" s="3" t="str">
        <x:v>在售</x:v>
      </x:c>
      <x:c r="AB1127" s="12" t="n">
        <x:f>IF(AND(Z1127="共同",ISNUMBER(G1127),ISNUMBER(AD1127)),G1127-AD1127,"")</x:f>
        <x:v>-0.014761904761904754</x:v>
      </x:c>
      <x:c r="AC1127" s="3" t="str"/>
      <x:c r="AD1127" s="12" t="n">
        <x:v>0.1276190476190476</x:v>
      </x:c>
      <x:c r="AE1127" s="3" t="str">
        <x:v>[6574,"32582-WT0P-42"]</x:v>
      </x:c>
      <x:c r="AF1127" t="n">
        <x:f>IF(ISNUMBER(H1127),1,0)</x:f>
        <x:v>1</x:v>
      </x:c>
      <x:c r="AG1127" t="n">
        <x:f>IF(ISNUMBER(I1127),1,0)</x:f>
        <x:v>1</x:v>
      </x:c>
      <x:c r="AH1127" t="str">
        <x:v>["32582","32582-WT0P","WT0P","白色"]</x:v>
      </x:c>
      <x:c r="AI1127" t="n">
        <x:f>IF(ISNUMBER(G1127),1,0)</x:f>
        <x:v>1</x:v>
      </x:c>
      <x:c r="AJ1127" t="n">
        <x:f>IF(ISNUMBER(AD1127),1,0)</x:f>
        <x:v>1</x:v>
      </x:c>
    </x:row>
    <x:row r="1128" ht="30" customHeight="1">
      <x:c r="A1128" s="3" t="str">
        <x:v>60516-BK-S-K-10</x:v>
      </x:c>
      <x:c r="B1128" s="3" t="str">
        <x:v>3店-SANDIEX-US</x:v>
      </x:c>
      <x:c r="C1128" s="3" t="str">
        <x:v>徐新怡</x:v>
      </x:c>
      <x:c r="D1128" s="3" t="str">
        <x:v>60516</x:v>
      </x:c>
      <x:c r="E1128" s="3" t="str">
        <x:f>IF(Z1128="移出","已移出",IF(NOT(ISNUMBER(H1128)),"数据待核",IF(H1128=0,"断货",IF(NOT(ISNUMBER(G1128)),"数据待核",IF(G1128=0,"零日销待复核",IF(F1128&lt;60,"补货提醒",IF(F1128&lt;=90,"正常库存",IF(F1128&lt;180,"促销",IF(F1128&lt;=365,"红线促销","考虑清仓")))))))))</x:f>
        <x:v>补货提醒</x:v>
      </x:c>
      <x:c r="F1128" s="11" t="n">
        <x:f>IF(AND(ISNUMBER(H1128),ISNUMBER(G1128),G1128&gt;0),H1128/G1128,"")</x:f>
        <x:v>37.63147643163226</x:v>
      </x:c>
      <x:c r="G1128" s="12" t="n">
        <x:f>IF(AND(COUNT(P1128:R1128)=3,MIN(P1128:R1128)&gt;=0,P1128&lt;=Q1128,Q1128&lt;=R1128),P1128/7*0.5+Q1128/14*0.3+R1128/30*0.2,"")</x:f>
        <x:v>1.2223809523809523</x:v>
      </x:c>
      <x:c r="H1128" s="10" t="n">
        <x:f>IF(ISNUMBER(U1128),U1128,"")</x:f>
        <x:v>46</x:v>
      </x:c>
      <x:c r="I1128" s="10" t="n">
        <x:v>56</x:v>
      </x:c>
      <x:c r="J1128" s="11" t="n">
        <x:f>IF(AND(Z1128="共同",ISNUMBER(F1128),ISNUMBER(M1128)),F1128-M1128,"")</x:f>
        <x:v>-40.19777571926118</x:v>
      </x:c>
      <x:c r="K1128" s="13" t="n">
        <x:f>IF(AND(ISNUMBER(J1128),M1128&lt;&gt;0),J1128/M1128,"")</x:f>
        <x:v>-0.5164867271411875</x:v>
      </x:c>
      <x:c r="L1128" s="10" t="str">
        <x:v>正常库存</x:v>
      </x:c>
      <x:c r="M1128" s="11" t="n">
        <x:v>77.82925215089344</x:v>
      </x:c>
      <x:c r="N1128" s="10" t="n">
        <x:f>IF(AND(Z1128="共同",COUNT(H1128:I1128)=2),H1128-I1128,"")</x:f>
        <x:v>-10</x:v>
      </x:c>
      <x:c r="O1128" s="10" t="n">
        <x:v>100</x:v>
      </x:c>
      <x:c r="P1128" s="10" t="n">
        <x:v>10</x:v>
      </x:c>
      <x:c r="Q1128" s="10" t="n">
        <x:v>15</x:v>
      </x:c>
      <x:c r="R1128" s="10" t="n">
        <x:v>28</x:v>
      </x:c>
      <x:c r="S1128" s="10" t="n">
        <x:v>49</x:v>
      </x:c>
      <x:c r="T1128" s="10" t="n">
        <x:v>1</x:v>
      </x:c>
      <x:c r="U1128" s="10" t="n">
        <x:f>IF(AND(ISNUMBER(X1128),X1128&gt;=0,Y1128&lt;&gt;1),X1128,"")</x:f>
        <x:v>46</x:v>
      </x:c>
      <x:c r="V1128" s="10" t="n">
        <x:v>0</x:v>
      </x:c>
      <x:c r="W1128" s="10" t="n">
        <x:v>0</x:v>
      </x:c>
      <x:c r="X1128" s="10" t="n">
        <x:v>46</x:v>
      </x:c>
      <x:c r="Y1128" s="3" t="n">
        <x:v>0</x:v>
      </x:c>
      <x:c r="Z1128" s="3" t="str">
        <x:v>共同</x:v>
      </x:c>
      <x:c r="AA1128" s="3" t="str">
        <x:v>在售</x:v>
      </x:c>
      <x:c r="AB1128" s="12" t="n">
        <x:f>IF(AND(Z1128="共同",ISNUMBER(G1128),ISNUMBER(AD1128)),G1128-AD1128,"")</x:f>
        <x:v>0.5028571428571428</x:v>
      </x:c>
      <x:c r="AC1128" s="3" t="str"/>
      <x:c r="AD1128" s="12" t="n">
        <x:v>0.7195238095238096</x:v>
      </x:c>
      <x:c r="AE1128" s="3" t="str">
        <x:v>[6574,"60516-BK-S-K-10"]</x:v>
      </x:c>
      <x:c r="AF1128" t="n">
        <x:f>IF(ISNUMBER(H1128),1,0)</x:f>
        <x:v>1</x:v>
      </x:c>
      <x:c r="AG1128" t="n">
        <x:f>IF(ISNUMBER(I1128),1,0)</x:f>
        <x:v>1</x:v>
      </x:c>
      <x:c r="AH1128" t="str">
        <x:v>["60516","60516-BK-S-K","BK","黑色"]</x:v>
      </x:c>
      <x:c r="AI1128" t="n">
        <x:f>IF(ISNUMBER(G1128),1,0)</x:f>
        <x:v>1</x:v>
      </x:c>
      <x:c r="AJ1128" t="n">
        <x:f>IF(ISNUMBER(AD1128),1,0)</x:f>
        <x:v>1</x:v>
      </x:c>
    </x:row>
    <x:row r="1129" ht="30" customHeight="1">
      <x:c r="A1129" s="3" t="str">
        <x:v>60516-BK-S-K-6.5</x:v>
      </x:c>
      <x:c r="B1129" s="3" t="str">
        <x:v>3店-SANDIEX-US</x:v>
      </x:c>
      <x:c r="C1129" s="3" t="str">
        <x:v>徐新怡</x:v>
      </x:c>
      <x:c r="D1129" s="3" t="str">
        <x:v>60516</x:v>
      </x:c>
      <x:c r="E1129" s="3" t="str">
        <x:f>IF(Z1129="移出","已移出",IF(NOT(ISNUMBER(H1129)),"数据待核",IF(H1129=0,"断货",IF(NOT(ISNUMBER(G1129)),"数据待核",IF(G1129=0,"零日销待复核",IF(F1129&lt;60,"补货提醒",IF(F1129&lt;=90,"正常库存",IF(F1129&lt;180,"促销",IF(F1129&lt;=365,"红线促销","考虑清仓")))))))))</x:f>
        <x:v>补货提醒</x:v>
      </x:c>
      <x:c r="F1129" s="11" t="n">
        <x:f>IF(AND(ISNUMBER(H1129),ISNUMBER(G1129),G1129&gt;0),H1129/G1129,"")</x:f>
        <x:v>3.2761310452418093</x:v>
      </x:c>
      <x:c r="G1129" s="12" t="n">
        <x:f>IF(AND(COUNT(P1129:R1129)=3,MIN(P1129:R1129)&gt;=0,P1129&lt;=Q1129,Q1129&lt;=R1129),P1129/7*0.5+Q1129/14*0.3+R1129/30*0.2,"")</x:f>
        <x:v>0.30523809523809525</x:v>
      </x:c>
      <x:c r="H1129" s="10" t="n">
        <x:f>IF(ISNUMBER(U1129),U1129,"")</x:f>
        <x:v>1</x:v>
      </x:c>
      <x:c r="I1129" s="10" t="n">
        <x:v>4</x:v>
      </x:c>
      <x:c r="J1129" s="11" t="n">
        <x:f>IF(AND(Z1129="共同",ISNUMBER(F1129),ISNUMBER(M1129)),F1129-M1129,"")</x:f>
        <x:v>-139.0967503106904</x:v>
      </x:c>
      <x:c r="K1129" s="13" t="n">
        <x:f>IF(AND(ISNUMBER(J1129),M1129&lt;&gt;0),J1129/M1129,"")</x:f>
        <x:v>-0.9769890795631825</x:v>
      </x:c>
      <x:c r="L1129" s="10" t="str">
        <x:v>促销</x:v>
      </x:c>
      <x:c r="M1129" s="11" t="n">
        <x:v>142.3728813559322</x:v>
      </x:c>
      <x:c r="N1129" s="10" t="n">
        <x:f>IF(AND(Z1129="共同",COUNT(H1129:I1129)=2),H1129-I1129,"")</x:f>
        <x:v>-3</x:v>
      </x:c>
      <x:c r="O1129" s="10" t="n">
        <x:v>0</x:v>
      </x:c>
      <x:c r="P1129" s="10" t="n">
        <x:v>3</x:v>
      </x:c>
      <x:c r="Q1129" s="10" t="n">
        <x:v>3</x:v>
      </x:c>
      <x:c r="R1129" s="10" t="n">
        <x:v>4</x:v>
      </x:c>
      <x:c r="S1129" s="10" t="n">
        <x:v>2</x:v>
      </x:c>
      <x:c r="T1129" s="10" t="n">
        <x:v>0</x:v>
      </x:c>
      <x:c r="U1129" s="10" t="n">
        <x:f>IF(AND(ISNUMBER(X1129),X1129&gt;=0,Y1129&lt;&gt;1),X1129,"")</x:f>
        <x:v>1</x:v>
      </x:c>
      <x:c r="V1129" s="10" t="n">
        <x:v>0</x:v>
      </x:c>
      <x:c r="W1129" s="10" t="n">
        <x:v>0</x:v>
      </x:c>
      <x:c r="X1129" s="10" t="n">
        <x:v>1</x:v>
      </x:c>
      <x:c r="Y1129" s="3" t="n">
        <x:v>0</x:v>
      </x:c>
      <x:c r="Z1129" s="3" t="str">
        <x:v>共同</x:v>
      </x:c>
      <x:c r="AA1129" s="3" t="str">
        <x:v>在售</x:v>
      </x:c>
      <x:c r="AB1129" s="12" t="n">
        <x:f>IF(AND(Z1129="共同",ISNUMBER(G1129),ISNUMBER(AD1129)),G1129-AD1129,"")</x:f>
        <x:v>0.27714285714285714</x:v>
      </x:c>
      <x:c r="AC1129" s="3" t="str"/>
      <x:c r="AD1129" s="12" t="n">
        <x:v>0.028095238095238097</x:v>
      </x:c>
      <x:c r="AE1129" s="3" t="str">
        <x:v>[6574,"60516-BK-S-K-6.5"]</x:v>
      </x:c>
      <x:c r="AF1129" t="n">
        <x:f>IF(ISNUMBER(H1129),1,0)</x:f>
        <x:v>1</x:v>
      </x:c>
      <x:c r="AG1129" t="n">
        <x:f>IF(ISNUMBER(I1129),1,0)</x:f>
        <x:v>1</x:v>
      </x:c>
      <x:c r="AH1129" t="str">
        <x:v>["60516","60516-BK-S-K","BK","黑色"]</x:v>
      </x:c>
      <x:c r="AI1129" t="n">
        <x:f>IF(ISNUMBER(G1129),1,0)</x:f>
        <x:v>1</x:v>
      </x:c>
      <x:c r="AJ1129" t="n">
        <x:f>IF(ISNUMBER(AD1129),1,0)</x:f>
        <x:v>1</x:v>
      </x:c>
    </x:row>
    <x:row r="1130" ht="30" customHeight="1">
      <x:c r="A1130" s="3" t="str">
        <x:v>60516-BK-S-K-7.5</x:v>
      </x:c>
      <x:c r="B1130" s="3" t="str">
        <x:v>3店-SANDIEX-US</x:v>
      </x:c>
      <x:c r="C1130" s="3" t="str">
        <x:v>徐新怡</x:v>
      </x:c>
      <x:c r="D1130" s="3" t="str">
        <x:v>60516</x:v>
      </x:c>
      <x:c r="E1130" s="3" t="str">
        <x:f>IF(Z1130="移出","已移出",IF(NOT(ISNUMBER(H1130)),"数据待核",IF(H1130=0,"断货",IF(NOT(ISNUMBER(G1130)),"数据待核",IF(G1130=0,"零日销待复核",IF(F1130&lt;60,"补货提醒",IF(F1130&lt;=90,"正常库存",IF(F1130&lt;180,"促销",IF(F1130&lt;=365,"红线促销","考虑清仓")))))))))</x:f>
        <x:v>补货提醒</x:v>
      </x:c>
      <x:c r="F1130" s="11" t="n">
        <x:f>IF(AND(ISNUMBER(H1130),ISNUMBER(G1130),G1130&gt;0),H1130/G1130,"")</x:f>
        <x:v>55.33980582524272</x:v>
      </x:c>
      <x:c r="G1130" s="12" t="n">
        <x:f>IF(AND(COUNT(P1130:R1130)=3,MIN(P1130:R1130)&gt;=0,P1130&lt;=Q1130,Q1130&lt;=R1130),P1130/7*0.5+Q1130/14*0.3+R1130/30*0.2,"")</x:f>
        <x:v>0.6866666666666666</x:v>
      </x:c>
      <x:c r="H1130" s="10" t="n">
        <x:f>IF(ISNUMBER(U1130),U1130,"")</x:f>
        <x:v>38</x:v>
      </x:c>
      <x:c r="I1130" s="10" t="n">
        <x:v>46</x:v>
      </x:c>
      <x:c r="J1130" s="11" t="n">
        <x:f>IF(AND(Z1130="共同",ISNUMBER(F1130),ISNUMBER(M1130)),F1130-M1130,"")</x:f>
        <x:v>-61.186129036035936</x:v>
      </x:c>
      <x:c r="K1130" s="13" t="n">
        <x:f>IF(AND(ISNUMBER(J1130),M1130&lt;&gt;0),J1130/M1130,"")</x:f>
        <x:v>-0.5250859313755051</x:v>
      </x:c>
      <x:c r="L1130" s="10" t="str">
        <x:v>促销</x:v>
      </x:c>
      <x:c r="M1130" s="11" t="n">
        <x:v>116.52593486127866</x:v>
      </x:c>
      <x:c r="N1130" s="10" t="n">
        <x:f>IF(AND(Z1130="共同",COUNT(H1130:I1130)=2),H1130-I1130,"")</x:f>
        <x:v>-8</x:v>
      </x:c>
      <x:c r="O1130" s="10" t="n">
        <x:v>0</x:v>
      </x:c>
      <x:c r="P1130" s="10" t="n">
        <x:v>6</x:v>
      </x:c>
      <x:c r="Q1130" s="10" t="n">
        <x:v>8</x:v>
      </x:c>
      <x:c r="R1130" s="10" t="n">
        <x:v>13</x:v>
      </x:c>
      <x:c r="S1130" s="10" t="n">
        <x:v>40</x:v>
      </x:c>
      <x:c r="T1130" s="10" t="n">
        <x:v>1</x:v>
      </x:c>
      <x:c r="U1130" s="10" t="n">
        <x:f>IF(AND(ISNUMBER(X1130),X1130&gt;=0,Y1130&lt;&gt;1),X1130,"")</x:f>
        <x:v>38</x:v>
      </x:c>
      <x:c r="V1130" s="10" t="n">
        <x:v>0</x:v>
      </x:c>
      <x:c r="W1130" s="10" t="n">
        <x:v>0</x:v>
      </x:c>
      <x:c r="X1130" s="10" t="n">
        <x:v>38</x:v>
      </x:c>
      <x:c r="Y1130" s="3" t="n">
        <x:v>0</x:v>
      </x:c>
      <x:c r="Z1130" s="3" t="str">
        <x:v>共同</x:v>
      </x:c>
      <x:c r="AA1130" s="3" t="str">
        <x:v>在售</x:v>
      </x:c>
      <x:c r="AB1130" s="12" t="n">
        <x:f>IF(AND(Z1130="共同",ISNUMBER(G1130),ISNUMBER(AD1130)),G1130-AD1130,"")</x:f>
        <x:v>0.2919047619047619</x:v>
      </x:c>
      <x:c r="AC1130" s="3" t="str"/>
      <x:c r="AD1130" s="12" t="n">
        <x:v>0.39476190476190476</x:v>
      </x:c>
      <x:c r="AE1130" s="3" t="str">
        <x:v>[6574,"60516-BK-S-K-7.5"]</x:v>
      </x:c>
      <x:c r="AF1130" t="n">
        <x:f>IF(ISNUMBER(H1130),1,0)</x:f>
        <x:v>1</x:v>
      </x:c>
      <x:c r="AG1130" t="n">
        <x:f>IF(ISNUMBER(I1130),1,0)</x:f>
        <x:v>1</x:v>
      </x:c>
      <x:c r="AH1130" t="str">
        <x:v>["60516","60516-BK-S-K","BK","黑色"]</x:v>
      </x:c>
      <x:c r="AI1130" t="n">
        <x:f>IF(ISNUMBER(G1130),1,0)</x:f>
        <x:v>1</x:v>
      </x:c>
      <x:c r="AJ1130" t="n">
        <x:f>IF(ISNUMBER(AD1130),1,0)</x:f>
        <x:v>1</x:v>
      </x:c>
    </x:row>
    <x:row r="1131" ht="30" customHeight="1">
      <x:c r="A1131" s="3" t="str">
        <x:v>60516-BK-S-K-9</x:v>
      </x:c>
      <x:c r="B1131" s="3" t="str">
        <x:v>3店-SANDIEX-US</x:v>
      </x:c>
      <x:c r="C1131" s="3" t="str">
        <x:v>徐新怡</x:v>
      </x:c>
      <x:c r="D1131" s="3" t="str">
        <x:v>60516</x:v>
      </x:c>
      <x:c r="E1131" s="3" t="str">
        <x:f>IF(Z1131="移出","已移出",IF(NOT(ISNUMBER(H1131)),"数据待核",IF(H1131=0,"断货",IF(NOT(ISNUMBER(G1131)),"数据待核",IF(G1131=0,"零日销待复核",IF(F1131&lt;60,"补货提醒",IF(F1131&lt;=90,"正常库存",IF(F1131&lt;180,"促销",IF(F1131&lt;=365,"红线促销","考虑清仓")))))))))</x:f>
        <x:v>补货提醒</x:v>
      </x:c>
      <x:c r="F1131" s="11" t="n">
        <x:f>IF(AND(ISNUMBER(H1131),ISNUMBER(G1131),G1131&gt;0),H1131/G1131,"")</x:f>
        <x:v>23.29385222786238</x:v>
      </x:c>
      <x:c r="G1131" s="12" t="n">
        <x:f>IF(AND(COUNT(P1131:R1131)=3,MIN(P1131:R1131)&gt;=0,P1131&lt;=Q1131,Q1131&lt;=R1131),P1131/7*0.5+Q1131/14*0.3+R1131/30*0.2,"")</x:f>
        <x:v>2.532857142857143</x:v>
      </x:c>
      <x:c r="H1131" s="10" t="n">
        <x:f>IF(ISNUMBER(U1131),U1131,"")</x:f>
        <x:v>59</x:v>
      </x:c>
      <x:c r="I1131" s="10" t="n">
        <x:v>54</x:v>
      </x:c>
      <x:c r="J1131" s="11" t="n">
        <x:f>IF(AND(Z1131="共同",ISNUMBER(F1131),ISNUMBER(M1131)),F1131-M1131,"")</x:f>
        <x:v>-28.181408779854372</x:v>
      </x:c>
      <x:c r="K1131" s="13" t="n">
        <x:f>IF(AND(ISNUMBER(J1131),M1131&lt;&gt;0),J1131/M1131,"")</x:f>
        <x:v>-0.5474748107761832</x:v>
      </x:c>
      <x:c r="L1131" s="10" t="str">
        <x:v>补货提醒</x:v>
      </x:c>
      <x:c r="M1131" s="11" t="n">
        <x:v>51.47526100771675</x:v>
      </x:c>
      <x:c r="N1131" s="10" t="n">
        <x:f>IF(AND(Z1131="共同",COUNT(H1131:I1131)=2),H1131-I1131,"")</x:f>
        <x:v>5</x:v>
      </x:c>
      <x:c r="O1131" s="10" t="n">
        <x:v>210</x:v>
      </x:c>
      <x:c r="P1131" s="10" t="n">
        <x:v>22</x:v>
      </x:c>
      <x:c r="Q1131" s="10" t="n">
        <x:v>29</x:v>
      </x:c>
      <x:c r="R1131" s="10" t="n">
        <x:v>51</x:v>
      </x:c>
      <x:c r="S1131" s="10" t="n">
        <x:v>74</x:v>
      </x:c>
      <x:c r="T1131" s="10" t="n">
        <x:v>1</x:v>
      </x:c>
      <x:c r="U1131" s="10" t="n">
        <x:f>IF(AND(ISNUMBER(X1131),X1131&gt;=0,Y1131&lt;&gt;1),X1131,"")</x:f>
        <x:v>59</x:v>
      </x:c>
      <x:c r="V1131" s="10" t="n">
        <x:v>0</x:v>
      </x:c>
      <x:c r="W1131" s="10" t="n">
        <x:v>20</x:v>
      </x:c>
      <x:c r="X1131" s="10" t="n">
        <x:v>59</x:v>
      </x:c>
      <x:c r="Y1131" s="3" t="n">
        <x:v>0</x:v>
      </x:c>
      <x:c r="Z1131" s="3" t="str">
        <x:v>共同</x:v>
      </x:c>
      <x:c r="AA1131" s="3" t="str">
        <x:v>在售</x:v>
      </x:c>
      <x:c r="AB1131" s="12" t="n">
        <x:f>IF(AND(Z1131="共同",ISNUMBER(G1131),ISNUMBER(AD1131)),G1131-AD1131,"")</x:f>
        <x:v>1.483809523809524</x:v>
      </x:c>
      <x:c r="AC1131" s="3" t="str"/>
      <x:c r="AD1131" s="12" t="n">
        <x:v>1.049047619047619</x:v>
      </x:c>
      <x:c r="AE1131" s="3" t="str">
        <x:v>[6574,"60516-BK-S-K-9"]</x:v>
      </x:c>
      <x:c r="AF1131" t="n">
        <x:f>IF(ISNUMBER(H1131),1,0)</x:f>
        <x:v>1</x:v>
      </x:c>
      <x:c r="AG1131" t="n">
        <x:f>IF(ISNUMBER(I1131),1,0)</x:f>
        <x:v>1</x:v>
      </x:c>
      <x:c r="AH1131" t="str">
        <x:v>["60516","60516-BK-S-K","BK","黑色"]</x:v>
      </x:c>
      <x:c r="AI1131" t="n">
        <x:f>IF(ISNUMBER(G1131),1,0)</x:f>
        <x:v>1</x:v>
      </x:c>
      <x:c r="AJ1131" t="n">
        <x:f>IF(ISNUMBER(AD1131),1,0)</x:f>
        <x:v>1</x:v>
      </x:c>
    </x:row>
    <x:row r="1132" ht="30" customHeight="1">
      <x:c r="A1132" s="3" t="str">
        <x:v>60516-LP-S-K-10</x:v>
      </x:c>
      <x:c r="B1132" s="3" t="str">
        <x:v>3店-SANDIEX-US</x:v>
      </x:c>
      <x:c r="C1132" s="3" t="str">
        <x:v>徐新怡</x:v>
      </x:c>
      <x:c r="D1132" s="3" t="str">
        <x:v>60516</x:v>
      </x:c>
      <x:c r="E1132" s="3" t="str">
        <x:f>IF(Z1132="移出","已移出",IF(NOT(ISNUMBER(H1132)),"数据待核",IF(H1132=0,"断货",IF(NOT(ISNUMBER(G1132)),"数据待核",IF(G1132=0,"零日销待复核",IF(F1132&lt;60,"补货提醒",IF(F1132&lt;=90,"正常库存",IF(F1132&lt;180,"促销",IF(F1132&lt;=365,"红线促销","考虑清仓")))))))))</x:f>
        <x:v>补货提醒</x:v>
      </x:c>
      <x:c r="F1132" s="11" t="n">
        <x:f>IF(AND(ISNUMBER(H1132),ISNUMBER(G1132),G1132&gt;0),H1132/G1132,"")</x:f>
        <x:v>5.498821681068343</x:v>
      </x:c>
      <x:c r="G1132" s="12" t="n">
        <x:f>IF(AND(COUNT(P1132:R1132)=3,MIN(P1132:R1132)&gt;=0,P1132&lt;=Q1132,Q1132&lt;=R1132),P1132/7*0.5+Q1132/14*0.3+R1132/30*0.2,"")</x:f>
        <x:v>1.8185714285714285</x:v>
      </x:c>
      <x:c r="H1132" s="10" t="n">
        <x:f>IF(ISNUMBER(U1132),U1132,"")</x:f>
        <x:v>10</x:v>
      </x:c>
      <x:c r="I1132" s="10" t="n">
        <x:v>36</x:v>
      </x:c>
      <x:c r="J1132" s="11" t="n">
        <x:f>IF(AND(Z1132="共同",ISNUMBER(F1132),ISNUMBER(M1132)),F1132-M1132,"")</x:f>
        <x:v>-49.723968676857154</x:v>
      </x:c>
      <x:c r="K1132" s="13" t="n">
        <x:f>IF(AND(ISNUMBER(J1132),M1132&lt;&gt;0),J1132/M1132,"")</x:f>
        <x:v>-0.9004247767012888</x:v>
      </x:c>
      <x:c r="L1132" s="10" t="str">
        <x:v>补货提醒</x:v>
      </x:c>
      <x:c r="M1132" s="11" t="n">
        <x:v>55.2227903579255</x:v>
      </x:c>
      <x:c r="N1132" s="10" t="n">
        <x:f>IF(AND(Z1132="共同",COUNT(H1132:I1132)=2),H1132-I1132,"")</x:f>
        <x:v>-26</x:v>
      </x:c>
      <x:c r="O1132" s="10" t="n">
        <x:v>20</x:v>
      </x:c>
      <x:c r="P1132" s="10" t="n">
        <x:v>14</x:v>
      </x:c>
      <x:c r="Q1132" s="10" t="n">
        <x:v>27</x:v>
      </x:c>
      <x:c r="R1132" s="10" t="n">
        <x:v>36</x:v>
      </x:c>
      <x:c r="S1132" s="10" t="n">
        <x:v>13</x:v>
      </x:c>
      <x:c r="T1132" s="10" t="n">
        <x:v>1</x:v>
      </x:c>
      <x:c r="U1132" s="10" t="n">
        <x:f>IF(AND(ISNUMBER(X1132),X1132&gt;=0,Y1132&lt;&gt;1),X1132,"")</x:f>
        <x:v>10</x:v>
      </x:c>
      <x:c r="V1132" s="10" t="n">
        <x:v>0</x:v>
      </x:c>
      <x:c r="W1132" s="10" t="n">
        <x:v>20</x:v>
      </x:c>
      <x:c r="X1132" s="10" t="n">
        <x:v>10</x:v>
      </x:c>
      <x:c r="Y1132" s="3" t="n">
        <x:v>0</x:v>
      </x:c>
      <x:c r="Z1132" s="3" t="str">
        <x:v>共同</x:v>
      </x:c>
      <x:c r="AA1132" s="3" t="str">
        <x:v>在售</x:v>
      </x:c>
      <x:c r="AB1132" s="12" t="n">
        <x:f>IF(AND(Z1132="共同",ISNUMBER(G1132),ISNUMBER(AD1132)),G1132-AD1132,"")</x:f>
        <x:v>1.1666666666666665</x:v>
      </x:c>
      <x:c r="AC1132" s="3" t="str"/>
      <x:c r="AD1132" s="12" t="n">
        <x:v>0.6519047619047619</x:v>
      </x:c>
      <x:c r="AE1132" s="3" t="str">
        <x:v>[6574,"60516-LP-S-K-10"]</x:v>
      </x:c>
      <x:c r="AF1132" t="n">
        <x:f>IF(ISNUMBER(H1132),1,0)</x:f>
        <x:v>1</x:v>
      </x:c>
      <x:c r="AG1132" t="n">
        <x:f>IF(ISNUMBER(I1132),1,0)</x:f>
        <x:v>1</x:v>
      </x:c>
      <x:c r="AH1132" t="str">
        <x:v>["60516","60516-LP-S-K","LP","豹纹"]</x:v>
      </x:c>
      <x:c r="AI1132" t="n">
        <x:f>IF(ISNUMBER(G1132),1,0)</x:f>
        <x:v>1</x:v>
      </x:c>
      <x:c r="AJ1132" t="n">
        <x:f>IF(ISNUMBER(AD1132),1,0)</x:f>
        <x:v>1</x:v>
      </x:c>
    </x:row>
    <x:row r="1133" ht="30" customHeight="1">
      <x:c r="A1133" s="3" t="str">
        <x:v>60516-LP-S-K-11</x:v>
      </x:c>
      <x:c r="B1133" s="3" t="str">
        <x:v>3店-SANDIEX-US</x:v>
      </x:c>
      <x:c r="C1133" s="3" t="str">
        <x:v>徐新怡</x:v>
      </x:c>
      <x:c r="D1133" s="3" t="str">
        <x:v>60516</x:v>
      </x:c>
      <x:c r="E1133" s="3" t="str">
        <x:f>IF(Z1133="移出","已移出",IF(NOT(ISNUMBER(H1133)),"数据待核",IF(H1133=0,"断货",IF(NOT(ISNUMBER(G1133)),"数据待核",IF(G1133=0,"零日销待复核",IF(F1133&lt;60,"补货提醒",IF(F1133&lt;=90,"正常库存",IF(F1133&lt;180,"促销",IF(F1133&lt;=365,"红线促销","考虑清仓")))))))))</x:f>
        <x:v>补货提醒</x:v>
      </x:c>
      <x:c r="F1133" s="11" t="n">
        <x:f>IF(AND(ISNUMBER(H1133),ISNUMBER(G1133),G1133&gt;0),H1133/G1133,"")</x:f>
        <x:v>12.138728323699421</x:v>
      </x:c>
      <x:c r="G1133" s="12" t="n">
        <x:f>IF(AND(COUNT(P1133:R1133)=3,MIN(P1133:R1133)&gt;=0,P1133&lt;=Q1133,Q1133&lt;=R1133),P1133/7*0.5+Q1133/14*0.3+R1133/30*0.2,"")</x:f>
        <x:v>0.9885714285714285</x:v>
      </x:c>
      <x:c r="H1133" s="10" t="n">
        <x:f>IF(ISNUMBER(U1133),U1133,"")</x:f>
        <x:v>12</x:v>
      </x:c>
      <x:c r="I1133" s="10" t="n">
        <x:v>23</x:v>
      </x:c>
      <x:c r="J1133" s="11" t="n">
        <x:f>IF(AND(Z1133="共同",ISNUMBER(F1133),ISNUMBER(M1133)),F1133-M1133,"")</x:f>
        <x:v>-20.740781546960893</x:v>
      </x:c>
      <x:c r="K1133" s="13" t="n">
        <x:f>IF(AND(ISNUMBER(J1133),M1133&lt;&gt;0),J1133/M1133,"")</x:f>
        <x:v>-0.6308117617491832</x:v>
      </x:c>
      <x:c r="L1133" s="10" t="str">
        <x:v>补货提醒</x:v>
      </x:c>
      <x:c r="M1133" s="11" t="n">
        <x:v>32.879509870660314</x:v>
      </x:c>
      <x:c r="N1133" s="10" t="n">
        <x:f>IF(AND(Z1133="共同",COUNT(H1133:I1133)=2),H1133-I1133,"")</x:f>
        <x:v>-11</x:v>
      </x:c>
      <x:c r="O1133" s="10" t="n">
        <x:v>3</x:v>
      </x:c>
      <x:c r="P1133" s="10" t="n">
        <x:v>8</x:v>
      </x:c>
      <x:c r="Q1133" s="10" t="n">
        <x:v>12</x:v>
      </x:c>
      <x:c r="R1133" s="10" t="n">
        <x:v>24</x:v>
      </x:c>
      <x:c r="S1133" s="10" t="n">
        <x:v>16</x:v>
      </x:c>
      <x:c r="T1133" s="10" t="n">
        <x:v>2</x:v>
      </x:c>
      <x:c r="U1133" s="10" t="n">
        <x:f>IF(AND(ISNUMBER(X1133),X1133&gt;=0,Y1133&lt;&gt;1),X1133,"")</x:f>
        <x:v>12</x:v>
      </x:c>
      <x:c r="V1133" s="10" t="n">
        <x:v>0</x:v>
      </x:c>
      <x:c r="W1133" s="10" t="n">
        <x:v>0</x:v>
      </x:c>
      <x:c r="X1133" s="10" t="n">
        <x:v>12</x:v>
      </x:c>
      <x:c r="Y1133" s="3" t="n">
        <x:v>0</x:v>
      </x:c>
      <x:c r="Z1133" s="3" t="str">
        <x:v>共同</x:v>
      </x:c>
      <x:c r="AA1133" s="3" t="str">
        <x:v>在售</x:v>
      </x:c>
      <x:c r="AB1133" s="12" t="n">
        <x:f>IF(AND(Z1133="共同",ISNUMBER(G1133),ISNUMBER(AD1133)),G1133-AD1133,"")</x:f>
        <x:v>0.289047619047619</x:v>
      </x:c>
      <x:c r="AC1133" s="3" t="str"/>
      <x:c r="AD1133" s="12" t="n">
        <x:v>0.6995238095238095</x:v>
      </x:c>
      <x:c r="AE1133" s="3" t="str">
        <x:v>[6574,"60516-LP-S-K-11"]</x:v>
      </x:c>
      <x:c r="AF1133" t="n">
        <x:f>IF(ISNUMBER(H1133),1,0)</x:f>
        <x:v>1</x:v>
      </x:c>
      <x:c r="AG1133" t="n">
        <x:f>IF(ISNUMBER(I1133),1,0)</x:f>
        <x:v>1</x:v>
      </x:c>
      <x:c r="AH1133" t="str">
        <x:v>["60516","60516-LP-S-K","LP","豹纹"]</x:v>
      </x:c>
      <x:c r="AI1133" t="n">
        <x:f>IF(ISNUMBER(G1133),1,0)</x:f>
        <x:v>1</x:v>
      </x:c>
      <x:c r="AJ1133" t="n">
        <x:f>IF(ISNUMBER(AD1133),1,0)</x:f>
        <x:v>1</x:v>
      </x:c>
    </x:row>
    <x:row r="1134" ht="30" customHeight="1">
      <x:c r="A1134" s="3" t="str">
        <x:v>60516-LP-S-K-8</x:v>
      </x:c>
      <x:c r="B1134" s="3" t="str">
        <x:v>3店-SANDIEX-US</x:v>
      </x:c>
      <x:c r="C1134" s="3" t="str">
        <x:v>徐新怡</x:v>
      </x:c>
      <x:c r="D1134" s="3" t="str">
        <x:v>60516</x:v>
      </x:c>
      <x:c r="E1134" s="3" t="str">
        <x:f>IF(Z1134="移出","已移出",IF(NOT(ISNUMBER(H1134)),"数据待核",IF(H1134=0,"断货",IF(NOT(ISNUMBER(G1134)),"数据待核",IF(G1134=0,"零日销待复核",IF(F1134&lt;60,"补货提醒",IF(F1134&lt;=90,"正常库存",IF(F1134&lt;180,"促销",IF(F1134&lt;=365,"红线促销","考虑清仓")))))))))</x:f>
        <x:v>补货提醒</x:v>
      </x:c>
      <x:c r="F1134" s="11" t="n">
        <x:f>IF(AND(ISNUMBER(H1134),ISNUMBER(G1134),G1134&gt;0),H1134/G1134,"")</x:f>
        <x:v>14.606741573033709</x:v>
      </x:c>
      <x:c r="G1134" s="12" t="n">
        <x:f>IF(AND(COUNT(P1134:R1134)=3,MIN(P1134:R1134)&gt;=0,P1134&lt;=Q1134,Q1134&lt;=R1134),P1134/7*0.5+Q1134/14*0.3+R1134/30*0.2,"")</x:f>
        <x:v>2.67</x:v>
      </x:c>
      <x:c r="H1134" s="10" t="n">
        <x:f>IF(ISNUMBER(U1134),U1134,"")</x:f>
        <x:v>39</x:v>
      </x:c>
      <x:c r="I1134" s="10" t="n">
        <x:v>68</x:v>
      </x:c>
      <x:c r="J1134" s="11" t="n">
        <x:f>IF(AND(Z1134="共同",ISNUMBER(F1134),ISNUMBER(M1134)),F1134-M1134,"")</x:f>
        <x:v>-51.75013575038637</x:v>
      </x:c>
      <x:c r="K1134" s="13" t="n">
        <x:f>IF(AND(ISNUMBER(J1134),M1134&lt;&gt;0),J1134/M1134,"")</x:f>
        <x:v>-0.7798759953419571</x:v>
      </x:c>
      <x:c r="L1134" s="10" t="str">
        <x:v>正常库存</x:v>
      </x:c>
      <x:c r="M1134" s="11" t="n">
        <x:v>66.35687732342008</x:v>
      </x:c>
      <x:c r="N1134" s="10" t="n">
        <x:f>IF(AND(Z1134="共同",COUNT(H1134:I1134)=2),H1134-I1134,"")</x:f>
        <x:v>-29</x:v>
      </x:c>
      <x:c r="O1134" s="10" t="n">
        <x:v>20</x:v>
      </x:c>
      <x:c r="P1134" s="10" t="n">
        <x:v>23</x:v>
      </x:c>
      <x:c r="Q1134" s="10" t="n">
        <x:v>33</x:v>
      </x:c>
      <x:c r="R1134" s="10" t="n">
        <x:v>48</x:v>
      </x:c>
      <x:c r="S1134" s="10" t="n">
        <x:v>42</x:v>
      </x:c>
      <x:c r="T1134" s="10" t="n">
        <x:v>0</x:v>
      </x:c>
      <x:c r="U1134" s="10" t="n">
        <x:f>IF(AND(ISNUMBER(X1134),X1134&gt;=0,Y1134&lt;&gt;1),X1134,"")</x:f>
        <x:v>39</x:v>
      </x:c>
      <x:c r="V1134" s="10" t="n">
        <x:v>0</x:v>
      </x:c>
      <x:c r="W1134" s="10" t="n">
        <x:v>0</x:v>
      </x:c>
      <x:c r="X1134" s="10" t="n">
        <x:v>39</x:v>
      </x:c>
      <x:c r="Y1134" s="3" t="n">
        <x:v>0</x:v>
      </x:c>
      <x:c r="Z1134" s="3" t="str">
        <x:v>共同</x:v>
      </x:c>
      <x:c r="AA1134" s="3" t="str">
        <x:v>在售</x:v>
      </x:c>
      <x:c r="AB1134" s="12" t="n">
        <x:f>IF(AND(Z1134="共同",ISNUMBER(G1134),ISNUMBER(AD1134)),G1134-AD1134,"")</x:f>
        <x:v>1.6452380952380952</x:v>
      </x:c>
      <x:c r="AC1134" s="3" t="str"/>
      <x:c r="AD1134" s="12" t="n">
        <x:v>1.0247619047619048</x:v>
      </x:c>
      <x:c r="AE1134" s="3" t="str">
        <x:v>[6574,"60516-LP-S-K-8"]</x:v>
      </x:c>
      <x:c r="AF1134" t="n">
        <x:f>IF(ISNUMBER(H1134),1,0)</x:f>
        <x:v>1</x:v>
      </x:c>
      <x:c r="AG1134" t="n">
        <x:f>IF(ISNUMBER(I1134),1,0)</x:f>
        <x:v>1</x:v>
      </x:c>
      <x:c r="AH1134" t="str">
        <x:v>["60516","60516-LP-S-K","LP","豹纹"]</x:v>
      </x:c>
      <x:c r="AI1134" t="n">
        <x:f>IF(ISNUMBER(G1134),1,0)</x:f>
        <x:v>1</x:v>
      </x:c>
      <x:c r="AJ1134" t="n">
        <x:f>IF(ISNUMBER(AD1134),1,0)</x:f>
        <x:v>1</x:v>
      </x:c>
    </x:row>
    <x:row r="1135" ht="30" customHeight="1">
      <x:c r="A1135" s="3" t="str">
        <x:v>60516-LP-S-K-9</x:v>
      </x:c>
      <x:c r="B1135" s="3" t="str">
        <x:v>3店-SANDIEX-US</x:v>
      </x:c>
      <x:c r="C1135" s="3" t="str">
        <x:v>徐新怡</x:v>
      </x:c>
      <x:c r="D1135" s="3" t="str">
        <x:v>60516</x:v>
      </x:c>
      <x:c r="E1135" s="3" t="str">
        <x:f>IF(Z1135="移出","已移出",IF(NOT(ISNUMBER(H1135)),"数据待核",IF(H1135=0,"断货",IF(NOT(ISNUMBER(G1135)),"数据待核",IF(G1135=0,"零日销待复核",IF(F1135&lt;60,"补货提醒",IF(F1135&lt;=90,"正常库存",IF(F1135&lt;180,"促销",IF(F1135&lt;=365,"红线促销","考虑清仓")))))))))</x:f>
        <x:v>补货提醒</x:v>
      </x:c>
      <x:c r="F1135" s="11" t="n">
        <x:f>IF(AND(ISNUMBER(H1135),ISNUMBER(G1135),G1135&gt;0),H1135/G1135,"")</x:f>
        <x:v>9.46656649135988</x:v>
      </x:c>
      <x:c r="G1135" s="12" t="n">
        <x:f>IF(AND(COUNT(P1135:R1135)=3,MIN(P1135:R1135)&gt;=0,P1135&lt;=Q1135,Q1135&lt;=R1135),P1135/7*0.5+Q1135/14*0.3+R1135/30*0.2,"")</x:f>
        <x:v>3.1690476190476193</x:v>
      </x:c>
      <x:c r="H1135" s="10" t="n">
        <x:f>IF(ISNUMBER(U1135),U1135,"")</x:f>
        <x:v>30</x:v>
      </x:c>
      <x:c r="I1135" s="10" t="n">
        <x:v>70</x:v>
      </x:c>
      <x:c r="J1135" s="11" t="n">
        <x:f>IF(AND(Z1135="共同",ISNUMBER(F1135),ISNUMBER(M1135)),F1135-M1135,"")</x:f>
        <x:v>-36.759848602979744</x:v>
      </x:c>
      <x:c r="K1135" s="13" t="n">
        <x:f>IF(AND(ISNUMBER(J1135),M1135&lt;&gt;0),J1135/M1135,"")</x:f>
        <x:v>-0.7952130514113985</x:v>
      </x:c>
      <x:c r="L1135" s="10" t="str">
        <x:v>补货提醒</x:v>
      </x:c>
      <x:c r="M1135" s="11" t="n">
        <x:v>46.22641509433962</x:v>
      </x:c>
      <x:c r="N1135" s="10" t="n">
        <x:f>IF(AND(Z1135="共同",COUNT(H1135:I1135)=2),H1135-I1135,"")</x:f>
        <x:v>-40</x:v>
      </x:c>
      <x:c r="O1135" s="10" t="n">
        <x:v>23</x:v>
      </x:c>
      <x:c r="P1135" s="10" t="n">
        <x:v>26</x:v>
      </x:c>
      <x:c r="Q1135" s="10" t="n">
        <x:v>41</x:v>
      </x:c>
      <x:c r="R1135" s="10" t="n">
        <x:v>65</x:v>
      </x:c>
      <x:c r="S1135" s="10" t="n">
        <x:v>41</x:v>
      </x:c>
      <x:c r="T1135" s="10" t="n">
        <x:v>1</x:v>
      </x:c>
      <x:c r="U1135" s="10" t="n">
        <x:f>IF(AND(ISNUMBER(X1135),X1135&gt;=0,Y1135&lt;&gt;1),X1135,"")</x:f>
        <x:v>30</x:v>
      </x:c>
      <x:c r="V1135" s="10" t="n">
        <x:v>0</x:v>
      </x:c>
      <x:c r="W1135" s="10" t="n">
        <x:v>0</x:v>
      </x:c>
      <x:c r="X1135" s="10" t="n">
        <x:v>30</x:v>
      </x:c>
      <x:c r="Y1135" s="3" t="n">
        <x:v>0</x:v>
      </x:c>
      <x:c r="Z1135" s="3" t="str">
        <x:v>共同</x:v>
      </x:c>
      <x:c r="AA1135" s="3" t="str">
        <x:v>在售</x:v>
      </x:c>
      <x:c r="AB1135" s="12" t="n">
        <x:f>IF(AND(Z1135="共同",ISNUMBER(G1135),ISNUMBER(AD1135)),G1135-AD1135,"")</x:f>
        <x:v>1.654761904761905</x:v>
      </x:c>
      <x:c r="AC1135" s="3" t="str"/>
      <x:c r="AD1135" s="12" t="n">
        <x:v>1.5142857142857142</x:v>
      </x:c>
      <x:c r="AE1135" s="3" t="str">
        <x:v>[6574,"60516-LP-S-K-9"]</x:v>
      </x:c>
      <x:c r="AF1135" t="n">
        <x:f>IF(ISNUMBER(H1135),1,0)</x:f>
        <x:v>1</x:v>
      </x:c>
      <x:c r="AG1135" t="n">
        <x:f>IF(ISNUMBER(I1135),1,0)</x:f>
        <x:v>1</x:v>
      </x:c>
      <x:c r="AH1135" t="str">
        <x:v>["60516","60516-LP-S-K","LP","豹纹"]</x:v>
      </x:c>
      <x:c r="AI1135" t="n">
        <x:f>IF(ISNUMBER(G1135),1,0)</x:f>
        <x:v>1</x:v>
      </x:c>
      <x:c r="AJ1135" t="n">
        <x:f>IF(ISNUMBER(AD1135),1,0)</x:f>
        <x:v>1</x:v>
      </x:c>
    </x:row>
    <x:row r="1136" ht="30" customHeight="1">
      <x:c r="A1136" s="3" t="str">
        <x:v>60516-NY-S-K-8</x:v>
      </x:c>
      <x:c r="B1136" s="3" t="str">
        <x:v>3店-SANDIEX-US</x:v>
      </x:c>
      <x:c r="C1136" s="3" t="str">
        <x:v>徐新怡</x:v>
      </x:c>
      <x:c r="D1136" s="3" t="str">
        <x:v>60516</x:v>
      </x:c>
      <x:c r="E1136" s="3" t="str">
        <x:f>IF(Z1136="移出","已移出",IF(NOT(ISNUMBER(H1136)),"数据待核",IF(H1136=0,"断货",IF(NOT(ISNUMBER(G1136)),"数据待核",IF(G1136=0,"零日销待复核",IF(F1136&lt;60,"补货提醒",IF(F1136&lt;=90,"正常库存",IF(F1136&lt;180,"促销",IF(F1136&lt;=365,"红线促销","考虑清仓")))))))))</x:f>
        <x:v>补货提醒</x:v>
      </x:c>
      <x:c r="F1136" s="11" t="n">
        <x:f>IF(AND(ISNUMBER(H1136),ISNUMBER(G1136),G1136&gt;0),H1136/G1136,"")</x:f>
        <x:v>38.764044943820224</x:v>
      </x:c>
      <x:c r="G1136" s="12" t="n">
        <x:f>IF(AND(COUNT(P1136:R1136)=3,MIN(P1136:R1136)&gt;=0,P1136&lt;=Q1136,Q1136&lt;=R1136),P1136/7*0.5+Q1136/14*0.3+R1136/30*0.2,"")</x:f>
        <x:v>0.5933333333333334</x:v>
      </x:c>
      <x:c r="H1136" s="10" t="n">
        <x:f>IF(ISNUMBER(U1136),U1136,"")</x:f>
        <x:v>23</x:v>
      </x:c>
      <x:c r="I1136" s="10" t="n">
        <x:v>28</x:v>
      </x:c>
      <x:c r="J1136" s="11" t="n">
        <x:f>IF(AND(Z1136="共同",ISNUMBER(F1136),ISNUMBER(M1136)),F1136-M1136,"")</x:f>
        <x:v>-28.206342299915548</x:v>
      </x:c>
      <x:c r="K1136" s="13" t="n">
        <x:f>IF(AND(ISNUMBER(J1136),M1136&lt;&gt;0),J1136/M1136,"")</x:f>
        <x:v>-0.42117633570282054</x:v>
      </x:c>
      <x:c r="L1136" s="10" t="str">
        <x:v>正常库存</x:v>
      </x:c>
      <x:c r="M1136" s="11" t="n">
        <x:v>66.97038724373577</x:v>
      </x:c>
      <x:c r="N1136" s="10" t="n">
        <x:f>IF(AND(Z1136="共同",COUNT(H1136:I1136)=2),H1136-I1136,"")</x:f>
        <x:v>-5</x:v>
      </x:c>
      <x:c r="O1136" s="10" t="n">
        <x:v>0</x:v>
      </x:c>
      <x:c r="P1136" s="10" t="n">
        <x:v>4</x:v>
      </x:c>
      <x:c r="Q1136" s="10" t="n">
        <x:v>10</x:v>
      </x:c>
      <x:c r="R1136" s="10" t="n">
        <x:v>14</x:v>
      </x:c>
      <x:c r="S1136" s="10" t="n">
        <x:v>44</x:v>
      </x:c>
      <x:c r="T1136" s="10" t="n">
        <x:v>1</x:v>
      </x:c>
      <x:c r="U1136" s="10" t="n">
        <x:f>IF(AND(ISNUMBER(X1136),X1136&gt;=0,Y1136&lt;&gt;1),X1136,"")</x:f>
        <x:v>23</x:v>
      </x:c>
      <x:c r="V1136" s="10" t="n">
        <x:v>0</x:v>
      </x:c>
      <x:c r="W1136" s="10" t="n">
        <x:v>0</x:v>
      </x:c>
      <x:c r="X1136" s="10" t="n">
        <x:v>23</x:v>
      </x:c>
      <x:c r="Y1136" s="3" t="n">
        <x:v>0</x:v>
      </x:c>
      <x:c r="Z1136" s="3" t="str">
        <x:v>共同</x:v>
      </x:c>
      <x:c r="AA1136" s="3" t="str">
        <x:v>在售</x:v>
      </x:c>
      <x:c r="AB1136" s="12" t="n">
        <x:f>IF(AND(Z1136="共同",ISNUMBER(G1136),ISNUMBER(AD1136)),G1136-AD1136,"")</x:f>
        <x:v>0.17523809523809536</x:v>
      </x:c>
      <x:c r="AC1136" s="3" t="str"/>
      <x:c r="AD1136" s="12" t="n">
        <x:v>0.418095238095238</x:v>
      </x:c>
      <x:c r="AE1136" s="3" t="str">
        <x:v>[6574,"60516-NY-S-K-8"]</x:v>
      </x:c>
      <x:c r="AF1136" t="n">
        <x:f>IF(ISNUMBER(H1136),1,0)</x:f>
        <x:v>1</x:v>
      </x:c>
      <x:c r="AG1136" t="n">
        <x:f>IF(ISNUMBER(I1136),1,0)</x:f>
        <x:v>1</x:v>
      </x:c>
      <x:c r="AH1136" t="str">
        <x:v>["60516","60516-NY-S-K","NY","藏青色"]</x:v>
      </x:c>
      <x:c r="AI1136" t="n">
        <x:f>IF(ISNUMBER(G1136),1,0)</x:f>
        <x:v>1</x:v>
      </x:c>
      <x:c r="AJ1136" t="n">
        <x:f>IF(ISNUMBER(AD1136),1,0)</x:f>
        <x:v>1</x:v>
      </x:c>
    </x:row>
    <x:row r="1137" ht="30" customHeight="1">
      <x:c r="A1137" s="3" t="str">
        <x:v>60516-NY-S-K-9</x:v>
      </x:c>
      <x:c r="B1137" s="3" t="str">
        <x:v>3店-SANDIEX-US</x:v>
      </x:c>
      <x:c r="C1137" s="3" t="str">
        <x:v>徐新怡</x:v>
      </x:c>
      <x:c r="D1137" s="3" t="str">
        <x:v>60516</x:v>
      </x:c>
      <x:c r="E1137" s="3" t="str">
        <x:f>IF(Z1137="移出","已移出",IF(NOT(ISNUMBER(H1137)),"数据待核",IF(H1137=0,"断货",IF(NOT(ISNUMBER(G1137)),"数据待核",IF(G1137=0,"零日销待复核",IF(F1137&lt;60,"补货提醒",IF(F1137&lt;=90,"正常库存",IF(F1137&lt;180,"促销",IF(F1137&lt;=365,"红线促销","考虑清仓")))))))))</x:f>
        <x:v>补货提醒</x:v>
      </x:c>
      <x:c r="F1137" s="11" t="n">
        <x:f>IF(AND(ISNUMBER(H1137),ISNUMBER(G1137),G1137&gt;0),H1137/G1137,"")</x:f>
        <x:v>39.965397923875436</x:v>
      </x:c>
      <x:c r="G1137" s="12" t="n">
        <x:f>IF(AND(COUNT(P1137:R1137)=3,MIN(P1137:R1137)&gt;=0,P1137&lt;=Q1137,Q1137&lt;=R1137),P1137/7*0.5+Q1137/14*0.3+R1137/30*0.2,"")</x:f>
        <x:v>0.2752380952380952</x:v>
      </x:c>
      <x:c r="H1137" s="10" t="n">
        <x:f>IF(ISNUMBER(U1137),U1137,"")</x:f>
        <x:v>11</x:v>
      </x:c>
      <x:c r="I1137" s="10" t="n">
        <x:v>14</x:v>
      </x:c>
      <x:c r="J1137" s="11" t="n">
        <x:f>IF(AND(Z1137="共同",ISNUMBER(F1137),ISNUMBER(M1137)),F1137-M1137,"")</x:f>
        <x:v>-36.79700416489742</x:v>
      </x:c>
      <x:c r="K1137" s="13" t="n">
        <x:f>IF(AND(ISNUMBER(J1137),M1137&lt;&gt;0),J1137/M1137,"")</x:f>
        <x:v>-0.4793623331685616</x:v>
      </x:c>
      <x:c r="L1137" s="10" t="str">
        <x:v>正常库存</x:v>
      </x:c>
      <x:c r="M1137" s="11" t="n">
        <x:v>76.76240208877286</x:v>
      </x:c>
      <x:c r="N1137" s="10" t="n">
        <x:f>IF(AND(Z1137="共同",COUNT(H1137:I1137)=2),H1137-I1137,"")</x:f>
        <x:v>-3</x:v>
      </x:c>
      <x:c r="O1137" s="10" t="n">
        <x:v>0</x:v>
      </x:c>
      <x:c r="P1137" s="10" t="n">
        <x:v>2</x:v>
      </x:c>
      <x:c r="Q1137" s="10" t="n">
        <x:v>4</x:v>
      </x:c>
      <x:c r="R1137" s="10" t="n">
        <x:v>7</x:v>
      </x:c>
      <x:c r="S1137" s="10" t="n">
        <x:v>13</x:v>
      </x:c>
      <x:c r="T1137" s="10" t="n">
        <x:v>0</x:v>
      </x:c>
      <x:c r="U1137" s="10" t="n">
        <x:f>IF(AND(ISNUMBER(X1137),X1137&gt;=0,Y1137&lt;&gt;1),X1137,"")</x:f>
        <x:v>11</x:v>
      </x:c>
      <x:c r="V1137" s="10" t="n">
        <x:v>0</x:v>
      </x:c>
      <x:c r="W1137" s="10" t="n">
        <x:v>0</x:v>
      </x:c>
      <x:c r="X1137" s="10" t="n">
        <x:v>11</x:v>
      </x:c>
      <x:c r="Y1137" s="3" t="n">
        <x:v>0</x:v>
      </x:c>
      <x:c r="Z1137" s="3" t="str">
        <x:v>共同</x:v>
      </x:c>
      <x:c r="AA1137" s="3" t="str">
        <x:v>在售</x:v>
      </x:c>
      <x:c r="AB1137" s="12" t="n">
        <x:f>IF(AND(Z1137="共同",ISNUMBER(G1137),ISNUMBER(AD1137)),G1137-AD1137,"")</x:f>
        <x:v>0.09285714285714286</x:v>
      </x:c>
      <x:c r="AC1137" s="3" t="str"/>
      <x:c r="AD1137" s="12" t="n">
        <x:v>0.18238095238095237</x:v>
      </x:c>
      <x:c r="AE1137" s="3" t="str">
        <x:v>[6574,"60516-NY-S-K-9"]</x:v>
      </x:c>
      <x:c r="AF1137" t="n">
        <x:f>IF(ISNUMBER(H1137),1,0)</x:f>
        <x:v>1</x:v>
      </x:c>
      <x:c r="AG1137" t="n">
        <x:f>IF(ISNUMBER(I1137),1,0)</x:f>
        <x:v>1</x:v>
      </x:c>
      <x:c r="AH1137" t="str">
        <x:v>["60516","60516-NY-S-K","NY","藏青色"]</x:v>
      </x:c>
      <x:c r="AI1137" t="n">
        <x:f>IF(ISNUMBER(G1137),1,0)</x:f>
        <x:v>1</x:v>
      </x:c>
      <x:c r="AJ1137" t="n">
        <x:f>IF(ISNUMBER(AD1137),1,0)</x:f>
        <x:v>1</x:v>
      </x:c>
    </x:row>
    <x:row r="1138" ht="30" customHeight="1">
      <x:c r="A1138" s="3" t="str">
        <x:v>60516-RD-S-K-10</x:v>
      </x:c>
      <x:c r="B1138" s="3" t="str">
        <x:v>3店-SANDIEX-US</x:v>
      </x:c>
      <x:c r="C1138" s="3" t="str">
        <x:v>徐新怡</x:v>
      </x:c>
      <x:c r="D1138" s="3" t="str">
        <x:v>60516</x:v>
      </x:c>
      <x:c r="E1138" s="3" t="str">
        <x:f>IF(Z1138="移出","已移出",IF(NOT(ISNUMBER(H1138)),"数据待核",IF(H1138=0,"断货",IF(NOT(ISNUMBER(G1138)),"数据待核",IF(G1138=0,"零日销待复核",IF(F1138&lt;60,"补货提醒",IF(F1138&lt;=90,"正常库存",IF(F1138&lt;180,"促销",IF(F1138&lt;=365,"红线促销","考虑清仓")))))))))</x:f>
        <x:v>补货提醒</x:v>
      </x:c>
      <x:c r="F1138" s="11" t="n">
        <x:f>IF(AND(ISNUMBER(H1138),ISNUMBER(G1138),G1138&gt;0),H1138/G1138,"")</x:f>
        <x:v>36.950146627565985</x:v>
      </x:c>
      <x:c r="G1138" s="12" t="n">
        <x:f>IF(AND(COUNT(P1138:R1138)=3,MIN(P1138:R1138)&gt;=0,P1138&lt;=Q1138,Q1138&lt;=R1138),P1138/7*0.5+Q1138/14*0.3+R1138/30*0.2,"")</x:f>
        <x:v>0.16238095238095238</x:v>
      </x:c>
      <x:c r="H1138" s="10" t="n">
        <x:f>IF(ISNUMBER(U1138),U1138,"")</x:f>
        <x:v>6</x:v>
      </x:c>
      <x:c r="I1138" s="10" t="n">
        <x:v>8</x:v>
      </x:c>
      <x:c r="J1138" s="11" t="n">
        <x:f>IF(AND(Z1138="共同",ISNUMBER(F1138),ISNUMBER(M1138)),F1138-M1138,"")</x:f>
        <x:v>-156.15330164829612</x:v>
      </x:c>
      <x:c r="K1138" s="13" t="n">
        <x:f>IF(AND(ISNUMBER(J1138),M1138&lt;&gt;0),J1138/M1138,"")</x:f>
        <x:v>-0.8086510263929619</x:v>
      </x:c>
      <x:c r="L1138" s="10" t="str">
        <x:v>红线促销</x:v>
      </x:c>
      <x:c r="M1138" s="11" t="n">
        <x:v>193.1034482758621</x:v>
      </x:c>
      <x:c r="N1138" s="10" t="n">
        <x:f>IF(AND(Z1138="共同",COUNT(H1138:I1138)=2),H1138-I1138,"")</x:f>
        <x:v>-2</x:v>
      </x:c>
      <x:c r="O1138" s="10" t="n">
        <x:v>0</x:v>
      </x:c>
      <x:c r="P1138" s="10" t="n">
        <x:v>1</x:v>
      </x:c>
      <x:c r="Q1138" s="10" t="n">
        <x:v>3</x:v>
      </x:c>
      <x:c r="R1138" s="10" t="n">
        <x:v>4</x:v>
      </x:c>
      <x:c r="S1138" s="10" t="n">
        <x:v>6</x:v>
      </x:c>
      <x:c r="T1138" s="10" t="n">
        <x:v>0</x:v>
      </x:c>
      <x:c r="U1138" s="10" t="n">
        <x:f>IF(AND(ISNUMBER(X1138),X1138&gt;=0,Y1138&lt;&gt;1),X1138,"")</x:f>
        <x:v>6</x:v>
      </x:c>
      <x:c r="V1138" s="10" t="n">
        <x:v>0</x:v>
      </x:c>
      <x:c r="W1138" s="10" t="n">
        <x:v>0</x:v>
      </x:c>
      <x:c r="X1138" s="10" t="n">
        <x:v>6</x:v>
      </x:c>
      <x:c r="Y1138" s="3" t="n">
        <x:v>0</x:v>
      </x:c>
      <x:c r="Z1138" s="3" t="str">
        <x:v>共同</x:v>
      </x:c>
      <x:c r="AA1138" s="3" t="str">
        <x:v>在售</x:v>
      </x:c>
      <x:c r="AB1138" s="12" t="n">
        <x:f>IF(AND(Z1138="共同",ISNUMBER(G1138),ISNUMBER(AD1138)),G1138-AD1138,"")</x:f>
        <x:v>0.12095238095238095</x:v>
      </x:c>
      <x:c r="AC1138" s="3" t="str"/>
      <x:c r="AD1138" s="12" t="n">
        <x:v>0.041428571428571426</x:v>
      </x:c>
      <x:c r="AE1138" s="3" t="str">
        <x:v>[6574,"60516-RD-S-K-10"]</x:v>
      </x:c>
      <x:c r="AF1138" t="n">
        <x:f>IF(ISNUMBER(H1138),1,0)</x:f>
        <x:v>1</x:v>
      </x:c>
      <x:c r="AG1138" t="n">
        <x:f>IF(ISNUMBER(I1138),1,0)</x:f>
        <x:v>1</x:v>
      </x:c>
      <x:c r="AH1138" t="str">
        <x:v>["60516","60516-RD-S-K","RD","红色"]</x:v>
      </x:c>
      <x:c r="AI1138" t="n">
        <x:f>IF(ISNUMBER(G1138),1,0)</x:f>
        <x:v>1</x:v>
      </x:c>
      <x:c r="AJ1138" t="n">
        <x:f>IF(ISNUMBER(AD1138),1,0)</x:f>
        <x:v>1</x:v>
      </x:c>
    </x:row>
    <x:row r="1139" ht="30" customHeight="1">
      <x:c r="A1139" s="3" t="str">
        <x:v>60516-RD-S-K-7</x:v>
      </x:c>
      <x:c r="B1139" s="3" t="str">
        <x:v>3店-SANDIEX-US</x:v>
      </x:c>
      <x:c r="C1139" s="3" t="str">
        <x:v>徐新怡</x:v>
      </x:c>
      <x:c r="D1139" s="3" t="str">
        <x:v>60516</x:v>
      </x:c>
      <x:c r="E1139" s="3" t="str">
        <x:f>IF(Z1139="移出","已移出",IF(NOT(ISNUMBER(H1139)),"数据待核",IF(H1139=0,"断货",IF(NOT(ISNUMBER(G1139)),"数据待核",IF(G1139=0,"零日销待复核",IF(F1139&lt;60,"补货提醒",IF(F1139&lt;=90,"正常库存",IF(F1139&lt;180,"促销",IF(F1139&lt;=365,"红线促销","考虑清仓")))))))))</x:f>
        <x:v>补货提醒</x:v>
      </x:c>
      <x:c r="F1139" s="11" t="n">
        <x:f>IF(AND(ISNUMBER(H1139),ISNUMBER(G1139),G1139&gt;0),H1139/G1139,"")</x:f>
        <x:v>32.95964125560538</x:v>
      </x:c>
      <x:c r="G1139" s="12" t="n">
        <x:f>IF(AND(COUNT(P1139:R1139)=3,MIN(P1139:R1139)&gt;=0,P1139&lt;=Q1139,Q1139&lt;=R1139),P1139/7*0.5+Q1139/14*0.3+R1139/30*0.2,"")</x:f>
        <x:v>0.21238095238095236</x:v>
      </x:c>
      <x:c r="H1139" s="10" t="n">
        <x:f>IF(ISNUMBER(U1139),U1139,"")</x:f>
        <x:v>7</x:v>
      </x:c>
      <x:c r="I1139" s="10" t="n">
        <x:v>9</x:v>
      </x:c>
      <x:c r="J1139" s="11" t="n">
        <x:f>IF(AND(Z1139="共同",ISNUMBER(F1139),ISNUMBER(M1139)),F1139-M1139,"")</x:f>
        <x:v>-12.255669749179312</x:v>
      </x:c>
      <x:c r="K1139" s="13" t="n">
        <x:f>IF(AND(ISNUMBER(J1139),M1139&lt;&gt;0),J1139/M1139,"")</x:f>
        <x:v>-0.2710513203786747</x:v>
      </x:c>
      <x:c r="L1139" s="10" t="str">
        <x:v>补货提醒</x:v>
      </x:c>
      <x:c r="M1139" s="11" t="n">
        <x:v>45.215311004784695</x:v>
      </x:c>
      <x:c r="N1139" s="10" t="n">
        <x:f>IF(AND(Z1139="共同",COUNT(H1139:I1139)=2),H1139-I1139,"")</x:f>
        <x:v>-2</x:v>
      </x:c>
      <x:c r="O1139" s="10" t="n">
        <x:v>77</x:v>
      </x:c>
      <x:c r="P1139" s="10" t="n">
        <x:v>2</x:v>
      </x:c>
      <x:c r="Q1139" s="10" t="n">
        <x:v>2</x:v>
      </x:c>
      <x:c r="R1139" s="10" t="n">
        <x:v>4</x:v>
      </x:c>
      <x:c r="S1139" s="10" t="n">
        <x:v>8</x:v>
      </x:c>
      <x:c r="T1139" s="10" t="n">
        <x:v>0</x:v>
      </x:c>
      <x:c r="U1139" s="10" t="n">
        <x:f>IF(AND(ISNUMBER(X1139),X1139&gt;=0,Y1139&lt;&gt;1),X1139,"")</x:f>
        <x:v>7</x:v>
      </x:c>
      <x:c r="V1139" s="10" t="n">
        <x:v>0</x:v>
      </x:c>
      <x:c r="W1139" s="10" t="n">
        <x:v>0</x:v>
      </x:c>
      <x:c r="X1139" s="10" t="n">
        <x:v>7</x:v>
      </x:c>
      <x:c r="Y1139" s="3" t="n">
        <x:v>0</x:v>
      </x:c>
      <x:c r="Z1139" s="3" t="str">
        <x:v>共同</x:v>
      </x:c>
      <x:c r="AA1139" s="3" t="str">
        <x:v>在售</x:v>
      </x:c>
      <x:c r="AB1139" s="12" t="n">
        <x:f>IF(AND(Z1139="共同",ISNUMBER(G1139),ISNUMBER(AD1139)),G1139-AD1139,"")</x:f>
        <x:v>0.013333333333333336</x:v>
      </x:c>
      <x:c r="AC1139" s="3" t="str"/>
      <x:c r="AD1139" s="12" t="n">
        <x:v>0.19904761904761903</x:v>
      </x:c>
      <x:c r="AE1139" s="3" t="str">
        <x:v>[6574,"60516-RD-S-K-7"]</x:v>
      </x:c>
      <x:c r="AF1139" t="n">
        <x:f>IF(ISNUMBER(H1139),1,0)</x:f>
        <x:v>1</x:v>
      </x:c>
      <x:c r="AG1139" t="n">
        <x:f>IF(ISNUMBER(I1139),1,0)</x:f>
        <x:v>1</x:v>
      </x:c>
      <x:c r="AH1139" t="str">
        <x:v>["60516","60516-RD-S-K","RD","红色"]</x:v>
      </x:c>
      <x:c r="AI1139" t="n">
        <x:f>IF(ISNUMBER(G1139),1,0)</x:f>
        <x:v>1</x:v>
      </x:c>
      <x:c r="AJ1139" t="n">
        <x:f>IF(ISNUMBER(AD1139),1,0)</x:f>
        <x:v>1</x:v>
      </x:c>
    </x:row>
    <x:row r="1140" ht="30" customHeight="1">
      <x:c r="A1140" s="3" t="str">
        <x:v>8392-BK-38</x:v>
      </x:c>
      <x:c r="B1140" s="3" t="str">
        <x:v>3店-SANDIEX-US</x:v>
      </x:c>
      <x:c r="C1140" s="3" t="str">
        <x:v>徐新怡</x:v>
      </x:c>
      <x:c r="D1140" s="3" t="str">
        <x:v>8392</x:v>
      </x:c>
      <x:c r="E1140" s="3" t="str">
        <x:f>IF(Z1140="移出","已移出",IF(NOT(ISNUMBER(H1140)),"数据待核",IF(H1140=0,"断货",IF(NOT(ISNUMBER(G1140)),"数据待核",IF(G1140=0,"零日销待复核",IF(F1140&lt;60,"补货提醒",IF(F1140&lt;=90,"正常库存",IF(F1140&lt;180,"促销",IF(F1140&lt;=365,"红线促销","考虑清仓")))))))))</x:f>
        <x:v>补货提醒</x:v>
      </x:c>
      <x:c r="F1140" s="11" t="n">
        <x:f>IF(AND(ISNUMBER(H1140),ISNUMBER(G1140),G1140&gt;0),H1140/G1140,"")</x:f>
        <x:v>34.46339883394515</x:v>
      </x:c>
      <x:c r="G1140" s="12" t="n">
        <x:f>IF(AND(COUNT(P1140:R1140)=3,MIN(P1140:R1140)&gt;=0,P1140&lt;=Q1140,Q1140&lt;=R1140),P1140/7*0.5+Q1140/14*0.3+R1140/30*0.2,"")</x:f>
        <x:v>2.205238095238095</x:v>
      </x:c>
      <x:c r="H1140" s="10" t="n">
        <x:f>IF(ISNUMBER(U1140),U1140,"")</x:f>
        <x:v>76</x:v>
      </x:c>
      <x:c r="I1140" s="10"/>
      <x:c r="J1140" s="11" t="str">
        <x:f>IF(AND(Z1140="共同",ISNUMBER(F1140),ISNUMBER(M1140)),F1140-M1140,"")</x:f>
      </x:c>
      <x:c r="K1140" s="13" t="str">
        <x:f>IF(AND(ISNUMBER(J1140),M1140&lt;&gt;0),J1140/M1140,"")</x:f>
      </x:c>
      <x:c r="L1140" s="10"/>
      <x:c r="M1140" s="11"/>
      <x:c r="N1140" s="10" t="str">
        <x:f>IF(AND(Z1140="共同",COUNT(H1140:I1140)=2),H1140-I1140,"")</x:f>
      </x:c>
      <x:c r="O1140" s="10" t="n">
        <x:v>78</x:v>
      </x:c>
      <x:c r="P1140" s="10" t="n">
        <x:v>19</x:v>
      </x:c>
      <x:c r="Q1140" s="10" t="n">
        <x:v>29</x:v>
      </x:c>
      <x:c r="R1140" s="10" t="n">
        <x:v>34</x:v>
      </x:c>
      <x:c r="S1140" s="10" t="n">
        <x:v>87</x:v>
      </x:c>
      <x:c r="T1140" s="10" t="n">
        <x:v>5</x:v>
      </x:c>
      <x:c r="U1140" s="10" t="n">
        <x:f>IF(AND(ISNUMBER(X1140),X1140&gt;=0,Y1140&lt;&gt;1),X1140,"")</x:f>
        <x:v>76</x:v>
      </x:c>
      <x:c r="V1140" s="10" t="n">
        <x:v>0</x:v>
      </x:c>
      <x:c r="W1140" s="10" t="n">
        <x:v>0</x:v>
      </x:c>
      <x:c r="X1140" s="10" t="n">
        <x:v>76</x:v>
      </x:c>
      <x:c r="Y1140" s="3" t="n">
        <x:v>0</x:v>
      </x:c>
      <x:c r="Z1140" s="3" t="str">
        <x:v>新增</x:v>
      </x:c>
      <x:c r="AA1140" s="3" t="str">
        <x:v>在售</x:v>
      </x:c>
      <x:c r="AB1140" s="12" t="str">
        <x:f>IF(AND(Z1140="共同",ISNUMBER(G1140),ISNUMBER(AD1140)),G1140-AD1140,"")</x:f>
      </x:c>
      <x:c r="AC1140" s="3" t="str"/>
      <x:c r="AD1140" s="12"/>
      <x:c r="AE1140" s="3" t="str">
        <x:v>[6574,"8392-BK-38"]</x:v>
      </x:c>
      <x:c r="AF1140" t="n">
        <x:f>IF(ISNUMBER(H1140),1,0)</x:f>
        <x:v>1</x:v>
      </x:c>
      <x:c r="AG1140" t="n">
        <x:f>IF(ISNUMBER(I1140),1,0)</x:f>
        <x:v>0</x:v>
      </x:c>
      <x:c r="AH1140" t="str">
        <x:v>["8392","8392-BK","BK","黑色"]</x:v>
      </x:c>
      <x:c r="AI1140" t="n">
        <x:f>IF(ISNUMBER(G1140),1,0)</x:f>
        <x:v>1</x:v>
      </x:c>
      <x:c r="AJ1140" t="n">
        <x:f>IF(ISNUMBER(AD1140),1,0)</x:f>
        <x:v>0</x:v>
      </x:c>
    </x:row>
    <x:row r="1141" ht="30" customHeight="1">
      <x:c r="A1141" s="3" t="str">
        <x:v>8392-BK-39</x:v>
      </x:c>
      <x:c r="B1141" s="3" t="str">
        <x:v>3店-SANDIEX-US</x:v>
      </x:c>
      <x:c r="C1141" s="3" t="str">
        <x:v>徐新怡</x:v>
      </x:c>
      <x:c r="D1141" s="3" t="str">
        <x:v>8392</x:v>
      </x:c>
      <x:c r="E1141" s="3" t="str">
        <x:f>IF(Z1141="移出","已移出",IF(NOT(ISNUMBER(H1141)),"数据待核",IF(H1141=0,"断货",IF(NOT(ISNUMBER(G1141)),"数据待核",IF(G1141=0,"零日销待复核",IF(F1141&lt;60,"补货提醒",IF(F1141&lt;=90,"正常库存",IF(F1141&lt;180,"促销",IF(F1141&lt;=365,"红线促销","考虑清仓")))))))))</x:f>
        <x:v>补货提醒</x:v>
      </x:c>
      <x:c r="F1141" s="11" t="n">
        <x:f>IF(AND(ISNUMBER(H1141),ISNUMBER(G1141),G1141&gt;0),H1141/G1141,"")</x:f>
        <x:v>27.09677419354839</x:v>
      </x:c>
      <x:c r="G1141" s="12" t="n">
        <x:f>IF(AND(COUNT(P1141:R1141)=3,MIN(P1141:R1141)&gt;=0,P1141&lt;=Q1141,Q1141&lt;=R1141),P1141/7*0.5+Q1141/14*0.3+R1141/30*0.2,"")</x:f>
        <x:v>0.5904761904761904</x:v>
      </x:c>
      <x:c r="H1141" s="10" t="n">
        <x:f>IF(ISNUMBER(U1141),U1141,"")</x:f>
        <x:v>16</x:v>
      </x:c>
      <x:c r="I1141" s="10"/>
      <x:c r="J1141" s="11" t="str">
        <x:f>IF(AND(Z1141="共同",ISNUMBER(F1141),ISNUMBER(M1141)),F1141-M1141,"")</x:f>
      </x:c>
      <x:c r="K1141" s="13" t="str">
        <x:f>IF(AND(ISNUMBER(J1141),M1141&lt;&gt;0),J1141/M1141,"")</x:f>
      </x:c>
      <x:c r="L1141" s="10"/>
      <x:c r="M1141" s="11"/>
      <x:c r="N1141" s="10" t="str">
        <x:f>IF(AND(Z1141="共同",COUNT(H1141:I1141)=2),H1141-I1141,"")</x:f>
      </x:c>
      <x:c r="O1141" s="10" t="n">
        <x:v>0</x:v>
      </x:c>
      <x:c r="P1141" s="10" t="n">
        <x:v>4</x:v>
      </x:c>
      <x:c r="Q1141" s="10" t="n">
        <x:v>8</x:v>
      </x:c>
      <x:c r="R1141" s="10" t="n">
        <x:v>20</x:v>
      </x:c>
      <x:c r="S1141" s="10" t="n">
        <x:v>17</x:v>
      </x:c>
      <x:c r="T1141" s="10" t="n">
        <x:v>0</x:v>
      </x:c>
      <x:c r="U1141" s="10" t="n">
        <x:f>IF(AND(ISNUMBER(X1141),X1141&gt;=0,Y1141&lt;&gt;1),X1141,"")</x:f>
        <x:v>16</x:v>
      </x:c>
      <x:c r="V1141" s="10" t="n">
        <x:v>0</x:v>
      </x:c>
      <x:c r="W1141" s="10" t="n">
        <x:v>0</x:v>
      </x:c>
      <x:c r="X1141" s="10" t="n">
        <x:v>16</x:v>
      </x:c>
      <x:c r="Y1141" s="3" t="n">
        <x:v>0</x:v>
      </x:c>
      <x:c r="Z1141" s="3" t="str">
        <x:v>新增</x:v>
      </x:c>
      <x:c r="AA1141" s="3" t="str">
        <x:v>在售</x:v>
      </x:c>
      <x:c r="AB1141" s="12" t="str">
        <x:f>IF(AND(Z1141="共同",ISNUMBER(G1141),ISNUMBER(AD1141)),G1141-AD1141,"")</x:f>
      </x:c>
      <x:c r="AC1141" s="3" t="str"/>
      <x:c r="AD1141" s="12"/>
      <x:c r="AE1141" s="3" t="str">
        <x:v>[6574,"8392-BK-39"]</x:v>
      </x:c>
      <x:c r="AF1141" t="n">
        <x:f>IF(ISNUMBER(H1141),1,0)</x:f>
        <x:v>1</x:v>
      </x:c>
      <x:c r="AG1141" t="n">
        <x:f>IF(ISNUMBER(I1141),1,0)</x:f>
        <x:v>0</x:v>
      </x:c>
      <x:c r="AH1141" t="str">
        <x:v>["8392","8392-BK","BK","黑色"]</x:v>
      </x:c>
      <x:c r="AI1141" t="n">
        <x:f>IF(ISNUMBER(G1141),1,0)</x:f>
        <x:v>1</x:v>
      </x:c>
      <x:c r="AJ1141" t="n">
        <x:f>IF(ISNUMBER(AD1141),1,0)</x:f>
        <x:v>0</x:v>
      </x:c>
    </x:row>
    <x:row r="1142" ht="30" customHeight="1">
      <x:c r="A1142" s="3" t="str">
        <x:v>8392-BK-39.5</x:v>
      </x:c>
      <x:c r="B1142" s="3" t="str">
        <x:v>3店-SANDIEX-US</x:v>
      </x:c>
      <x:c r="C1142" s="3" t="str">
        <x:v>徐新怡</x:v>
      </x:c>
      <x:c r="D1142" s="3" t="str">
        <x:v>8392</x:v>
      </x:c>
      <x:c r="E1142" s="3" t="str">
        <x:f>IF(Z1142="移出","已移出",IF(NOT(ISNUMBER(H1142)),"数据待核",IF(H1142=0,"断货",IF(NOT(ISNUMBER(G1142)),"数据待核",IF(G1142=0,"零日销待复核",IF(F1142&lt;60,"补货提醒",IF(F1142&lt;=90,"正常库存",IF(F1142&lt;180,"促销",IF(F1142&lt;=365,"红线促销","考虑清仓")))))))))</x:f>
        <x:v>补货提醒</x:v>
      </x:c>
      <x:c r="F1142" s="11" t="n">
        <x:f>IF(AND(ISNUMBER(H1142),ISNUMBER(G1142),G1142&gt;0),H1142/G1142,"")</x:f>
        <x:v>30.55878928987194</x:v>
      </x:c>
      <x:c r="G1142" s="12" t="n">
        <x:f>IF(AND(COUNT(P1142:R1142)=3,MIN(P1142:R1142)&gt;=0,P1142&lt;=Q1142,Q1142&lt;=R1142),P1142/7*0.5+Q1142/14*0.3+R1142/30*0.2,"")</x:f>
        <x:v>1.6361904761904764</x:v>
      </x:c>
      <x:c r="H1142" s="10" t="n">
        <x:f>IF(ISNUMBER(U1142),U1142,"")</x:f>
        <x:v>50</x:v>
      </x:c>
      <x:c r="I1142" s="10"/>
      <x:c r="J1142" s="11" t="str">
        <x:f>IF(AND(Z1142="共同",ISNUMBER(F1142),ISNUMBER(M1142)),F1142-M1142,"")</x:f>
      </x:c>
      <x:c r="K1142" s="13" t="str">
        <x:f>IF(AND(ISNUMBER(J1142),M1142&lt;&gt;0),J1142/M1142,"")</x:f>
      </x:c>
      <x:c r="L1142" s="10"/>
      <x:c r="M1142" s="11"/>
      <x:c r="N1142" s="10" t="str">
        <x:f>IF(AND(Z1142="共同",COUNT(H1142:I1142)=2),H1142-I1142,"")</x:f>
      </x:c>
      <x:c r="O1142" s="10" t="n">
        <x:v>153</x:v>
      </x:c>
      <x:c r="P1142" s="10" t="n">
        <x:v>11</x:v>
      </x:c>
      <x:c r="Q1142" s="10" t="n">
        <x:v>26</x:v>
      </x:c>
      <x:c r="R1142" s="10" t="n">
        <x:v>44</x:v>
      </x:c>
      <x:c r="S1142" s="10" t="n">
        <x:v>52</x:v>
      </x:c>
      <x:c r="T1142" s="10" t="n">
        <x:v>1</x:v>
      </x:c>
      <x:c r="U1142" s="10" t="n">
        <x:f>IF(AND(ISNUMBER(X1142),X1142&gt;=0,Y1142&lt;&gt;1),X1142,"")</x:f>
        <x:v>50</x:v>
      </x:c>
      <x:c r="V1142" s="10" t="n">
        <x:v>0</x:v>
      </x:c>
      <x:c r="W1142" s="10" t="n">
        <x:v>0</x:v>
      </x:c>
      <x:c r="X1142" s="10" t="n">
        <x:v>50</x:v>
      </x:c>
      <x:c r="Y1142" s="3" t="n">
        <x:v>0</x:v>
      </x:c>
      <x:c r="Z1142" s="3" t="str">
        <x:v>新增</x:v>
      </x:c>
      <x:c r="AA1142" s="3" t="str">
        <x:v>在售</x:v>
      </x:c>
      <x:c r="AB1142" s="12" t="str">
        <x:f>IF(AND(Z1142="共同",ISNUMBER(G1142),ISNUMBER(AD1142)),G1142-AD1142,"")</x:f>
      </x:c>
      <x:c r="AC1142" s="3" t="str"/>
      <x:c r="AD1142" s="12"/>
      <x:c r="AE1142" s="3" t="str">
        <x:v>[6574,"8392-BK-39.5"]</x:v>
      </x:c>
      <x:c r="AF1142" t="n">
        <x:f>IF(ISNUMBER(H1142),1,0)</x:f>
        <x:v>1</x:v>
      </x:c>
      <x:c r="AG1142" t="n">
        <x:f>IF(ISNUMBER(I1142),1,0)</x:f>
        <x:v>0</x:v>
      </x:c>
      <x:c r="AH1142" t="str">
        <x:v>["8392","8392-BK","BK","黑色"]</x:v>
      </x:c>
      <x:c r="AI1142" t="n">
        <x:f>IF(ISNUMBER(G1142),1,0)</x:f>
        <x:v>1</x:v>
      </x:c>
      <x:c r="AJ1142" t="n">
        <x:f>IF(ISNUMBER(AD1142),1,0)</x:f>
        <x:v>0</x:v>
      </x:c>
    </x:row>
    <x:row r="1143" ht="30" customHeight="1">
      <x:c r="A1143" s="3" t="str">
        <x:v>8392-BK-40</x:v>
      </x:c>
      <x:c r="B1143" s="3" t="str">
        <x:v>3店-SANDIEX-US</x:v>
      </x:c>
      <x:c r="C1143" s="3" t="str">
        <x:v>徐新怡</x:v>
      </x:c>
      <x:c r="D1143" s="3" t="str">
        <x:v>8392</x:v>
      </x:c>
      <x:c r="E1143" s="3" t="str">
        <x:f>IF(Z1143="移出","已移出",IF(NOT(ISNUMBER(H1143)),"数据待核",IF(H1143=0,"断货",IF(NOT(ISNUMBER(G1143)),"数据待核",IF(G1143=0,"零日销待复核",IF(F1143&lt;60,"补货提醒",IF(F1143&lt;=90,"正常库存",IF(F1143&lt;180,"促销",IF(F1143&lt;=365,"红线促销","考虑清仓")))))))))</x:f>
        <x:v>补货提醒</x:v>
      </x:c>
      <x:c r="F1143" s="11" t="n">
        <x:f>IF(AND(ISNUMBER(H1143),ISNUMBER(G1143),G1143&gt;0),H1143/G1143,"")</x:f>
        <x:v>13.751169317118801</x:v>
      </x:c>
      <x:c r="G1143" s="12" t="n">
        <x:f>IF(AND(COUNT(P1143:R1143)=3,MIN(P1143:R1143)&gt;=0,P1143&lt;=Q1143,Q1143&lt;=R1143),P1143/7*0.5+Q1143/14*0.3+R1143/30*0.2,"")</x:f>
        <x:v>0.5090476190476191</x:v>
      </x:c>
      <x:c r="H1143" s="10" t="n">
        <x:f>IF(ISNUMBER(U1143),U1143,"")</x:f>
        <x:v>7</x:v>
      </x:c>
      <x:c r="I1143" s="10"/>
      <x:c r="J1143" s="11" t="str">
        <x:f>IF(AND(Z1143="共同",ISNUMBER(F1143),ISNUMBER(M1143)),F1143-M1143,"")</x:f>
      </x:c>
      <x:c r="K1143" s="13" t="str">
        <x:f>IF(AND(ISNUMBER(J1143),M1143&lt;&gt;0),J1143/M1143,"")</x:f>
      </x:c>
      <x:c r="L1143" s="10"/>
      <x:c r="M1143" s="11"/>
      <x:c r="N1143" s="10" t="str">
        <x:f>IF(AND(Z1143="共同",COUNT(H1143:I1143)=2),H1143-I1143,"")</x:f>
      </x:c>
      <x:c r="O1143" s="10" t="n">
        <x:v>0</x:v>
      </x:c>
      <x:c r="P1143" s="10" t="n">
        <x:v>4</x:v>
      </x:c>
      <x:c r="Q1143" s="10" t="n">
        <x:v>7</x:v>
      </x:c>
      <x:c r="R1143" s="10" t="n">
        <x:v>11</x:v>
      </x:c>
      <x:c r="S1143" s="10" t="n">
        <x:v>8</x:v>
      </x:c>
      <x:c r="T1143" s="10" t="n">
        <x:v>0</x:v>
      </x:c>
      <x:c r="U1143" s="10" t="n">
        <x:f>IF(AND(ISNUMBER(X1143),X1143&gt;=0,Y1143&lt;&gt;1),X1143,"")</x:f>
        <x:v>7</x:v>
      </x:c>
      <x:c r="V1143" s="10" t="n">
        <x:v>0</x:v>
      </x:c>
      <x:c r="W1143" s="10" t="n">
        <x:v>0</x:v>
      </x:c>
      <x:c r="X1143" s="10" t="n">
        <x:v>7</x:v>
      </x:c>
      <x:c r="Y1143" s="3" t="n">
        <x:v>0</x:v>
      </x:c>
      <x:c r="Z1143" s="3" t="str">
        <x:v>新增</x:v>
      </x:c>
      <x:c r="AA1143" s="3" t="str">
        <x:v>在售</x:v>
      </x:c>
      <x:c r="AB1143" s="12" t="str">
        <x:f>IF(AND(Z1143="共同",ISNUMBER(G1143),ISNUMBER(AD1143)),G1143-AD1143,"")</x:f>
      </x:c>
      <x:c r="AC1143" s="3" t="str"/>
      <x:c r="AD1143" s="12"/>
      <x:c r="AE1143" s="3" t="str">
        <x:v>[6574,"8392-BK-40"]</x:v>
      </x:c>
      <x:c r="AF1143" t="n">
        <x:f>IF(ISNUMBER(H1143),1,0)</x:f>
        <x:v>1</x:v>
      </x:c>
      <x:c r="AG1143" t="n">
        <x:f>IF(ISNUMBER(I1143),1,0)</x:f>
        <x:v>0</x:v>
      </x:c>
      <x:c r="AH1143" t="str">
        <x:v>["8392","8392-BK","BK","黑色"]</x:v>
      </x:c>
      <x:c r="AI1143" t="n">
        <x:f>IF(ISNUMBER(G1143),1,0)</x:f>
        <x:v>1</x:v>
      </x:c>
      <x:c r="AJ1143" t="n">
        <x:f>IF(ISNUMBER(AD1143),1,0)</x:f>
        <x:v>0</x:v>
      </x:c>
    </x:row>
    <x:row r="1144" ht="30" customHeight="1">
      <x:c r="A1144" s="3" t="str">
        <x:v>8392-BK-41</x:v>
      </x:c>
      <x:c r="B1144" s="3" t="str">
        <x:v>3店-SANDIEX-US</x:v>
      </x:c>
      <x:c r="C1144" s="3" t="str">
        <x:v>徐新怡</x:v>
      </x:c>
      <x:c r="D1144" s="3" t="str">
        <x:v>8392</x:v>
      </x:c>
      <x:c r="E1144" s="3" t="str">
        <x:f>IF(Z1144="移出","已移出",IF(NOT(ISNUMBER(H1144)),"数据待核",IF(H1144=0,"断货",IF(NOT(ISNUMBER(G1144)),"数据待核",IF(G1144=0,"零日销待复核",IF(F1144&lt;60,"补货提醒",IF(F1144&lt;=90,"正常库存",IF(F1144&lt;180,"促销",IF(F1144&lt;=365,"红线促销","考虑清仓")))))))))</x:f>
        <x:v>补货提醒</x:v>
      </x:c>
      <x:c r="F1144" s="11" t="n">
        <x:f>IF(AND(ISNUMBER(H1144),ISNUMBER(G1144),G1144&gt;0),H1144/G1144,"")</x:f>
        <x:v>9.001837109614206</x:v>
      </x:c>
      <x:c r="G1144" s="12" t="n">
        <x:f>IF(AND(COUNT(P1144:R1144)=3,MIN(P1144:R1144)&gt;=0,P1144&lt;=Q1144,Q1144&lt;=R1144),P1144/7*0.5+Q1144/14*0.3+R1144/30*0.2,"")</x:f>
        <x:v>0.7776190476190477</x:v>
      </x:c>
      <x:c r="H1144" s="10" t="n">
        <x:f>IF(ISNUMBER(U1144),U1144,"")</x:f>
        <x:v>7</x:v>
      </x:c>
      <x:c r="I1144" s="10"/>
      <x:c r="J1144" s="11" t="str">
        <x:f>IF(AND(Z1144="共同",ISNUMBER(F1144),ISNUMBER(M1144)),F1144-M1144,"")</x:f>
      </x:c>
      <x:c r="K1144" s="13" t="str">
        <x:f>IF(AND(ISNUMBER(J1144),M1144&lt;&gt;0),J1144/M1144,"")</x:f>
      </x:c>
      <x:c r="L1144" s="10"/>
      <x:c r="M1144" s="11"/>
      <x:c r="N1144" s="10" t="str">
        <x:f>IF(AND(Z1144="共同",COUNT(H1144:I1144)=2),H1144-I1144,"")</x:f>
      </x:c>
      <x:c r="O1144" s="10" t="n">
        <x:v>0</x:v>
      </x:c>
      <x:c r="P1144" s="10" t="n">
        <x:v>6</x:v>
      </x:c>
      <x:c r="Q1144" s="10" t="n">
        <x:v>11</x:v>
      </x:c>
      <x:c r="R1144" s="10" t="n">
        <x:v>17</x:v>
      </x:c>
      <x:c r="S1144" s="10" t="n">
        <x:v>9</x:v>
      </x:c>
      <x:c r="T1144" s="10" t="n">
        <x:v>0</x:v>
      </x:c>
      <x:c r="U1144" s="10" t="n">
        <x:f>IF(AND(ISNUMBER(X1144),X1144&gt;=0,Y1144&lt;&gt;1),X1144,"")</x:f>
        <x:v>7</x:v>
      </x:c>
      <x:c r="V1144" s="10" t="n">
        <x:v>0</x:v>
      </x:c>
      <x:c r="W1144" s="10" t="n">
        <x:v>0</x:v>
      </x:c>
      <x:c r="X1144" s="10" t="n">
        <x:v>7</x:v>
      </x:c>
      <x:c r="Y1144" s="3" t="n">
        <x:v>0</x:v>
      </x:c>
      <x:c r="Z1144" s="3" t="str">
        <x:v>新增</x:v>
      </x:c>
      <x:c r="AA1144" s="3" t="str">
        <x:v>在售</x:v>
      </x:c>
      <x:c r="AB1144" s="12" t="str">
        <x:f>IF(AND(Z1144="共同",ISNUMBER(G1144),ISNUMBER(AD1144)),G1144-AD1144,"")</x:f>
      </x:c>
      <x:c r="AC1144" s="3" t="str"/>
      <x:c r="AD1144" s="12"/>
      <x:c r="AE1144" s="3" t="str">
        <x:v>[6574,"8392-BK-41"]</x:v>
      </x:c>
      <x:c r="AF1144" t="n">
        <x:f>IF(ISNUMBER(H1144),1,0)</x:f>
        <x:v>1</x:v>
      </x:c>
      <x:c r="AG1144" t="n">
        <x:f>IF(ISNUMBER(I1144),1,0)</x:f>
        <x:v>0</x:v>
      </x:c>
      <x:c r="AH1144" t="str">
        <x:v>["8392","8392-BK","BK","黑色"]</x:v>
      </x:c>
      <x:c r="AI1144" t="n">
        <x:f>IF(ISNUMBER(G1144),1,0)</x:f>
        <x:v>1</x:v>
      </x:c>
      <x:c r="AJ1144" t="n">
        <x:f>IF(ISNUMBER(AD1144),1,0)</x:f>
        <x:v>0</x:v>
      </x:c>
    </x:row>
    <x:row r="1145" ht="30" customHeight="1">
      <x:c r="A1145" s="3" t="str">
        <x:v>8392-BK-42</x:v>
      </x:c>
      <x:c r="B1145" s="3" t="str">
        <x:v>3店-SANDIEX-US</x:v>
      </x:c>
      <x:c r="C1145" s="3" t="str">
        <x:v>徐新怡</x:v>
      </x:c>
      <x:c r="D1145" s="3" t="str">
        <x:v>8392</x:v>
      </x:c>
      <x:c r="E1145" s="3" t="str">
        <x:f>IF(Z1145="移出","已移出",IF(NOT(ISNUMBER(H1145)),"数据待核",IF(H1145=0,"断货",IF(NOT(ISNUMBER(G1145)),"数据待核",IF(G1145=0,"零日销待复核",IF(F1145&lt;60,"补货提醒",IF(F1145&lt;=90,"正常库存",IF(F1145&lt;180,"促销",IF(F1145&lt;=365,"红线促销","考虑清仓")))))))))</x:f>
        <x:v>补货提醒</x:v>
      </x:c>
      <x:c r="F1145" s="11" t="n">
        <x:f>IF(AND(ISNUMBER(H1145),ISNUMBER(G1145),G1145&gt;0),H1145/G1145,"")</x:f>
        <x:v>10.520231213872833</x:v>
      </x:c>
      <x:c r="G1145" s="12" t="n">
        <x:f>IF(AND(COUNT(P1145:R1145)=3,MIN(P1145:R1145)&gt;=0,P1145&lt;=Q1145,Q1145&lt;=R1145),P1145/7*0.5+Q1145/14*0.3+R1145/30*0.2,"")</x:f>
        <x:v>1.2357142857142855</x:v>
      </x:c>
      <x:c r="H1145" s="10" t="n">
        <x:f>IF(ISNUMBER(U1145),U1145,"")</x:f>
        <x:v>13</x:v>
      </x:c>
      <x:c r="I1145" s="10"/>
      <x:c r="J1145" s="11" t="str">
        <x:f>IF(AND(Z1145="共同",ISNUMBER(F1145),ISNUMBER(M1145)),F1145-M1145,"")</x:f>
      </x:c>
      <x:c r="K1145" s="13" t="str">
        <x:f>IF(AND(ISNUMBER(J1145),M1145&lt;&gt;0),J1145/M1145,"")</x:f>
      </x:c>
      <x:c r="L1145" s="10"/>
      <x:c r="M1145" s="11"/>
      <x:c r="N1145" s="10" t="str">
        <x:f>IF(AND(Z1145="共同",COUNT(H1145:I1145)=2),H1145-I1145,"")</x:f>
      </x:c>
      <x:c r="O1145" s="10" t="n">
        <x:v>0</x:v>
      </x:c>
      <x:c r="P1145" s="10" t="n">
        <x:v>10</x:v>
      </x:c>
      <x:c r="Q1145" s="10" t="n">
        <x:v>15</x:v>
      </x:c>
      <x:c r="R1145" s="10" t="n">
        <x:v>30</x:v>
      </x:c>
      <x:c r="S1145" s="10" t="n">
        <x:v>15</x:v>
      </x:c>
      <x:c r="T1145" s="10" t="n">
        <x:v>1</x:v>
      </x:c>
      <x:c r="U1145" s="10" t="n">
        <x:f>IF(AND(ISNUMBER(X1145),X1145&gt;=0,Y1145&lt;&gt;1),X1145,"")</x:f>
        <x:v>13</x:v>
      </x:c>
      <x:c r="V1145" s="10" t="n">
        <x:v>0</x:v>
      </x:c>
      <x:c r="W1145" s="10" t="n">
        <x:v>0</x:v>
      </x:c>
      <x:c r="X1145" s="10" t="n">
        <x:v>13</x:v>
      </x:c>
      <x:c r="Y1145" s="3" t="n">
        <x:v>0</x:v>
      </x:c>
      <x:c r="Z1145" s="3" t="str">
        <x:v>新增</x:v>
      </x:c>
      <x:c r="AA1145" s="3" t="str">
        <x:v>在售</x:v>
      </x:c>
      <x:c r="AB1145" s="12" t="str">
        <x:f>IF(AND(Z1145="共同",ISNUMBER(G1145),ISNUMBER(AD1145)),G1145-AD1145,"")</x:f>
      </x:c>
      <x:c r="AC1145" s="3" t="str"/>
      <x:c r="AD1145" s="12"/>
      <x:c r="AE1145" s="3" t="str">
        <x:v>[6574,"8392-BK-42"]</x:v>
      </x:c>
      <x:c r="AF1145" t="n">
        <x:f>IF(ISNUMBER(H1145),1,0)</x:f>
        <x:v>1</x:v>
      </x:c>
      <x:c r="AG1145" t="n">
        <x:f>IF(ISNUMBER(I1145),1,0)</x:f>
        <x:v>0</x:v>
      </x:c>
      <x:c r="AH1145" t="str">
        <x:v>["8392","8392-BK","BK","黑色"]</x:v>
      </x:c>
      <x:c r="AI1145" t="n">
        <x:f>IF(ISNUMBER(G1145),1,0)</x:f>
        <x:v>1</x:v>
      </x:c>
      <x:c r="AJ1145" t="n">
        <x:f>IF(ISNUMBER(AD1145),1,0)</x:f>
        <x:v>0</x:v>
      </x:c>
    </x:row>
    <x:row r="1146" ht="30" customHeight="1">
      <x:c r="A1146" s="3" t="str">
        <x:v>8392-LP-38</x:v>
      </x:c>
      <x:c r="B1146" s="3" t="str">
        <x:v>3店-SANDIEX-US</x:v>
      </x:c>
      <x:c r="C1146" s="3" t="str">
        <x:v>徐新怡</x:v>
      </x:c>
      <x:c r="D1146" s="3" t="str">
        <x:v>8392</x:v>
      </x:c>
      <x:c r="E1146" s="3" t="str">
        <x:f>IF(Z1146="移出","已移出",IF(NOT(ISNUMBER(H1146)),"数据待核",IF(H1146=0,"断货",IF(NOT(ISNUMBER(G1146)),"数据待核",IF(G1146=0,"零日销待复核",IF(F1146&lt;60,"补货提醒",IF(F1146&lt;=90,"正常库存",IF(F1146&lt;180,"促销",IF(F1146&lt;=365,"红线促销","考虑清仓")))))))))</x:f>
        <x:v>补货提醒</x:v>
      </x:c>
      <x:c r="F1146" s="11" t="n">
        <x:f>IF(AND(ISNUMBER(H1146),ISNUMBER(G1146),G1146&gt;0),H1146/G1146,"")</x:f>
        <x:v>17.427385892116185</x:v>
      </x:c>
      <x:c r="G1146" s="12" t="n">
        <x:f>IF(AND(COUNT(P1146:R1146)=3,MIN(P1146:R1146)&gt;=0,P1146&lt;=Q1146,Q1146&lt;=R1146),P1146/7*0.5+Q1146/14*0.3+R1146/30*0.2,"")</x:f>
        <x:v>0.5738095238095238</x:v>
      </x:c>
      <x:c r="H1146" s="10" t="n">
        <x:f>IF(ISNUMBER(U1146),U1146,"")</x:f>
        <x:v>10</x:v>
      </x:c>
      <x:c r="I1146" s="10"/>
      <x:c r="J1146" s="11" t="str">
        <x:f>IF(AND(Z1146="共同",ISNUMBER(F1146),ISNUMBER(M1146)),F1146-M1146,"")</x:f>
      </x:c>
      <x:c r="K1146" s="13" t="str">
        <x:f>IF(AND(ISNUMBER(J1146),M1146&lt;&gt;0),J1146/M1146,"")</x:f>
      </x:c>
      <x:c r="L1146" s="10"/>
      <x:c r="M1146" s="11"/>
      <x:c r="N1146" s="10" t="str">
        <x:f>IF(AND(Z1146="共同",COUNT(H1146:I1146)=2),H1146-I1146,"")</x:f>
      </x:c>
      <x:c r="O1146" s="10" t="n">
        <x:v>4</x:v>
      </x:c>
      <x:c r="P1146" s="10" t="n">
        <x:v>5</x:v>
      </x:c>
      <x:c r="Q1146" s="10" t="n">
        <x:v>7</x:v>
      </x:c>
      <x:c r="R1146" s="10" t="n">
        <x:v>10</x:v>
      </x:c>
      <x:c r="S1146" s="10" t="n">
        <x:v>12</x:v>
      </x:c>
      <x:c r="T1146" s="10" t="n">
        <x:v>0</x:v>
      </x:c>
      <x:c r="U1146" s="10" t="n">
        <x:f>IF(AND(ISNUMBER(X1146),X1146&gt;=0,Y1146&lt;&gt;1),X1146,"")</x:f>
        <x:v>10</x:v>
      </x:c>
      <x:c r="V1146" s="10" t="n">
        <x:v>0</x:v>
      </x:c>
      <x:c r="W1146" s="10" t="n">
        <x:v>0</x:v>
      </x:c>
      <x:c r="X1146" s="10" t="n">
        <x:v>10</x:v>
      </x:c>
      <x:c r="Y1146" s="3" t="n">
        <x:v>0</x:v>
      </x:c>
      <x:c r="Z1146" s="3" t="str">
        <x:v>新增</x:v>
      </x:c>
      <x:c r="AA1146" s="3" t="str">
        <x:v>在售</x:v>
      </x:c>
      <x:c r="AB1146" s="12" t="str">
        <x:f>IF(AND(Z1146="共同",ISNUMBER(G1146),ISNUMBER(AD1146)),G1146-AD1146,"")</x:f>
      </x:c>
      <x:c r="AC1146" s="3" t="str"/>
      <x:c r="AD1146" s="12"/>
      <x:c r="AE1146" s="3" t="str">
        <x:v>[6574,"8392-LP-38"]</x:v>
      </x:c>
      <x:c r="AF1146" t="n">
        <x:f>IF(ISNUMBER(H1146),1,0)</x:f>
        <x:v>1</x:v>
      </x:c>
      <x:c r="AG1146" t="n">
        <x:f>IF(ISNUMBER(I1146),1,0)</x:f>
        <x:v>0</x:v>
      </x:c>
      <x:c r="AH1146" t="str">
        <x:v>["8392","8392-LP","LP","豹纹"]</x:v>
      </x:c>
      <x:c r="AI1146" t="n">
        <x:f>IF(ISNUMBER(G1146),1,0)</x:f>
        <x:v>1</x:v>
      </x:c>
      <x:c r="AJ1146" t="n">
        <x:f>IF(ISNUMBER(AD1146),1,0)</x:f>
        <x:v>0</x:v>
      </x:c>
    </x:row>
    <x:row r="1147" ht="30" customHeight="1">
      <x:c r="A1147" s="3" t="str">
        <x:v>8392-LP-40</x:v>
      </x:c>
      <x:c r="B1147" s="3" t="str">
        <x:v>3店-SANDIEX-US</x:v>
      </x:c>
      <x:c r="C1147" s="3" t="str">
        <x:v>徐新怡</x:v>
      </x:c>
      <x:c r="D1147" s="3" t="str">
        <x:v>8392</x:v>
      </x:c>
      <x:c r="E1147" s="3" t="str">
        <x:f>IF(Z1147="移出","已移出",IF(NOT(ISNUMBER(H1147)),"数据待核",IF(H1147=0,"断货",IF(NOT(ISNUMBER(G1147)),"数据待核",IF(G1147=0,"零日销待复核",IF(F1147&lt;60,"补货提醒",IF(F1147&lt;=90,"正常库存",IF(F1147&lt;180,"促销",IF(F1147&lt;=365,"红线促销","考虑清仓")))))))))</x:f>
        <x:v>补货提醒</x:v>
      </x:c>
      <x:c r="F1147" s="11" t="n">
        <x:f>IF(AND(ISNUMBER(H1147),ISNUMBER(G1147),G1147&gt;0),H1147/G1147,"")</x:f>
        <x:v>59.95106035889071</x:v>
      </x:c>
      <x:c r="G1147" s="12" t="n">
        <x:f>IF(AND(COUNT(P1147:R1147)=3,MIN(P1147:R1147)&gt;=0,P1147&lt;=Q1147,Q1147&lt;=R1147),P1147/7*0.5+Q1147/14*0.3+R1147/30*0.2,"")</x:f>
        <x:v>0.5838095238095238</x:v>
      </x:c>
      <x:c r="H1147" s="10" t="n">
        <x:f>IF(ISNUMBER(U1147),U1147,"")</x:f>
        <x:v>35</x:v>
      </x:c>
      <x:c r="I1147" s="10"/>
      <x:c r="J1147" s="11" t="str">
        <x:f>IF(AND(Z1147="共同",ISNUMBER(F1147),ISNUMBER(M1147)),F1147-M1147,"")</x:f>
      </x:c>
      <x:c r="K1147" s="13" t="str">
        <x:f>IF(AND(ISNUMBER(J1147),M1147&lt;&gt;0),J1147/M1147,"")</x:f>
      </x:c>
      <x:c r="L1147" s="10"/>
      <x:c r="M1147" s="11"/>
      <x:c r="N1147" s="10" t="str">
        <x:f>IF(AND(Z1147="共同",COUNT(H1147:I1147)=2),H1147-I1147,"")</x:f>
      </x:c>
      <x:c r="O1147" s="10" t="n">
        <x:v>101</x:v>
      </x:c>
      <x:c r="P1147" s="10" t="n">
        <x:v>4</x:v>
      </x:c>
      <x:c r="Q1147" s="10" t="n">
        <x:v>8</x:v>
      </x:c>
      <x:c r="R1147" s="10" t="n">
        <x:v>19</x:v>
      </x:c>
      <x:c r="S1147" s="10" t="n">
        <x:v>36</x:v>
      </x:c>
      <x:c r="T1147" s="10" t="n">
        <x:v>0</x:v>
      </x:c>
      <x:c r="U1147" s="10" t="n">
        <x:f>IF(AND(ISNUMBER(X1147),X1147&gt;=0,Y1147&lt;&gt;1),X1147,"")</x:f>
        <x:v>35</x:v>
      </x:c>
      <x:c r="V1147" s="10" t="n">
        <x:v>0</x:v>
      </x:c>
      <x:c r="W1147" s="10" t="n">
        <x:v>0</x:v>
      </x:c>
      <x:c r="X1147" s="10" t="n">
        <x:v>35</x:v>
      </x:c>
      <x:c r="Y1147" s="3" t="n">
        <x:v>0</x:v>
      </x:c>
      <x:c r="Z1147" s="3" t="str">
        <x:v>新增</x:v>
      </x:c>
      <x:c r="AA1147" s="3" t="str">
        <x:v>在售</x:v>
      </x:c>
      <x:c r="AB1147" s="12" t="str">
        <x:f>IF(AND(Z1147="共同",ISNUMBER(G1147),ISNUMBER(AD1147)),G1147-AD1147,"")</x:f>
      </x:c>
      <x:c r="AC1147" s="3" t="str"/>
      <x:c r="AD1147" s="12"/>
      <x:c r="AE1147" s="3" t="str">
        <x:v>[6574,"8392-LP-40"]</x:v>
      </x:c>
      <x:c r="AF1147" t="n">
        <x:f>IF(ISNUMBER(H1147),1,0)</x:f>
        <x:v>1</x:v>
      </x:c>
      <x:c r="AG1147" t="n">
        <x:f>IF(ISNUMBER(I1147),1,0)</x:f>
        <x:v>0</x:v>
      </x:c>
      <x:c r="AH1147" t="str">
        <x:v>["8392","8392-LP","LP","豹纹"]</x:v>
      </x:c>
      <x:c r="AI1147" t="n">
        <x:f>IF(ISNUMBER(G1147),1,0)</x:f>
        <x:v>1</x:v>
      </x:c>
      <x:c r="AJ1147" t="n">
        <x:f>IF(ISNUMBER(AD1147),1,0)</x:f>
        <x:v>0</x:v>
      </x:c>
    </x:row>
    <x:row r="1148" ht="30" customHeight="1">
      <x:c r="A1148" s="3" t="str">
        <x:v>8392-ND-38</x:v>
      </x:c>
      <x:c r="B1148" s="3" t="str">
        <x:v>3店-SANDIEX-US</x:v>
      </x:c>
      <x:c r="C1148" s="3" t="str">
        <x:v>徐新怡</x:v>
      </x:c>
      <x:c r="D1148" s="3" t="str">
        <x:v>8392</x:v>
      </x:c>
      <x:c r="E1148" s="3" t="str">
        <x:f>IF(Z1148="移出","已移出",IF(NOT(ISNUMBER(H1148)),"数据待核",IF(H1148=0,"断货",IF(NOT(ISNUMBER(G1148)),"数据待核",IF(G1148=0,"零日销待复核",IF(F1148&lt;60,"补货提醒",IF(F1148&lt;=90,"正常库存",IF(F1148&lt;180,"促销",IF(F1148&lt;=365,"红线促销","考虑清仓")))))))))</x:f>
        <x:v>补货提醒</x:v>
      </x:c>
      <x:c r="F1148" s="11" t="n">
        <x:f>IF(AND(ISNUMBER(H1148),ISNUMBER(G1148),G1148&gt;0),H1148/G1148,"")</x:f>
        <x:v>23.921887713588283</x:v>
      </x:c>
      <x:c r="G1148" s="12" t="n">
        <x:f>IF(AND(COUNT(P1148:R1148)=3,MIN(P1148:R1148)&gt;=0,P1148&lt;=Q1148,Q1148&lt;=R1148),P1148/7*0.5+Q1148/14*0.3+R1148/30*0.2,"")</x:f>
        <x:v>0.5852380952380952</x:v>
      </x:c>
      <x:c r="H1148" s="10" t="n">
        <x:f>IF(ISNUMBER(U1148),U1148,"")</x:f>
        <x:v>14</x:v>
      </x:c>
      <x:c r="I1148" s="10"/>
      <x:c r="J1148" s="11" t="str">
        <x:f>IF(AND(Z1148="共同",ISNUMBER(F1148),ISNUMBER(M1148)),F1148-M1148,"")</x:f>
      </x:c>
      <x:c r="K1148" s="13" t="str">
        <x:f>IF(AND(ISNUMBER(J1148),M1148&lt;&gt;0),J1148/M1148,"")</x:f>
      </x:c>
      <x:c r="L1148" s="10"/>
      <x:c r="M1148" s="11"/>
      <x:c r="N1148" s="10" t="str">
        <x:f>IF(AND(Z1148="共同",COUNT(H1148:I1148)=2),H1148-I1148,"")</x:f>
      </x:c>
      <x:c r="O1148" s="10" t="n">
        <x:v>0</x:v>
      </x:c>
      <x:c r="P1148" s="10" t="n">
        <x:v>4</x:v>
      </x:c>
      <x:c r="Q1148" s="10" t="n">
        <x:v>9</x:v>
      </x:c>
      <x:c r="R1148" s="10" t="n">
        <x:v>16</x:v>
      </x:c>
      <x:c r="S1148" s="10" t="n">
        <x:v>16</x:v>
      </x:c>
      <x:c r="T1148" s="10" t="n">
        <x:v>0</x:v>
      </x:c>
      <x:c r="U1148" s="10" t="n">
        <x:f>IF(AND(ISNUMBER(X1148),X1148&gt;=0,Y1148&lt;&gt;1),X1148,"")</x:f>
        <x:v>14</x:v>
      </x:c>
      <x:c r="V1148" s="10" t="n">
        <x:v>0</x:v>
      </x:c>
      <x:c r="W1148" s="10" t="n">
        <x:v>0</x:v>
      </x:c>
      <x:c r="X1148" s="10" t="n">
        <x:v>14</x:v>
      </x:c>
      <x:c r="Y1148" s="3" t="n">
        <x:v>0</x:v>
      </x:c>
      <x:c r="Z1148" s="3" t="str">
        <x:v>新增</x:v>
      </x:c>
      <x:c r="AA1148" s="3" t="str">
        <x:v>在售</x:v>
      </x:c>
      <x:c r="AB1148" s="12" t="str">
        <x:f>IF(AND(Z1148="共同",ISNUMBER(G1148),ISNUMBER(AD1148)),G1148-AD1148,"")</x:f>
      </x:c>
      <x:c r="AC1148" s="3" t="str"/>
      <x:c r="AD1148" s="12"/>
      <x:c r="AE1148" s="3" t="str">
        <x:v>[6574,"8392-ND-38"]</x:v>
      </x:c>
      <x:c r="AF1148" t="n">
        <x:f>IF(ISNUMBER(H1148),1,0)</x:f>
        <x:v>1</x:v>
      </x:c>
      <x:c r="AG1148" t="n">
        <x:f>IF(ISNUMBER(I1148),1,0)</x:f>
        <x:v>0</x:v>
      </x:c>
      <x:c r="AH1148" t="str">
        <x:v>["8392","8392-ND","ND","裸色"]</x:v>
      </x:c>
      <x:c r="AI1148" t="n">
        <x:f>IF(ISNUMBER(G1148),1,0)</x:f>
        <x:v>1</x:v>
      </x:c>
      <x:c r="AJ1148" t="n">
        <x:f>IF(ISNUMBER(AD1148),1,0)</x:f>
        <x:v>0</x:v>
      </x:c>
    </x:row>
    <x:row r="1149" ht="30" customHeight="1">
      <x:c r="A1149" s="3" t="str">
        <x:v>8392-ND-38.5</x:v>
      </x:c>
      <x:c r="B1149" s="3" t="str">
        <x:v>3店-SANDIEX-US</x:v>
      </x:c>
      <x:c r="C1149" s="3" t="str">
        <x:v>徐新怡</x:v>
      </x:c>
      <x:c r="D1149" s="3" t="str">
        <x:v>8392</x:v>
      </x:c>
      <x:c r="E1149" s="3" t="str">
        <x:f>IF(Z1149="移出","已移出",IF(NOT(ISNUMBER(H1149)),"数据待核",IF(H1149=0,"断货",IF(NOT(ISNUMBER(G1149)),"数据待核",IF(G1149=0,"零日销待复核",IF(F1149&lt;60,"补货提醒",IF(F1149&lt;=90,"正常库存",IF(F1149&lt;180,"促销",IF(F1149&lt;=365,"红线促销","考虑清仓")))))))))</x:f>
        <x:v>补货提醒</x:v>
      </x:c>
      <x:c r="F1149" s="11" t="n">
        <x:f>IF(AND(ISNUMBER(H1149),ISNUMBER(G1149),G1149&gt;0),H1149/G1149,"")</x:f>
        <x:v>5.77319587628866</x:v>
      </x:c>
      <x:c r="G1149" s="12" t="n">
        <x:f>IF(AND(COUNT(P1149:R1149)=3,MIN(P1149:R1149)&gt;=0,P1149&lt;=Q1149,Q1149&lt;=R1149),P1149/7*0.5+Q1149/14*0.3+R1149/30*0.2,"")</x:f>
        <x:v>0.6928571428571428</x:v>
      </x:c>
      <x:c r="H1149" s="10" t="n">
        <x:f>IF(ISNUMBER(U1149),U1149,"")</x:f>
        <x:v>4</x:v>
      </x:c>
      <x:c r="I1149" s="10"/>
      <x:c r="J1149" s="11" t="str">
        <x:f>IF(AND(Z1149="共同",ISNUMBER(F1149),ISNUMBER(M1149)),F1149-M1149,"")</x:f>
      </x:c>
      <x:c r="K1149" s="13" t="str">
        <x:f>IF(AND(ISNUMBER(J1149),M1149&lt;&gt;0),J1149/M1149,"")</x:f>
      </x:c>
      <x:c r="L1149" s="10"/>
      <x:c r="M1149" s="11"/>
      <x:c r="N1149" s="10" t="str">
        <x:f>IF(AND(Z1149="共同",COUNT(H1149:I1149)=2),H1149-I1149,"")</x:f>
      </x:c>
      <x:c r="O1149" s="10" t="n">
        <x:v>0</x:v>
      </x:c>
      <x:c r="P1149" s="10" t="n">
        <x:v>5</x:v>
      </x:c>
      <x:c r="Q1149" s="10" t="n">
        <x:v>11</x:v>
      </x:c>
      <x:c r="R1149" s="10" t="n">
        <x:v>15</x:v>
      </x:c>
      <x:c r="S1149" s="10" t="n">
        <x:v>7</x:v>
      </x:c>
      <x:c r="T1149" s="10" t="n">
        <x:v>3</x:v>
      </x:c>
      <x:c r="U1149" s="10" t="n">
        <x:f>IF(AND(ISNUMBER(X1149),X1149&gt;=0,Y1149&lt;&gt;1),X1149,"")</x:f>
        <x:v>4</x:v>
      </x:c>
      <x:c r="V1149" s="10" t="n">
        <x:v>0</x:v>
      </x:c>
      <x:c r="W1149" s="10" t="n">
        <x:v>0</x:v>
      </x:c>
      <x:c r="X1149" s="10" t="n">
        <x:v>4</x:v>
      </x:c>
      <x:c r="Y1149" s="3" t="n">
        <x:v>0</x:v>
      </x:c>
      <x:c r="Z1149" s="3" t="str">
        <x:v>新增</x:v>
      </x:c>
      <x:c r="AA1149" s="3" t="str">
        <x:v>在售</x:v>
      </x:c>
      <x:c r="AB1149" s="12" t="str">
        <x:f>IF(AND(Z1149="共同",ISNUMBER(G1149),ISNUMBER(AD1149)),G1149-AD1149,"")</x:f>
      </x:c>
      <x:c r="AC1149" s="3" t="str"/>
      <x:c r="AD1149" s="12"/>
      <x:c r="AE1149" s="3" t="str">
        <x:v>[6574,"8392-ND-38.5"]</x:v>
      </x:c>
      <x:c r="AF1149" t="n">
        <x:f>IF(ISNUMBER(H1149),1,0)</x:f>
        <x:v>1</x:v>
      </x:c>
      <x:c r="AG1149" t="n">
        <x:f>IF(ISNUMBER(I1149),1,0)</x:f>
        <x:v>0</x:v>
      </x:c>
      <x:c r="AH1149" t="str">
        <x:v>["8392","8392-ND","ND","裸色"]</x:v>
      </x:c>
      <x:c r="AI1149" t="n">
        <x:f>IF(ISNUMBER(G1149),1,0)</x:f>
        <x:v>1</x:v>
      </x:c>
      <x:c r="AJ1149" t="n">
        <x:f>IF(ISNUMBER(AD1149),1,0)</x:f>
        <x:v>0</x:v>
      </x:c>
    </x:row>
    <x:row r="1150" ht="30" customHeight="1">
      <x:c r="A1150" s="3" t="str">
        <x:v>8392-ND-39</x:v>
      </x:c>
      <x:c r="B1150" s="3" t="str">
        <x:v>3店-SANDIEX-US</x:v>
      </x:c>
      <x:c r="C1150" s="3" t="str">
        <x:v>徐新怡</x:v>
      </x:c>
      <x:c r="D1150" s="3" t="str">
        <x:v>8392</x:v>
      </x:c>
      <x:c r="E1150" s="3" t="str">
        <x:f>IF(Z1150="移出","已移出",IF(NOT(ISNUMBER(H1150)),"数据待核",IF(H1150=0,"断货",IF(NOT(ISNUMBER(G1150)),"数据待核",IF(G1150=0,"零日销待复核",IF(F1150&lt;60,"补货提醒",IF(F1150&lt;=90,"正常库存",IF(F1150&lt;180,"促销",IF(F1150&lt;=365,"红线促销","考虑清仓")))))))))</x:f>
        <x:v>补货提醒</x:v>
      </x:c>
      <x:c r="F1150" s="11" t="n">
        <x:f>IF(AND(ISNUMBER(H1150),ISNUMBER(G1150),G1150&gt;0),H1150/G1150,"")</x:f>
        <x:v>46.726572528883175</x:v>
      </x:c>
      <x:c r="G1150" s="12" t="n">
        <x:f>IF(AND(COUNT(P1150:R1150)=3,MIN(P1150:R1150)&gt;=0,P1150&lt;=Q1150,Q1150&lt;=R1150),P1150/7*0.5+Q1150/14*0.3+R1150/30*0.2,"")</x:f>
        <x:v>1.112857142857143</x:v>
      </x:c>
      <x:c r="H1150" s="10" t="n">
        <x:f>IF(ISNUMBER(U1150),U1150,"")</x:f>
        <x:v>52</x:v>
      </x:c>
      <x:c r="I1150" s="10"/>
      <x:c r="J1150" s="11" t="str">
        <x:f>IF(AND(Z1150="共同",ISNUMBER(F1150),ISNUMBER(M1150)),F1150-M1150,"")</x:f>
      </x:c>
      <x:c r="K1150" s="13" t="str">
        <x:f>IF(AND(ISNUMBER(J1150),M1150&lt;&gt;0),J1150/M1150,"")</x:f>
      </x:c>
      <x:c r="L1150" s="10"/>
      <x:c r="M1150" s="11"/>
      <x:c r="N1150" s="10" t="str">
        <x:f>IF(AND(Z1150="共同",COUNT(H1150:I1150)=2),H1150-I1150,"")</x:f>
      </x:c>
      <x:c r="O1150" s="10" t="n">
        <x:v>15</x:v>
      </x:c>
      <x:c r="P1150" s="10" t="n">
        <x:v>10</x:v>
      </x:c>
      <x:c r="Q1150" s="10" t="n">
        <x:v>13</x:v>
      </x:c>
      <x:c r="R1150" s="10" t="n">
        <x:v>18</x:v>
      </x:c>
      <x:c r="S1150" s="10" t="n">
        <x:v>54</x:v>
      </x:c>
      <x:c r="T1150" s="10" t="n">
        <x:v>1</x:v>
      </x:c>
      <x:c r="U1150" s="10" t="n">
        <x:f>IF(AND(ISNUMBER(X1150),X1150&gt;=0,Y1150&lt;&gt;1),X1150,"")</x:f>
        <x:v>52</x:v>
      </x:c>
      <x:c r="V1150" s="10" t="n">
        <x:v>0</x:v>
      </x:c>
      <x:c r="W1150" s="10" t="n">
        <x:v>0</x:v>
      </x:c>
      <x:c r="X1150" s="10" t="n">
        <x:v>52</x:v>
      </x:c>
      <x:c r="Y1150" s="3" t="n">
        <x:v>0</x:v>
      </x:c>
      <x:c r="Z1150" s="3" t="str">
        <x:v>新增</x:v>
      </x:c>
      <x:c r="AA1150" s="3" t="str">
        <x:v>在售</x:v>
      </x:c>
      <x:c r="AB1150" s="12" t="str">
        <x:f>IF(AND(Z1150="共同",ISNUMBER(G1150),ISNUMBER(AD1150)),G1150-AD1150,"")</x:f>
      </x:c>
      <x:c r="AC1150" s="3" t="str"/>
      <x:c r="AD1150" s="12"/>
      <x:c r="AE1150" s="3" t="str">
        <x:v>[6574,"8392-ND-39"]</x:v>
      </x:c>
      <x:c r="AF1150" t="n">
        <x:f>IF(ISNUMBER(H1150),1,0)</x:f>
        <x:v>1</x:v>
      </x:c>
      <x:c r="AG1150" t="n">
        <x:f>IF(ISNUMBER(I1150),1,0)</x:f>
        <x:v>0</x:v>
      </x:c>
      <x:c r="AH1150" t="str">
        <x:v>["8392","8392-ND","ND","裸色"]</x:v>
      </x:c>
      <x:c r="AI1150" t="n">
        <x:f>IF(ISNUMBER(G1150),1,0)</x:f>
        <x:v>1</x:v>
      </x:c>
      <x:c r="AJ1150" t="n">
        <x:f>IF(ISNUMBER(AD1150),1,0)</x:f>
        <x:v>0</x:v>
      </x:c>
    </x:row>
    <x:row r="1151" ht="30" customHeight="1">
      <x:c r="A1151" s="3" t="str">
        <x:v>8392-NY-S-K-37</x:v>
      </x:c>
      <x:c r="B1151" s="3" t="str">
        <x:v>3店-SANDIEX-US</x:v>
      </x:c>
      <x:c r="C1151" s="3" t="str">
        <x:v>徐新怡</x:v>
      </x:c>
      <x:c r="D1151" s="3" t="str">
        <x:v>8392</x:v>
      </x:c>
      <x:c r="E1151" s="3" t="str">
        <x:f>IF(Z1151="移出","已移出",IF(NOT(ISNUMBER(H1151)),"数据待核",IF(H1151=0,"断货",IF(NOT(ISNUMBER(G1151)),"数据待核",IF(G1151=0,"零日销待复核",IF(F1151&lt;60,"补货提醒",IF(F1151&lt;=90,"正常库存",IF(F1151&lt;180,"促销",IF(F1151&lt;=365,"红线促销","考虑清仓")))))))))</x:f>
        <x:v>补货提醒</x:v>
      </x:c>
      <x:c r="F1151" s="11" t="n">
        <x:f>IF(AND(ISNUMBER(H1151),ISNUMBER(G1151),G1151&gt;0),H1151/G1151,"")</x:f>
        <x:v>30.143540669856463</x:v>
      </x:c>
      <x:c r="G1151" s="12" t="n">
        <x:f>IF(AND(COUNT(P1151:R1151)=3,MIN(P1151:R1151)&gt;=0,P1151&lt;=Q1151,Q1151&lt;=R1151),P1151/7*0.5+Q1151/14*0.3+R1151/30*0.2,"")</x:f>
        <x:v>0.09952380952380951</x:v>
      </x:c>
      <x:c r="H1151" s="10" t="n">
        <x:f>IF(ISNUMBER(U1151),U1151,"")</x:f>
        <x:v>3</x:v>
      </x:c>
      <x:c r="I1151" s="10"/>
      <x:c r="J1151" s="11" t="str">
        <x:f>IF(AND(Z1151="共同",ISNUMBER(F1151),ISNUMBER(M1151)),F1151-M1151,"")</x:f>
      </x:c>
      <x:c r="K1151" s="13" t="str">
        <x:f>IF(AND(ISNUMBER(J1151),M1151&lt;&gt;0),J1151/M1151,"")</x:f>
      </x:c>
      <x:c r="L1151" s="10"/>
      <x:c r="M1151" s="11"/>
      <x:c r="N1151" s="10" t="str">
        <x:f>IF(AND(Z1151="共同",COUNT(H1151:I1151)=2),H1151-I1151,"")</x:f>
      </x:c>
      <x:c r="O1151" s="10" t="n">
        <x:v>0</x:v>
      </x:c>
      <x:c r="P1151" s="10" t="n">
        <x:v>1</x:v>
      </x:c>
      <x:c r="Q1151" s="10" t="n">
        <x:v>1</x:v>
      </x:c>
      <x:c r="R1151" s="10" t="n">
        <x:v>1</x:v>
      </x:c>
      <x:c r="S1151" s="10" t="n">
        <x:v>3</x:v>
      </x:c>
      <x:c r="T1151" s="10" t="n">
        <x:v>0</x:v>
      </x:c>
      <x:c r="U1151" s="10" t="n">
        <x:f>IF(AND(ISNUMBER(X1151),X1151&gt;=0,Y1151&lt;&gt;1),X1151,"")</x:f>
        <x:v>3</x:v>
      </x:c>
      <x:c r="V1151" s="10" t="n">
        <x:v>0</x:v>
      </x:c>
      <x:c r="W1151" s="10" t="n">
        <x:v>0</x:v>
      </x:c>
      <x:c r="X1151" s="10" t="n">
        <x:v>3</x:v>
      </x:c>
      <x:c r="Y1151" s="3" t="n">
        <x:v>0</x:v>
      </x:c>
      <x:c r="Z1151" s="3" t="str">
        <x:v>新增</x:v>
      </x:c>
      <x:c r="AA1151" s="3" t="str">
        <x:v>在售</x:v>
      </x:c>
      <x:c r="AB1151" s="12" t="str">
        <x:f>IF(AND(Z1151="共同",ISNUMBER(G1151),ISNUMBER(AD1151)),G1151-AD1151,"")</x:f>
      </x:c>
      <x:c r="AC1151" s="3" t="str"/>
      <x:c r="AD1151" s="12"/>
      <x:c r="AE1151" s="3" t="str">
        <x:v>[6574,"8392-NY-S-K-37"]</x:v>
      </x:c>
      <x:c r="AF1151" t="n">
        <x:f>IF(ISNUMBER(H1151),1,0)</x:f>
        <x:v>1</x:v>
      </x:c>
      <x:c r="AG1151" t="n">
        <x:f>IF(ISNUMBER(I1151),1,0)</x:f>
        <x:v>0</x:v>
      </x:c>
      <x:c r="AH1151" t="str">
        <x:v>["8392","8392-NY-S-K","NY","藏青色"]</x:v>
      </x:c>
      <x:c r="AI1151" t="n">
        <x:f>IF(ISNUMBER(G1151),1,0)</x:f>
        <x:v>1</x:v>
      </x:c>
      <x:c r="AJ1151" t="n">
        <x:f>IF(ISNUMBER(AD1151),1,0)</x:f>
        <x:v>0</x:v>
      </x:c>
    </x:row>
    <x:row r="1152" ht="30" customHeight="1">
      <x:c r="A1152" s="3" t="str">
        <x:v>8392-NY-S-K-38</x:v>
      </x:c>
      <x:c r="B1152" s="3" t="str">
        <x:v>3店-SANDIEX-US</x:v>
      </x:c>
      <x:c r="C1152" s="3" t="str">
        <x:v>徐新怡</x:v>
      </x:c>
      <x:c r="D1152" s="3" t="str">
        <x:v>8392</x:v>
      </x:c>
      <x:c r="E1152" s="3" t="str">
        <x:f>IF(Z1152="移出","已移出",IF(NOT(ISNUMBER(H1152)),"数据待核",IF(H1152=0,"断货",IF(NOT(ISNUMBER(G1152)),"数据待核",IF(G1152=0,"零日销待复核",IF(F1152&lt;60,"补货提醒",IF(F1152&lt;=90,"正常库存",IF(F1152&lt;180,"促销",IF(F1152&lt;=365,"红线促销","考虑清仓")))))))))</x:f>
        <x:v>补货提醒</x:v>
      </x:c>
      <x:c r="F1152" s="11" t="n">
        <x:f>IF(AND(ISNUMBER(H1152),ISNUMBER(G1152),G1152&gt;0),H1152/G1152,"")</x:f>
        <x:v>23.507462686567166</x:v>
      </x:c>
      <x:c r="G1152" s="12" t="n">
        <x:f>IF(AND(COUNT(P1152:R1152)=3,MIN(P1152:R1152)&gt;=0,P1152&lt;=Q1152,Q1152&lt;=R1152),P1152/7*0.5+Q1152/14*0.3+R1152/30*0.2,"")</x:f>
        <x:v>0.1276190476190476</x:v>
      </x:c>
      <x:c r="H1152" s="10" t="n">
        <x:f>IF(ISNUMBER(U1152),U1152,"")</x:f>
        <x:v>3</x:v>
      </x:c>
      <x:c r="I1152" s="10"/>
      <x:c r="J1152" s="11" t="str">
        <x:f>IF(AND(Z1152="共同",ISNUMBER(F1152),ISNUMBER(M1152)),F1152-M1152,"")</x:f>
      </x:c>
      <x:c r="K1152" s="13" t="str">
        <x:f>IF(AND(ISNUMBER(J1152),M1152&lt;&gt;0),J1152/M1152,"")</x:f>
      </x:c>
      <x:c r="L1152" s="10"/>
      <x:c r="M1152" s="11"/>
      <x:c r="N1152" s="10" t="str">
        <x:f>IF(AND(Z1152="共同",COUNT(H1152:I1152)=2),H1152-I1152,"")</x:f>
      </x:c>
      <x:c r="O1152" s="10" t="n">
        <x:v>13</x:v>
      </x:c>
      <x:c r="P1152" s="10" t="n">
        <x:v>1</x:v>
      </x:c>
      <x:c r="Q1152" s="10" t="n">
        <x:v>2</x:v>
      </x:c>
      <x:c r="R1152" s="10" t="n">
        <x:v>2</x:v>
      </x:c>
      <x:c r="S1152" s="10" t="n">
        <x:v>3</x:v>
      </x:c>
      <x:c r="T1152" s="10" t="n">
        <x:v>0</x:v>
      </x:c>
      <x:c r="U1152" s="10" t="n">
        <x:f>IF(AND(ISNUMBER(X1152),X1152&gt;=0,Y1152&lt;&gt;1),X1152,"")</x:f>
        <x:v>3</x:v>
      </x:c>
      <x:c r="V1152" s="10" t="n">
        <x:v>0</x:v>
      </x:c>
      <x:c r="W1152" s="10" t="n">
        <x:v>0</x:v>
      </x:c>
      <x:c r="X1152" s="10" t="n">
        <x:v>3</x:v>
      </x:c>
      <x:c r="Y1152" s="3" t="n">
        <x:v>0</x:v>
      </x:c>
      <x:c r="Z1152" s="3" t="str">
        <x:v>新增</x:v>
      </x:c>
      <x:c r="AA1152" s="3" t="str">
        <x:v>在售</x:v>
      </x:c>
      <x:c r="AB1152" s="12" t="str">
        <x:f>IF(AND(Z1152="共同",ISNUMBER(G1152),ISNUMBER(AD1152)),G1152-AD1152,"")</x:f>
      </x:c>
      <x:c r="AC1152" s="3" t="str"/>
      <x:c r="AD1152" s="12"/>
      <x:c r="AE1152" s="3" t="str">
        <x:v>[6574,"8392-NY-S-K-38"]</x:v>
      </x:c>
      <x:c r="AF1152" t="n">
        <x:f>IF(ISNUMBER(H1152),1,0)</x:f>
        <x:v>1</x:v>
      </x:c>
      <x:c r="AG1152" t="n">
        <x:f>IF(ISNUMBER(I1152),1,0)</x:f>
        <x:v>0</x:v>
      </x:c>
      <x:c r="AH1152" t="str">
        <x:v>["8392","8392-NY-S-K","NY","藏青色"]</x:v>
      </x:c>
      <x:c r="AI1152" t="n">
        <x:f>IF(ISNUMBER(G1152),1,0)</x:f>
        <x:v>1</x:v>
      </x:c>
      <x:c r="AJ1152" t="n">
        <x:f>IF(ISNUMBER(AD1152),1,0)</x:f>
        <x:v>0</x:v>
      </x:c>
    </x:row>
    <x:row r="1153" ht="30" customHeight="1">
      <x:c r="A1153" s="3" t="str">
        <x:v>8392-TN-38.5</x:v>
      </x:c>
      <x:c r="B1153" s="3" t="str">
        <x:v>3店-SANDIEX-US</x:v>
      </x:c>
      <x:c r="C1153" s="3" t="str">
        <x:v>徐新怡</x:v>
      </x:c>
      <x:c r="D1153" s="3" t="str">
        <x:v>8392</x:v>
      </x:c>
      <x:c r="E1153" s="3" t="str">
        <x:f>IF(Z1153="移出","已移出",IF(NOT(ISNUMBER(H1153)),"数据待核",IF(H1153=0,"断货",IF(NOT(ISNUMBER(G1153)),"数据待核",IF(G1153=0,"零日销待复核",IF(F1153&lt;60,"补货提醒",IF(F1153&lt;=90,"正常库存",IF(F1153&lt;180,"促销",IF(F1153&lt;=365,"红线促销","考虑清仓")))))))))</x:f>
        <x:v>补货提醒</x:v>
      </x:c>
      <x:c r="F1153" s="11" t="n">
        <x:f>IF(AND(ISNUMBER(H1153),ISNUMBER(G1153),G1153&gt;0),H1153/G1153,"")</x:f>
        <x:v>19.17808219178082</x:v>
      </x:c>
      <x:c r="G1153" s="12" t="n">
        <x:f>IF(AND(COUNT(P1153:R1153)=3,MIN(P1153:R1153)&gt;=0,P1153&lt;=Q1153,Q1153&lt;=R1153),P1153/7*0.5+Q1153/14*0.3+R1153/30*0.2,"")</x:f>
        <x:v>0.10428571428571429</x:v>
      </x:c>
      <x:c r="H1153" s="10" t="n">
        <x:f>IF(ISNUMBER(U1153),U1153,"")</x:f>
        <x:v>2</x:v>
      </x:c>
      <x:c r="I1153" s="10"/>
      <x:c r="J1153" s="11" t="str">
        <x:f>IF(AND(Z1153="共同",ISNUMBER(F1153),ISNUMBER(M1153)),F1153-M1153,"")</x:f>
      </x:c>
      <x:c r="K1153" s="13" t="str">
        <x:f>IF(AND(ISNUMBER(J1153),M1153&lt;&gt;0),J1153/M1153,"")</x:f>
      </x:c>
      <x:c r="L1153" s="10"/>
      <x:c r="M1153" s="11"/>
      <x:c r="N1153" s="10" t="str">
        <x:f>IF(AND(Z1153="共同",COUNT(H1153:I1153)=2),H1153-I1153,"")</x:f>
      </x:c>
      <x:c r="O1153" s="10" t="n">
        <x:v>1</x:v>
      </x:c>
      <x:c r="P1153" s="10" t="n">
        <x:v>0</x:v>
      </x:c>
      <x:c r="Q1153" s="10" t="n">
        <x:v>3</x:v>
      </x:c>
      <x:c r="R1153" s="10" t="n">
        <x:v>6</x:v>
      </x:c>
      <x:c r="S1153" s="10" t="n">
        <x:v>3</x:v>
      </x:c>
      <x:c r="T1153" s="10" t="n">
        <x:v>0</x:v>
      </x:c>
      <x:c r="U1153" s="10" t="n">
        <x:f>IF(AND(ISNUMBER(X1153),X1153&gt;=0,Y1153&lt;&gt;1),X1153,"")</x:f>
        <x:v>2</x:v>
      </x:c>
      <x:c r="V1153" s="10" t="n">
        <x:v>0</x:v>
      </x:c>
      <x:c r="W1153" s="10" t="n">
        <x:v>0</x:v>
      </x:c>
      <x:c r="X1153" s="10" t="n">
        <x:v>2</x:v>
      </x:c>
      <x:c r="Y1153" s="3" t="n">
        <x:v>0</x:v>
      </x:c>
      <x:c r="Z1153" s="3" t="str">
        <x:v>新增</x:v>
      </x:c>
      <x:c r="AA1153" s="3" t="str">
        <x:v>在售</x:v>
      </x:c>
      <x:c r="AB1153" s="12" t="str">
        <x:f>IF(AND(Z1153="共同",ISNUMBER(G1153),ISNUMBER(AD1153)),G1153-AD1153,"")</x:f>
      </x:c>
      <x:c r="AC1153" s="3" t="str"/>
      <x:c r="AD1153" s="12"/>
      <x:c r="AE1153" s="3" t="str">
        <x:v>[6574,"8392-TN-38.5"]</x:v>
      </x:c>
      <x:c r="AF1153" t="n">
        <x:f>IF(ISNUMBER(H1153),1,0)</x:f>
        <x:v>1</x:v>
      </x:c>
      <x:c r="AG1153" t="n">
        <x:f>IF(ISNUMBER(I1153),1,0)</x:f>
        <x:v>0</x:v>
      </x:c>
      <x:c r="AH1153" t="str">
        <x:v>["8392","8392-TN","TN","驼色"]</x:v>
      </x:c>
      <x:c r="AI1153" t="n">
        <x:f>IF(ISNUMBER(G1153),1,0)</x:f>
        <x:v>1</x:v>
      </x:c>
      <x:c r="AJ1153" t="n">
        <x:f>IF(ISNUMBER(AD1153),1,0)</x:f>
        <x:v>0</x:v>
      </x:c>
    </x:row>
    <x:row r="1154" ht="30" customHeight="1">
      <x:c r="A1154" s="3" t="str">
        <x:v>9967-CT-37</x:v>
      </x:c>
      <x:c r="B1154" s="3" t="str">
        <x:v>1店-MUSSHOE-US</x:v>
      </x:c>
      <x:c r="C1154" s="3" t="str">
        <x:v>徐新怡</x:v>
      </x:c>
      <x:c r="D1154" s="3" t="str">
        <x:v>9967</x:v>
      </x:c>
      <x:c r="E1154" s="3" t="str">
        <x:f>IF(Z1154="移出","已移出",IF(NOT(ISNUMBER(H1154)),"数据待核",IF(H1154=0,"断货",IF(NOT(ISNUMBER(G1154)),"数据待核",IF(G1154=0,"零日销待复核",IF(F1154&lt;60,"补货提醒",IF(F1154&lt;=90,"正常库存",IF(F1154&lt;180,"促销",IF(F1154&lt;=365,"红线促销","考虑清仓")))))))))</x:f>
        <x:v>补货提醒</x:v>
      </x:c>
      <x:c r="F1154" s="11" t="n">
        <x:f>IF(AND(ISNUMBER(H1154),ISNUMBER(G1154),G1154&gt;0),H1154/G1154,"")</x:f>
        <x:v>20.09569377990431</x:v>
      </x:c>
      <x:c r="G1154" s="12" t="n">
        <x:f>IF(AND(COUNT(P1154:R1154)=3,MIN(P1154:R1154)&gt;=0,P1154&lt;=Q1154,Q1154&lt;=R1154),P1154/7*0.5+Q1154/14*0.3+R1154/30*0.2,"")</x:f>
        <x:v>0.09952380952380951</x:v>
      </x:c>
      <x:c r="H1154" s="10" t="n">
        <x:f>IF(ISNUMBER(U1154),U1154,"")</x:f>
        <x:v>2</x:v>
      </x:c>
      <x:c r="I1154" s="10"/>
      <x:c r="J1154" s="11" t="str">
        <x:f>IF(AND(Z1154="共同",ISNUMBER(F1154),ISNUMBER(M1154)),F1154-M1154,"")</x:f>
      </x:c>
      <x:c r="K1154" s="13" t="str">
        <x:f>IF(AND(ISNUMBER(J1154),M1154&lt;&gt;0),J1154/M1154,"")</x:f>
      </x:c>
      <x:c r="L1154" s="10"/>
      <x:c r="M1154" s="11"/>
      <x:c r="N1154" s="10" t="str">
        <x:f>IF(AND(Z1154="共同",COUNT(H1154:I1154)=2),H1154-I1154,"")</x:f>
      </x:c>
      <x:c r="O1154" s="10" t="n">
        <x:v>6</x:v>
      </x:c>
      <x:c r="P1154" s="10" t="n">
        <x:v>1</x:v>
      </x:c>
      <x:c r="Q1154" s="10" t="n">
        <x:v>1</x:v>
      </x:c>
      <x:c r="R1154" s="10" t="n">
        <x:v>1</x:v>
      </x:c>
      <x:c r="S1154" s="10" t="n">
        <x:v>3</x:v>
      </x:c>
      <x:c r="T1154" s="10" t="n">
        <x:v>0</x:v>
      </x:c>
      <x:c r="U1154" s="10" t="n">
        <x:f>IF(AND(ISNUMBER(X1154),X1154&gt;=0,Y1154&lt;&gt;1),X1154,"")</x:f>
        <x:v>2</x:v>
      </x:c>
      <x:c r="V1154" s="10" t="n">
        <x:v>0</x:v>
      </x:c>
      <x:c r="W1154" s="10" t="n">
        <x:v>12</x:v>
      </x:c>
      <x:c r="X1154" s="10" t="n">
        <x:v>2</x:v>
      </x:c>
      <x:c r="Y1154" s="3" t="n">
        <x:v>0</x:v>
      </x:c>
      <x:c r="Z1154" s="3" t="str">
        <x:v>新增</x:v>
      </x:c>
      <x:c r="AA1154" s="3" t="str">
        <x:v>在售</x:v>
      </x:c>
      <x:c r="AB1154" s="12" t="str">
        <x:f>IF(AND(Z1154="共同",ISNUMBER(G1154),ISNUMBER(AD1154)),G1154-AD1154,"")</x:f>
      </x:c>
      <x:c r="AC1154" s="3" t="str"/>
      <x:c r="AD1154" s="12"/>
      <x:c r="AE1154" s="3" t="str">
        <x:v>[13120,"9967-CT-37"]</x:v>
      </x:c>
      <x:c r="AF1154" t="n">
        <x:f>IF(ISNUMBER(H1154),1,0)</x:f>
        <x:v>1</x:v>
      </x:c>
      <x:c r="AG1154" t="n">
        <x:f>IF(ISNUMBER(I1154),1,0)</x:f>
        <x:v>0</x:v>
      </x:c>
      <x:c r="AH1154" t="str">
        <x:v>["9967","9967-CT","CT","棕色"]</x:v>
      </x:c>
      <x:c r="AI1154" t="n">
        <x:f>IF(ISNUMBER(G1154),1,0)</x:f>
        <x:v>1</x:v>
      </x:c>
      <x:c r="AJ1154" t="n">
        <x:f>IF(ISNUMBER(AD1154),1,0)</x:f>
        <x:v>0</x:v>
      </x:c>
    </x:row>
    <x:row r="1155" ht="30" customHeight="1">
      <x:c r="A1155" s="3" t="str">
        <x:v>B06-BGP-38-N</x:v>
      </x:c>
      <x:c r="B1155" s="3" t="str">
        <x:v>1店-MUSSHOE-US</x:v>
      </x:c>
      <x:c r="C1155" s="3" t="str">
        <x:v>艾年</x:v>
      </x:c>
      <x:c r="D1155" s="3" t="str">
        <x:v>B06</x:v>
      </x:c>
      <x:c r="E1155" s="3" t="str">
        <x:f>IF(Z1155="移出","已移出",IF(NOT(ISNUMBER(H1155)),"数据待核",IF(H1155=0,"断货",IF(NOT(ISNUMBER(G1155)),"数据待核",IF(G1155=0,"零日销待复核",IF(F1155&lt;60,"补货提醒",IF(F1155&lt;=90,"正常库存",IF(F1155&lt;180,"促销",IF(F1155&lt;=365,"红线促销","考虑清仓")))))))))</x:f>
        <x:v>补货提醒</x:v>
      </x:c>
      <x:c r="F1155" s="11" t="n">
        <x:f>IF(AND(ISNUMBER(H1155),ISNUMBER(G1155),G1155&gt;0),H1155/G1155,"")</x:f>
        <x:v>9.424083769633507</x:v>
      </x:c>
      <x:c r="G1155" s="12" t="n">
        <x:f>IF(AND(COUNT(P1155:R1155)=3,MIN(P1155:R1155)&gt;=0,P1155&lt;=Q1155,Q1155&lt;=R1155),P1155/7*0.5+Q1155/14*0.3+R1155/30*0.2,"")</x:f>
        <x:v>0.6366666666666667</x:v>
      </x:c>
      <x:c r="H1155" s="10" t="n">
        <x:f>IF(ISNUMBER(U1155),U1155,"")</x:f>
        <x:v>6</x:v>
      </x:c>
      <x:c r="I1155" s="10" t="n">
        <x:v>12</x:v>
      </x:c>
      <x:c r="J1155" s="11" t="n">
        <x:f>IF(AND(Z1155="共同",ISNUMBER(F1155),ISNUMBER(M1155)),F1155-M1155,"")</x:f>
        <x:v>-21.08439080663768</x:v>
      </x:c>
      <x:c r="K1155" s="13" t="n">
        <x:f>IF(AND(ISNUMBER(J1155),M1155&lt;&gt;0),J1155/M1155,"")</x:f>
        <x:v>-0.6910994764397906</x:v>
      </x:c>
      <x:c r="L1155" s="10" t="str">
        <x:v>补货提醒</x:v>
      </x:c>
      <x:c r="M1155" s="11" t="n">
        <x:v>30.508474576271183</x:v>
      </x:c>
      <x:c r="N1155" s="10" t="n">
        <x:f>IF(AND(Z1155="共同",COUNT(H1155:I1155)=2),H1155-I1155,"")</x:f>
        <x:v>-6</x:v>
      </x:c>
      <x:c r="O1155" s="10" t="n">
        <x:v>33</x:v>
      </x:c>
      <x:c r="P1155" s="10" t="n">
        <x:v>5</x:v>
      </x:c>
      <x:c r="Q1155" s="10" t="n">
        <x:v>9</x:v>
      </x:c>
      <x:c r="R1155" s="10" t="n">
        <x:v>13</x:v>
      </x:c>
      <x:c r="S1155" s="10" t="n">
        <x:v>6</x:v>
      </x:c>
      <x:c r="T1155" s="10" t="n">
        <x:v>0</x:v>
      </x:c>
      <x:c r="U1155" s="10" t="n">
        <x:f>IF(AND(ISNUMBER(X1155),X1155&gt;=0,Y1155&lt;&gt;1),X1155,"")</x:f>
        <x:v>6</x:v>
      </x:c>
      <x:c r="V1155" s="10" t="n">
        <x:v>0</x:v>
      </x:c>
      <x:c r="W1155" s="10" t="n">
        <x:v>1</x:v>
      </x:c>
      <x:c r="X1155" s="10" t="n">
        <x:v>6</x:v>
      </x:c>
      <x:c r="Y1155" s="3" t="n">
        <x:v>0</x:v>
      </x:c>
      <x:c r="Z1155" s="3" t="str">
        <x:v>共同</x:v>
      </x:c>
      <x:c r="AA1155" s="3" t="str">
        <x:v>在售</x:v>
      </x:c>
      <x:c r="AB1155" s="12" t="n">
        <x:f>IF(AND(Z1155="共同",ISNUMBER(G1155),ISNUMBER(AD1155)),G1155-AD1155,"")</x:f>
        <x:v>0.24333333333333335</x:v>
      </x:c>
      <x:c r="AC1155" s="3" t="str"/>
      <x:c r="AD1155" s="12" t="n">
        <x:v>0.39333333333333337</x:v>
      </x:c>
      <x:c r="AE1155" s="3" t="str">
        <x:v>[13120,"B06-BGP-38-N"]</x:v>
      </x:c>
      <x:c r="AF1155" t="n">
        <x:f>IF(ISNUMBER(H1155),1,0)</x:f>
        <x:v>1</x:v>
      </x:c>
      <x:c r="AG1155" t="n">
        <x:f>IF(ISNUMBER(I1155),1,0)</x:f>
        <x:v>1</x:v>
      </x:c>
      <x:c r="AH1155" t="str">
        <x:v>["B06","B06-BGP","BGP","米色PU"]</x:v>
      </x:c>
      <x:c r="AI1155" t="n">
        <x:f>IF(ISNUMBER(G1155),1,0)</x:f>
        <x:v>1</x:v>
      </x:c>
      <x:c r="AJ1155" t="n">
        <x:f>IF(ISNUMBER(AD1155),1,0)</x:f>
        <x:v>1</x:v>
      </x:c>
    </x:row>
    <x:row r="1156" ht="30" customHeight="1">
      <x:c r="A1156" s="3" t="str">
        <x:v>B06-BGP-38.5</x:v>
      </x:c>
      <x:c r="B1156" s="3" t="str">
        <x:v>1店-MUSSHOE-US</x:v>
      </x:c>
      <x:c r="C1156" s="3" t="str">
        <x:v>艾年</x:v>
      </x:c>
      <x:c r="D1156" s="3" t="str">
        <x:v>B06</x:v>
      </x:c>
      <x:c r="E1156" s="3" t="str">
        <x:f>IF(Z1156="移出","已移出",IF(NOT(ISNUMBER(H1156)),"数据待核",IF(H1156=0,"断货",IF(NOT(ISNUMBER(G1156)),"数据待核",IF(G1156=0,"零日销待复核",IF(F1156&lt;60,"补货提醒",IF(F1156&lt;=90,"正常库存",IF(F1156&lt;180,"促销",IF(F1156&lt;=365,"红线促销","考虑清仓")))))))))</x:f>
        <x:v>补货提醒</x:v>
      </x:c>
      <x:c r="F1156" s="11" t="n">
        <x:f>IF(AND(ISNUMBER(H1156),ISNUMBER(G1156),G1156&gt;0),H1156/G1156,"")</x:f>
        <x:v>48.87931034482758</x:v>
      </x:c>
      <x:c r="G1156" s="12" t="n">
        <x:f>IF(AND(COUNT(P1156:R1156)=3,MIN(P1156:R1156)&gt;=0,P1156&lt;=Q1156,Q1156&lt;=R1156),P1156/7*0.5+Q1156/14*0.3+R1156/30*0.2,"")</x:f>
        <x:v>0.5523809523809524</x:v>
      </x:c>
      <x:c r="H1156" s="10" t="n">
        <x:f>IF(ISNUMBER(U1156),U1156,"")</x:f>
        <x:v>27</x:v>
      </x:c>
      <x:c r="I1156" s="10" t="n">
        <x:v>0</x:v>
      </x:c>
      <x:c r="J1156" s="11" t="n">
        <x:f>IF(AND(Z1156="共同",ISNUMBER(F1156),ISNUMBER(M1156)),F1156-M1156,"")</x:f>
        <x:v>48.87931034482758</x:v>
      </x:c>
      <x:c r="K1156" s="13" t="str">
        <x:f>IF(AND(ISNUMBER(J1156),M1156&lt;&gt;0),J1156/M1156,"")</x:f>
      </x:c>
      <x:c r="L1156" s="10" t="str">
        <x:v>断货</x:v>
      </x:c>
      <x:c r="M1156" s="11" t="n">
        <x:v>0</x:v>
      </x:c>
      <x:c r="N1156" s="10" t="n">
        <x:f>IF(AND(Z1156="共同",COUNT(H1156:I1156)=2),H1156-I1156,"")</x:f>
        <x:v>27</x:v>
      </x:c>
      <x:c r="O1156" s="10" t="n">
        <x:v>0</x:v>
      </x:c>
      <x:c r="P1156" s="10" t="n">
        <x:v>5</x:v>
      </x:c>
      <x:c r="Q1156" s="10" t="n">
        <x:v>6</x:v>
      </x:c>
      <x:c r="R1156" s="10" t="n">
        <x:v>10</x:v>
      </x:c>
      <x:c r="S1156" s="10" t="n">
        <x:v>28</x:v>
      </x:c>
      <x:c r="T1156" s="10" t="n">
        <x:v>0</x:v>
      </x:c>
      <x:c r="U1156" s="10" t="n">
        <x:f>IF(AND(ISNUMBER(X1156),X1156&gt;=0,Y1156&lt;&gt;1),X1156,"")</x:f>
        <x:v>27</x:v>
      </x:c>
      <x:c r="V1156" s="10" t="n">
        <x:v>0</x:v>
      </x:c>
      <x:c r="W1156" s="10" t="n">
        <x:v>5</x:v>
      </x:c>
      <x:c r="X1156" s="10" t="n">
        <x:v>27</x:v>
      </x:c>
      <x:c r="Y1156" s="3" t="n">
        <x:v>0</x:v>
      </x:c>
      <x:c r="Z1156" s="3" t="str">
        <x:v>共同</x:v>
      </x:c>
      <x:c r="AA1156" s="3" t="str">
        <x:v>在售</x:v>
      </x:c>
      <x:c r="AB1156" s="12" t="n">
        <x:f>IF(AND(Z1156="共同",ISNUMBER(G1156),ISNUMBER(AD1156)),G1156-AD1156,"")</x:f>
        <x:v>0.32190476190476197</x:v>
      </x:c>
      <x:c r="AC1156" s="3" t="str"/>
      <x:c r="AD1156" s="12" t="n">
        <x:v>0.23047619047619045</x:v>
      </x:c>
      <x:c r="AE1156" s="3" t="str">
        <x:v>[13120,"B06-BGP-38.5"]</x:v>
      </x:c>
      <x:c r="AF1156" t="n">
        <x:f>IF(ISNUMBER(H1156),1,0)</x:f>
        <x:v>1</x:v>
      </x:c>
      <x:c r="AG1156" t="n">
        <x:f>IF(ISNUMBER(I1156),1,0)</x:f>
        <x:v>1</x:v>
      </x:c>
      <x:c r="AH1156" t="str">
        <x:v>["B06","B06-BGP","BGP","米色PU"]</x:v>
      </x:c>
      <x:c r="AI1156" t="n">
        <x:f>IF(ISNUMBER(G1156),1,0)</x:f>
        <x:v>1</x:v>
      </x:c>
      <x:c r="AJ1156" t="n">
        <x:f>IF(ISNUMBER(AD1156),1,0)</x:f>
        <x:v>1</x:v>
      </x:c>
    </x:row>
    <x:row r="1157" ht="30" customHeight="1">
      <x:c r="A1157" s="3" t="str">
        <x:v>B06-BGP-39-N</x:v>
      </x:c>
      <x:c r="B1157" s="3" t="str">
        <x:v>1店-MUSSHOE-US</x:v>
      </x:c>
      <x:c r="C1157" s="3" t="str">
        <x:v>艾年</x:v>
      </x:c>
      <x:c r="D1157" s="3" t="str">
        <x:v>B06</x:v>
      </x:c>
      <x:c r="E1157" s="3" t="str">
        <x:f>IF(Z1157="移出","已移出",IF(NOT(ISNUMBER(H1157)),"数据待核",IF(H1157=0,"断货",IF(NOT(ISNUMBER(G1157)),"数据待核",IF(G1157=0,"零日销待复核",IF(F1157&lt;60,"补货提醒",IF(F1157&lt;=90,"正常库存",IF(F1157&lt;180,"促销",IF(F1157&lt;=365,"红线促销","考虑清仓")))))))))</x:f>
        <x:v>补货提醒</x:v>
      </x:c>
      <x:c r="F1157" s="11" t="n">
        <x:f>IF(AND(ISNUMBER(H1157),ISNUMBER(G1157),G1157&gt;0),H1157/G1157,"")</x:f>
        <x:v>41.37931034482758</x:v>
      </x:c>
      <x:c r="G1157" s="12" t="n">
        <x:f>IF(AND(COUNT(P1157:R1157)=3,MIN(P1157:R1157)&gt;=0,P1157&lt;=Q1157,Q1157&lt;=R1157),P1157/7*0.5+Q1157/14*0.3+R1157/30*0.2,"")</x:f>
        <x:v>0.6766666666666667</x:v>
      </x:c>
      <x:c r="H1157" s="10" t="n">
        <x:f>IF(ISNUMBER(U1157),U1157,"")</x:f>
        <x:v>28</x:v>
      </x:c>
      <x:c r="I1157" s="10" t="n">
        <x:v>32</x:v>
      </x:c>
      <x:c r="J1157" s="11" t="n">
        <x:f>IF(AND(Z1157="共同",ISNUMBER(F1157),ISNUMBER(M1157)),F1157-M1157,"")</x:f>
        <x:v>-12.814238042269203</x:v>
      </x:c>
      <x:c r="K1157" s="13" t="n">
        <x:f>IF(AND(ISNUMBER(J1157),M1157&lt;&gt;0),J1157/M1157,"")</x:f>
        <x:v>-0.2364532019704436</x:v>
      </x:c>
      <x:c r="L1157" s="10" t="str">
        <x:v>补货提醒</x:v>
      </x:c>
      <x:c r="M1157" s="11" t="n">
        <x:v>54.19354838709678</x:v>
      </x:c>
      <x:c r="N1157" s="10" t="n">
        <x:f>IF(AND(Z1157="共同",COUNT(H1157:I1157)=2),H1157-I1157,"")</x:f>
        <x:v>-4</x:v>
      </x:c>
      <x:c r="O1157" s="10" t="n">
        <x:v>19</x:v>
      </x:c>
      <x:c r="P1157" s="10" t="n">
        <x:v>5</x:v>
      </x:c>
      <x:c r="Q1157" s="10" t="n">
        <x:v>9</x:v>
      </x:c>
      <x:c r="R1157" s="10" t="n">
        <x:v>19</x:v>
      </x:c>
      <x:c r="S1157" s="10" t="n">
        <x:v>33</x:v>
      </x:c>
      <x:c r="T1157" s="10" t="n">
        <x:v>2</x:v>
      </x:c>
      <x:c r="U1157" s="10" t="n">
        <x:f>IF(AND(ISNUMBER(X1157),X1157&gt;=0,Y1157&lt;&gt;1),X1157,"")</x:f>
        <x:v>28</x:v>
      </x:c>
      <x:c r="V1157" s="10" t="n">
        <x:v>0</x:v>
      </x:c>
      <x:c r="W1157" s="10" t="n">
        <x:v>0</x:v>
      </x:c>
      <x:c r="X1157" s="10" t="n">
        <x:v>28</x:v>
      </x:c>
      <x:c r="Y1157" s="3" t="n">
        <x:v>0</x:v>
      </x:c>
      <x:c r="Z1157" s="3" t="str">
        <x:v>共同</x:v>
      </x:c>
      <x:c r="AA1157" s="3" t="str">
        <x:v>在售</x:v>
      </x:c>
      <x:c r="AB1157" s="12" t="n">
        <x:f>IF(AND(Z1157="共同",ISNUMBER(G1157),ISNUMBER(AD1157)),G1157-AD1157,"")</x:f>
        <x:v>0.08619047619047637</x:v>
      </x:c>
      <x:c r="AC1157" s="3" t="str"/>
      <x:c r="AD1157" s="12" t="n">
        <x:v>0.5904761904761904</x:v>
      </x:c>
      <x:c r="AE1157" s="3" t="str">
        <x:v>[13120,"B06-BGP-39-N"]</x:v>
      </x:c>
      <x:c r="AF1157" t="n">
        <x:f>IF(ISNUMBER(H1157),1,0)</x:f>
        <x:v>1</x:v>
      </x:c>
      <x:c r="AG1157" t="n">
        <x:f>IF(ISNUMBER(I1157),1,0)</x:f>
        <x:v>1</x:v>
      </x:c>
      <x:c r="AH1157" t="str">
        <x:v>["B06","B06-BGP","BGP","米色PU"]</x:v>
      </x:c>
      <x:c r="AI1157" t="n">
        <x:f>IF(ISNUMBER(G1157),1,0)</x:f>
        <x:v>1</x:v>
      </x:c>
      <x:c r="AJ1157" t="n">
        <x:f>IF(ISNUMBER(AD1157),1,0)</x:f>
        <x:v>1</x:v>
      </x:c>
    </x:row>
    <x:row r="1158" ht="30" customHeight="1">
      <x:c r="A1158" s="3" t="str">
        <x:v>B06-BK-37-new</x:v>
      </x:c>
      <x:c r="B1158" s="3" t="str">
        <x:v>1店-MUSSHOE-US</x:v>
      </x:c>
      <x:c r="C1158" s="3" t="str">
        <x:v>艾年</x:v>
      </x:c>
      <x:c r="D1158" s="3" t="str">
        <x:v>B06</x:v>
      </x:c>
      <x:c r="E1158" s="3" t="str">
        <x:f>IF(Z1158="移出","已移出",IF(NOT(ISNUMBER(H1158)),"数据待核",IF(H1158=0,"断货",IF(NOT(ISNUMBER(G1158)),"数据待核",IF(G1158=0,"零日销待复核",IF(F1158&lt;60,"补货提醒",IF(F1158&lt;=90,"正常库存",IF(F1158&lt;180,"促销",IF(F1158&lt;=365,"红线促销","考虑清仓")))))))))</x:f>
        <x:v>补货提醒</x:v>
      </x:c>
      <x:c r="F1158" s="11" t="n">
        <x:f>IF(AND(ISNUMBER(H1158),ISNUMBER(G1158),G1158&gt;0),H1158/G1158,"")</x:f>
        <x:v>34.898213543830494</x:v>
      </x:c>
      <x:c r="G1158" s="12" t="n">
        <x:f>IF(AND(COUNT(P1158:R1158)=3,MIN(P1158:R1158)&gt;=0,P1158&lt;=Q1158,Q1158&lt;=R1158),P1158/7*0.5+Q1158/14*0.3+R1158/30*0.2,"")</x:f>
        <x:v>1.1461904761904762</x:v>
      </x:c>
      <x:c r="H1158" s="10" t="n">
        <x:f>IF(ISNUMBER(U1158),U1158,"")</x:f>
        <x:v>40</x:v>
      </x:c>
      <x:c r="I1158" s="10" t="n">
        <x:v>47</x:v>
      </x:c>
      <x:c r="J1158" s="11" t="n">
        <x:f>IF(AND(Z1158="共同",ISNUMBER(F1158),ISNUMBER(M1158)),F1158-M1158,"")</x:f>
        <x:v>-97.05365811392353</x:v>
      </x:c>
      <x:c r="K1158" s="13" t="n">
        <x:f>IF(AND(ISNUMBER(J1158),M1158&lt;&gt;0),J1158/M1158,"")</x:f>
        <x:v>-0.7355231638218318</x:v>
      </x:c>
      <x:c r="L1158" s="10" t="str">
        <x:v>促销</x:v>
      </x:c>
      <x:c r="M1158" s="11" t="n">
        <x:v>131.95187165775403</x:v>
      </x:c>
      <x:c r="N1158" s="10" t="n">
        <x:f>IF(AND(Z1158="共同",COUNT(H1158:I1158)=2),H1158-I1158,"")</x:f>
        <x:v>-7</x:v>
      </x:c>
      <x:c r="O1158" s="10" t="n">
        <x:v>51</x:v>
      </x:c>
      <x:c r="P1158" s="10" t="n">
        <x:v>10</x:v>
      </x:c>
      <x:c r="Q1158" s="10" t="n">
        <x:v>13</x:v>
      </x:c>
      <x:c r="R1158" s="10" t="n">
        <x:v>23</x:v>
      </x:c>
      <x:c r="S1158" s="10" t="n">
        <x:v>43</x:v>
      </x:c>
      <x:c r="T1158" s="10" t="n">
        <x:v>0</x:v>
      </x:c>
      <x:c r="U1158" s="10" t="n">
        <x:f>IF(AND(ISNUMBER(X1158),X1158&gt;=0,Y1158&lt;&gt;1),X1158,"")</x:f>
        <x:v>40</x:v>
      </x:c>
      <x:c r="V1158" s="10" t="n">
        <x:v>0</x:v>
      </x:c>
      <x:c r="W1158" s="10" t="n">
        <x:v>0</x:v>
      </x:c>
      <x:c r="X1158" s="10" t="n">
        <x:v>40</x:v>
      </x:c>
      <x:c r="Y1158" s="3" t="n">
        <x:v>0</x:v>
      </x:c>
      <x:c r="Z1158" s="3" t="str">
        <x:v>共同</x:v>
      </x:c>
      <x:c r="AA1158" s="3" t="str">
        <x:v>在售</x:v>
      </x:c>
      <x:c r="AB1158" s="12" t="n">
        <x:f>IF(AND(Z1158="共同",ISNUMBER(G1158),ISNUMBER(AD1158)),G1158-AD1158,"")</x:f>
        <x:v>0.79</x:v>
      </x:c>
      <x:c r="AC1158" s="3" t="str"/>
      <x:c r="AD1158" s="12" t="n">
        <x:v>0.35619047619047617</x:v>
      </x:c>
      <x:c r="AE1158" s="3" t="str">
        <x:v>[13120,"B06-BK-37-new"]</x:v>
      </x:c>
      <x:c r="AF1158" t="n">
        <x:f>IF(ISNUMBER(H1158),1,0)</x:f>
        <x:v>1</x:v>
      </x:c>
      <x:c r="AG1158" t="n">
        <x:f>IF(ISNUMBER(I1158),1,0)</x:f>
        <x:v>1</x:v>
      </x:c>
      <x:c r="AH1158" t="str">
        <x:v>["B06","B06-BK","BK","黑色羊京绒"]</x:v>
      </x:c>
      <x:c r="AI1158" t="n">
        <x:f>IF(ISNUMBER(G1158),1,0)</x:f>
        <x:v>1</x:v>
      </x:c>
      <x:c r="AJ1158" t="n">
        <x:f>IF(ISNUMBER(AD1158),1,0)</x:f>
        <x:v>1</x:v>
      </x:c>
    </x:row>
    <x:row r="1159" ht="30" customHeight="1">
      <x:c r="A1159" s="3" t="str">
        <x:v>B06-BK-38</x:v>
      </x:c>
      <x:c r="B1159" s="3" t="str">
        <x:v>1店-MUSSHOE-US</x:v>
      </x:c>
      <x:c r="C1159" s="3" t="str">
        <x:v>艾年</x:v>
      </x:c>
      <x:c r="D1159" s="3" t="str">
        <x:v>B06</x:v>
      </x:c>
      <x:c r="E1159" s="3" t="str">
        <x:f>IF(Z1159="移出","已移出",IF(NOT(ISNUMBER(H1159)),"数据待核",IF(H1159=0,"断货",IF(NOT(ISNUMBER(G1159)),"数据待核",IF(G1159=0,"零日销待复核",IF(F1159&lt;60,"补货提醒",IF(F1159&lt;=90,"正常库存",IF(F1159&lt;180,"促销",IF(F1159&lt;=365,"红线促销","考虑清仓")))))))))</x:f>
        <x:v>补货提醒</x:v>
      </x:c>
      <x:c r="F1159" s="11" t="n">
        <x:f>IF(AND(ISNUMBER(H1159),ISNUMBER(G1159),G1159&gt;0),H1159/G1159,"")</x:f>
        <x:v>18.982552028589446</x:v>
      </x:c>
      <x:c r="G1159" s="12" t="n">
        <x:f>IF(AND(COUNT(P1159:R1159)=3,MIN(P1159:R1159)&gt;=0,P1159&lt;=Q1159,Q1159&lt;=R1159),P1159/7*0.5+Q1159/14*0.3+R1159/30*0.2,"")</x:f>
        <x:v>2.2652380952380953</x:v>
      </x:c>
      <x:c r="H1159" s="10" t="n">
        <x:f>IF(ISNUMBER(U1159),U1159,"")</x:f>
        <x:v>43</x:v>
      </x:c>
      <x:c r="I1159" s="10" t="n">
        <x:v>60</x:v>
      </x:c>
      <x:c r="J1159" s="11" t="n">
        <x:f>IF(AND(Z1159="共同",ISNUMBER(F1159),ISNUMBER(M1159)),F1159-M1159,"")</x:f>
        <x:v>-18.054485008447593</x:v>
      </x:c>
      <x:c r="K1159" s="13" t="n">
        <x:f>IF(AND(ISNUMBER(J1159),M1159&lt;&gt;0),J1159/M1159,"")</x:f>
        <x:v>-0.48747109522808496</x:v>
      </x:c>
      <x:c r="L1159" s="10" t="str">
        <x:v>补货提醒</x:v>
      </x:c>
      <x:c r="M1159" s="11" t="n">
        <x:v>37.03703703703704</x:v>
      </x:c>
      <x:c r="N1159" s="10" t="n">
        <x:f>IF(AND(Z1159="共同",COUNT(H1159:I1159)=2),H1159-I1159,"")</x:f>
        <x:v>-17</x:v>
      </x:c>
      <x:c r="O1159" s="10" t="n">
        <x:v>5</x:v>
      </x:c>
      <x:c r="P1159" s="10" t="n">
        <x:v>17</x:v>
      </x:c>
      <x:c r="Q1159" s="10" t="n">
        <x:v>31</x:v>
      </x:c>
      <x:c r="R1159" s="10" t="n">
        <x:v>58</x:v>
      </x:c>
      <x:c r="S1159" s="10" t="n">
        <x:v>48</x:v>
      </x:c>
      <x:c r="T1159" s="10" t="n">
        <x:v>1</x:v>
      </x:c>
      <x:c r="U1159" s="10" t="n">
        <x:f>IF(AND(ISNUMBER(X1159),X1159&gt;=0,Y1159&lt;&gt;1),X1159,"")</x:f>
        <x:v>43</x:v>
      </x:c>
      <x:c r="V1159" s="10" t="n">
        <x:v>0</x:v>
      </x:c>
      <x:c r="W1159" s="10" t="n">
        <x:v>96</x:v>
      </x:c>
      <x:c r="X1159" s="10" t="n">
        <x:v>43</x:v>
      </x:c>
      <x:c r="Y1159" s="3" t="n">
        <x:v>0</x:v>
      </x:c>
      <x:c r="Z1159" s="3" t="str">
        <x:v>共同</x:v>
      </x:c>
      <x:c r="AA1159" s="3" t="str">
        <x:v>在售</x:v>
      </x:c>
      <x:c r="AB1159" s="12" t="n">
        <x:f>IF(AND(Z1159="共同",ISNUMBER(G1159),ISNUMBER(AD1159)),G1159-AD1159,"")</x:f>
        <x:v>0.6452380952380954</x:v>
      </x:c>
      <x:c r="AC1159" s="3" t="str"/>
      <x:c r="AD1159" s="12" t="n">
        <x:v>1.6199999999999999</x:v>
      </x:c>
      <x:c r="AE1159" s="3" t="str">
        <x:v>[13120,"B06-BK-38"]</x:v>
      </x:c>
      <x:c r="AF1159" t="n">
        <x:f>IF(ISNUMBER(H1159),1,0)</x:f>
        <x:v>1</x:v>
      </x:c>
      <x:c r="AG1159" t="n">
        <x:f>IF(ISNUMBER(I1159),1,0)</x:f>
        <x:v>1</x:v>
      </x:c>
      <x:c r="AH1159" t="str">
        <x:v>["B06","B06-BK","BK","黑色羊京绒"]</x:v>
      </x:c>
      <x:c r="AI1159" t="n">
        <x:f>IF(ISNUMBER(G1159),1,0)</x:f>
        <x:v>1</x:v>
      </x:c>
      <x:c r="AJ1159" t="n">
        <x:f>IF(ISNUMBER(AD1159),1,0)</x:f>
        <x:v>1</x:v>
      </x:c>
    </x:row>
    <x:row r="1160" ht="30" customHeight="1">
      <x:c r="A1160" s="3" t="str">
        <x:v>B06-BK-38.5</x:v>
      </x:c>
      <x:c r="B1160" s="3" t="str">
        <x:v>1店-MUSSHOE-US</x:v>
      </x:c>
      <x:c r="C1160" s="3" t="str">
        <x:v>艾年</x:v>
      </x:c>
      <x:c r="D1160" s="3" t="str">
        <x:v>B06</x:v>
      </x:c>
      <x:c r="E1160" s="3" t="str">
        <x:f>IF(Z1160="移出","已移出",IF(NOT(ISNUMBER(H1160)),"数据待核",IF(H1160=0,"断货",IF(NOT(ISNUMBER(G1160)),"数据待核",IF(G1160=0,"零日销待复核",IF(F1160&lt;60,"补货提醒",IF(F1160&lt;=90,"正常库存",IF(F1160&lt;180,"促销",IF(F1160&lt;=365,"红线促销","考虑清仓")))))))))</x:f>
        <x:v>补货提醒</x:v>
      </x:c>
      <x:c r="F1160" s="11" t="n">
        <x:f>IF(AND(ISNUMBER(H1160),ISNUMBER(G1160),G1160&gt;0),H1160/G1160,"")</x:f>
        <x:v>47.700504767246215</x:v>
      </x:c>
      <x:c r="G1160" s="12" t="n">
        <x:f>IF(AND(COUNT(P1160:R1160)=3,MIN(P1160:R1160)&gt;=0,P1160&lt;=Q1160,Q1160&lt;=R1160),P1160/7*0.5+Q1160/14*0.3+R1160/30*0.2,"")</x:f>
        <x:v>1.698095238095238</x:v>
      </x:c>
      <x:c r="H1160" s="10" t="n">
        <x:f>IF(ISNUMBER(U1160),U1160,"")</x:f>
        <x:v>81</x:v>
      </x:c>
      <x:c r="I1160" s="10" t="n">
        <x:v>103</x:v>
      </x:c>
      <x:c r="J1160" s="11" t="n">
        <x:f>IF(AND(Z1160="共同",ISNUMBER(F1160),ISNUMBER(M1160)),F1160-M1160,"")</x:f>
        <x:v>-23.217528019639033</x:v>
      </x:c>
      <x:c r="K1160" s="13" t="n">
        <x:f>IF(AND(ISNUMBER(J1160),M1160&lt;&gt;0),J1160/M1160,"")</x:f>
        <x:v>-0.32738539278732803</x:v>
      </x:c>
      <x:c r="L1160" s="10" t="str">
        <x:v>正常库存</x:v>
      </x:c>
      <x:c r="M1160" s="11" t="n">
        <x:v>70.91803278688525</x:v>
      </x:c>
      <x:c r="N1160" s="10" t="n">
        <x:f>IF(AND(Z1160="共同",COUNT(H1160:I1160)=2),H1160-I1160,"")</x:f>
        <x:v>-22</x:v>
      </x:c>
      <x:c r="O1160" s="10" t="n">
        <x:v>57</x:v>
      </x:c>
      <x:c r="P1160" s="10" t="n">
        <x:v>12</x:v>
      </x:c>
      <x:c r="Q1160" s="10" t="n">
        <x:v>24</x:v>
      </x:c>
      <x:c r="R1160" s="10" t="n">
        <x:v>49</x:v>
      </x:c>
      <x:c r="S1160" s="10" t="n">
        <x:v>88</x:v>
      </x:c>
      <x:c r="T1160" s="10" t="n">
        <x:v>0</x:v>
      </x:c>
      <x:c r="U1160" s="10" t="n">
        <x:f>IF(AND(ISNUMBER(X1160),X1160&gt;=0,Y1160&lt;&gt;1),X1160,"")</x:f>
        <x:v>81</x:v>
      </x:c>
      <x:c r="V1160" s="10" t="n">
        <x:v>0</x:v>
      </x:c>
      <x:c r="W1160" s="10" t="n">
        <x:v>58</x:v>
      </x:c>
      <x:c r="X1160" s="10" t="n">
        <x:v>81</x:v>
      </x:c>
      <x:c r="Y1160" s="3" t="n">
        <x:v>0</x:v>
      </x:c>
      <x:c r="Z1160" s="3" t="str">
        <x:v>共同</x:v>
      </x:c>
      <x:c r="AA1160" s="3" t="str">
        <x:v>在售</x:v>
      </x:c>
      <x:c r="AB1160" s="12" t="n">
        <x:f>IF(AND(Z1160="共同",ISNUMBER(G1160),ISNUMBER(AD1160)),G1160-AD1160,"")</x:f>
        <x:v>0.24571428571428577</x:v>
      </x:c>
      <x:c r="AC1160" s="3" t="str"/>
      <x:c r="AD1160" s="12" t="n">
        <x:v>1.4523809523809523</x:v>
      </x:c>
      <x:c r="AE1160" s="3" t="str">
        <x:v>[13120,"B06-BK-38.5"]</x:v>
      </x:c>
      <x:c r="AF1160" t="n">
        <x:f>IF(ISNUMBER(H1160),1,0)</x:f>
        <x:v>1</x:v>
      </x:c>
      <x:c r="AG1160" t="n">
        <x:f>IF(ISNUMBER(I1160),1,0)</x:f>
        <x:v>1</x:v>
      </x:c>
      <x:c r="AH1160" t="str">
        <x:v>["B06","B06-BK","BK","黑色羊京绒"]</x:v>
      </x:c>
      <x:c r="AI1160" t="n">
        <x:f>IF(ISNUMBER(G1160),1,0)</x:f>
        <x:v>1</x:v>
      </x:c>
      <x:c r="AJ1160" t="n">
        <x:f>IF(ISNUMBER(AD1160),1,0)</x:f>
        <x:v>1</x:v>
      </x:c>
    </x:row>
    <x:row r="1161" ht="30" customHeight="1">
      <x:c r="A1161" s="3" t="str">
        <x:v>B06-BK-39-NEW</x:v>
      </x:c>
      <x:c r="B1161" s="3" t="str">
        <x:v>1店-MUSSHOE-US</x:v>
      </x:c>
      <x:c r="C1161" s="3" t="str">
        <x:v>艾年</x:v>
      </x:c>
      <x:c r="D1161" s="3" t="str">
        <x:v>B06</x:v>
      </x:c>
      <x:c r="E1161" s="3" t="str">
        <x:f>IF(Z1161="移出","已移出",IF(NOT(ISNUMBER(H1161)),"数据待核",IF(H1161=0,"断货",IF(NOT(ISNUMBER(G1161)),"数据待核",IF(G1161=0,"零日销待复核",IF(F1161&lt;60,"补货提醒",IF(F1161&lt;=90,"正常库存",IF(F1161&lt;180,"促销",IF(F1161&lt;=365,"红线促销","考虑清仓")))))))))</x:f>
        <x:v>补货提醒</x:v>
      </x:c>
      <x:c r="F1161" s="11" t="n">
        <x:f>IF(AND(ISNUMBER(H1161),ISNUMBER(G1161),G1161&gt;0),H1161/G1161,"")</x:f>
        <x:v>8.4501179408908</x:v>
      </x:c>
      <x:c r="G1161" s="12" t="n">
        <x:f>IF(AND(COUNT(P1161:R1161)=3,MIN(P1161:R1161)&gt;=0,P1161&lt;=Q1161,Q1161&lt;=R1161),P1161/7*0.5+Q1161/14*0.3+R1161/30*0.2,"")</x:f>
        <x:v>3.431904761904762</x:v>
      </x:c>
      <x:c r="H1161" s="10" t="n">
        <x:f>IF(ISNUMBER(U1161),U1161,"")</x:f>
        <x:v>29</x:v>
      </x:c>
      <x:c r="I1161" s="10" t="n">
        <x:v>65</x:v>
      </x:c>
      <x:c r="J1161" s="11" t="n">
        <x:f>IF(AND(Z1161="共同",ISNUMBER(F1161),ISNUMBER(M1161)),F1161-M1161,"")</x:f>
        <x:v>-32.3326726178185</x:v>
      </x:c>
      <x:c r="K1161" s="13" t="n">
        <x:f>IF(AND(ISNUMBER(J1161),M1161&lt;&gt;0),J1161/M1161,"")</x:f>
        <x:v>-0.7928018699768389</x:v>
      </x:c>
      <x:c r="L1161" s="10" t="str">
        <x:v>补货提醒</x:v>
      </x:c>
      <x:c r="M1161" s="11" t="n">
        <x:v>40.7827905587093</x:v>
      </x:c>
      <x:c r="N1161" s="10" t="n">
        <x:f>IF(AND(Z1161="共同",COUNT(H1161:I1161)=2),H1161-I1161,"")</x:f>
        <x:v>-36</x:v>
      </x:c>
      <x:c r="O1161" s="10" t="n">
        <x:v>5</x:v>
      </x:c>
      <x:c r="P1161" s="10" t="n">
        <x:v>28</x:v>
      </x:c>
      <x:c r="Q1161" s="10" t="n">
        <x:v>41</x:v>
      </x:c>
      <x:c r="R1161" s="10" t="n">
        <x:v>83</x:v>
      </x:c>
      <x:c r="S1161" s="10" t="n">
        <x:v>46</x:v>
      </x:c>
      <x:c r="T1161" s="10" t="n">
        <x:v>7</x:v>
      </x:c>
      <x:c r="U1161" s="10" t="n">
        <x:f>IF(AND(ISNUMBER(X1161),X1161&gt;=0,Y1161&lt;&gt;1),X1161,"")</x:f>
        <x:v>29</x:v>
      </x:c>
      <x:c r="V1161" s="10" t="n">
        <x:v>0</x:v>
      </x:c>
      <x:c r="W1161" s="10" t="n">
        <x:v>60</x:v>
      </x:c>
      <x:c r="X1161" s="10" t="n">
        <x:v>29</x:v>
      </x:c>
      <x:c r="Y1161" s="3" t="n">
        <x:v>0</x:v>
      </x:c>
      <x:c r="Z1161" s="3" t="str">
        <x:v>共同</x:v>
      </x:c>
      <x:c r="AA1161" s="3" t="str">
        <x:v>在售</x:v>
      </x:c>
      <x:c r="AB1161" s="12" t="n">
        <x:f>IF(AND(Z1161="共同",ISNUMBER(G1161),ISNUMBER(AD1161)),G1161-AD1161,"")</x:f>
        <x:v>1.8380952380952382</x:v>
      </x:c>
      <x:c r="AC1161" s="3" t="str"/>
      <x:c r="AD1161" s="12" t="n">
        <x:v>1.5938095238095236</x:v>
      </x:c>
      <x:c r="AE1161" s="3" t="str">
        <x:v>[13120,"B06-BK-39-NEW"]</x:v>
      </x:c>
      <x:c r="AF1161" t="n">
        <x:f>IF(ISNUMBER(H1161),1,0)</x:f>
        <x:v>1</x:v>
      </x:c>
      <x:c r="AG1161" t="n">
        <x:f>IF(ISNUMBER(I1161),1,0)</x:f>
        <x:v>1</x:v>
      </x:c>
      <x:c r="AH1161" t="str">
        <x:v>["B06","B06-BK","BK","黑色羊京绒"]</x:v>
      </x:c>
      <x:c r="AI1161" t="n">
        <x:f>IF(ISNUMBER(G1161),1,0)</x:f>
        <x:v>1</x:v>
      </x:c>
      <x:c r="AJ1161" t="n">
        <x:f>IF(ISNUMBER(AD1161),1,0)</x:f>
        <x:v>1</x:v>
      </x:c>
    </x:row>
    <x:row r="1162" ht="30" customHeight="1">
      <x:c r="A1162" s="3" t="str">
        <x:v>B06-BK-39.5</x:v>
      </x:c>
      <x:c r="B1162" s="3" t="str">
        <x:v>1店-MUSSHOE-US</x:v>
      </x:c>
      <x:c r="C1162" s="3" t="str">
        <x:v>艾年</x:v>
      </x:c>
      <x:c r="D1162" s="3" t="str">
        <x:v>B06</x:v>
      </x:c>
      <x:c r="E1162" s="3" t="str">
        <x:f>IF(Z1162="移出","已移出",IF(NOT(ISNUMBER(H1162)),"数据待核",IF(H1162=0,"断货",IF(NOT(ISNUMBER(G1162)),"数据待核",IF(G1162=0,"零日销待复核",IF(F1162&lt;60,"补货提醒",IF(F1162&lt;=90,"正常库存",IF(F1162&lt;180,"促销",IF(F1162&lt;=365,"红线促销","考虑清仓")))))))))</x:f>
        <x:v>补货提醒</x:v>
      </x:c>
      <x:c r="F1162" s="11" t="n">
        <x:f>IF(AND(ISNUMBER(H1162),ISNUMBER(G1162),G1162&gt;0),H1162/G1162,"")</x:f>
        <x:v>7.491550882463388</x:v>
      </x:c>
      <x:c r="G1162" s="12" t="n">
        <x:f>IF(AND(COUNT(P1162:R1162)=3,MIN(P1162:R1162)&gt;=0,P1162&lt;=Q1162,Q1162&lt;=R1162),P1162/7*0.5+Q1162/14*0.3+R1162/30*0.2,"")</x:f>
        <x:v>2.536190476190476</x:v>
      </x:c>
      <x:c r="H1162" s="10" t="n">
        <x:f>IF(ISNUMBER(U1162),U1162,"")</x:f>
        <x:v>19</x:v>
      </x:c>
      <x:c r="I1162" s="10" t="n">
        <x:v>42</x:v>
      </x:c>
      <x:c r="J1162" s="11" t="n">
        <x:f>IF(AND(Z1162="共同",ISNUMBER(F1162),ISNUMBER(M1162)),F1162-M1162,"")</x:f>
        <x:v>-18.735032525208332</x:v>
      </x:c>
      <x:c r="K1162" s="13" t="n">
        <x:f>IF(AND(ISNUMBER(J1162),M1162&lt;&gt;0),J1162/M1162,"")</x:f>
        <x:v>-0.7143527707741001</x:v>
      </x:c>
      <x:c r="L1162" s="10" t="str">
        <x:v>补货提醒</x:v>
      </x:c>
      <x:c r="M1162" s="11" t="n">
        <x:v>26.22658340767172</x:v>
      </x:c>
      <x:c r="N1162" s="10" t="n">
        <x:f>IF(AND(Z1162="共同",COUNT(H1162:I1162)=2),H1162-I1162,"")</x:f>
        <x:v>-23</x:v>
      </x:c>
      <x:c r="O1162" s="10" t="n">
        <x:v>20</x:v>
      </x:c>
      <x:c r="P1162" s="10" t="n">
        <x:v>21</x:v>
      </x:c>
      <x:c r="Q1162" s="10" t="n">
        <x:v>30</x:v>
      </x:c>
      <x:c r="R1162" s="10" t="n">
        <x:v>59</x:v>
      </x:c>
      <x:c r="S1162" s="10" t="n">
        <x:v>27</x:v>
      </x:c>
      <x:c r="T1162" s="10" t="n">
        <x:v>1</x:v>
      </x:c>
      <x:c r="U1162" s="10" t="n">
        <x:f>IF(AND(ISNUMBER(X1162),X1162&gt;=0,Y1162&lt;&gt;1),X1162,"")</x:f>
        <x:v>19</x:v>
      </x:c>
      <x:c r="V1162" s="10" t="n">
        <x:v>0</x:v>
      </x:c>
      <x:c r="W1162" s="10" t="n">
        <x:v>78</x:v>
      </x:c>
      <x:c r="X1162" s="10" t="n">
        <x:v>19</x:v>
      </x:c>
      <x:c r="Y1162" s="3" t="n">
        <x:v>0</x:v>
      </x:c>
      <x:c r="Z1162" s="3" t="str">
        <x:v>共同</x:v>
      </x:c>
      <x:c r="AA1162" s="3" t="str">
        <x:v>在售</x:v>
      </x:c>
      <x:c r="AB1162" s="12" t="n">
        <x:f>IF(AND(Z1162="共同",ISNUMBER(G1162),ISNUMBER(AD1162)),G1162-AD1162,"")</x:f>
        <x:v>0.9347619047619042</x:v>
      </x:c>
      <x:c r="AC1162" s="3" t="str"/>
      <x:c r="AD1162" s="12" t="n">
        <x:v>1.6014285714285716</x:v>
      </x:c>
      <x:c r="AE1162" s="3" t="str">
        <x:v>[13120,"B06-BK-39.5"]</x:v>
      </x:c>
      <x:c r="AF1162" t="n">
        <x:f>IF(ISNUMBER(H1162),1,0)</x:f>
        <x:v>1</x:v>
      </x:c>
      <x:c r="AG1162" t="n">
        <x:f>IF(ISNUMBER(I1162),1,0)</x:f>
        <x:v>1</x:v>
      </x:c>
      <x:c r="AH1162" t="str">
        <x:v>["B06","B06-BK","BK","黑色羊京绒"]</x:v>
      </x:c>
      <x:c r="AI1162" t="n">
        <x:f>IF(ISNUMBER(G1162),1,0)</x:f>
        <x:v>1</x:v>
      </x:c>
      <x:c r="AJ1162" t="n">
        <x:f>IF(ISNUMBER(AD1162),1,0)</x:f>
        <x:v>1</x:v>
      </x:c>
    </x:row>
    <x:row r="1163" ht="30" customHeight="1">
      <x:c r="A1163" s="3" t="str">
        <x:v>B06-BK-40</x:v>
      </x:c>
      <x:c r="B1163" s="3" t="str">
        <x:v>1店-MUSSHOE-US</x:v>
      </x:c>
      <x:c r="C1163" s="3" t="str">
        <x:v>艾年</x:v>
      </x:c>
      <x:c r="D1163" s="3" t="str">
        <x:v>B06</x:v>
      </x:c>
      <x:c r="E1163" s="3" t="str">
        <x:f>IF(Z1163="移出","已移出",IF(NOT(ISNUMBER(H1163)),"数据待核",IF(H1163=0,"断货",IF(NOT(ISNUMBER(G1163)),"数据待核",IF(G1163=0,"零日销待复核",IF(F1163&lt;60,"补货提醒",IF(F1163&lt;=90,"正常库存",IF(F1163&lt;180,"促销",IF(F1163&lt;=365,"红线促销","考虑清仓")))))))))</x:f>
        <x:v>补货提醒</x:v>
      </x:c>
      <x:c r="F1163" s="11" t="n">
        <x:f>IF(AND(ISNUMBER(H1163),ISNUMBER(G1163),G1163&gt;0),H1163/G1163,"")</x:f>
        <x:v>21.108114734003433</x:v>
      </x:c>
      <x:c r="G1163" s="12" t="n">
        <x:f>IF(AND(COUNT(P1163:R1163)=3,MIN(P1163:R1163)&gt;=0,P1163&lt;=Q1163,Q1163&lt;=R1163),P1163/7*0.5+Q1163/14*0.3+R1163/30*0.2,"")</x:f>
        <x:v>1.9423809523809523</x:v>
      </x:c>
      <x:c r="H1163" s="10" t="n">
        <x:f>IF(ISNUMBER(U1163),U1163,"")</x:f>
        <x:v>41</x:v>
      </x:c>
      <x:c r="I1163" s="10" t="n">
        <x:v>50</x:v>
      </x:c>
      <x:c r="J1163" s="11" t="n">
        <x:f>IF(AND(Z1163="共同",ISNUMBER(F1163),ISNUMBER(M1163)),F1163-M1163,"")</x:f>
        <x:v>-20.361079578792772</x:v>
      </x:c>
      <x:c r="K1163" s="13" t="n">
        <x:f>IF(AND(ISNUMBER(J1163),M1163&lt;&gt;0),J1163/M1163,"")</x:f>
        <x:v>-0.49099289041431715</x:v>
      </x:c>
      <x:c r="L1163" s="10" t="str">
        <x:v>补货提醒</x:v>
      </x:c>
      <x:c r="M1163" s="11" t="n">
        <x:v>41.469194312796205</x:v>
      </x:c>
      <x:c r="N1163" s="10" t="n">
        <x:f>IF(AND(Z1163="共同",COUNT(H1163:I1163)=2),H1163-I1163,"")</x:f>
        <x:v>-9</x:v>
      </x:c>
      <x:c r="O1163" s="10" t="n">
        <x:v>0</x:v>
      </x:c>
      <x:c r="P1163" s="10" t="n">
        <x:v>16</x:v>
      </x:c>
      <x:c r="Q1163" s="10" t="n">
        <x:v>23</x:v>
      </x:c>
      <x:c r="R1163" s="10" t="n">
        <x:v>46</x:v>
      </x:c>
      <x:c r="S1163" s="10" t="n">
        <x:v>55</x:v>
      </x:c>
      <x:c r="T1163" s="10" t="n">
        <x:v>1</x:v>
      </x:c>
      <x:c r="U1163" s="10" t="n">
        <x:f>IF(AND(ISNUMBER(X1163),X1163&gt;=0,Y1163&lt;&gt;1),X1163,"")</x:f>
        <x:v>41</x:v>
      </x:c>
      <x:c r="V1163" s="10" t="n">
        <x:v>0</x:v>
      </x:c>
      <x:c r="W1163" s="10" t="n">
        <x:v>119</x:v>
      </x:c>
      <x:c r="X1163" s="10" t="n">
        <x:v>41</x:v>
      </x:c>
      <x:c r="Y1163" s="3" t="n">
        <x:v>0</x:v>
      </x:c>
      <x:c r="Z1163" s="3" t="str">
        <x:v>共同</x:v>
      </x:c>
      <x:c r="AA1163" s="3" t="str">
        <x:v>在售</x:v>
      </x:c>
      <x:c r="AB1163" s="12" t="n">
        <x:f>IF(AND(Z1163="共同",ISNUMBER(G1163),ISNUMBER(AD1163)),G1163-AD1163,"")</x:f>
        <x:v>0.7366666666666666</x:v>
      </x:c>
      <x:c r="AC1163" s="3" t="str"/>
      <x:c r="AD1163" s="12" t="n">
        <x:v>1.2057142857142857</x:v>
      </x:c>
      <x:c r="AE1163" s="3" t="str">
        <x:v>[13120,"B06-BK-40"]</x:v>
      </x:c>
      <x:c r="AF1163" t="n">
        <x:f>IF(ISNUMBER(H1163),1,0)</x:f>
        <x:v>1</x:v>
      </x:c>
      <x:c r="AG1163" t="n">
        <x:f>IF(ISNUMBER(I1163),1,0)</x:f>
        <x:v>1</x:v>
      </x:c>
      <x:c r="AH1163" t="str">
        <x:v>["B06","B06-BK","BK","黑色羊京绒"]</x:v>
      </x:c>
      <x:c r="AI1163" t="n">
        <x:f>IF(ISNUMBER(G1163),1,0)</x:f>
        <x:v>1</x:v>
      </x:c>
      <x:c r="AJ1163" t="n">
        <x:f>IF(ISNUMBER(AD1163),1,0)</x:f>
        <x:v>1</x:v>
      </x:c>
    </x:row>
    <x:row r="1164" ht="30" customHeight="1">
      <x:c r="A1164" s="3" t="str">
        <x:v>B06-BK-40.5</x:v>
      </x:c>
      <x:c r="B1164" s="3" t="str">
        <x:v>1店-MUSSHOE-US</x:v>
      </x:c>
      <x:c r="C1164" s="3" t="str">
        <x:v>艾年</x:v>
      </x:c>
      <x:c r="D1164" s="3" t="str">
        <x:v>B06</x:v>
      </x:c>
      <x:c r="E1164" s="3" t="str">
        <x:f>IF(Z1164="移出","已移出",IF(NOT(ISNUMBER(H1164)),"数据待核",IF(H1164=0,"断货",IF(NOT(ISNUMBER(G1164)),"数据待核",IF(G1164=0,"零日销待复核",IF(F1164&lt;60,"补货提醒",IF(F1164&lt;=90,"正常库存",IF(F1164&lt;180,"促销",IF(F1164&lt;=365,"红线促销","考虑清仓")))))))))</x:f>
        <x:v>补货提醒</x:v>
      </x:c>
      <x:c r="F1164" s="11" t="n">
        <x:f>IF(AND(ISNUMBER(H1164),ISNUMBER(G1164),G1164&gt;0),H1164/G1164,"")</x:f>
        <x:v>13.588568347263415</x:v>
      </x:c>
      <x:c r="G1164" s="12" t="n">
        <x:f>IF(AND(COUNT(P1164:R1164)=3,MIN(P1164:R1164)&gt;=0,P1164&lt;=Q1164,Q1164&lt;=R1164),P1164/7*0.5+Q1164/14*0.3+R1164/30*0.2,"")</x:f>
        <x:v>1.766190476190476</x:v>
      </x:c>
      <x:c r="H1164" s="10" t="n">
        <x:f>IF(ISNUMBER(U1164),U1164,"")</x:f>
        <x:v>24</x:v>
      </x:c>
      <x:c r="I1164" s="10" t="n">
        <x:v>43</x:v>
      </x:c>
      <x:c r="J1164" s="11" t="n">
        <x:f>IF(AND(Z1164="共同",ISNUMBER(F1164),ISNUMBER(M1164)),F1164-M1164,"")</x:f>
        <x:v>-102.6276478689528</x:v>
      </x:c>
      <x:c r="K1164" s="13" t="n">
        <x:f>IF(AND(ISNUMBER(J1164),M1164&lt;&gt;0),J1164/M1164,"")</x:f>
        <x:v>-0.883075109570059</x:v>
      </x:c>
      <x:c r="L1164" s="10" t="str">
        <x:v>促销</x:v>
      </x:c>
      <x:c r="M1164" s="11" t="n">
        <x:v>116.21621621621622</x:v>
      </x:c>
      <x:c r="N1164" s="10" t="n">
        <x:f>IF(AND(Z1164="共同",COUNT(H1164:I1164)=2),H1164-I1164,"")</x:f>
        <x:v>-19</x:v>
      </x:c>
      <x:c r="O1164" s="10" t="n">
        <x:v>20</x:v>
      </x:c>
      <x:c r="P1164" s="10" t="n">
        <x:v>16</x:v>
      </x:c>
      <x:c r="Q1164" s="10" t="n">
        <x:v>21</x:v>
      </x:c>
      <x:c r="R1164" s="10" t="n">
        <x:v>26</x:v>
      </x:c>
      <x:c r="S1164" s="10" t="n">
        <x:v>27</x:v>
      </x:c>
      <x:c r="T1164" s="10" t="n">
        <x:v>0</x:v>
      </x:c>
      <x:c r="U1164" s="10" t="n">
        <x:f>IF(AND(ISNUMBER(X1164),X1164&gt;=0,Y1164&lt;&gt;1),X1164,"")</x:f>
        <x:v>24</x:v>
      </x:c>
      <x:c r="V1164" s="10" t="n">
        <x:v>0</x:v>
      </x:c>
      <x:c r="W1164" s="10" t="n">
        <x:v>37</x:v>
      </x:c>
      <x:c r="X1164" s="10" t="n">
        <x:v>24</x:v>
      </x:c>
      <x:c r="Y1164" s="3" t="n">
        <x:v>0</x:v>
      </x:c>
      <x:c r="Z1164" s="3" t="str">
        <x:v>共同</x:v>
      </x:c>
      <x:c r="AA1164" s="3" t="str">
        <x:v>在售</x:v>
      </x:c>
      <x:c r="AB1164" s="12" t="n">
        <x:f>IF(AND(Z1164="共同",ISNUMBER(G1164),ISNUMBER(AD1164)),G1164-AD1164,"")</x:f>
        <x:v>1.3961904761904762</x:v>
      </x:c>
      <x:c r="AC1164" s="3" t="str"/>
      <x:c r="AD1164" s="12" t="n">
        <x:v>0.37</x:v>
      </x:c>
      <x:c r="AE1164" s="3" t="str">
        <x:v>[13120,"B06-BK-40.5"]</x:v>
      </x:c>
      <x:c r="AF1164" t="n">
        <x:f>IF(ISNUMBER(H1164),1,0)</x:f>
        <x:v>1</x:v>
      </x:c>
      <x:c r="AG1164" t="n">
        <x:f>IF(ISNUMBER(I1164),1,0)</x:f>
        <x:v>1</x:v>
      </x:c>
      <x:c r="AH1164" t="str">
        <x:v>["B06","B06-BK","BK","黑色羊京绒"]</x:v>
      </x:c>
      <x:c r="AI1164" t="n">
        <x:f>IF(ISNUMBER(G1164),1,0)</x:f>
        <x:v>1</x:v>
      </x:c>
      <x:c r="AJ1164" t="n">
        <x:f>IF(ISNUMBER(AD1164),1,0)</x:f>
        <x:v>1</x:v>
      </x:c>
    </x:row>
    <x:row r="1165" ht="30" customHeight="1">
      <x:c r="A1165" s="3" t="str">
        <x:v>B06-BK-41</x:v>
      </x:c>
      <x:c r="B1165" s="3" t="str">
        <x:v>1店-MUSSHOE-US</x:v>
      </x:c>
      <x:c r="C1165" s="3" t="str">
        <x:v>艾年</x:v>
      </x:c>
      <x:c r="D1165" s="3" t="str">
        <x:v>B06</x:v>
      </x:c>
      <x:c r="E1165" s="3" t="str">
        <x:f>IF(Z1165="移出","已移出",IF(NOT(ISNUMBER(H1165)),"数据待核",IF(H1165=0,"断货",IF(NOT(ISNUMBER(G1165)),"数据待核",IF(G1165=0,"零日销待复核",IF(F1165&lt;60,"补货提醒",IF(F1165&lt;=90,"正常库存",IF(F1165&lt;180,"促销",IF(F1165&lt;=365,"红线促销","考虑清仓")))))))))</x:f>
        <x:v>补货提醒</x:v>
      </x:c>
      <x:c r="F1165" s="11" t="n">
        <x:f>IF(AND(ISNUMBER(H1165),ISNUMBER(G1165),G1165&gt;0),H1165/G1165,"")</x:f>
        <x:v>28.668941979522184</x:v>
      </x:c>
      <x:c r="G1165" s="12" t="n">
        <x:f>IF(AND(COUNT(P1165:R1165)=3,MIN(P1165:R1165)&gt;=0,P1165&lt;=Q1165,Q1165&lt;=R1165),P1165/7*0.5+Q1165/14*0.3+R1165/30*0.2,"")</x:f>
        <x:v>1.1161904761904762</x:v>
      </x:c>
      <x:c r="H1165" s="10" t="n">
        <x:f>IF(ISNUMBER(U1165),U1165,"")</x:f>
        <x:v>32</x:v>
      </x:c>
      <x:c r="I1165" s="10" t="n">
        <x:v>44</x:v>
      </x:c>
      <x:c r="J1165" s="11" t="n">
        <x:f>IF(AND(Z1165="共同",ISNUMBER(F1165),ISNUMBER(M1165)),F1165-M1165,"")</x:f>
        <x:v>-18.28227753267294</x:v>
      </x:c>
      <x:c r="K1165" s="13" t="n">
        <x:f>IF(AND(ISNUMBER(J1165),M1165&lt;&gt;0),J1165/M1165,"")</x:f>
        <x:v>-0.3893887682283587</x:v>
      </x:c>
      <x:c r="L1165" s="10" t="str">
        <x:v>补货提醒</x:v>
      </x:c>
      <x:c r="M1165" s="11" t="n">
        <x:v>46.951219512195124</x:v>
      </x:c>
      <x:c r="N1165" s="10" t="n">
        <x:f>IF(AND(Z1165="共同",COUNT(H1165:I1165)=2),H1165-I1165,"")</x:f>
        <x:v>-12</x:v>
      </x:c>
      <x:c r="O1165" s="10" t="n">
        <x:v>26</x:v>
      </x:c>
      <x:c r="P1165" s="10" t="n">
        <x:v>9</x:v>
      </x:c>
      <x:c r="Q1165" s="10" t="n">
        <x:v>14</x:v>
      </x:c>
      <x:c r="R1165" s="10" t="n">
        <x:v>26</x:v>
      </x:c>
      <x:c r="S1165" s="10" t="n">
        <x:v>36</x:v>
      </x:c>
      <x:c r="T1165" s="10" t="n">
        <x:v>0</x:v>
      </x:c>
      <x:c r="U1165" s="10" t="n">
        <x:f>IF(AND(ISNUMBER(X1165),X1165&gt;=0,Y1165&lt;&gt;1),X1165,"")</x:f>
        <x:v>32</x:v>
      </x:c>
      <x:c r="V1165" s="10" t="n">
        <x:v>0</x:v>
      </x:c>
      <x:c r="W1165" s="10" t="n">
        <x:v>57</x:v>
      </x:c>
      <x:c r="X1165" s="10" t="n">
        <x:v>32</x:v>
      </x:c>
      <x:c r="Y1165" s="3" t="n">
        <x:v>0</x:v>
      </x:c>
      <x:c r="Z1165" s="3" t="str">
        <x:v>共同</x:v>
      </x:c>
      <x:c r="AA1165" s="3" t="str">
        <x:v>在售</x:v>
      </x:c>
      <x:c r="AB1165" s="12" t="n">
        <x:f>IF(AND(Z1165="共同",ISNUMBER(G1165),ISNUMBER(AD1165)),G1165-AD1165,"")</x:f>
        <x:v>0.179047619047619</x:v>
      </x:c>
      <x:c r="AC1165" s="3" t="str"/>
      <x:c r="AD1165" s="12" t="n">
        <x:v>0.9371428571428572</x:v>
      </x:c>
      <x:c r="AE1165" s="3" t="str">
        <x:v>[13120,"B06-BK-41"]</x:v>
      </x:c>
      <x:c r="AF1165" t="n">
        <x:f>IF(ISNUMBER(H1165),1,0)</x:f>
        <x:v>1</x:v>
      </x:c>
      <x:c r="AG1165" t="n">
        <x:f>IF(ISNUMBER(I1165),1,0)</x:f>
        <x:v>1</x:v>
      </x:c>
      <x:c r="AH1165" t="str">
        <x:v>["B06","B06-BK","BK","黑色羊京绒"]</x:v>
      </x:c>
      <x:c r="AI1165" t="n">
        <x:f>IF(ISNUMBER(G1165),1,0)</x:f>
        <x:v>1</x:v>
      </x:c>
      <x:c r="AJ1165" t="n">
        <x:f>IF(ISNUMBER(AD1165),1,0)</x:f>
        <x:v>1</x:v>
      </x:c>
    </x:row>
    <x:row r="1166" ht="30" customHeight="1">
      <x:c r="A1166" s="3" t="str">
        <x:v>B06-BK-V-0-40</x:v>
      </x:c>
      <x:c r="B1166" s="3" t="str">
        <x:v>1店-MUSSHOE-US</x:v>
      </x:c>
      <x:c r="C1166" s="3" t="str">
        <x:v>艾年</x:v>
      </x:c>
      <x:c r="D1166" s="3" t="str">
        <x:v>B06</x:v>
      </x:c>
      <x:c r="E1166" s="3" t="str">
        <x:f>IF(Z1166="移出","已移出",IF(NOT(ISNUMBER(H1166)),"数据待核",IF(H1166=0,"断货",IF(NOT(ISNUMBER(G1166)),"数据待核",IF(G1166=0,"零日销待复核",IF(F1166&lt;60,"补货提醒",IF(F1166&lt;=90,"正常库存",IF(F1166&lt;180,"促销",IF(F1166&lt;=365,"红线促销","考虑清仓")))))))))</x:f>
        <x:v>补货提醒</x:v>
      </x:c>
      <x:c r="F1166" s="11" t="n">
        <x:f>IF(AND(ISNUMBER(H1166),ISNUMBER(G1166),G1166&gt;0),H1166/G1166,"")</x:f>
        <x:v>2.896551724137931</x:v>
      </x:c>
      <x:c r="G1166" s="12" t="n">
        <x:f>IF(AND(COUNT(P1166:R1166)=3,MIN(P1166:R1166)&gt;=0,P1166&lt;=Q1166,Q1166&lt;=R1166),P1166/7*0.5+Q1166/14*0.3+R1166/30*0.2,"")</x:f>
        <x:v>0.34523809523809523</x:v>
      </x:c>
      <x:c r="H1166" s="10" t="n">
        <x:f>IF(ISNUMBER(U1166),U1166,"")</x:f>
        <x:v>1</x:v>
      </x:c>
      <x:c r="I1166" s="10" t="n">
        <x:v>0</x:v>
      </x:c>
      <x:c r="J1166" s="11" t="n">
        <x:f>IF(AND(Z1166="共同",ISNUMBER(F1166),ISNUMBER(M1166)),F1166-M1166,"")</x:f>
        <x:v>2.896551724137931</x:v>
      </x:c>
      <x:c r="K1166" s="13" t="str">
        <x:f>IF(AND(ISNUMBER(J1166),M1166&lt;&gt;0),J1166/M1166,"")</x:f>
      </x:c>
      <x:c r="L1166" s="10" t="str">
        <x:v>断货</x:v>
      </x:c>
      <x:c r="M1166" s="11" t="n">
        <x:v>0</x:v>
      </x:c>
      <x:c r="N1166" s="10" t="n">
        <x:f>IF(AND(Z1166="共同",COUNT(H1166:I1166)=2),H1166-I1166,"")</x:f>
        <x:v>1</x:v>
      </x:c>
      <x:c r="O1166" s="10" t="n">
        <x:v>0</x:v>
      </x:c>
      <x:c r="P1166" s="10" t="n">
        <x:v>3</x:v>
      </x:c>
      <x:c r="Q1166" s="10" t="n">
        <x:v>3</x:v>
      </x:c>
      <x:c r="R1166" s="10" t="n">
        <x:v>10</x:v>
      </x:c>
      <x:c r="S1166" s="10" t="n">
        <x:v>5</x:v>
      </x:c>
      <x:c r="T1166" s="10" t="n">
        <x:v>0</x:v>
      </x:c>
      <x:c r="U1166" s="10" t="n">
        <x:f>IF(AND(ISNUMBER(X1166),X1166&gt;=0,Y1166&lt;&gt;1),X1166,"")</x:f>
        <x:v>1</x:v>
      </x:c>
      <x:c r="V1166" s="10" t="n">
        <x:v>0</x:v>
      </x:c>
      <x:c r="W1166" s="10" t="n">
        <x:v>0</x:v>
      </x:c>
      <x:c r="X1166" s="10" t="n">
        <x:v>1</x:v>
      </x:c>
      <x:c r="Y1166" s="3" t="n">
        <x:v>0</x:v>
      </x:c>
      <x:c r="Z1166" s="3" t="str">
        <x:v>共同</x:v>
      </x:c>
      <x:c r="AA1166" s="3" t="str">
        <x:v>在售</x:v>
      </x:c>
      <x:c r="AB1166" s="12" t="n">
        <x:f>IF(AND(Z1166="共同",ISNUMBER(G1166),ISNUMBER(AD1166)),G1166-AD1166,"")</x:f>
        <x:v>0.07047619047619047</x:v>
      </x:c>
      <x:c r="AC1166" s="3" t="str"/>
      <x:c r="AD1166" s="12" t="n">
        <x:v>0.27476190476190476</x:v>
      </x:c>
      <x:c r="AE1166" s="3" t="str">
        <x:v>[13120,"B06-BK-V-0-40"]</x:v>
      </x:c>
      <x:c r="AF1166" t="n">
        <x:f>IF(ISNUMBER(H1166),1,0)</x:f>
        <x:v>1</x:v>
      </x:c>
      <x:c r="AG1166" t="n">
        <x:f>IF(ISNUMBER(I1166),1,0)</x:f>
        <x:v>1</x:v>
      </x:c>
      <x:c r="AH1166" t="str">
        <x:v>["B06","B06-BK-V-0","BK-V","黑色天鹅绒"]</x:v>
      </x:c>
      <x:c r="AI1166" t="n">
        <x:f>IF(ISNUMBER(G1166),1,0)</x:f>
        <x:v>1</x:v>
      </x:c>
      <x:c r="AJ1166" t="n">
        <x:f>IF(ISNUMBER(AD1166),1,0)</x:f>
        <x:v>1</x:v>
      </x:c>
    </x:row>
    <x:row r="1167" ht="30" customHeight="1">
      <x:c r="A1167" s="3" t="str">
        <x:v>B06-BK1-42</x:v>
      </x:c>
      <x:c r="B1167" s="3" t="str">
        <x:v>1店-MUSSHOE-US</x:v>
      </x:c>
      <x:c r="C1167" s="3" t="str">
        <x:v>艾年</x:v>
      </x:c>
      <x:c r="D1167" s="3" t="str">
        <x:v>B06</x:v>
      </x:c>
      <x:c r="E1167" s="3" t="str">
        <x:f>IF(Z1167="移出","已移出",IF(NOT(ISNUMBER(H1167)),"数据待核",IF(H1167=0,"断货",IF(NOT(ISNUMBER(G1167)),"数据待核",IF(G1167=0,"零日销待复核",IF(F1167&lt;60,"补货提醒",IF(F1167&lt;=90,"正常库存",IF(F1167&lt;180,"促销",IF(F1167&lt;=365,"红线促销","考虑清仓")))))))))</x:f>
        <x:v>补货提醒</x:v>
      </x:c>
      <x:c r="F1167" s="11" t="n">
        <x:f>IF(AND(ISNUMBER(H1167),ISNUMBER(G1167),G1167&gt;0),H1167/G1167,"")</x:f>
        <x:v>3.6162361623616235</x:v>
      </x:c>
      <x:c r="G1167" s="12" t="n">
        <x:f>IF(AND(COUNT(P1167:R1167)=3,MIN(P1167:R1167)&gt;=0,P1167&lt;=Q1167,Q1167&lt;=R1167),P1167/7*0.5+Q1167/14*0.3+R1167/30*0.2,"")</x:f>
        <x:v>1.9357142857142857</x:v>
      </x:c>
      <x:c r="H1167" s="10" t="n">
        <x:f>IF(ISNUMBER(U1167),U1167,"")</x:f>
        <x:v>7</x:v>
      </x:c>
      <x:c r="I1167" s="10" t="n">
        <x:v>25</x:v>
      </x:c>
      <x:c r="J1167" s="11" t="n">
        <x:f>IF(AND(Z1167="共同",ISNUMBER(F1167),ISNUMBER(M1167)),F1167-M1167,"")</x:f>
        <x:v>-31.92878753432084</x:v>
      </x:c>
      <x:c r="K1167" s="13" t="n">
        <x:f>IF(AND(ISNUMBER(J1167),M1167&lt;&gt;0),J1167/M1167,"")</x:f>
        <x:v>-0.8982632226322264</x:v>
      </x:c>
      <x:c r="L1167" s="10" t="str">
        <x:v>补货提醒</x:v>
      </x:c>
      <x:c r="M1167" s="11" t="n">
        <x:v>35.54502369668246</x:v>
      </x:c>
      <x:c r="N1167" s="10" t="n">
        <x:f>IF(AND(Z1167="共同",COUNT(H1167:I1167)=2),H1167-I1167,"")</x:f>
        <x:v>-18</x:v>
      </x:c>
      <x:c r="O1167" s="10" t="n">
        <x:v>0</x:v>
      </x:c>
      <x:c r="P1167" s="10" t="n">
        <x:v>18</x:v>
      </x:c>
      <x:c r="Q1167" s="10" t="n">
        <x:v>21</x:v>
      </x:c>
      <x:c r="R1167" s="10" t="n">
        <x:v>30</x:v>
      </x:c>
      <x:c r="S1167" s="10" t="n">
        <x:v>11</x:v>
      </x:c>
      <x:c r="T1167" s="10" t="n">
        <x:v>2</x:v>
      </x:c>
      <x:c r="U1167" s="10" t="n">
        <x:f>IF(AND(ISNUMBER(X1167),X1167&gt;=0,Y1167&lt;&gt;1),X1167,"")</x:f>
        <x:v>7</x:v>
      </x:c>
      <x:c r="V1167" s="10" t="n">
        <x:v>0</x:v>
      </x:c>
      <x:c r="W1167" s="10" t="n">
        <x:v>0</x:v>
      </x:c>
      <x:c r="X1167" s="10" t="n">
        <x:v>7</x:v>
      </x:c>
      <x:c r="Y1167" s="3" t="n">
        <x:v>0</x:v>
      </x:c>
      <x:c r="Z1167" s="3" t="str">
        <x:v>共同</x:v>
      </x:c>
      <x:c r="AA1167" s="3" t="str">
        <x:v>在售</x:v>
      </x:c>
      <x:c r="AB1167" s="12" t="n">
        <x:f>IF(AND(Z1167="共同",ISNUMBER(G1167),ISNUMBER(AD1167)),G1167-AD1167,"")</x:f>
        <x:v>1.2323809523809524</x:v>
      </x:c>
      <x:c r="AC1167" s="3" t="str"/>
      <x:c r="AD1167" s="12" t="n">
        <x:v>0.7033333333333334</x:v>
      </x:c>
      <x:c r="AE1167" s="3" t="str">
        <x:v>[13120,"B06-BK1-42"]</x:v>
      </x:c>
      <x:c r="AF1167" t="n">
        <x:f>IF(ISNUMBER(H1167),1,0)</x:f>
        <x:v>1</x:v>
      </x:c>
      <x:c r="AG1167" t="n">
        <x:f>IF(ISNUMBER(I1167),1,0)</x:f>
        <x:v>1</x:v>
      </x:c>
      <x:c r="AH1167" t="str">
        <x:v>["B06","B06-BK1","BK1","黑色羊京绒"]</x:v>
      </x:c>
      <x:c r="AI1167" t="n">
        <x:f>IF(ISNUMBER(G1167),1,0)</x:f>
        <x:v>1</x:v>
      </x:c>
      <x:c r="AJ1167" t="n">
        <x:f>IF(ISNUMBER(AD1167),1,0)</x:f>
        <x:v>1</x:v>
      </x:c>
    </x:row>
    <x:row r="1168" ht="30" customHeight="1">
      <x:c r="A1168" s="3" t="str">
        <x:v>B06-BKP-38-N</x:v>
      </x:c>
      <x:c r="B1168" s="3" t="str">
        <x:v>1店-MUSSHOE-US</x:v>
      </x:c>
      <x:c r="C1168" s="3" t="str">
        <x:v>艾年</x:v>
      </x:c>
      <x:c r="D1168" s="3" t="str">
        <x:v>B06</x:v>
      </x:c>
      <x:c r="E1168" s="3" t="str">
        <x:f>IF(Z1168="移出","已移出",IF(NOT(ISNUMBER(H1168)),"数据待核",IF(H1168=0,"断货",IF(NOT(ISNUMBER(G1168)),"数据待核",IF(G1168=0,"零日销待复核",IF(F1168&lt;60,"补货提醒",IF(F1168&lt;=90,"正常库存",IF(F1168&lt;180,"促销",IF(F1168&lt;=365,"红线促销","考虑清仓")))))))))</x:f>
        <x:v>补货提醒</x:v>
      </x:c>
      <x:c r="F1168" s="11" t="n">
        <x:f>IF(AND(ISNUMBER(H1168),ISNUMBER(G1168),G1168&gt;0),H1168/G1168,"")</x:f>
        <x:v>45.36</x:v>
      </x:c>
      <x:c r="G1168" s="12" t="n">
        <x:f>IF(AND(COUNT(P1168:R1168)=3,MIN(P1168:R1168)&gt;=0,P1168&lt;=Q1168,Q1168&lt;=R1168),P1168/7*0.5+Q1168/14*0.3+R1168/30*0.2,"")</x:f>
        <x:v>0.5952380952380952</x:v>
      </x:c>
      <x:c r="H1168" s="10" t="n">
        <x:f>IF(ISNUMBER(U1168),U1168,"")</x:f>
        <x:v>27</x:v>
      </x:c>
      <x:c r="I1168" s="10" t="n">
        <x:v>30</x:v>
      </x:c>
      <x:c r="J1168" s="11" t="n">
        <x:f>IF(AND(Z1168="共同",ISNUMBER(F1168),ISNUMBER(M1168)),F1168-M1168,"")</x:f>
        <x:v>-114.53847715736039</x:v>
      </x:c>
      <x:c r="K1168" s="13" t="n">
        <x:f>IF(AND(ISNUMBER(J1168),M1168&lt;&gt;0),J1168/M1168,"")</x:f>
        <x:v>-0.71632</x:v>
      </x:c>
      <x:c r="L1168" s="10" t="str">
        <x:v>促销</x:v>
      </x:c>
      <x:c r="M1168" s="11" t="n">
        <x:v>159.8984771573604</x:v>
      </x:c>
      <x:c r="N1168" s="10" t="n">
        <x:f>IF(AND(Z1168="共同",COUNT(H1168:I1168)=2),H1168-I1168,"")</x:f>
        <x:v>-3</x:v>
      </x:c>
      <x:c r="O1168" s="10" t="n">
        <x:v>42</x:v>
      </x:c>
      <x:c r="P1168" s="10" t="n">
        <x:v>5</x:v>
      </x:c>
      <x:c r="Q1168" s="10" t="n">
        <x:v>8</x:v>
      </x:c>
      <x:c r="R1168" s="10" t="n">
        <x:v>10</x:v>
      </x:c>
      <x:c r="S1168" s="10" t="n">
        <x:v>28</x:v>
      </x:c>
      <x:c r="T1168" s="10" t="n">
        <x:v>0</x:v>
      </x:c>
      <x:c r="U1168" s="10" t="n">
        <x:f>IF(AND(ISNUMBER(X1168),X1168&gt;=0,Y1168&lt;&gt;1),X1168,"")</x:f>
        <x:v>27</x:v>
      </x:c>
      <x:c r="V1168" s="10" t="n">
        <x:v>0</x:v>
      </x:c>
      <x:c r="W1168" s="10" t="n">
        <x:v>20</x:v>
      </x:c>
      <x:c r="X1168" s="10" t="n">
        <x:v>27</x:v>
      </x:c>
      <x:c r="Y1168" s="3" t="n">
        <x:v>0</x:v>
      </x:c>
      <x:c r="Z1168" s="3" t="str">
        <x:v>共同</x:v>
      </x:c>
      <x:c r="AA1168" s="3" t="str">
        <x:v>在售</x:v>
      </x:c>
      <x:c r="AB1168" s="12" t="n">
        <x:f>IF(AND(Z1168="共同",ISNUMBER(G1168),ISNUMBER(AD1168)),G1168-AD1168,"")</x:f>
        <x:v>0.4076190476190476</x:v>
      </x:c>
      <x:c r="AC1168" s="3" t="str"/>
      <x:c r="AD1168" s="12" t="n">
        <x:v>0.18761904761904763</x:v>
      </x:c>
      <x:c r="AE1168" s="3" t="str">
        <x:v>[13120,"B06-BKP-38-N"]</x:v>
      </x:c>
      <x:c r="AF1168" t="n">
        <x:f>IF(ISNUMBER(H1168),1,0)</x:f>
        <x:v>1</x:v>
      </x:c>
      <x:c r="AG1168" t="n">
        <x:f>IF(ISNUMBER(I1168),1,0)</x:f>
        <x:v>1</x:v>
      </x:c>
      <x:c r="AH1168" t="str">
        <x:v>["B06","B06-BKP","BKP","黑色PU"]</x:v>
      </x:c>
      <x:c r="AI1168" t="n">
        <x:f>IF(ISNUMBER(G1168),1,0)</x:f>
        <x:v>1</x:v>
      </x:c>
      <x:c r="AJ1168" t="n">
        <x:f>IF(ISNUMBER(AD1168),1,0)</x:f>
        <x:v>1</x:v>
      </x:c>
    </x:row>
    <x:row r="1169" ht="30" customHeight="1">
      <x:c r="A1169" s="3" t="str">
        <x:v>B06-BKP-39-N</x:v>
      </x:c>
      <x:c r="B1169" s="3" t="str">
        <x:v>1店-MUSSHOE-US</x:v>
      </x:c>
      <x:c r="C1169" s="3" t="str">
        <x:v>艾年</x:v>
      </x:c>
      <x:c r="D1169" s="3" t="str">
        <x:v>B06</x:v>
      </x:c>
      <x:c r="E1169" s="3" t="str">
        <x:f>IF(Z1169="移出","已移出",IF(NOT(ISNUMBER(H1169)),"数据待核",IF(H1169=0,"断货",IF(NOT(ISNUMBER(G1169)),"数据待核",IF(G1169=0,"零日销待复核",IF(F1169&lt;60,"补货提醒",IF(F1169&lt;=90,"正常库存",IF(F1169&lt;180,"促销",IF(F1169&lt;=365,"红线促销","考虑清仓")))))))))</x:f>
        <x:v>补货提醒</x:v>
      </x:c>
      <x:c r="F1169" s="11" t="n">
        <x:f>IF(AND(ISNUMBER(H1169),ISNUMBER(G1169),G1169&gt;0),H1169/G1169,"")</x:f>
        <x:v>15.460122699386504</x:v>
      </x:c>
      <x:c r="G1169" s="12" t="n">
        <x:f>IF(AND(COUNT(P1169:R1169)=3,MIN(P1169:R1169)&gt;=0,P1169&lt;=Q1169,Q1169&lt;=R1169),P1169/7*0.5+Q1169/14*0.3+R1169/30*0.2,"")</x:f>
        <x:v>0.7761904761904761</x:v>
      </x:c>
      <x:c r="H1169" s="10" t="n">
        <x:f>IF(ISNUMBER(U1169),U1169,"")</x:f>
        <x:v>12</x:v>
      </x:c>
      <x:c r="I1169" s="10" t="n">
        <x:v>11</x:v>
      </x:c>
      <x:c r="J1169" s="11" t="n">
        <x:f>IF(AND(Z1169="共同",ISNUMBER(F1169),ISNUMBER(M1169)),F1169-M1169,"")</x:f>
        <x:v>-2.558598049443452</x:v>
      </x:c>
      <x:c r="K1169" s="13" t="n">
        <x:f>IF(AND(ISNUMBER(J1169),M1169&lt;&gt;0),J1169/M1169,"")</x:f>
        <x:v>-0.14199665365309544</x:v>
      </x:c>
      <x:c r="L1169" s="10" t="str">
        <x:v>补货提醒</x:v>
      </x:c>
      <x:c r="M1169" s="11" t="n">
        <x:v>18.018720748829956</x:v>
      </x:c>
      <x:c r="N1169" s="10" t="n">
        <x:f>IF(AND(Z1169="共同",COUNT(H1169:I1169)=2),H1169-I1169,"")</x:f>
        <x:v>1</x:v>
      </x:c>
      <x:c r="O1169" s="10" t="n">
        <x:v>47</x:v>
      </x:c>
      <x:c r="P1169" s="10" t="n">
        <x:v>6</x:v>
      </x:c>
      <x:c r="Q1169" s="10" t="n">
        <x:v>10</x:v>
      </x:c>
      <x:c r="R1169" s="10" t="n">
        <x:v>20</x:v>
      </x:c>
      <x:c r="S1169" s="10" t="n">
        <x:v>16</x:v>
      </x:c>
      <x:c r="T1169" s="10" t="n">
        <x:v>1</x:v>
      </x:c>
      <x:c r="U1169" s="10" t="n">
        <x:f>IF(AND(ISNUMBER(X1169),X1169&gt;=0,Y1169&lt;&gt;1),X1169,"")</x:f>
        <x:v>12</x:v>
      </x:c>
      <x:c r="V1169" s="10" t="n">
        <x:v>0</x:v>
      </x:c>
      <x:c r="W1169" s="10" t="n">
        <x:v>79</x:v>
      </x:c>
      <x:c r="X1169" s="10" t="n">
        <x:v>12</x:v>
      </x:c>
      <x:c r="Y1169" s="3" t="n">
        <x:v>0</x:v>
      </x:c>
      <x:c r="Z1169" s="3" t="str">
        <x:v>共同</x:v>
      </x:c>
      <x:c r="AA1169" s="3" t="str">
        <x:v>在售</x:v>
      </x:c>
      <x:c r="AB1169" s="12" t="n">
        <x:f>IF(AND(Z1169="共同",ISNUMBER(G1169),ISNUMBER(AD1169)),G1169-AD1169,"")</x:f>
        <x:v>0.1657142857142857</x:v>
      </x:c>
      <x:c r="AC1169" s="3" t="str"/>
      <x:c r="AD1169" s="12" t="n">
        <x:v>0.6104761904761904</x:v>
      </x:c>
      <x:c r="AE1169" s="3" t="str">
        <x:v>[13120,"B06-BKP-39-N"]</x:v>
      </x:c>
      <x:c r="AF1169" t="n">
        <x:f>IF(ISNUMBER(H1169),1,0)</x:f>
        <x:v>1</x:v>
      </x:c>
      <x:c r="AG1169" t="n">
        <x:f>IF(ISNUMBER(I1169),1,0)</x:f>
        <x:v>1</x:v>
      </x:c>
      <x:c r="AH1169" t="str">
        <x:v>["B06","B06-BKP","BKP","黑色PU"]</x:v>
      </x:c>
      <x:c r="AI1169" t="n">
        <x:f>IF(ISNUMBER(G1169),1,0)</x:f>
        <x:v>1</x:v>
      </x:c>
      <x:c r="AJ1169" t="n">
        <x:f>IF(ISNUMBER(AD1169),1,0)</x:f>
        <x:v>1</x:v>
      </x:c>
    </x:row>
    <x:row r="1170" ht="30" customHeight="1">
      <x:c r="A1170" s="3" t="str">
        <x:v>B06-BKP-40-N</x:v>
      </x:c>
      <x:c r="B1170" s="3" t="str">
        <x:v>1店-MUSSHOE-US</x:v>
      </x:c>
      <x:c r="C1170" s="3" t="str">
        <x:v>艾年</x:v>
      </x:c>
      <x:c r="D1170" s="3" t="str">
        <x:v>B06</x:v>
      </x:c>
      <x:c r="E1170" s="3" t="str">
        <x:f>IF(Z1170="移出","已移出",IF(NOT(ISNUMBER(H1170)),"数据待核",IF(H1170=0,"断货",IF(NOT(ISNUMBER(G1170)),"数据待核",IF(G1170=0,"零日销待复核",IF(F1170&lt;60,"补货提醒",IF(F1170&lt;=90,"正常库存",IF(F1170&lt;180,"促销",IF(F1170&lt;=365,"红线促销","考虑清仓")))))))))</x:f>
        <x:v>补货提醒</x:v>
      </x:c>
      <x:c r="F1170" s="11" t="n">
        <x:f>IF(AND(ISNUMBER(H1170),ISNUMBER(G1170),G1170&gt;0),H1170/G1170,"")</x:f>
        <x:v>23.578947368421055</x:v>
      </x:c>
      <x:c r="G1170" s="12" t="n">
        <x:f>IF(AND(COUNT(P1170:R1170)=3,MIN(P1170:R1170)&gt;=0,P1170&lt;=Q1170,Q1170&lt;=R1170),P1170/7*0.5+Q1170/14*0.3+R1170/30*0.2,"")</x:f>
        <x:v>0.6785714285714285</x:v>
      </x:c>
      <x:c r="H1170" s="10" t="n">
        <x:f>IF(ISNUMBER(U1170),U1170,"")</x:f>
        <x:v>16</x:v>
      </x:c>
      <x:c r="I1170" s="10" t="n">
        <x:v>16</x:v>
      </x:c>
      <x:c r="J1170" s="11" t="n">
        <x:f>IF(AND(Z1170="共同",ISNUMBER(F1170),ISNUMBER(M1170)),F1170-M1170,"")</x:f>
        <x:v>-5.212826410499254</x:v>
      </x:c>
      <x:c r="K1170" s="13" t="n">
        <x:f>IF(AND(ISNUMBER(J1170),M1170&lt;&gt;0),J1170/M1170,"")</x:f>
        <x:v>-0.1810526315789473</x:v>
      </x:c>
      <x:c r="L1170" s="10" t="str">
        <x:v>补货提醒</x:v>
      </x:c>
      <x:c r="M1170" s="11" t="n">
        <x:v>28.79177377892031</x:v>
      </x:c>
      <x:c r="N1170" s="10" t="n">
        <x:f>IF(AND(Z1170="共同",COUNT(H1170:I1170)=2),H1170-I1170,"")</x:f>
        <x:v>0</x:v>
      </x:c>
      <x:c r="O1170" s="10" t="n">
        <x:v>0</x:v>
      </x:c>
      <x:c r="P1170" s="10" t="n">
        <x:v>6</x:v>
      </x:c>
      <x:c r="Q1170" s="10" t="n">
        <x:v>7</x:v>
      </x:c>
      <x:c r="R1170" s="10" t="n">
        <x:v>15</x:v>
      </x:c>
      <x:c r="S1170" s="10" t="n">
        <x:v>19</x:v>
      </x:c>
      <x:c r="T1170" s="10" t="n">
        <x:v>0</x:v>
      </x:c>
      <x:c r="U1170" s="10" t="n">
        <x:f>IF(AND(ISNUMBER(X1170),X1170&gt;=0,Y1170&lt;&gt;1),X1170,"")</x:f>
        <x:v>16</x:v>
      </x:c>
      <x:c r="V1170" s="10" t="n">
        <x:v>0</x:v>
      </x:c>
      <x:c r="W1170" s="10" t="n">
        <x:v>37</x:v>
      </x:c>
      <x:c r="X1170" s="10" t="n">
        <x:v>16</x:v>
      </x:c>
      <x:c r="Y1170" s="3" t="n">
        <x:v>0</x:v>
      </x:c>
      <x:c r="Z1170" s="3" t="str">
        <x:v>共同</x:v>
      </x:c>
      <x:c r="AA1170" s="3" t="str">
        <x:v>在售</x:v>
      </x:c>
      <x:c r="AB1170" s="12" t="n">
        <x:f>IF(AND(Z1170="共同",ISNUMBER(G1170),ISNUMBER(AD1170)),G1170-AD1170,"")</x:f>
        <x:v>0.12285714285714278</x:v>
      </x:c>
      <x:c r="AC1170" s="3" t="str"/>
      <x:c r="AD1170" s="12" t="n">
        <x:v>0.5557142857142857</x:v>
      </x:c>
      <x:c r="AE1170" s="3" t="str">
        <x:v>[13120,"B06-BKP-40-N"]</x:v>
      </x:c>
      <x:c r="AF1170" t="n">
        <x:f>IF(ISNUMBER(H1170),1,0)</x:f>
        <x:v>1</x:v>
      </x:c>
      <x:c r="AG1170" t="n">
        <x:f>IF(ISNUMBER(I1170),1,0)</x:f>
        <x:v>1</x:v>
      </x:c>
      <x:c r="AH1170" t="str">
        <x:v>["B06","B06-BKP","BKP","黑色PU"]</x:v>
      </x:c>
      <x:c r="AI1170" t="n">
        <x:f>IF(ISNUMBER(G1170),1,0)</x:f>
        <x:v>1</x:v>
      </x:c>
      <x:c r="AJ1170" t="n">
        <x:f>IF(ISNUMBER(AD1170),1,0)</x:f>
        <x:v>1</x:v>
      </x:c>
    </x:row>
    <x:row r="1171" ht="30" customHeight="1">
      <x:c r="A1171" s="3" t="str">
        <x:v>B06-BKP-41.5</x:v>
      </x:c>
      <x:c r="B1171" s="3" t="str">
        <x:v>1店-MUSSHOE-US</x:v>
      </x:c>
      <x:c r="C1171" s="3" t="str">
        <x:v>艾年</x:v>
      </x:c>
      <x:c r="D1171" s="3" t="str">
        <x:v>B06</x:v>
      </x:c>
      <x:c r="E1171" s="3" t="str">
        <x:f>IF(Z1171="移出","已移出",IF(NOT(ISNUMBER(H1171)),"数据待核",IF(H1171=0,"断货",IF(NOT(ISNUMBER(G1171)),"数据待核",IF(G1171=0,"零日销待复核",IF(F1171&lt;60,"补货提醒",IF(F1171&lt;=90,"正常库存",IF(F1171&lt;180,"促销",IF(F1171&lt;=365,"红线促销","考虑清仓")))))))))</x:f>
        <x:v>补货提醒</x:v>
      </x:c>
      <x:c r="F1171" s="11" t="n">
        <x:f>IF(AND(ISNUMBER(H1171),ISNUMBER(G1171),G1171&gt;0),H1171/G1171,"")</x:f>
        <x:v>3.9399624765478425</x:v>
      </x:c>
      <x:c r="G1171" s="12" t="n">
        <x:f>IF(AND(COUNT(P1171:R1171)=3,MIN(P1171:R1171)&gt;=0,P1171&lt;=Q1171,Q1171&lt;=R1171),P1171/7*0.5+Q1171/14*0.3+R1171/30*0.2,"")</x:f>
        <x:v>0.2538095238095238</x:v>
      </x:c>
      <x:c r="H1171" s="10" t="n">
        <x:f>IF(ISNUMBER(U1171),U1171,"")</x:f>
        <x:v>1</x:v>
      </x:c>
      <x:c r="I1171" s="10" t="n">
        <x:v>1</x:v>
      </x:c>
      <x:c r="J1171" s="11" t="n">
        <x:f>IF(AND(Z1171="共同",ISNUMBER(F1171),ISNUMBER(M1171)),F1171-M1171,"")</x:f>
        <x:v>-1.7510944340212635</x:v>
      </x:c>
      <x:c r="K1171" s="13" t="n">
        <x:f>IF(AND(ISNUMBER(J1171),M1171&lt;&gt;0),J1171/M1171,"")</x:f>
        <x:v>-0.3076923076923077</x:v>
      </x:c>
      <x:c r="L1171" s="10" t="str">
        <x:v>补货提醒</x:v>
      </x:c>
      <x:c r="M1171" s="11" t="n">
        <x:v>5.691056910569106</x:v>
      </x:c>
      <x:c r="N1171" s="10" t="n">
        <x:f>IF(AND(Z1171="共同",COUNT(H1171:I1171)=2),H1171-I1171,"")</x:f>
        <x:v>0</x:v>
      </x:c>
      <x:c r="O1171" s="10" t="n">
        <x:v>0</x:v>
      </x:c>
      <x:c r="P1171" s="10" t="n">
        <x:v>2</x:v>
      </x:c>
      <x:c r="Q1171" s="10" t="n">
        <x:v>3</x:v>
      </x:c>
      <x:c r="R1171" s="10" t="n">
        <x:v>7</x:v>
      </x:c>
      <x:c r="S1171" s="10" t="n">
        <x:v>2</x:v>
      </x:c>
      <x:c r="T1171" s="10" t="n">
        <x:v>0</x:v>
      </x:c>
      <x:c r="U1171" s="10" t="n">
        <x:f>IF(AND(ISNUMBER(X1171),X1171&gt;=0,Y1171&lt;&gt;1),X1171,"")</x:f>
        <x:v>1</x:v>
      </x:c>
      <x:c r="V1171" s="10" t="n">
        <x:v>0</x:v>
      </x:c>
      <x:c r="W1171" s="10" t="n">
        <x:v>17</x:v>
      </x:c>
      <x:c r="X1171" s="10" t="n">
        <x:v>1</x:v>
      </x:c>
      <x:c r="Y1171" s="3" t="n">
        <x:v>0</x:v>
      </x:c>
      <x:c r="Z1171" s="3" t="str">
        <x:v>共同</x:v>
      </x:c>
      <x:c r="AA1171" s="3" t="str">
        <x:v>在售</x:v>
      </x:c>
      <x:c r="AB1171" s="12" t="n">
        <x:f>IF(AND(Z1171="共同",ISNUMBER(G1171),ISNUMBER(AD1171)),G1171-AD1171,"")</x:f>
        <x:v>0.0780952380952381</x:v>
      </x:c>
      <x:c r="AC1171" s="3" t="str"/>
      <x:c r="AD1171" s="12" t="n">
        <x:v>0.1757142857142857</x:v>
      </x:c>
      <x:c r="AE1171" s="3" t="str">
        <x:v>[13120,"B06-BKP-41.5"]</x:v>
      </x:c>
      <x:c r="AF1171" t="n">
        <x:f>IF(ISNUMBER(H1171),1,0)</x:f>
        <x:v>1</x:v>
      </x:c>
      <x:c r="AG1171" t="n">
        <x:f>IF(ISNUMBER(I1171),1,0)</x:f>
        <x:v>1</x:v>
      </x:c>
      <x:c r="AH1171" t="str">
        <x:v>["B06","B06-BKP","BKP","黑色PU"]</x:v>
      </x:c>
      <x:c r="AI1171" t="n">
        <x:f>IF(ISNUMBER(G1171),1,0)</x:f>
        <x:v>1</x:v>
      </x:c>
      <x:c r="AJ1171" t="n">
        <x:f>IF(ISNUMBER(AD1171),1,0)</x:f>
        <x:v>1</x:v>
      </x:c>
    </x:row>
    <x:row r="1172" ht="30" customHeight="1">
      <x:c r="A1172" s="3" t="str">
        <x:v>B06-BP-39.5</x:v>
      </x:c>
      <x:c r="B1172" s="3" t="str">
        <x:v>1店-MUSSHOE-US</x:v>
      </x:c>
      <x:c r="C1172" s="3" t="str">
        <x:v>艾年</x:v>
      </x:c>
      <x:c r="D1172" s="3" t="str">
        <x:v>B06</x:v>
      </x:c>
      <x:c r="E1172" s="3" t="str">
        <x:f>IF(Z1172="移出","已移出",IF(NOT(ISNUMBER(H1172)),"数据待核",IF(H1172=0,"断货",IF(NOT(ISNUMBER(G1172)),"数据待核",IF(G1172=0,"零日销待复核",IF(F1172&lt;60,"补货提醒",IF(F1172&lt;=90,"正常库存",IF(F1172&lt;180,"促销",IF(F1172&lt;=365,"红线促销","考虑清仓")))))))))</x:f>
        <x:v>补货提醒</x:v>
      </x:c>
      <x:c r="F1172" s="11" t="n">
        <x:f>IF(AND(ISNUMBER(H1172),ISNUMBER(G1172),G1172&gt;0),H1172/G1172,"")</x:f>
        <x:v>28.378378378378383</x:v>
      </x:c>
      <x:c r="G1172" s="12" t="n">
        <x:f>IF(AND(COUNT(P1172:R1172)=3,MIN(P1172:R1172)&gt;=0,P1172&lt;=Q1172,Q1172&lt;=R1172),P1172/7*0.5+Q1172/14*0.3+R1172/30*0.2,"")</x:f>
        <x:v>0.14095238095238094</x:v>
      </x:c>
      <x:c r="H1172" s="10" t="n">
        <x:f>IF(ISNUMBER(U1172),U1172,"")</x:f>
        <x:v>4</x:v>
      </x:c>
      <x:c r="I1172" s="10" t="n">
        <x:v>6</x:v>
      </x:c>
      <x:c r="J1172" s="11" t="n">
        <x:f>IF(AND(Z1172="共同",ISNUMBER(F1172),ISNUMBER(M1172)),F1172-M1172,"")</x:f>
        <x:v>-14.18918918918919</x:v>
      </x:c>
      <x:c r="K1172" s="13" t="n">
        <x:f>IF(AND(ISNUMBER(J1172),M1172&lt;&gt;0),J1172/M1172,"")</x:f>
        <x:v>-0.3333333333333333</x:v>
      </x:c>
      <x:c r="L1172" s="10" t="str">
        <x:v>补货提醒</x:v>
      </x:c>
      <x:c r="M1172" s="11" t="n">
        <x:v>42.56756756756757</x:v>
      </x:c>
      <x:c r="N1172" s="10" t="n">
        <x:f>IF(AND(Z1172="共同",COUNT(H1172:I1172)=2),H1172-I1172,"")</x:f>
        <x:v>-2</x:v>
      </x:c>
      <x:c r="O1172" s="10" t="n">
        <x:v>0</x:v>
      </x:c>
      <x:c r="P1172" s="10" t="n">
        <x:v>1</x:v>
      </x:c>
      <x:c r="Q1172" s="10" t="n">
        <x:v>2</x:v>
      </x:c>
      <x:c r="R1172" s="10" t="n">
        <x:v>4</x:v>
      </x:c>
      <x:c r="S1172" s="10" t="n">
        <x:v>4</x:v>
      </x:c>
      <x:c r="T1172" s="10" t="n">
        <x:v>0</x:v>
      </x:c>
      <x:c r="U1172" s="10" t="n">
        <x:f>IF(AND(ISNUMBER(X1172),X1172&gt;=0,Y1172&lt;&gt;1),X1172,"")</x:f>
        <x:v>4</x:v>
      </x:c>
      <x:c r="V1172" s="10" t="n">
        <x:v>0</x:v>
      </x:c>
      <x:c r="W1172" s="10" t="n">
        <x:v>0</x:v>
      </x:c>
      <x:c r="X1172" s="10" t="n">
        <x:v>4</x:v>
      </x:c>
      <x:c r="Y1172" s="3" t="n">
        <x:v>0</x:v>
      </x:c>
      <x:c r="Z1172" s="3" t="str">
        <x:v>共同</x:v>
      </x:c>
      <x:c r="AA1172" s="3" t="str">
        <x:v>在售</x:v>
      </x:c>
      <x:c r="AB1172" s="12" t="n">
        <x:f>IF(AND(Z1172="共同",ISNUMBER(G1172),ISNUMBER(AD1172)),G1172-AD1172,"")</x:f>
        <x:v>0</x:v>
      </x:c>
      <x:c r="AC1172" s="3" t="str"/>
      <x:c r="AD1172" s="12" t="n">
        <x:v>0.14095238095238094</x:v>
      </x:c>
      <x:c r="AE1172" s="3" t="str">
        <x:v>[13120,"B06-BP-39.5"]</x:v>
      </x:c>
      <x:c r="AF1172" t="n">
        <x:f>IF(ISNUMBER(H1172),1,0)</x:f>
        <x:v>1</x:v>
      </x:c>
      <x:c r="AG1172" t="n">
        <x:f>IF(ISNUMBER(I1172),1,0)</x:f>
        <x:v>1</x:v>
      </x:c>
      <x:c r="AH1172" t="str">
        <x:v>["B06","B06-BP","BP","黑色镜面PU"]</x:v>
      </x:c>
      <x:c r="AI1172" t="n">
        <x:f>IF(ISNUMBER(G1172),1,0)</x:f>
        <x:v>1</x:v>
      </x:c>
      <x:c r="AJ1172" t="n">
        <x:f>IF(ISNUMBER(AD1172),1,0)</x:f>
        <x:v>1</x:v>
      </x:c>
    </x:row>
    <x:row r="1173" ht="30" customHeight="1">
      <x:c r="A1173" s="3" t="str">
        <x:v>B06-CFP-38</x:v>
      </x:c>
      <x:c r="B1173" s="3" t="str">
        <x:v>1店-MUSSHOE-US</x:v>
      </x:c>
      <x:c r="C1173" s="3" t="str">
        <x:v>艾年</x:v>
      </x:c>
      <x:c r="D1173" s="3" t="str">
        <x:v>B06</x:v>
      </x:c>
      <x:c r="E1173" s="3" t="str">
        <x:f>IF(Z1173="移出","已移出",IF(NOT(ISNUMBER(H1173)),"数据待核",IF(H1173=0,"断货",IF(NOT(ISNUMBER(G1173)),"数据待核",IF(G1173=0,"零日销待复核",IF(F1173&lt;60,"补货提醒",IF(F1173&lt;=90,"正常库存",IF(F1173&lt;180,"促销",IF(F1173&lt;=365,"红线促销","考虑清仓")))))))))</x:f>
        <x:v>补货提醒</x:v>
      </x:c>
      <x:c r="F1173" s="11" t="n">
        <x:f>IF(AND(ISNUMBER(H1173),ISNUMBER(G1173),G1173&gt;0),H1173/G1173,"")</x:f>
        <x:v>27.896678966789672</x:v>
      </x:c>
      <x:c r="G1173" s="12" t="n">
        <x:f>IF(AND(COUNT(P1173:R1173)=3,MIN(P1173:R1173)&gt;=0,P1173&lt;=Q1173,Q1173&lt;=R1173),P1173/7*0.5+Q1173/14*0.3+R1173/30*0.2,"")</x:f>
        <x:v>0.6452380952380952</x:v>
      </x:c>
      <x:c r="H1173" s="10" t="n">
        <x:f>IF(ISNUMBER(U1173),U1173,"")</x:f>
        <x:v>18</x:v>
      </x:c>
      <x:c r="I1173" s="10" t="n">
        <x:v>24</x:v>
      </x:c>
      <x:c r="J1173" s="11" t="n">
        <x:f>IF(AND(Z1173="共同",ISNUMBER(F1173),ISNUMBER(M1173)),F1173-M1173,"")</x:f>
        <x:v>-45.89541473745631</x:v>
      </x:c>
      <x:c r="K1173" s="13" t="n">
        <x:f>IF(AND(ISNUMBER(J1173),M1173&lt;&gt;0),J1173/M1173,"")</x:f>
        <x:v>-0.6219557195571955</x:v>
      </x:c>
      <x:c r="L1173" s="10" t="str">
        <x:v>正常库存</x:v>
      </x:c>
      <x:c r="M1173" s="11" t="n">
        <x:v>73.79209370424599</x:v>
      </x:c>
      <x:c r="N1173" s="10" t="n">
        <x:f>IF(AND(Z1173="共同",COUNT(H1173:I1173)=2),H1173-I1173,"")</x:f>
        <x:v>-6</x:v>
      </x:c>
      <x:c r="O1173" s="10" t="n">
        <x:v>22</x:v>
      </x:c>
      <x:c r="P1173" s="10" t="n">
        <x:v>6</x:v>
      </x:c>
      <x:c r="Q1173" s="10" t="n">
        <x:v>7</x:v>
      </x:c>
      <x:c r="R1173" s="10" t="n">
        <x:v>10</x:v>
      </x:c>
      <x:c r="S1173" s="10" t="n">
        <x:v>18</x:v>
      </x:c>
      <x:c r="T1173" s="10" t="n">
        <x:v>0</x:v>
      </x:c>
      <x:c r="U1173" s="10" t="n">
        <x:f>IF(AND(ISNUMBER(X1173),X1173&gt;=0,Y1173&lt;&gt;1),X1173,"")</x:f>
        <x:v>18</x:v>
      </x:c>
      <x:c r="V1173" s="10" t="n">
        <x:v>0</x:v>
      </x:c>
      <x:c r="W1173" s="10" t="n">
        <x:v>47</x:v>
      </x:c>
      <x:c r="X1173" s="10" t="n">
        <x:v>18</x:v>
      </x:c>
      <x:c r="Y1173" s="3" t="n">
        <x:v>0</x:v>
      </x:c>
      <x:c r="Z1173" s="3" t="str">
        <x:v>共同</x:v>
      </x:c>
      <x:c r="AA1173" s="3" t="str">
        <x:v>在售</x:v>
      </x:c>
      <x:c r="AB1173" s="12" t="n">
        <x:f>IF(AND(Z1173="共同",ISNUMBER(G1173),ISNUMBER(AD1173)),G1173-AD1173,"")</x:f>
        <x:v>0.31999999999999995</x:v>
      </x:c>
      <x:c r="AC1173" s="3" t="str"/>
      <x:c r="AD1173" s="12" t="n">
        <x:v>0.3252380952380952</x:v>
      </x:c>
      <x:c r="AE1173" s="3" t="str">
        <x:v>[13120,"B06-CFP-38"]</x:v>
      </x:c>
      <x:c r="AF1173" t="n">
        <x:f>IF(ISNUMBER(H1173),1,0)</x:f>
        <x:v>1</x:v>
      </x:c>
      <x:c r="AG1173" t="n">
        <x:f>IF(ISNUMBER(I1173),1,0)</x:f>
        <x:v>1</x:v>
      </x:c>
      <x:c r="AH1173" t="str">
        <x:v>["B06","B06-CFP","CFP","咖色PU"]</x:v>
      </x:c>
      <x:c r="AI1173" t="n">
        <x:f>IF(ISNUMBER(G1173),1,0)</x:f>
        <x:v>1</x:v>
      </x:c>
      <x:c r="AJ1173" t="n">
        <x:f>IF(ISNUMBER(AD1173),1,0)</x:f>
        <x:v>1</x:v>
      </x:c>
    </x:row>
    <x:row r="1174" ht="30" customHeight="1">
      <x:c r="A1174" s="3" t="str">
        <x:v>B06-CFP-40</x:v>
      </x:c>
      <x:c r="B1174" s="3" t="str">
        <x:v>1店-MUSSHOE-US</x:v>
      </x:c>
      <x:c r="C1174" s="3" t="str">
        <x:v>艾年</x:v>
      </x:c>
      <x:c r="D1174" s="3" t="str">
        <x:v>B06</x:v>
      </x:c>
      <x:c r="E1174" s="3" t="str">
        <x:f>IF(Z1174="移出","已移出",IF(NOT(ISNUMBER(H1174)),"数据待核",IF(H1174=0,"断货",IF(NOT(ISNUMBER(G1174)),"数据待核",IF(G1174=0,"零日销待复核",IF(F1174&lt;60,"补货提醒",IF(F1174&lt;=90,"正常库存",IF(F1174&lt;180,"促销",IF(F1174&lt;=365,"红线促销","考虑清仓")))))))))</x:f>
        <x:v>补货提醒</x:v>
      </x:c>
      <x:c r="F1174" s="11" t="n">
        <x:f>IF(AND(ISNUMBER(H1174),ISNUMBER(G1174),G1174&gt;0),H1174/G1174,"")</x:f>
        <x:v>34.21588594704684</x:v>
      </x:c>
      <x:c r="G1174" s="12" t="n">
        <x:f>IF(AND(COUNT(P1174:R1174)=3,MIN(P1174:R1174)&gt;=0,P1174&lt;=Q1174,Q1174&lt;=R1174),P1174/7*0.5+Q1174/14*0.3+R1174/30*0.2,"")</x:f>
        <x:v>0.4676190476190476</x:v>
      </x:c>
      <x:c r="H1174" s="10" t="n">
        <x:f>IF(ISNUMBER(U1174),U1174,"")</x:f>
        <x:v>16</x:v>
      </x:c>
      <x:c r="I1174" s="10" t="n">
        <x:v>20</x:v>
      </x:c>
      <x:c r="J1174" s="11" t="n">
        <x:f>IF(AND(Z1174="共同",ISNUMBER(F1174),ISNUMBER(M1174)),F1174-M1174,"")</x:f>
        <x:v>-331.001505357301</x:v>
      </x:c>
      <x:c r="K1174" s="13" t="n">
        <x:f>IF(AND(ISNUMBER(J1174),M1174&lt;&gt;0),J1174/M1174,"")</x:f>
        <x:v>-0.9063136456211813</x:v>
      </x:c>
      <x:c r="L1174" s="10" t="str">
        <x:v>考虑清仓</x:v>
      </x:c>
      <x:c r="M1174" s="11" t="n">
        <x:v>365.21739130434787</x:v>
      </x:c>
      <x:c r="N1174" s="10" t="n">
        <x:f>IF(AND(Z1174="共同",COUNT(H1174:I1174)=2),H1174-I1174,"")</x:f>
        <x:v>-4</x:v>
      </x:c>
      <x:c r="O1174" s="10" t="n">
        <x:v>0</x:v>
      </x:c>
      <x:c r="P1174" s="10" t="n">
        <x:v>4</x:v>
      </x:c>
      <x:c r="Q1174" s="10" t="n">
        <x:v>6</x:v>
      </x:c>
      <x:c r="R1174" s="10" t="n">
        <x:v>8</x:v>
      </x:c>
      <x:c r="S1174" s="10" t="n">
        <x:v>17</x:v>
      </x:c>
      <x:c r="T1174" s="10" t="n">
        <x:v>1</x:v>
      </x:c>
      <x:c r="U1174" s="10" t="n">
        <x:f>IF(AND(ISNUMBER(X1174),X1174&gt;=0,Y1174&lt;&gt;1),X1174,"")</x:f>
        <x:v>16</x:v>
      </x:c>
      <x:c r="V1174" s="10" t="n">
        <x:v>0</x:v>
      </x:c>
      <x:c r="W1174" s="10" t="n">
        <x:v>18</x:v>
      </x:c>
      <x:c r="X1174" s="10" t="n">
        <x:v>16</x:v>
      </x:c>
      <x:c r="Y1174" s="3" t="n">
        <x:v>0</x:v>
      </x:c>
      <x:c r="Z1174" s="3" t="str">
        <x:v>共同</x:v>
      </x:c>
      <x:c r="AA1174" s="3" t="str">
        <x:v>在售</x:v>
      </x:c>
      <x:c r="AB1174" s="12" t="n">
        <x:f>IF(AND(Z1174="共同",ISNUMBER(G1174),ISNUMBER(AD1174)),G1174-AD1174,"")</x:f>
        <x:v>0.41285714285714287</x:v>
      </x:c>
      <x:c r="AC1174" s="3" t="str"/>
      <x:c r="AD1174" s="12" t="n">
        <x:v>0.054761904761904755</x:v>
      </x:c>
      <x:c r="AE1174" s="3" t="str">
        <x:v>[13120,"B06-CFP-40"]</x:v>
      </x:c>
      <x:c r="AF1174" t="n">
        <x:f>IF(ISNUMBER(H1174),1,0)</x:f>
        <x:v>1</x:v>
      </x:c>
      <x:c r="AG1174" t="n">
        <x:f>IF(ISNUMBER(I1174),1,0)</x:f>
        <x:v>1</x:v>
      </x:c>
      <x:c r="AH1174" t="str">
        <x:v>["B06","B06-CFP","CFP","咖色PU"]</x:v>
      </x:c>
      <x:c r="AI1174" t="n">
        <x:f>IF(ISNUMBER(G1174),1,0)</x:f>
        <x:v>1</x:v>
      </x:c>
      <x:c r="AJ1174" t="n">
        <x:f>IF(ISNUMBER(AD1174),1,0)</x:f>
        <x:v>1</x:v>
      </x:c>
    </x:row>
    <x:row r="1175" ht="30" customHeight="1">
      <x:c r="A1175" s="3" t="str">
        <x:v>B06-CFP-40.5</x:v>
      </x:c>
      <x:c r="B1175" s="3" t="str">
        <x:v>1店-MUSSHOE-US</x:v>
      </x:c>
      <x:c r="C1175" s="3" t="str">
        <x:v>艾年</x:v>
      </x:c>
      <x:c r="D1175" s="3" t="str">
        <x:v>B06</x:v>
      </x:c>
      <x:c r="E1175" s="3" t="str">
        <x:f>IF(Z1175="移出","已移出",IF(NOT(ISNUMBER(H1175)),"数据待核",IF(H1175=0,"断货",IF(NOT(ISNUMBER(G1175)),"数据待核",IF(G1175=0,"零日销待复核",IF(F1175&lt;60,"补货提醒",IF(F1175&lt;=90,"正常库存",IF(F1175&lt;180,"促销",IF(F1175&lt;=365,"红线促销","考虑清仓")))))))))</x:f>
        <x:v>补货提醒</x:v>
      </x:c>
      <x:c r="F1175" s="11" t="n">
        <x:f>IF(AND(ISNUMBER(H1175),ISNUMBER(G1175),G1175&gt;0),H1175/G1175,"")</x:f>
        <x:v>54</x:v>
      </x:c>
      <x:c r="G1175" s="12" t="n">
        <x:f>IF(AND(COUNT(P1175:R1175)=3,MIN(P1175:R1175)&gt;=0,P1175&lt;=Q1175,Q1175&lt;=R1175),P1175/7*0.5+Q1175/14*0.3+R1175/30*0.2,"")</x:f>
        <x:v>0.3333333333333333</x:v>
      </x:c>
      <x:c r="H1175" s="10" t="n">
        <x:f>IF(ISNUMBER(U1175),U1175,"")</x:f>
        <x:v>18</x:v>
      </x:c>
      <x:c r="I1175" s="10" t="n">
        <x:v>12</x:v>
      </x:c>
      <x:c r="J1175" s="11" t="n">
        <x:f>IF(AND(Z1175="共同",ISNUMBER(F1175),ISNUMBER(M1175)),F1175-M1175,"")</x:f>
        <x:v>-36.322580645161295</x:v>
      </x:c>
      <x:c r="K1175" s="13" t="n">
        <x:f>IF(AND(ISNUMBER(J1175),M1175&lt;&gt;0),J1175/M1175,"")</x:f>
        <x:v>-0.4021428571428572</x:v>
      </x:c>
      <x:c r="L1175" s="10" t="str">
        <x:v>促销</x:v>
      </x:c>
      <x:c r="M1175" s="11" t="n">
        <x:v>90.3225806451613</x:v>
      </x:c>
      <x:c r="N1175" s="10" t="n">
        <x:f>IF(AND(Z1175="共同",COUNT(H1175:I1175)=2),H1175-I1175,"")</x:f>
        <x:v>6</x:v>
      </x:c>
      <x:c r="O1175" s="10" t="n">
        <x:v>0</x:v>
      </x:c>
      <x:c r="P1175" s="10" t="n">
        <x:v>3</x:v>
      </x:c>
      <x:c r="Q1175" s="10" t="n">
        <x:v>4</x:v>
      </x:c>
      <x:c r="R1175" s="10" t="n">
        <x:v>5</x:v>
      </x:c>
      <x:c r="S1175" s="10" t="n">
        <x:v>19</x:v>
      </x:c>
      <x:c r="T1175" s="10" t="n">
        <x:v>0</x:v>
      </x:c>
      <x:c r="U1175" s="10" t="n">
        <x:f>IF(AND(ISNUMBER(X1175),X1175&gt;=0,Y1175&lt;&gt;1),X1175,"")</x:f>
        <x:v>18</x:v>
      </x:c>
      <x:c r="V1175" s="10" t="n">
        <x:v>0</x:v>
      </x:c>
      <x:c r="W1175" s="10" t="n">
        <x:v>2</x:v>
      </x:c>
      <x:c r="X1175" s="10" t="n">
        <x:v>18</x:v>
      </x:c>
      <x:c r="Y1175" s="3" t="n">
        <x:v>0</x:v>
      </x:c>
      <x:c r="Z1175" s="3" t="str">
        <x:v>共同</x:v>
      </x:c>
      <x:c r="AA1175" s="3" t="str">
        <x:v>在售</x:v>
      </x:c>
      <x:c r="AB1175" s="12" t="n">
        <x:f>IF(AND(Z1175="共同",ISNUMBER(G1175),ISNUMBER(AD1175)),G1175-AD1175,"")</x:f>
        <x:v>0.20047619047619047</x:v>
      </x:c>
      <x:c r="AC1175" s="3" t="str"/>
      <x:c r="AD1175" s="12" t="n">
        <x:v>0.13285714285714284</x:v>
      </x:c>
      <x:c r="AE1175" s="3" t="str">
        <x:v>[13120,"B06-CFP-40.5"]</x:v>
      </x:c>
      <x:c r="AF1175" t="n">
        <x:f>IF(ISNUMBER(H1175),1,0)</x:f>
        <x:v>1</x:v>
      </x:c>
      <x:c r="AG1175" t="n">
        <x:f>IF(ISNUMBER(I1175),1,0)</x:f>
        <x:v>1</x:v>
      </x:c>
      <x:c r="AH1175" t="str">
        <x:v>["B06","B06-CFP","CFP","咖色PU"]</x:v>
      </x:c>
      <x:c r="AI1175" t="n">
        <x:f>IF(ISNUMBER(G1175),1,0)</x:f>
        <x:v>1</x:v>
      </x:c>
      <x:c r="AJ1175" t="n">
        <x:f>IF(ISNUMBER(AD1175),1,0)</x:f>
        <x:v>1</x:v>
      </x:c>
    </x:row>
    <x:row r="1176" ht="30" customHeight="1">
      <x:c r="A1176" s="3" t="str">
        <x:v>B06-CFP-41</x:v>
      </x:c>
      <x:c r="B1176" s="3" t="str">
        <x:v>1店-MUSSHOE-US</x:v>
      </x:c>
      <x:c r="C1176" s="3" t="str">
        <x:v>艾年</x:v>
      </x:c>
      <x:c r="D1176" s="3" t="str">
        <x:v>B06</x:v>
      </x:c>
      <x:c r="E1176" s="3" t="str">
        <x:f>IF(Z1176="移出","已移出",IF(NOT(ISNUMBER(H1176)),"数据待核",IF(H1176=0,"断货",IF(NOT(ISNUMBER(G1176)),"数据待核",IF(G1176=0,"零日销待复核",IF(F1176&lt;60,"补货提醒",IF(F1176&lt;=90,"正常库存",IF(F1176&lt;180,"促销",IF(F1176&lt;=365,"红线促销","考虑清仓")))))))))</x:f>
        <x:v>补货提醒</x:v>
      </x:c>
      <x:c r="F1176" s="11" t="n">
        <x:f>IF(AND(ISNUMBER(H1176),ISNUMBER(G1176),G1176&gt;0),H1176/G1176,"")</x:f>
        <x:v>21</x:v>
      </x:c>
      <x:c r="G1176" s="12" t="n">
        <x:f>IF(AND(COUNT(P1176:R1176)=3,MIN(P1176:R1176)&gt;=0,P1176&lt;=Q1176,Q1176&lt;=R1176),P1176/7*0.5+Q1176/14*0.3+R1176/30*0.2,"")</x:f>
        <x:v>0.19047619047619047</x:v>
      </x:c>
      <x:c r="H1176" s="10" t="n">
        <x:f>IF(ISNUMBER(U1176),U1176,"")</x:f>
        <x:v>4</x:v>
      </x:c>
      <x:c r="I1176" s="10" t="n">
        <x:v>5</x:v>
      </x:c>
      <x:c r="J1176" s="11" t="n">
        <x:f>IF(AND(Z1176="共同",ISNUMBER(F1176),ISNUMBER(M1176)),F1176-M1176,"")</x:f>
        <x:v>-729</x:v>
      </x:c>
      <x:c r="K1176" s="13" t="n">
        <x:f>IF(AND(ISNUMBER(J1176),M1176&lt;&gt;0),J1176/M1176,"")</x:f>
        <x:v>-0.972</x:v>
      </x:c>
      <x:c r="L1176" s="10" t="str">
        <x:v>考虑清仓</x:v>
      </x:c>
      <x:c r="M1176" s="11" t="n">
        <x:v>750</x:v>
      </x:c>
      <x:c r="N1176" s="10" t="n">
        <x:f>IF(AND(Z1176="共同",COUNT(H1176:I1176)=2),H1176-I1176,"")</x:f>
        <x:v>-1</x:v>
      </x:c>
      <x:c r="O1176" s="10" t="n">
        <x:v>0</x:v>
      </x:c>
      <x:c r="P1176" s="10" t="n">
        <x:v>1</x:v>
      </x:c>
      <x:c r="Q1176" s="10" t="n">
        <x:v>4</x:v>
      </x:c>
      <x:c r="R1176" s="10" t="n">
        <x:v>5</x:v>
      </x:c>
      <x:c r="S1176" s="10" t="n">
        <x:v>7</x:v>
      </x:c>
      <x:c r="T1176" s="10" t="n">
        <x:v>0</x:v>
      </x:c>
      <x:c r="U1176" s="10" t="n">
        <x:f>IF(AND(ISNUMBER(X1176),X1176&gt;=0,Y1176&lt;&gt;1),X1176,"")</x:f>
        <x:v>4</x:v>
      </x:c>
      <x:c r="V1176" s="10" t="n">
        <x:v>0</x:v>
      </x:c>
      <x:c r="W1176" s="10" t="n">
        <x:v>16</x:v>
      </x:c>
      <x:c r="X1176" s="10" t="n">
        <x:v>4</x:v>
      </x:c>
      <x:c r="Y1176" s="3" t="n">
        <x:v>0</x:v>
      </x:c>
      <x:c r="Z1176" s="3" t="str">
        <x:v>共同</x:v>
      </x:c>
      <x:c r="AA1176" s="3" t="str">
        <x:v>在售</x:v>
      </x:c>
      <x:c r="AB1176" s="12" t="n">
        <x:f>IF(AND(Z1176="共同",ISNUMBER(G1176),ISNUMBER(AD1176)),G1176-AD1176,"")</x:f>
        <x:v>0.1838095238095238</x:v>
      </x:c>
      <x:c r="AC1176" s="3" t="str"/>
      <x:c r="AD1176" s="12" t="n">
        <x:v>0.006666666666666666</x:v>
      </x:c>
      <x:c r="AE1176" s="3" t="str">
        <x:v>[13120,"B06-CFP-41"]</x:v>
      </x:c>
      <x:c r="AF1176" t="n">
        <x:f>IF(ISNUMBER(H1176),1,0)</x:f>
        <x:v>1</x:v>
      </x:c>
      <x:c r="AG1176" t="n">
        <x:f>IF(ISNUMBER(I1176),1,0)</x:f>
        <x:v>1</x:v>
      </x:c>
      <x:c r="AH1176" t="str">
        <x:v>["B06","B06-CFP","CFP","咖色PU"]</x:v>
      </x:c>
      <x:c r="AI1176" t="n">
        <x:f>IF(ISNUMBER(G1176),1,0)</x:f>
        <x:v>1</x:v>
      </x:c>
      <x:c r="AJ1176" t="n">
        <x:f>IF(ISNUMBER(AD1176),1,0)</x:f>
        <x:v>1</x:v>
      </x:c>
    </x:row>
    <x:row r="1177" ht="30" customHeight="1">
      <x:c r="A1177" s="3" t="str">
        <x:v>B06-CFP-42</x:v>
      </x:c>
      <x:c r="B1177" s="3" t="str">
        <x:v>1店-MUSSHOE-US</x:v>
      </x:c>
      <x:c r="C1177" s="3" t="str">
        <x:v>艾年</x:v>
      </x:c>
      <x:c r="D1177" s="3" t="str">
        <x:v>B06</x:v>
      </x:c>
      <x:c r="E1177" s="3" t="str">
        <x:f>IF(Z1177="移出","已移出",IF(NOT(ISNUMBER(H1177)),"数据待核",IF(H1177=0,"断货",IF(NOT(ISNUMBER(G1177)),"数据待核",IF(G1177=0,"零日销待复核",IF(F1177&lt;60,"补货提醒",IF(F1177&lt;=90,"正常库存",IF(F1177&lt;180,"促销",IF(F1177&lt;=365,"红线促销","考虑清仓")))))))))</x:f>
        <x:v>补货提醒</x:v>
      </x:c>
      <x:c r="F1177" s="11" t="n">
        <x:f>IF(AND(ISNUMBER(H1177),ISNUMBER(G1177),G1177&gt;0),H1177/G1177,"")</x:f>
        <x:v>41.832669322709165</x:v>
      </x:c>
      <x:c r="G1177" s="12" t="n">
        <x:f>IF(AND(COUNT(P1177:R1177)=3,MIN(P1177:R1177)&gt;=0,P1177&lt;=Q1177,Q1177&lt;=R1177),P1177/7*0.5+Q1177/14*0.3+R1177/30*0.2,"")</x:f>
        <x:v>0.11952380952380952</x:v>
      </x:c>
      <x:c r="H1177" s="10" t="n">
        <x:f>IF(ISNUMBER(U1177),U1177,"")</x:f>
        <x:v>5</x:v>
      </x:c>
      <x:c r="I1177" s="10" t="n">
        <x:v>5</x:v>
      </x:c>
      <x:c r="J1177" s="11" t="n">
        <x:f>IF(AND(Z1177="共同",ISNUMBER(F1177),ISNUMBER(M1177)),F1177-M1177,"")</x:f>
        <x:v>9.722577579589895</x:v>
      </x:c>
      <x:c r="K1177" s="13" t="n">
        <x:f>IF(AND(ISNUMBER(J1177),M1177&lt;&gt;0),J1177/M1177,"")</x:f>
        <x:v>0.30278884462151384</x:v>
      </x:c>
      <x:c r="L1177" s="10" t="str">
        <x:v>补货提醒</x:v>
      </x:c>
      <x:c r="M1177" s="11" t="n">
        <x:v>32.11009174311927</x:v>
      </x:c>
      <x:c r="N1177" s="10" t="n">
        <x:f>IF(AND(Z1177="共同",COUNT(H1177:I1177)=2),H1177-I1177,"")</x:f>
        <x:v>0</x:v>
      </x:c>
      <x:c r="O1177" s="10" t="n">
        <x:v>0</x:v>
      </x:c>
      <x:c r="P1177" s="10" t="n">
        <x:v>1</x:v>
      </x:c>
      <x:c r="Q1177" s="10" t="n">
        <x:v>1</x:v>
      </x:c>
      <x:c r="R1177" s="10" t="n">
        <x:v>4</x:v>
      </x:c>
      <x:c r="S1177" s="10" t="n">
        <x:v>5</x:v>
      </x:c>
      <x:c r="T1177" s="10" t="n">
        <x:v>0</x:v>
      </x:c>
      <x:c r="U1177" s="10" t="n">
        <x:f>IF(AND(ISNUMBER(X1177),X1177&gt;=0,Y1177&lt;&gt;1),X1177,"")</x:f>
        <x:v>5</x:v>
      </x:c>
      <x:c r="V1177" s="10" t="n">
        <x:v>0</x:v>
      </x:c>
      <x:c r="W1177" s="10" t="n">
        <x:v>0</x:v>
      </x:c>
      <x:c r="X1177" s="10" t="n">
        <x:v>5</x:v>
      </x:c>
      <x:c r="Y1177" s="3" t="n">
        <x:v>0</x:v>
      </x:c>
      <x:c r="Z1177" s="3" t="str">
        <x:v>共同</x:v>
      </x:c>
      <x:c r="AA1177" s="3" t="str">
        <x:v>在售</x:v>
      </x:c>
      <x:c r="AB1177" s="12" t="n">
        <x:f>IF(AND(Z1177="共同",ISNUMBER(G1177),ISNUMBER(AD1177)),G1177-AD1177,"")</x:f>
        <x:v>-0.036190476190476176</x:v>
      </x:c>
      <x:c r="AC1177" s="3" t="str"/>
      <x:c r="AD1177" s="12" t="n">
        <x:v>0.1557142857142857</x:v>
      </x:c>
      <x:c r="AE1177" s="3" t="str">
        <x:v>[13120,"B06-CFP-42"]</x:v>
      </x:c>
      <x:c r="AF1177" t="n">
        <x:f>IF(ISNUMBER(H1177),1,0)</x:f>
        <x:v>1</x:v>
      </x:c>
      <x:c r="AG1177" t="n">
        <x:f>IF(ISNUMBER(I1177),1,0)</x:f>
        <x:v>1</x:v>
      </x:c>
      <x:c r="AH1177" t="str">
        <x:v>["B06","B06-CFP","CFP","咖色PU"]</x:v>
      </x:c>
      <x:c r="AI1177" t="n">
        <x:f>IF(ISNUMBER(G1177),1,0)</x:f>
        <x:v>1</x:v>
      </x:c>
      <x:c r="AJ1177" t="n">
        <x:f>IF(ISNUMBER(AD1177),1,0)</x:f>
        <x:v>1</x:v>
      </x:c>
    </x:row>
    <x:row r="1178" ht="30" customHeight="1">
      <x:c r="A1178" s="3" t="str">
        <x:v>B06-LP-37</x:v>
      </x:c>
      <x:c r="B1178" s="3" t="str">
        <x:v>1店-MUSSHOE-US</x:v>
      </x:c>
      <x:c r="C1178" s="3" t="str">
        <x:v>艾年</x:v>
      </x:c>
      <x:c r="D1178" s="3" t="str">
        <x:v>B06</x:v>
      </x:c>
      <x:c r="E1178" s="3" t="str">
        <x:f>IF(Z1178="移出","已移出",IF(NOT(ISNUMBER(H1178)),"数据待核",IF(H1178=0,"断货",IF(NOT(ISNUMBER(G1178)),"数据待核",IF(G1178=0,"零日销待复核",IF(F1178&lt;60,"补货提醒",IF(F1178&lt;=90,"正常库存",IF(F1178&lt;180,"促销",IF(F1178&lt;=365,"红线促销","考虑清仓")))))))))</x:f>
        <x:v>补货提醒</x:v>
      </x:c>
      <x:c r="F1178" s="11" t="n">
        <x:f>IF(AND(ISNUMBER(H1178),ISNUMBER(G1178),G1178&gt;0),H1178/G1178,"")</x:f>
        <x:v>27.155172413793107</x:v>
      </x:c>
      <x:c r="G1178" s="12" t="n">
        <x:f>IF(AND(COUNT(P1178:R1178)=3,MIN(P1178:R1178)&gt;=0,P1178&lt;=Q1178,Q1178&lt;=R1178),P1178/7*0.5+Q1178/14*0.3+R1178/30*0.2,"")</x:f>
        <x:v>0.3314285714285714</x:v>
      </x:c>
      <x:c r="H1178" s="10" t="n">
        <x:f>IF(ISNUMBER(U1178),U1178,"")</x:f>
        <x:v>9</x:v>
      </x:c>
      <x:c r="I1178" s="10" t="n">
        <x:v>13</x:v>
      </x:c>
      <x:c r="J1178" s="11" t="n">
        <x:f>IF(AND(Z1178="共同",ISNUMBER(F1178),ISNUMBER(M1178)),F1178-M1178,"")</x:f>
        <x:v>-52.90347861259987</x:v>
      </x:c>
      <x:c r="K1178" s="13" t="n">
        <x:f>IF(AND(ISNUMBER(J1178),M1178&lt;&gt;0),J1178/M1178,"")</x:f>
        <x:v>-0.6608090185676393</x:v>
      </x:c>
      <x:c r="L1178" s="10" t="str">
        <x:v>正常库存</x:v>
      </x:c>
      <x:c r="M1178" s="11" t="n">
        <x:v>80.05865102639298</x:v>
      </x:c>
      <x:c r="N1178" s="10" t="n">
        <x:f>IF(AND(Z1178="共同",COUNT(H1178:I1178)=2),H1178-I1178,"")</x:f>
        <x:v>-4</x:v>
      </x:c>
      <x:c r="O1178" s="10" t="n">
        <x:v>59</x:v>
      </x:c>
      <x:c r="P1178" s="10" t="n">
        <x:v>2</x:v>
      </x:c>
      <x:c r="Q1178" s="10" t="n">
        <x:v>6</x:v>
      </x:c>
      <x:c r="R1178" s="10" t="n">
        <x:v>9</x:v>
      </x:c>
      <x:c r="S1178" s="10" t="n">
        <x:v>12</x:v>
      </x:c>
      <x:c r="T1178" s="10" t="n">
        <x:v>1</x:v>
      </x:c>
      <x:c r="U1178" s="10" t="n">
        <x:f>IF(AND(ISNUMBER(X1178),X1178&gt;=0,Y1178&lt;&gt;1),X1178,"")</x:f>
        <x:v>9</x:v>
      </x:c>
      <x:c r="V1178" s="10" t="n">
        <x:v>0</x:v>
      </x:c>
      <x:c r="W1178" s="10" t="n">
        <x:v>0</x:v>
      </x:c>
      <x:c r="X1178" s="10" t="n">
        <x:v>9</x:v>
      </x:c>
      <x:c r="Y1178" s="3" t="n">
        <x:v>0</x:v>
      </x:c>
      <x:c r="Z1178" s="3" t="str">
        <x:v>共同</x:v>
      </x:c>
      <x:c r="AA1178" s="3" t="str">
        <x:v>在售</x:v>
      </x:c>
      <x:c r="AB1178" s="12" t="n">
        <x:f>IF(AND(Z1178="共同",ISNUMBER(G1178),ISNUMBER(AD1178)),G1178-AD1178,"")</x:f>
        <x:v>0.16904761904761906</x:v>
      </x:c>
      <x:c r="AC1178" s="3" t="str"/>
      <x:c r="AD1178" s="12" t="n">
        <x:v>0.16238095238095235</x:v>
      </x:c>
      <x:c r="AE1178" s="3" t="str">
        <x:v>[13120,"B06-LP-37"]</x:v>
      </x:c>
      <x:c r="AF1178" t="n">
        <x:f>IF(ISNUMBER(H1178),1,0)</x:f>
        <x:v>1</x:v>
      </x:c>
      <x:c r="AG1178" t="n">
        <x:f>IF(ISNUMBER(I1178),1,0)</x:f>
        <x:v>1</x:v>
      </x:c>
      <x:c r="AH1178" t="str">
        <x:v>["B06","B06-LP","LP","豹纹羊京绒"]</x:v>
      </x:c>
      <x:c r="AI1178" t="n">
        <x:f>IF(ISNUMBER(G1178),1,0)</x:f>
        <x:v>1</x:v>
      </x:c>
      <x:c r="AJ1178" t="n">
        <x:f>IF(ISNUMBER(AD1178),1,0)</x:f>
        <x:v>1</x:v>
      </x:c>
    </x:row>
    <x:row r="1179" ht="30" customHeight="1">
      <x:c r="A1179" s="3" t="str">
        <x:v>B06-LP-38</x:v>
      </x:c>
      <x:c r="B1179" s="3" t="str">
        <x:v>1店-MUSSHOE-US</x:v>
      </x:c>
      <x:c r="C1179" s="3" t="str">
        <x:v>艾年</x:v>
      </x:c>
      <x:c r="D1179" s="3" t="str">
        <x:v>B06</x:v>
      </x:c>
      <x:c r="E1179" s="3" t="str">
        <x:f>IF(Z1179="移出","已移出",IF(NOT(ISNUMBER(H1179)),"数据待核",IF(H1179=0,"断货",IF(NOT(ISNUMBER(G1179)),"数据待核",IF(G1179=0,"零日销待复核",IF(F1179&lt;60,"补货提醒",IF(F1179&lt;=90,"正常库存",IF(F1179&lt;180,"促销",IF(F1179&lt;=365,"红线促销","考虑清仓")))))))))</x:f>
        <x:v>补货提醒</x:v>
      </x:c>
      <x:c r="F1179" s="11" t="n">
        <x:f>IF(AND(ISNUMBER(H1179),ISNUMBER(G1179),G1179&gt;0),H1179/G1179,"")</x:f>
        <x:v>20.20408163265306</x:v>
      </x:c>
      <x:c r="G1179" s="12" t="n">
        <x:f>IF(AND(COUNT(P1179:R1179)=3,MIN(P1179:R1179)&gt;=0,P1179&lt;=Q1179,Q1179&lt;=R1179),P1179/7*0.5+Q1179/14*0.3+R1179/30*0.2,"")</x:f>
        <x:v>1.6333333333333333</x:v>
      </x:c>
      <x:c r="H1179" s="10" t="n">
        <x:f>IF(ISNUMBER(U1179),U1179,"")</x:f>
        <x:v>33</x:v>
      </x:c>
      <x:c r="I1179" s="10" t="n">
        <x:v>52</x:v>
      </x:c>
      <x:c r="J1179" s="11" t="n">
        <x:f>IF(AND(Z1179="共同",ISNUMBER(F1179),ISNUMBER(M1179)),F1179-M1179,"")</x:f>
        <x:v>-37.85014484262605</x:v>
      </x:c>
      <x:c r="K1179" s="13" t="n">
        <x:f>IF(AND(ISNUMBER(J1179),M1179&lt;&gt;0),J1179/M1179,"")</x:f>
        <x:v>-0.651979143305674</x:v>
      </x:c>
      <x:c r="L1179" s="10" t="str">
        <x:v>补货提醒</x:v>
      </x:c>
      <x:c r="M1179" s="11" t="n">
        <x:v>58.05422647527911</x:v>
      </x:c>
      <x:c r="N1179" s="10" t="n">
        <x:f>IF(AND(Z1179="共同",COUNT(H1179:I1179)=2),H1179-I1179,"")</x:f>
        <x:v>-19</x:v>
      </x:c>
      <x:c r="O1179" s="10" t="n">
        <x:v>166</x:v>
      </x:c>
      <x:c r="P1179" s="10" t="n">
        <x:v>13</x:v>
      </x:c>
      <x:c r="Q1179" s="10" t="n">
        <x:v>22</x:v>
      </x:c>
      <x:c r="R1179" s="10" t="n">
        <x:v>35</x:v>
      </x:c>
      <x:c r="S1179" s="10" t="n">
        <x:v>39</x:v>
      </x:c>
      <x:c r="T1179" s="10" t="n">
        <x:v>1</x:v>
      </x:c>
      <x:c r="U1179" s="10" t="n">
        <x:f>IF(AND(ISNUMBER(X1179),X1179&gt;=0,Y1179&lt;&gt;1),X1179,"")</x:f>
        <x:v>33</x:v>
      </x:c>
      <x:c r="V1179" s="10" t="n">
        <x:v>0</x:v>
      </x:c>
      <x:c r="W1179" s="10" t="n">
        <x:v>58</x:v>
      </x:c>
      <x:c r="X1179" s="10" t="n">
        <x:v>33</x:v>
      </x:c>
      <x:c r="Y1179" s="3" t="n">
        <x:v>0</x:v>
      </x:c>
      <x:c r="Z1179" s="3" t="str">
        <x:v>共同</x:v>
      </x:c>
      <x:c r="AA1179" s="3" t="str">
        <x:v>在售</x:v>
      </x:c>
      <x:c r="AB1179" s="12" t="n">
        <x:f>IF(AND(Z1179="共同",ISNUMBER(G1179),ISNUMBER(AD1179)),G1179-AD1179,"")</x:f>
        <x:v>0.7376190476190476</x:v>
      </x:c>
      <x:c r="AC1179" s="3" t="str"/>
      <x:c r="AD1179" s="12" t="n">
        <x:v>0.8957142857142857</x:v>
      </x:c>
      <x:c r="AE1179" s="3" t="str">
        <x:v>[13120,"B06-LP-38"]</x:v>
      </x:c>
      <x:c r="AF1179" t="n">
        <x:f>IF(ISNUMBER(H1179),1,0)</x:f>
        <x:v>1</x:v>
      </x:c>
      <x:c r="AG1179" t="n">
        <x:f>IF(ISNUMBER(I1179),1,0)</x:f>
        <x:v>1</x:v>
      </x:c>
      <x:c r="AH1179" t="str">
        <x:v>["B06","B06-LP","LP","豹纹羊京绒"]</x:v>
      </x:c>
      <x:c r="AI1179" t="n">
        <x:f>IF(ISNUMBER(G1179),1,0)</x:f>
        <x:v>1</x:v>
      </x:c>
      <x:c r="AJ1179" t="n">
        <x:f>IF(ISNUMBER(AD1179),1,0)</x:f>
        <x:v>1</x:v>
      </x:c>
    </x:row>
    <x:row r="1180" ht="30" customHeight="1">
      <x:c r="A1180" s="3" t="str">
        <x:v>B06-LP-38.5</x:v>
      </x:c>
      <x:c r="B1180" s="3" t="str">
        <x:v>1店-MUSSHOE-US</x:v>
      </x:c>
      <x:c r="C1180" s="3" t="str">
        <x:v>艾年</x:v>
      </x:c>
      <x:c r="D1180" s="3" t="str">
        <x:v>B06</x:v>
      </x:c>
      <x:c r="E1180" s="3" t="str">
        <x:f>IF(Z1180="移出","已移出",IF(NOT(ISNUMBER(H1180)),"数据待核",IF(H1180=0,"断货",IF(NOT(ISNUMBER(G1180)),"数据待核",IF(G1180=0,"零日销待复核",IF(F1180&lt;60,"补货提醒",IF(F1180&lt;=90,"正常库存",IF(F1180&lt;180,"促销",IF(F1180&lt;=365,"红线促销","考虑清仓")))))))))</x:f>
        <x:v>补货提醒</x:v>
      </x:c>
      <x:c r="F1180" s="11" t="n">
        <x:f>IF(AND(ISNUMBER(H1180),ISNUMBER(G1180),G1180&gt;0),H1180/G1180,"")</x:f>
        <x:v>24.43890274314214</x:v>
      </x:c>
      <x:c r="G1180" s="12" t="n">
        <x:f>IF(AND(COUNT(P1180:R1180)=3,MIN(P1180:R1180)&gt;=0,P1180&lt;=Q1180,Q1180&lt;=R1180),P1180/7*0.5+Q1180/14*0.3+R1180/30*0.2,"")</x:f>
        <x:v>1.145714285714286</x:v>
      </x:c>
      <x:c r="H1180" s="10" t="n">
        <x:f>IF(ISNUMBER(U1180),U1180,"")</x:f>
        <x:v>28</x:v>
      </x:c>
      <x:c r="I1180" s="10" t="n">
        <x:v>40</x:v>
      </x:c>
      <x:c r="J1180" s="11" t="n">
        <x:f>IF(AND(Z1180="共同",ISNUMBER(F1180),ISNUMBER(M1180)),F1180-M1180,"")</x:f>
        <x:v>-57.91403843332846</x:v>
      </x:c>
      <x:c r="K1180" s="13" t="n">
        <x:f>IF(AND(ISNUMBER(J1180),M1180&lt;&gt;0),J1180/M1180,"")</x:f>
        <x:v>-0.7032418952618456</x:v>
      </x:c>
      <x:c r="L1180" s="10" t="str">
        <x:v>正常库存</x:v>
      </x:c>
      <x:c r="M1180" s="11" t="n">
        <x:v>82.3529411764706</x:v>
      </x:c>
      <x:c r="N1180" s="10" t="n">
        <x:f>IF(AND(Z1180="共同",COUNT(H1180:I1180)=2),H1180-I1180,"")</x:f>
        <x:v>-12</x:v>
      </x:c>
      <x:c r="O1180" s="10" t="n">
        <x:v>56</x:v>
      </x:c>
      <x:c r="P1180" s="10" t="n">
        <x:v>9</x:v>
      </x:c>
      <x:c r="Q1180" s="10" t="n">
        <x:v>16</x:v>
      </x:c>
      <x:c r="R1180" s="10" t="n">
        <x:v>24</x:v>
      </x:c>
      <x:c r="S1180" s="10" t="n">
        <x:v>39</x:v>
      </x:c>
      <x:c r="T1180" s="10" t="n">
        <x:v>1</x:v>
      </x:c>
      <x:c r="U1180" s="10" t="n">
        <x:f>IF(AND(ISNUMBER(X1180),X1180&gt;=0,Y1180&lt;&gt;1),X1180,"")</x:f>
        <x:v>28</x:v>
      </x:c>
      <x:c r="V1180" s="10" t="n">
        <x:v>0</x:v>
      </x:c>
      <x:c r="W1180" s="10" t="n">
        <x:v>0</x:v>
      </x:c>
      <x:c r="X1180" s="10" t="n">
        <x:v>28</x:v>
      </x:c>
      <x:c r="Y1180" s="3" t="n">
        <x:v>0</x:v>
      </x:c>
      <x:c r="Z1180" s="3" t="str">
        <x:v>共同</x:v>
      </x:c>
      <x:c r="AA1180" s="3" t="str">
        <x:v>在售</x:v>
      </x:c>
      <x:c r="AB1180" s="12" t="n">
        <x:f>IF(AND(Z1180="共同",ISNUMBER(G1180),ISNUMBER(AD1180)),G1180-AD1180,"")</x:f>
        <x:v>0.6600000000000003</x:v>
      </x:c>
      <x:c r="AC1180" s="3" t="str"/>
      <x:c r="AD1180" s="12" t="n">
        <x:v>0.48571428571428565</x:v>
      </x:c>
      <x:c r="AE1180" s="3" t="str">
        <x:v>[13120,"B06-LP-38.5"]</x:v>
      </x:c>
      <x:c r="AF1180" t="n">
        <x:f>IF(ISNUMBER(H1180),1,0)</x:f>
        <x:v>1</x:v>
      </x:c>
      <x:c r="AG1180" t="n">
        <x:f>IF(ISNUMBER(I1180),1,0)</x:f>
        <x:v>1</x:v>
      </x:c>
      <x:c r="AH1180" t="str">
        <x:v>["B06","B06-LP","LP","豹纹羊京绒"]</x:v>
      </x:c>
      <x:c r="AI1180" t="n">
        <x:f>IF(ISNUMBER(G1180),1,0)</x:f>
        <x:v>1</x:v>
      </x:c>
      <x:c r="AJ1180" t="n">
        <x:f>IF(ISNUMBER(AD1180),1,0)</x:f>
        <x:v>1</x:v>
      </x:c>
    </x:row>
    <x:row r="1181" ht="30" customHeight="1">
      <x:c r="A1181" s="3" t="str">
        <x:v>B06-LP-39-N</x:v>
      </x:c>
      <x:c r="B1181" s="3" t="str">
        <x:v>1店-MUSSHOE-US</x:v>
      </x:c>
      <x:c r="C1181" s="3" t="str">
        <x:v>艾年</x:v>
      </x:c>
      <x:c r="D1181" s="3" t="str">
        <x:v>B06</x:v>
      </x:c>
      <x:c r="E1181" s="3" t="str">
        <x:f>IF(Z1181="移出","已移出",IF(NOT(ISNUMBER(H1181)),"数据待核",IF(H1181=0,"断货",IF(NOT(ISNUMBER(G1181)),"数据待核",IF(G1181=0,"零日销待复核",IF(F1181&lt;60,"补货提醒",IF(F1181&lt;=90,"正常库存",IF(F1181&lt;180,"促销",IF(F1181&lt;=365,"红线促销","考虑清仓")))))))))</x:f>
        <x:v>补货提醒</x:v>
      </x:c>
      <x:c r="F1181" s="11" t="n">
        <x:f>IF(AND(ISNUMBER(H1181),ISNUMBER(G1181),G1181&gt;0),H1181/G1181,"")</x:f>
        <x:v>2.2335673261008298</x:v>
      </x:c>
      <x:c r="G1181" s="12" t="n">
        <x:f>IF(AND(COUNT(P1181:R1181)=3,MIN(P1181:R1181)&gt;=0,P1181&lt;=Q1181,Q1181&lt;=R1181),P1181/7*0.5+Q1181/14*0.3+R1181/30*0.2,"")</x:f>
        <x:v>2.2385714285714284</x:v>
      </x:c>
      <x:c r="H1181" s="10" t="n">
        <x:f>IF(ISNUMBER(U1181),U1181,"")</x:f>
        <x:v>5</x:v>
      </x:c>
      <x:c r="I1181" s="10" t="n">
        <x:v>26</x:v>
      </x:c>
      <x:c r="J1181" s="11" t="n">
        <x:f>IF(AND(Z1181="共同",ISNUMBER(F1181),ISNUMBER(M1181)),F1181-M1181,"")</x:f>
        <x:v>-19.01983866844958</x:v>
      </x:c>
      <x:c r="K1181" s="13" t="n">
        <x:f>IF(AND(ISNUMBER(J1181),M1181&lt;&gt;0),J1181/M1181,"")</x:f>
        <x:v>-0.894907793759102</x:v>
      </x:c>
      <x:c r="L1181" s="10" t="str">
        <x:v>补货提醒</x:v>
      </x:c>
      <x:c r="M1181" s="11" t="n">
        <x:v>21.25340599455041</x:v>
      </x:c>
      <x:c r="N1181" s="10" t="n">
        <x:f>IF(AND(Z1181="共同",COUNT(H1181:I1181)=2),H1181-I1181,"")</x:f>
        <x:v>-21</x:v>
      </x:c>
      <x:c r="O1181" s="10" t="n">
        <x:v>136</x:v>
      </x:c>
      <x:c r="P1181" s="10" t="n">
        <x:v>17</x:v>
      </x:c>
      <x:c r="Q1181" s="10" t="n">
        <x:v>31</x:v>
      </x:c>
      <x:c r="R1181" s="10" t="n">
        <x:v>54</x:v>
      </x:c>
      <x:c r="S1181" s="10" t="n">
        <x:v>12</x:v>
      </x:c>
      <x:c r="T1181" s="10" t="n">
        <x:v>3</x:v>
      </x:c>
      <x:c r="U1181" s="10" t="n">
        <x:f>IF(AND(ISNUMBER(X1181),X1181&gt;=0,Y1181&lt;&gt;1),X1181,"")</x:f>
        <x:v>5</x:v>
      </x:c>
      <x:c r="V1181" s="10" t="n">
        <x:v>0</x:v>
      </x:c>
      <x:c r="W1181" s="10" t="n">
        <x:v>0</x:v>
      </x:c>
      <x:c r="X1181" s="10" t="n">
        <x:v>5</x:v>
      </x:c>
      <x:c r="Y1181" s="3" t="n">
        <x:v>0</x:v>
      </x:c>
      <x:c r="Z1181" s="3" t="str">
        <x:v>共同</x:v>
      </x:c>
      <x:c r="AA1181" s="3" t="str">
        <x:v>在售</x:v>
      </x:c>
      <x:c r="AB1181" s="12" t="n">
        <x:f>IF(AND(Z1181="共同",ISNUMBER(G1181),ISNUMBER(AD1181)),G1181-AD1181,"")</x:f>
        <x:v>1.015238095238095</x:v>
      </x:c>
      <x:c r="AC1181" s="3" t="str"/>
      <x:c r="AD1181" s="12" t="n">
        <x:v>1.2233333333333334</x:v>
      </x:c>
      <x:c r="AE1181" s="3" t="str">
        <x:v>[13120,"B06-LP-39-N"]</x:v>
      </x:c>
      <x:c r="AF1181" t="n">
        <x:f>IF(ISNUMBER(H1181),1,0)</x:f>
        <x:v>1</x:v>
      </x:c>
      <x:c r="AG1181" t="n">
        <x:f>IF(ISNUMBER(I1181),1,0)</x:f>
        <x:v>1</x:v>
      </x:c>
      <x:c r="AH1181" t="str">
        <x:v>["B06","B06-LP","LP","豹纹羊京绒"]</x:v>
      </x:c>
      <x:c r="AI1181" t="n">
        <x:f>IF(ISNUMBER(G1181),1,0)</x:f>
        <x:v>1</x:v>
      </x:c>
      <x:c r="AJ1181" t="n">
        <x:f>IF(ISNUMBER(AD1181),1,0)</x:f>
        <x:v>1</x:v>
      </x:c>
    </x:row>
    <x:row r="1182" ht="30" customHeight="1">
      <x:c r="A1182" s="3" t="str">
        <x:v>B06-LP-40</x:v>
      </x:c>
      <x:c r="B1182" s="3" t="str">
        <x:v>1店-MUSSHOE-US</x:v>
      </x:c>
      <x:c r="C1182" s="3" t="str">
        <x:v>艾年</x:v>
      </x:c>
      <x:c r="D1182" s="3" t="str">
        <x:v>B06</x:v>
      </x:c>
      <x:c r="E1182" s="3" t="str">
        <x:f>IF(Z1182="移出","已移出",IF(NOT(ISNUMBER(H1182)),"数据待核",IF(H1182=0,"断货",IF(NOT(ISNUMBER(G1182)),"数据待核",IF(G1182=0,"零日销待复核",IF(F1182&lt;60,"补货提醒",IF(F1182&lt;=90,"正常库存",IF(F1182&lt;180,"促销",IF(F1182&lt;=365,"红线促销","考虑清仓")))))))))</x:f>
        <x:v>补货提醒</x:v>
      </x:c>
      <x:c r="F1182" s="11" t="n">
        <x:f>IF(AND(ISNUMBER(H1182),ISNUMBER(G1182),G1182&gt;0),H1182/G1182,"")</x:f>
        <x:v>8.201240523776706</x:v>
      </x:c>
      <x:c r="G1182" s="12" t="n">
        <x:f>IF(AND(COUNT(P1182:R1182)=3,MIN(P1182:R1182)&gt;=0,P1182&lt;=Q1182,Q1182&lt;=R1182),P1182/7*0.5+Q1182/14*0.3+R1182/30*0.2,"")</x:f>
        <x:v>2.072857142857143</x:v>
      </x:c>
      <x:c r="H1182" s="10" t="n">
        <x:f>IF(ISNUMBER(U1182),U1182,"")</x:f>
        <x:v>17</x:v>
      </x:c>
      <x:c r="I1182" s="10" t="n">
        <x:v>41</x:v>
      </x:c>
      <x:c r="J1182" s="11" t="n">
        <x:f>IF(AND(Z1182="共同",ISNUMBER(F1182),ISNUMBER(M1182)),F1182-M1182,"")</x:f>
        <x:v>-17.378082114369462</x:v>
      </x:c>
      <x:c r="K1182" s="13" t="n">
        <x:f>IF(AND(ISNUMBER(J1182),M1182&lt;&gt;0),J1182/M1182,"")</x:f>
        <x:v>-0.6793800742969525</x:v>
      </x:c>
      <x:c r="L1182" s="10" t="str">
        <x:v>补货提醒</x:v>
      </x:c>
      <x:c r="M1182" s="11" t="n">
        <x:v>25.57932263814617</x:v>
      </x:c>
      <x:c r="N1182" s="10" t="n">
        <x:f>IF(AND(Z1182="共同",COUNT(H1182:I1182)=2),H1182-I1182,"")</x:f>
        <x:v>-24</x:v>
      </x:c>
      <x:c r="O1182" s="10" t="n">
        <x:v>267</x:v>
      </x:c>
      <x:c r="P1182" s="10" t="n">
        <x:v>15</x:v>
      </x:c>
      <x:c r="Q1182" s="10" t="n">
        <x:v>29</x:v>
      </x:c>
      <x:c r="R1182" s="10" t="n">
        <x:v>57</x:v>
      </x:c>
      <x:c r="S1182" s="10" t="n">
        <x:v>20</x:v>
      </x:c>
      <x:c r="T1182" s="10" t="n">
        <x:v>1</x:v>
      </x:c>
      <x:c r="U1182" s="10" t="n">
        <x:f>IF(AND(ISNUMBER(X1182),X1182&gt;=0,Y1182&lt;&gt;1),X1182,"")</x:f>
        <x:v>17</x:v>
      </x:c>
      <x:c r="V1182" s="10" t="n">
        <x:v>0</x:v>
      </x:c>
      <x:c r="W1182" s="10" t="n">
        <x:v>67</x:v>
      </x:c>
      <x:c r="X1182" s="10" t="n">
        <x:v>17</x:v>
      </x:c>
      <x:c r="Y1182" s="3" t="n">
        <x:v>0</x:v>
      </x:c>
      <x:c r="Z1182" s="3" t="str">
        <x:v>共同</x:v>
      </x:c>
      <x:c r="AA1182" s="3" t="str">
        <x:v>在售</x:v>
      </x:c>
      <x:c r="AB1182" s="12" t="n">
        <x:f>IF(AND(Z1182="共同",ISNUMBER(G1182),ISNUMBER(AD1182)),G1182-AD1182,"")</x:f>
        <x:v>0.4700000000000002</x:v>
      </x:c>
      <x:c r="AC1182" s="3" t="str"/>
      <x:c r="AD1182" s="12" t="n">
        <x:v>1.6028571428571428</x:v>
      </x:c>
      <x:c r="AE1182" s="3" t="str">
        <x:v>[13120,"B06-LP-40"]</x:v>
      </x:c>
      <x:c r="AF1182" t="n">
        <x:f>IF(ISNUMBER(H1182),1,0)</x:f>
        <x:v>1</x:v>
      </x:c>
      <x:c r="AG1182" t="n">
        <x:f>IF(ISNUMBER(I1182),1,0)</x:f>
        <x:v>1</x:v>
      </x:c>
      <x:c r="AH1182" t="str">
        <x:v>["B06","B06-LP","LP","豹纹羊京绒"]</x:v>
      </x:c>
      <x:c r="AI1182" t="n">
        <x:f>IF(ISNUMBER(G1182),1,0)</x:f>
        <x:v>1</x:v>
      </x:c>
      <x:c r="AJ1182" t="n">
        <x:f>IF(ISNUMBER(AD1182),1,0)</x:f>
        <x:v>1</x:v>
      </x:c>
    </x:row>
    <x:row r="1183" ht="30" customHeight="1">
      <x:c r="A1183" s="3" t="str">
        <x:v>B06-LP-40.5</x:v>
      </x:c>
      <x:c r="B1183" s="3" t="str">
        <x:v>1店-MUSSHOE-US</x:v>
      </x:c>
      <x:c r="C1183" s="3" t="str">
        <x:v>艾年</x:v>
      </x:c>
      <x:c r="D1183" s="3" t="str">
        <x:v>B06</x:v>
      </x:c>
      <x:c r="E1183" s="3" t="str">
        <x:f>IF(Z1183="移出","已移出",IF(NOT(ISNUMBER(H1183)),"数据待核",IF(H1183=0,"断货",IF(NOT(ISNUMBER(G1183)),"数据待核",IF(G1183=0,"零日销待复核",IF(F1183&lt;60,"补货提醒",IF(F1183&lt;=90,"正常库存",IF(F1183&lt;180,"促销",IF(F1183&lt;=365,"红线促销","考虑清仓")))))))))</x:f>
        <x:v>补货提醒</x:v>
      </x:c>
      <x:c r="F1183" s="11" t="n">
        <x:f>IF(AND(ISNUMBER(H1183),ISNUMBER(G1183),G1183&gt;0),H1183/G1183,"")</x:f>
        <x:v>11.181364392678868</x:v>
      </x:c>
      <x:c r="G1183" s="12" t="n">
        <x:f>IF(AND(COUNT(P1183:R1183)=3,MIN(P1183:R1183)&gt;=0,P1183&lt;=Q1183,Q1183&lt;=R1183),P1183/7*0.5+Q1183/14*0.3+R1183/30*0.2,"")</x:f>
        <x:v>1.430952380952381</x:v>
      </x:c>
      <x:c r="H1183" s="10" t="n">
        <x:f>IF(ISNUMBER(U1183),U1183,"")</x:f>
        <x:v>16</x:v>
      </x:c>
      <x:c r="I1183" s="10" t="n">
        <x:v>26</x:v>
      </x:c>
      <x:c r="J1183" s="11" t="n">
        <x:f>IF(AND(Z1183="共同",ISNUMBER(F1183),ISNUMBER(M1183)),F1183-M1183,"")</x:f>
        <x:v>-48.42562250688446</x:v>
      </x:c>
      <x:c r="K1183" s="13" t="n">
        <x:f>IF(AND(ISNUMBER(J1183),M1183&lt;&gt;0),J1183/M1183,"")</x:f>
        <x:v>-0.8124152054268527</x:v>
      </x:c>
      <x:c r="L1183" s="10" t="str">
        <x:v>补货提醒</x:v>
      </x:c>
      <x:c r="M1183" s="11" t="n">
        <x:v>59.606986899563324</x:v>
      </x:c>
      <x:c r="N1183" s="10" t="n">
        <x:f>IF(AND(Z1183="共同",COUNT(H1183:I1183)=2),H1183-I1183,"")</x:f>
        <x:v>-10</x:v>
      </x:c>
      <x:c r="O1183" s="10" t="n">
        <x:v>132</x:v>
      </x:c>
      <x:c r="P1183" s="10" t="n">
        <x:v>12</x:v>
      </x:c>
      <x:c r="Q1183" s="10" t="n">
        <x:v>19</x:v>
      </x:c>
      <x:c r="R1183" s="10" t="n">
        <x:v>25</x:v>
      </x:c>
      <x:c r="S1183" s="10" t="n">
        <x:v>19</x:v>
      </x:c>
      <x:c r="T1183" s="10" t="n">
        <x:v>1</x:v>
      </x:c>
      <x:c r="U1183" s="10" t="n">
        <x:f>IF(AND(ISNUMBER(X1183),X1183&gt;=0,Y1183&lt;&gt;1),X1183,"")</x:f>
        <x:v>16</x:v>
      </x:c>
      <x:c r="V1183" s="10" t="n">
        <x:v>0</x:v>
      </x:c>
      <x:c r="W1183" s="10" t="n">
        <x:v>49</x:v>
      </x:c>
      <x:c r="X1183" s="10" t="n">
        <x:v>16</x:v>
      </x:c>
      <x:c r="Y1183" s="3" t="n">
        <x:v>0</x:v>
      </x:c>
      <x:c r="Z1183" s="3" t="str">
        <x:v>共同</x:v>
      </x:c>
      <x:c r="AA1183" s="3" t="str">
        <x:v>在售</x:v>
      </x:c>
      <x:c r="AB1183" s="12" t="n">
        <x:f>IF(AND(Z1183="共同",ISNUMBER(G1183),ISNUMBER(AD1183)),G1183-AD1183,"")</x:f>
        <x:v>0.9947619047619048</x:v>
      </x:c>
      <x:c r="AC1183" s="3" t="str"/>
      <x:c r="AD1183" s="12" t="n">
        <x:v>0.43619047619047613</x:v>
      </x:c>
      <x:c r="AE1183" s="3" t="str">
        <x:v>[13120,"B06-LP-40.5"]</x:v>
      </x:c>
      <x:c r="AF1183" t="n">
        <x:f>IF(ISNUMBER(H1183),1,0)</x:f>
        <x:v>1</x:v>
      </x:c>
      <x:c r="AG1183" t="n">
        <x:f>IF(ISNUMBER(I1183),1,0)</x:f>
        <x:v>1</x:v>
      </x:c>
      <x:c r="AH1183" t="str">
        <x:v>["B06","B06-LP","LP","豹纹羊京绒"]</x:v>
      </x:c>
      <x:c r="AI1183" t="n">
        <x:f>IF(ISNUMBER(G1183),1,0)</x:f>
        <x:v>1</x:v>
      </x:c>
      <x:c r="AJ1183" t="n">
        <x:f>IF(ISNUMBER(AD1183),1,0)</x:f>
        <x:v>1</x:v>
      </x:c>
    </x:row>
    <x:row r="1184" ht="30" customHeight="1">
      <x:c r="A1184" s="3" t="str">
        <x:v>B06-LP-41.5</x:v>
      </x:c>
      <x:c r="B1184" s="3" t="str">
        <x:v>1店-MUSSHOE-US</x:v>
      </x:c>
      <x:c r="C1184" s="3" t="str">
        <x:v>艾年</x:v>
      </x:c>
      <x:c r="D1184" s="3" t="str">
        <x:v>B06</x:v>
      </x:c>
      <x:c r="E1184" s="3" t="str">
        <x:f>IF(Z1184="移出","已移出",IF(NOT(ISNUMBER(H1184)),"数据待核",IF(H1184=0,"断货",IF(NOT(ISNUMBER(G1184)),"数据待核",IF(G1184=0,"零日销待复核",IF(F1184&lt;60,"补货提醒",IF(F1184&lt;=90,"正常库存",IF(F1184&lt;180,"促销",IF(F1184&lt;=365,"红线促销","考虑清仓")))))))))</x:f>
        <x:v>补货提醒</x:v>
      </x:c>
      <x:c r="F1184" s="11" t="n">
        <x:f>IF(AND(ISNUMBER(H1184),ISNUMBER(G1184),G1184&gt;0),H1184/G1184,"")</x:f>
        <x:v>30.79470198675497</x:v>
      </x:c>
      <x:c r="G1184" s="12" t="n">
        <x:f>IF(AND(COUNT(P1184:R1184)=3,MIN(P1184:R1184)&gt;=0,P1184&lt;=Q1184,Q1184&lt;=R1184),P1184/7*0.5+Q1184/14*0.3+R1184/30*0.2,"")</x:f>
        <x:v>1.0066666666666666</x:v>
      </x:c>
      <x:c r="H1184" s="10" t="n">
        <x:f>IF(ISNUMBER(U1184),U1184,"")</x:f>
        <x:v>31</x:v>
      </x:c>
      <x:c r="I1184" s="10" t="n">
        <x:v>45</x:v>
      </x:c>
      <x:c r="J1184" s="11" t="n">
        <x:f>IF(AND(Z1184="共同",ISNUMBER(F1184),ISNUMBER(M1184)),F1184-M1184,"")</x:f>
        <x:v>-111.95454272623599</x:v>
      </x:c>
      <x:c r="K1184" s="13" t="n">
        <x:f>IF(AND(ISNUMBER(J1184),M1184&lt;&gt;0),J1184/M1184,"")</x:f>
        <x:v>-0.7842741511615684</x:v>
      </x:c>
      <x:c r="L1184" s="10" t="str">
        <x:v>促销</x:v>
      </x:c>
      <x:c r="M1184" s="11" t="n">
        <x:v>142.74924471299096</x:v>
      </x:c>
      <x:c r="N1184" s="10" t="n">
        <x:f>IF(AND(Z1184="共同",COUNT(H1184:I1184)=2),H1184-I1184,"")</x:f>
        <x:v>-14</x:v>
      </x:c>
      <x:c r="O1184" s="10" t="n">
        <x:v>38</x:v>
      </x:c>
      <x:c r="P1184" s="10" t="n">
        <x:v>9</x:v>
      </x:c>
      <x:c r="Q1184" s="10" t="n">
        <x:v>12</x:v>
      </x:c>
      <x:c r="R1184" s="10" t="n">
        <x:v>16</x:v>
      </x:c>
      <x:c r="S1184" s="10" t="n">
        <x:v>37</x:v>
      </x:c>
      <x:c r="T1184" s="10" t="n">
        <x:v>2</x:v>
      </x:c>
      <x:c r="U1184" s="10" t="n">
        <x:f>IF(AND(ISNUMBER(X1184),X1184&gt;=0,Y1184&lt;&gt;1),X1184,"")</x:f>
        <x:v>31</x:v>
      </x:c>
      <x:c r="V1184" s="10" t="n">
        <x:v>0</x:v>
      </x:c>
      <x:c r="W1184" s="10" t="n">
        <x:v>0</x:v>
      </x:c>
      <x:c r="X1184" s="10" t="n">
        <x:v>31</x:v>
      </x:c>
      <x:c r="Y1184" s="3" t="n">
        <x:v>0</x:v>
      </x:c>
      <x:c r="Z1184" s="3" t="str">
        <x:v>共同</x:v>
      </x:c>
      <x:c r="AA1184" s="3" t="str">
        <x:v>在售</x:v>
      </x:c>
      <x:c r="AB1184" s="12" t="n">
        <x:f>IF(AND(Z1184="共同",ISNUMBER(G1184),ISNUMBER(AD1184)),G1184-AD1184,"")</x:f>
        <x:v>0.6914285714285714</x:v>
      </x:c>
      <x:c r="AC1184" s="3" t="str"/>
      <x:c r="AD1184" s="12" t="n">
        <x:v>0.3152380952380952</x:v>
      </x:c>
      <x:c r="AE1184" s="3" t="str">
        <x:v>[13120,"B06-LP-41.5"]</x:v>
      </x:c>
      <x:c r="AF1184" t="n">
        <x:f>IF(ISNUMBER(H1184),1,0)</x:f>
        <x:v>1</x:v>
      </x:c>
      <x:c r="AG1184" t="n">
        <x:f>IF(ISNUMBER(I1184),1,0)</x:f>
        <x:v>1</x:v>
      </x:c>
      <x:c r="AH1184" t="str">
        <x:v>["B06","B06-LP","LP","豹纹羊京绒"]</x:v>
      </x:c>
      <x:c r="AI1184" t="n">
        <x:f>IF(ISNUMBER(G1184),1,0)</x:f>
        <x:v>1</x:v>
      </x:c>
      <x:c r="AJ1184" t="n">
        <x:f>IF(ISNUMBER(AD1184),1,0)</x:f>
        <x:v>1</x:v>
      </x:c>
    </x:row>
    <x:row r="1185" ht="30" customHeight="1">
      <x:c r="A1185" s="3" t="str">
        <x:v>B06-LP-42-N</x:v>
      </x:c>
      <x:c r="B1185" s="3" t="str">
        <x:v>1店-MUSSHOE-US</x:v>
      </x:c>
      <x:c r="C1185" s="3" t="str">
        <x:v>艾年</x:v>
      </x:c>
      <x:c r="D1185" s="3" t="str">
        <x:v>B06</x:v>
      </x:c>
      <x:c r="E1185" s="3" t="str">
        <x:f>IF(Z1185="移出","已移出",IF(NOT(ISNUMBER(H1185)),"数据待核",IF(H1185=0,"断货",IF(NOT(ISNUMBER(G1185)),"数据待核",IF(G1185=0,"零日销待复核",IF(F1185&lt;60,"补货提醒",IF(F1185&lt;=90,"正常库存",IF(F1185&lt;180,"促销",IF(F1185&lt;=365,"红线促销","考虑清仓")))))))))</x:f>
        <x:v>补货提醒</x:v>
      </x:c>
      <x:c r="F1185" s="11" t="n">
        <x:f>IF(AND(ISNUMBER(H1185),ISNUMBER(G1185),G1185&gt;0),H1185/G1185,"")</x:f>
        <x:v>23.57142857142857</x:v>
      </x:c>
      <x:c r="G1185" s="12" t="n">
        <x:f>IF(AND(COUNT(P1185:R1185)=3,MIN(P1185:R1185)&gt;=0,P1185&lt;=Q1185,Q1185&lt;=R1185),P1185/7*0.5+Q1185/14*0.3+R1185/30*0.2,"")</x:f>
        <x:v>0.9333333333333333</x:v>
      </x:c>
      <x:c r="H1185" s="10" t="n">
        <x:f>IF(ISNUMBER(U1185),U1185,"")</x:f>
        <x:v>22</x:v>
      </x:c>
      <x:c r="I1185" s="10" t="n">
        <x:v>34</x:v>
      </x:c>
      <x:c r="J1185" s="11" t="n">
        <x:f>IF(AND(Z1185="共同",ISNUMBER(F1185),ISNUMBER(M1185)),F1185-M1185,"")</x:f>
        <x:v>-58.12193527296503</x:v>
      </x:c>
      <x:c r="K1185" s="13" t="n">
        <x:f>IF(AND(ISNUMBER(J1185),M1185&lt;&gt;0),J1185/M1185,"")</x:f>
        <x:v>-0.7114645858343338</x:v>
      </x:c>
      <x:c r="L1185" s="10" t="str">
        <x:v>正常库存</x:v>
      </x:c>
      <x:c r="M1185" s="11" t="n">
        <x:v>81.6933638443936</x:v>
      </x:c>
      <x:c r="N1185" s="10" t="n">
        <x:f>IF(AND(Z1185="共同",COUNT(H1185:I1185)=2),H1185-I1185,"")</x:f>
        <x:v>-12</x:v>
      </x:c>
      <x:c r="O1185" s="10" t="n">
        <x:v>14</x:v>
      </x:c>
      <x:c r="P1185" s="10" t="n">
        <x:v>7</x:v>
      </x:c>
      <x:c r="Q1185" s="10" t="n">
        <x:v>14</x:v>
      </x:c>
      <x:c r="R1185" s="10" t="n">
        <x:v>20</x:v>
      </x:c>
      <x:c r="S1185" s="10" t="n">
        <x:v>24</x:v>
      </x:c>
      <x:c r="T1185" s="10" t="n">
        <x:v>0</x:v>
      </x:c>
      <x:c r="U1185" s="10" t="n">
        <x:f>IF(AND(ISNUMBER(X1185),X1185&gt;=0,Y1185&lt;&gt;1),X1185,"")</x:f>
        <x:v>22</x:v>
      </x:c>
      <x:c r="V1185" s="10" t="n">
        <x:v>0</x:v>
      </x:c>
      <x:c r="W1185" s="10" t="n">
        <x:v>1</x:v>
      </x:c>
      <x:c r="X1185" s="10" t="n">
        <x:v>22</x:v>
      </x:c>
      <x:c r="Y1185" s="3" t="n">
        <x:v>0</x:v>
      </x:c>
      <x:c r="Z1185" s="3" t="str">
        <x:v>共同</x:v>
      </x:c>
      <x:c r="AA1185" s="3" t="str">
        <x:v>在售</x:v>
      </x:c>
      <x:c r="AB1185" s="12" t="n">
        <x:f>IF(AND(Z1185="共同",ISNUMBER(G1185),ISNUMBER(AD1185)),G1185-AD1185,"")</x:f>
        <x:v>0.5171428571428572</x:v>
      </x:c>
      <x:c r="AC1185" s="3" t="str"/>
      <x:c r="AD1185" s="12" t="n">
        <x:v>0.4161904761904761</x:v>
      </x:c>
      <x:c r="AE1185" s="3" t="str">
        <x:v>[13120,"B06-LP-42-N"]</x:v>
      </x:c>
      <x:c r="AF1185" t="n">
        <x:f>IF(ISNUMBER(H1185),1,0)</x:f>
        <x:v>1</x:v>
      </x:c>
      <x:c r="AG1185" t="n">
        <x:f>IF(ISNUMBER(I1185),1,0)</x:f>
        <x:v>1</x:v>
      </x:c>
      <x:c r="AH1185" t="str">
        <x:v>["B06","B06-LP","LP","豹纹羊京绒"]</x:v>
      </x:c>
      <x:c r="AI1185" t="n">
        <x:f>IF(ISNUMBER(G1185),1,0)</x:f>
        <x:v>1</x:v>
      </x:c>
      <x:c r="AJ1185" t="n">
        <x:f>IF(ISNUMBER(AD1185),1,0)</x:f>
        <x:v>1</x:v>
      </x:c>
    </x:row>
    <x:row r="1186" ht="30" customHeight="1">
      <x:c r="A1186" s="3" t="str">
        <x:v>B06-MT-41</x:v>
      </x:c>
      <x:c r="B1186" s="3" t="str">
        <x:v>1店-MUSSHOE-US</x:v>
      </x:c>
      <x:c r="C1186" s="3" t="str">
        <x:v>艾年</x:v>
      </x:c>
      <x:c r="D1186" s="3" t="str">
        <x:v>B06</x:v>
      </x:c>
      <x:c r="E1186" s="3" t="str">
        <x:f>IF(Z1186="移出","已移出",IF(NOT(ISNUMBER(H1186)),"数据待核",IF(H1186=0,"断货",IF(NOT(ISNUMBER(G1186)),"数据待核",IF(G1186=0,"零日销待复核",IF(F1186&lt;60,"补货提醒",IF(F1186&lt;=90,"正常库存",IF(F1186&lt;180,"促销",IF(F1186&lt;=365,"红线促销","考虑清仓")))))))))</x:f>
        <x:v>补货提醒</x:v>
      </x:c>
      <x:c r="F1186" s="11" t="n">
        <x:f>IF(AND(ISNUMBER(H1186),ISNUMBER(G1186),G1186&gt;0),H1186/G1186,"")</x:f>
        <x:v>15.825169555388095</x:v>
      </x:c>
      <x:c r="G1186" s="12" t="n">
        <x:f>IF(AND(COUNT(P1186:R1186)=3,MIN(P1186:R1186)&gt;=0,P1186&lt;=Q1186,Q1186&lt;=R1186),P1186/7*0.5+Q1186/14*0.3+R1186/30*0.2,"")</x:f>
        <x:v>0.6319047619047619</x:v>
      </x:c>
      <x:c r="H1186" s="10" t="n">
        <x:f>IF(ISNUMBER(U1186),U1186,"")</x:f>
        <x:v>10</x:v>
      </x:c>
      <x:c r="I1186" s="10" t="n">
        <x:v>17</x:v>
      </x:c>
      <x:c r="J1186" s="11" t="n">
        <x:f>IF(AND(Z1186="共同",ISNUMBER(F1186),ISNUMBER(M1186)),F1186-M1186,"")</x:f>
        <x:v>-154.98822757379853</x:v>
      </x:c>
      <x:c r="K1186" s="13" t="n">
        <x:f>IF(AND(ISNUMBER(J1186),M1186&lt;&gt;0),J1186/M1186,"")</x:f>
        <x:v>-0.9073540493816215</x:v>
      </x:c>
      <x:c r="L1186" s="10" t="str">
        <x:v>促销</x:v>
      </x:c>
      <x:c r="M1186" s="11" t="n">
        <x:v>170.81339712918663</x:v>
      </x:c>
      <x:c r="N1186" s="10" t="n">
        <x:f>IF(AND(Z1186="共同",COUNT(H1186:I1186)=2),H1186-I1186,"")</x:f>
        <x:v>-7</x:v>
      </x:c>
      <x:c r="O1186" s="10"/>
      <x:c r="P1186" s="10" t="n">
        <x:v>6</x:v>
      </x:c>
      <x:c r="Q1186" s="10" t="n">
        <x:v>7</x:v>
      </x:c>
      <x:c r="R1186" s="10" t="n">
        <x:v>8</x:v>
      </x:c>
      <x:c r="S1186" s="10" t="n">
        <x:v>11</x:v>
      </x:c>
      <x:c r="T1186" s="10" t="n">
        <x:v>1</x:v>
      </x:c>
      <x:c r="U1186" s="10" t="n">
        <x:f>IF(AND(ISNUMBER(X1186),X1186&gt;=0,Y1186&lt;&gt;1),X1186,"")</x:f>
        <x:v>10</x:v>
      </x:c>
      <x:c r="V1186" s="10" t="n">
        <x:v>0</x:v>
      </x:c>
      <x:c r="W1186" s="10" t="n">
        <x:v>0</x:v>
      </x:c>
      <x:c r="X1186" s="10" t="n">
        <x:v>10</x:v>
      </x:c>
      <x:c r="Y1186" s="3" t="n">
        <x:v>0</x:v>
      </x:c>
      <x:c r="Z1186" s="3" t="str">
        <x:v>共同</x:v>
      </x:c>
      <x:c r="AA1186" s="3" t="str">
        <x:v>在售</x:v>
      </x:c>
      <x:c r="AB1186" s="12" t="n">
        <x:f>IF(AND(Z1186="共同",ISNUMBER(G1186),ISNUMBER(AD1186)),G1186-AD1186,"")</x:f>
        <x:v>0.5323809523809524</x:v>
      </x:c>
      <x:c r="AC1186" s="3" t="str"/>
      <x:c r="AD1186" s="12" t="n">
        <x:v>0.09952380952380951</x:v>
      </x:c>
      <x:c r="AE1186" s="3" t="str">
        <x:v>[13120,"B06-MT-41"]</x:v>
      </x:c>
      <x:c r="AF1186" t="n">
        <x:f>IF(ISNUMBER(H1186),1,0)</x:f>
        <x:v>1</x:v>
      </x:c>
      <x:c r="AG1186" t="n">
        <x:f>IF(ISNUMBER(I1186),1,0)</x:f>
        <x:v>1</x:v>
      </x:c>
      <x:c r="AH1186" t="str">
        <x:v>["B06","B06-MT","MT","黄色羊京绒"]</x:v>
      </x:c>
      <x:c r="AI1186" t="n">
        <x:f>IF(ISNUMBER(G1186),1,0)</x:f>
        <x:v>1</x:v>
      </x:c>
      <x:c r="AJ1186" t="n">
        <x:f>IF(ISNUMBER(AD1186),1,0)</x:f>
        <x:v>1</x:v>
      </x:c>
    </x:row>
    <x:row r="1187" ht="30" customHeight="1">
      <x:c r="A1187" s="3" t="str">
        <x:v>B06-ND-37-N</x:v>
      </x:c>
      <x:c r="B1187" s="3" t="str">
        <x:v>1店-MUSSHOE-US</x:v>
      </x:c>
      <x:c r="C1187" s="3" t="str">
        <x:v>艾年</x:v>
      </x:c>
      <x:c r="D1187" s="3" t="str">
        <x:v>B06</x:v>
      </x:c>
      <x:c r="E1187" s="3" t="str">
        <x:f>IF(Z1187="移出","已移出",IF(NOT(ISNUMBER(H1187)),"数据待核",IF(H1187=0,"断货",IF(NOT(ISNUMBER(G1187)),"数据待核",IF(G1187=0,"零日销待复核",IF(F1187&lt;60,"补货提醒",IF(F1187&lt;=90,"正常库存",IF(F1187&lt;180,"促销",IF(F1187&lt;=365,"红线促销","考虑清仓")))))))))</x:f>
        <x:v>补货提醒</x:v>
      </x:c>
      <x:c r="F1187" s="11" t="n">
        <x:f>IF(AND(ISNUMBER(H1187),ISNUMBER(G1187),G1187&gt;0),H1187/G1187,"")</x:f>
        <x:v>13.20754716981132</x:v>
      </x:c>
      <x:c r="G1187" s="12" t="n">
        <x:f>IF(AND(COUNT(P1187:R1187)=3,MIN(P1187:R1187)&gt;=0,P1187&lt;=Q1187,Q1187&lt;=R1187),P1187/7*0.5+Q1187/14*0.3+R1187/30*0.2,"")</x:f>
        <x:v>0.37857142857142856</x:v>
      </x:c>
      <x:c r="H1187" s="10" t="n">
        <x:f>IF(ISNUMBER(U1187),U1187,"")</x:f>
        <x:v>5</x:v>
      </x:c>
      <x:c r="I1187" s="10" t="n">
        <x:v>0</x:v>
      </x:c>
      <x:c r="J1187" s="11" t="n">
        <x:f>IF(AND(Z1187="共同",ISNUMBER(F1187),ISNUMBER(M1187)),F1187-M1187,"")</x:f>
        <x:v>13.20754716981132</x:v>
      </x:c>
      <x:c r="K1187" s="13" t="str">
        <x:f>IF(AND(ISNUMBER(J1187),M1187&lt;&gt;0),J1187/M1187,"")</x:f>
      </x:c>
      <x:c r="L1187" s="10" t="str">
        <x:v>断货</x:v>
      </x:c>
      <x:c r="M1187" s="11" t="n">
        <x:v>0</x:v>
      </x:c>
      <x:c r="N1187" s="10" t="n">
        <x:f>IF(AND(Z1187="共同",COUNT(H1187:I1187)=2),H1187-I1187,"")</x:f>
        <x:v>5</x:v>
      </x:c>
      <x:c r="O1187" s="10" t="n">
        <x:v>37</x:v>
      </x:c>
      <x:c r="P1187" s="10" t="n">
        <x:v>3</x:v>
      </x:c>
      <x:c r="Q1187" s="10" t="n">
        <x:v>3</x:v>
      </x:c>
      <x:c r="R1187" s="10" t="n">
        <x:v>15</x:v>
      </x:c>
      <x:c r="S1187" s="10" t="n">
        <x:v>18</x:v>
      </x:c>
      <x:c r="T1187" s="10" t="n">
        <x:v>2</x:v>
      </x:c>
      <x:c r="U1187" s="10" t="n">
        <x:f>IF(AND(ISNUMBER(X1187),X1187&gt;=0,Y1187&lt;&gt;1),X1187,"")</x:f>
        <x:v>5</x:v>
      </x:c>
      <x:c r="V1187" s="10" t="n">
        <x:v>0</x:v>
      </x:c>
      <x:c r="W1187" s="10" t="n">
        <x:v>77</x:v>
      </x:c>
      <x:c r="X1187" s="10" t="n">
        <x:v>5</x:v>
      </x:c>
      <x:c r="Y1187" s="3" t="n">
        <x:v>0</x:v>
      </x:c>
      <x:c r="Z1187" s="3" t="str">
        <x:v>共同</x:v>
      </x:c>
      <x:c r="AA1187" s="3" t="str">
        <x:v>在售</x:v>
      </x:c>
      <x:c r="AB1187" s="12" t="n">
        <x:f>IF(AND(Z1187="共同",ISNUMBER(G1187),ISNUMBER(AD1187)),G1187-AD1187,"")</x:f>
        <x:v>-0.23857142857142855</x:v>
      </x:c>
      <x:c r="AC1187" s="3" t="str"/>
      <x:c r="AD1187" s="12" t="n">
        <x:v>0.6171428571428571</x:v>
      </x:c>
      <x:c r="AE1187" s="3" t="str">
        <x:v>[13120,"B06-ND-37-N"]</x:v>
      </x:c>
      <x:c r="AF1187" t="n">
        <x:f>IF(ISNUMBER(H1187),1,0)</x:f>
        <x:v>1</x:v>
      </x:c>
      <x:c r="AG1187" t="n">
        <x:f>IF(ISNUMBER(I1187),1,0)</x:f>
        <x:v>1</x:v>
      </x:c>
      <x:c r="AH1187" t="str">
        <x:v>["B06","B06-ND","ND","裸色羊京绒"]</x:v>
      </x:c>
      <x:c r="AI1187" t="n">
        <x:f>IF(ISNUMBER(G1187),1,0)</x:f>
        <x:v>1</x:v>
      </x:c>
      <x:c r="AJ1187" t="n">
        <x:f>IF(ISNUMBER(AD1187),1,0)</x:f>
        <x:v>1</x:v>
      </x:c>
    </x:row>
    <x:row r="1188" ht="30" customHeight="1">
      <x:c r="A1188" s="3" t="str">
        <x:v>B06-ND-38</x:v>
      </x:c>
      <x:c r="B1188" s="3" t="str">
        <x:v>1店-MUSSHOE-US</x:v>
      </x:c>
      <x:c r="C1188" s="3" t="str">
        <x:v>艾年</x:v>
      </x:c>
      <x:c r="D1188" s="3" t="str">
        <x:v>B06</x:v>
      </x:c>
      <x:c r="E1188" s="3" t="str">
        <x:f>IF(Z1188="移出","已移出",IF(NOT(ISNUMBER(H1188)),"数据待核",IF(H1188=0,"断货",IF(NOT(ISNUMBER(G1188)),"数据待核",IF(G1188=0,"零日销待复核",IF(F1188&lt;60,"补货提醒",IF(F1188&lt;=90,"正常库存",IF(F1188&lt;180,"促销",IF(F1188&lt;=365,"红线促销","考虑清仓")))))))))</x:f>
        <x:v>补货提醒</x:v>
      </x:c>
      <x:c r="F1188" s="11" t="n">
        <x:f>IF(AND(ISNUMBER(H1188),ISNUMBER(G1188),G1188&gt;0),H1188/G1188,"")</x:f>
        <x:v>19.169027384324835</x:v>
      </x:c>
      <x:c r="G1188" s="12" t="n">
        <x:f>IF(AND(COUNT(P1188:R1188)=3,MIN(P1188:R1188)&gt;=0,P1188&lt;=Q1188,Q1188&lt;=R1188),P1188/7*0.5+Q1188/14*0.3+R1188/30*0.2,"")</x:f>
        <x:v>1.512857142857143</x:v>
      </x:c>
      <x:c r="H1188" s="10" t="n">
        <x:f>IF(ISNUMBER(U1188),U1188,"")</x:f>
        <x:v>29</x:v>
      </x:c>
      <x:c r="I1188" s="10" t="n">
        <x:v>29</x:v>
      </x:c>
      <x:c r="J1188" s="11" t="n">
        <x:f>IF(AND(Z1188="共同",ISNUMBER(F1188),ISNUMBER(M1188)),F1188-M1188,"")</x:f>
        <x:v>4.120843544443442</x:v>
      </x:c>
      <x:c r="K1188" s="13" t="n">
        <x:f>IF(AND(ISNUMBER(J1188),M1188&lt;&gt;0),J1188/M1188,"")</x:f>
        <x:v>0.27384324834749774</x:v>
      </x:c>
      <x:c r="L1188" s="10" t="str">
        <x:v>补货提醒</x:v>
      </x:c>
      <x:c r="M1188" s="11" t="n">
        <x:v>15.048183839881393</x:v>
      </x:c>
      <x:c r="N1188" s="10" t="n">
        <x:f>IF(AND(Z1188="共同",COUNT(H1188:I1188)=2),H1188-I1188,"")</x:f>
        <x:v>0</x:v>
      </x:c>
      <x:c r="O1188" s="10" t="n">
        <x:v>36</x:v>
      </x:c>
      <x:c r="P1188" s="10" t="n">
        <x:v>11</x:v>
      </x:c>
      <x:c r="Q1188" s="10" t="n">
        <x:v>19</x:v>
      </x:c>
      <x:c r="R1188" s="10" t="n">
        <x:v>48</x:v>
      </x:c>
      <x:c r="S1188" s="10" t="n">
        <x:v>46</x:v>
      </x:c>
      <x:c r="T1188" s="10" t="n">
        <x:v>1</x:v>
      </x:c>
      <x:c r="U1188" s="10" t="n">
        <x:f>IF(AND(ISNUMBER(X1188),X1188&gt;=0,Y1188&lt;&gt;1),X1188,"")</x:f>
        <x:v>29</x:v>
      </x:c>
      <x:c r="V1188" s="10" t="n">
        <x:v>0</x:v>
      </x:c>
      <x:c r="W1188" s="10" t="n">
        <x:v>171</x:v>
      </x:c>
      <x:c r="X1188" s="10" t="n">
        <x:v>29</x:v>
      </x:c>
      <x:c r="Y1188" s="3" t="n">
        <x:v>0</x:v>
      </x:c>
      <x:c r="Z1188" s="3" t="str">
        <x:v>共同</x:v>
      </x:c>
      <x:c r="AA1188" s="3" t="str">
        <x:v>在售</x:v>
      </x:c>
      <x:c r="AB1188" s="12" t="n">
        <x:f>IF(AND(Z1188="共同",ISNUMBER(G1188),ISNUMBER(AD1188)),G1188-AD1188,"")</x:f>
        <x:v>-0.41428571428571437</x:v>
      </x:c>
      <x:c r="AC1188" s="3" t="str"/>
      <x:c r="AD1188" s="12" t="n">
        <x:v>1.9271428571428573</x:v>
      </x:c>
      <x:c r="AE1188" s="3" t="str">
        <x:v>[13120,"B06-ND-38"]</x:v>
      </x:c>
      <x:c r="AF1188" t="n">
        <x:f>IF(ISNUMBER(H1188),1,0)</x:f>
        <x:v>1</x:v>
      </x:c>
      <x:c r="AG1188" t="n">
        <x:f>IF(ISNUMBER(I1188),1,0)</x:f>
        <x:v>1</x:v>
      </x:c>
      <x:c r="AH1188" t="str">
        <x:v>["B06","B06-ND","ND","裸色羊京绒"]</x:v>
      </x:c>
      <x:c r="AI1188" t="n">
        <x:f>IF(ISNUMBER(G1188),1,0)</x:f>
        <x:v>1</x:v>
      </x:c>
      <x:c r="AJ1188" t="n">
        <x:f>IF(ISNUMBER(AD1188),1,0)</x:f>
        <x:v>1</x:v>
      </x:c>
    </x:row>
    <x:row r="1189" ht="30" customHeight="1">
      <x:c r="A1189" s="3" t="str">
        <x:v>B06-ND-38.5</x:v>
      </x:c>
      <x:c r="B1189" s="3" t="str">
        <x:v>1店-MUSSHOE-US</x:v>
      </x:c>
      <x:c r="C1189" s="3" t="str">
        <x:v>艾年</x:v>
      </x:c>
      <x:c r="D1189" s="3" t="str">
        <x:v>B06</x:v>
      </x:c>
      <x:c r="E1189" s="3" t="str">
        <x:f>IF(Z1189="移出","已移出",IF(NOT(ISNUMBER(H1189)),"数据待核",IF(H1189=0,"断货",IF(NOT(ISNUMBER(G1189)),"数据待核",IF(G1189=0,"零日销待复核",IF(F1189&lt;60,"补货提醒",IF(F1189&lt;=90,"正常库存",IF(F1189&lt;180,"促销",IF(F1189&lt;=365,"红线促销","考虑清仓")))))))))</x:f>
        <x:v>补货提醒</x:v>
      </x:c>
      <x:c r="F1189" s="11" t="n">
        <x:f>IF(AND(ISNUMBER(H1189),ISNUMBER(G1189),G1189&gt;0),H1189/G1189,"")</x:f>
        <x:v>12.029081295439523</x:v>
      </x:c>
      <x:c r="G1189" s="12" t="n">
        <x:f>IF(AND(COUNT(P1189:R1189)=3,MIN(P1189:R1189)&gt;=0,P1189&lt;=Q1189,Q1189&lt;=R1189),P1189/7*0.5+Q1189/14*0.3+R1189/30*0.2,"")</x:f>
        <x:v>2.1614285714285715</x:v>
      </x:c>
      <x:c r="H1189" s="10" t="n">
        <x:f>IF(ISNUMBER(U1189),U1189,"")</x:f>
        <x:v>26</x:v>
      </x:c>
      <x:c r="I1189" s="10" t="n">
        <x:v>27</x:v>
      </x:c>
      <x:c r="J1189" s="11" t="n">
        <x:f>IF(AND(Z1189="共同",ISNUMBER(F1189),ISNUMBER(M1189)),F1189-M1189,"")</x:f>
        <x:v>-0.6441417711675417</x:v>
      </x:c>
      <x:c r="K1189" s="13" t="n">
        <x:f>IF(AND(ISNUMBER(J1189),M1189&lt;&gt;0),J1189/M1189,"")</x:f>
        <x:v>-0.050826989139392965</x:v>
      </x:c>
      <x:c r="L1189" s="10" t="str">
        <x:v>补货提醒</x:v>
      </x:c>
      <x:c r="M1189" s="11" t="n">
        <x:v>12.673223066607065</x:v>
      </x:c>
      <x:c r="N1189" s="10" t="n">
        <x:f>IF(AND(Z1189="共同",COUNT(H1189:I1189)=2),H1189-I1189,"")</x:f>
        <x:v>-1</x:v>
      </x:c>
      <x:c r="O1189" s="10" t="n">
        <x:v>17</x:v>
      </x:c>
      <x:c r="P1189" s="10" t="n">
        <x:v>16</x:v>
      </x:c>
      <x:c r="Q1189" s="10" t="n">
        <x:v>27</x:v>
      </x:c>
      <x:c r="R1189" s="10" t="n">
        <x:v>66</x:v>
      </x:c>
      <x:c r="S1189" s="10" t="n">
        <x:v>33</x:v>
      </x:c>
      <x:c r="T1189" s="10" t="n">
        <x:v>1</x:v>
      </x:c>
      <x:c r="U1189" s="10" t="n">
        <x:f>IF(AND(ISNUMBER(X1189),X1189&gt;=0,Y1189&lt;&gt;1),X1189,"")</x:f>
        <x:v>26</x:v>
      </x:c>
      <x:c r="V1189" s="10" t="n">
        <x:v>0</x:v>
      </x:c>
      <x:c r="W1189" s="10" t="n">
        <x:v>65</x:v>
      </x:c>
      <x:c r="X1189" s="10" t="n">
        <x:v>26</x:v>
      </x:c>
      <x:c r="Y1189" s="3" t="n">
        <x:v>0</x:v>
      </x:c>
      <x:c r="Z1189" s="3" t="str">
        <x:v>共同</x:v>
      </x:c>
      <x:c r="AA1189" s="3" t="str">
        <x:v>在售</x:v>
      </x:c>
      <x:c r="AB1189" s="12" t="n">
        <x:f>IF(AND(Z1189="共同",ISNUMBER(G1189),ISNUMBER(AD1189)),G1189-AD1189,"")</x:f>
        <x:v>0.030952380952381287</x:v>
      </x:c>
      <x:c r="AC1189" s="3" t="str"/>
      <x:c r="AD1189" s="12" t="n">
        <x:v>2.13047619047619</x:v>
      </x:c>
      <x:c r="AE1189" s="3" t="str">
        <x:v>[13120,"B06-ND-38.5"]</x:v>
      </x:c>
      <x:c r="AF1189" t="n">
        <x:f>IF(ISNUMBER(H1189),1,0)</x:f>
        <x:v>1</x:v>
      </x:c>
      <x:c r="AG1189" t="n">
        <x:f>IF(ISNUMBER(I1189),1,0)</x:f>
        <x:v>1</x:v>
      </x:c>
      <x:c r="AH1189" t="str">
        <x:v>["B06","B06-ND","ND","裸色羊京绒"]</x:v>
      </x:c>
      <x:c r="AI1189" t="n">
        <x:f>IF(ISNUMBER(G1189),1,0)</x:f>
        <x:v>1</x:v>
      </x:c>
      <x:c r="AJ1189" t="n">
        <x:f>IF(ISNUMBER(AD1189),1,0)</x:f>
        <x:v>1</x:v>
      </x:c>
    </x:row>
    <x:row r="1190" ht="30" customHeight="1">
      <x:c r="A1190" s="3" t="str">
        <x:v>B06-ND-39</x:v>
      </x:c>
      <x:c r="B1190" s="3" t="str">
        <x:v>1店-MUSSHOE-US</x:v>
      </x:c>
      <x:c r="C1190" s="3" t="str">
        <x:v>艾年</x:v>
      </x:c>
      <x:c r="D1190" s="3" t="str">
        <x:v>B06</x:v>
      </x:c>
      <x:c r="E1190" s="3" t="str">
        <x:f>IF(Z1190="移出","已移出",IF(NOT(ISNUMBER(H1190)),"数据待核",IF(H1190=0,"断货",IF(NOT(ISNUMBER(G1190)),"数据待核",IF(G1190=0,"零日销待复核",IF(F1190&lt;60,"补货提醒",IF(F1190&lt;=90,"正常库存",IF(F1190&lt;180,"促销",IF(F1190&lt;=365,"红线促销","考虑清仓")))))))))</x:f>
        <x:v>补货提醒</x:v>
      </x:c>
      <x:c r="F1190" s="11" t="n">
        <x:f>IF(AND(ISNUMBER(H1190),ISNUMBER(G1190),G1190&gt;0),H1190/G1190,"")</x:f>
        <x:v>7.607547169811321</x:v>
      </x:c>
      <x:c r="G1190" s="12" t="n">
        <x:f>IF(AND(COUNT(P1190:R1190)=3,MIN(P1190:R1190)&gt;=0,P1190&lt;=Q1190,Q1190&lt;=R1190),P1190/7*0.5+Q1190/14*0.3+R1190/30*0.2,"")</x:f>
        <x:v>3.1547619047619047</x:v>
      </x:c>
      <x:c r="H1190" s="10" t="n">
        <x:f>IF(ISNUMBER(U1190),U1190,"")</x:f>
        <x:v>24</x:v>
      </x:c>
      <x:c r="I1190" s="10" t="n">
        <x:v>17</x:v>
      </x:c>
      <x:c r="J1190" s="11" t="n">
        <x:f>IF(AND(Z1190="共同",ISNUMBER(F1190),ISNUMBER(M1190)),F1190-M1190,"")</x:f>
        <x:v>1.9507574375977264</x:v>
      </x:c>
      <x:c r="K1190" s="13" t="n">
        <x:f>IF(AND(ISNUMBER(J1190),M1190&lt;&gt;0),J1190/M1190,"")</x:f>
        <x:v>0.3448523862375141</x:v>
      </x:c>
      <x:c r="L1190" s="10" t="str">
        <x:v>补货提醒</x:v>
      </x:c>
      <x:c r="M1190" s="11" t="n">
        <x:v>5.6567897322135945</x:v>
      </x:c>
      <x:c r="N1190" s="10" t="n">
        <x:f>IF(AND(Z1190="共同",COUNT(H1190:I1190)=2),H1190-I1190,"")</x:f>
        <x:v>7</x:v>
      </x:c>
      <x:c r="O1190" s="10" t="n">
        <x:v>179</x:v>
      </x:c>
      <x:c r="P1190" s="10" t="n">
        <x:v>23</x:v>
      </x:c>
      <x:c r="Q1190" s="10" t="n">
        <x:v>41</x:v>
      </x:c>
      <x:c r="R1190" s="10" t="n">
        <x:v>95</x:v>
      </x:c>
      <x:c r="S1190" s="10" t="n">
        <x:v>46</x:v>
      </x:c>
      <x:c r="T1190" s="10" t="n">
        <x:v>6</x:v>
      </x:c>
      <x:c r="U1190" s="10" t="n">
        <x:f>IF(AND(ISNUMBER(X1190),X1190&gt;=0,Y1190&lt;&gt;1),X1190,"")</x:f>
        <x:v>24</x:v>
      </x:c>
      <x:c r="V1190" s="10" t="n">
        <x:v>0</x:v>
      </x:c>
      <x:c r="W1190" s="10" t="n">
        <x:v>297</x:v>
      </x:c>
      <x:c r="X1190" s="10" t="n">
        <x:v>24</x:v>
      </x:c>
      <x:c r="Y1190" s="3" t="n">
        <x:v>0</x:v>
      </x:c>
      <x:c r="Z1190" s="3" t="str">
        <x:v>共同</x:v>
      </x:c>
      <x:c r="AA1190" s="3" t="str">
        <x:v>在售</x:v>
      </x:c>
      <x:c r="AB1190" s="12" t="n">
        <x:f>IF(AND(Z1190="共同",ISNUMBER(G1190),ISNUMBER(AD1190)),G1190-AD1190,"")</x:f>
        <x:v>0.14952380952380917</x:v>
      </x:c>
      <x:c r="AC1190" s="3" t="str"/>
      <x:c r="AD1190" s="12" t="n">
        <x:v>3.0052380952380955</x:v>
      </x:c>
      <x:c r="AE1190" s="3" t="str">
        <x:v>[13120,"B06-ND-39"]</x:v>
      </x:c>
      <x:c r="AF1190" t="n">
        <x:f>IF(ISNUMBER(H1190),1,0)</x:f>
        <x:v>1</x:v>
      </x:c>
      <x:c r="AG1190" t="n">
        <x:f>IF(ISNUMBER(I1190),1,0)</x:f>
        <x:v>1</x:v>
      </x:c>
      <x:c r="AH1190" t="str">
        <x:v>["B06","B06-ND","ND","裸色羊京绒"]</x:v>
      </x:c>
      <x:c r="AI1190" t="n">
        <x:f>IF(ISNUMBER(G1190),1,0)</x:f>
        <x:v>1</x:v>
      </x:c>
      <x:c r="AJ1190" t="n">
        <x:f>IF(ISNUMBER(AD1190),1,0)</x:f>
        <x:v>1</x:v>
      </x:c>
    </x:row>
    <x:row r="1191" ht="30" customHeight="1">
      <x:c r="A1191" s="3" t="str">
        <x:v>B06-ND-39.5</x:v>
      </x:c>
      <x:c r="B1191" s="3" t="str">
        <x:v>1店-MUSSHOE-US</x:v>
      </x:c>
      <x:c r="C1191" s="3" t="str">
        <x:v>艾年</x:v>
      </x:c>
      <x:c r="D1191" s="3" t="str">
        <x:v>B06</x:v>
      </x:c>
      <x:c r="E1191" s="3" t="str">
        <x:f>IF(Z1191="移出","已移出",IF(NOT(ISNUMBER(H1191)),"数据待核",IF(H1191=0,"断货",IF(NOT(ISNUMBER(G1191)),"数据待核",IF(G1191=0,"零日销待复核",IF(F1191&lt;60,"补货提醒",IF(F1191&lt;=90,"正常库存",IF(F1191&lt;180,"促销",IF(F1191&lt;=365,"红线促销","考虑清仓")))))))))</x:f>
        <x:v>补货提醒</x:v>
      </x:c>
      <x:c r="F1191" s="11" t="n">
        <x:f>IF(AND(ISNUMBER(H1191),ISNUMBER(G1191),G1191&gt;0),H1191/G1191,"")</x:f>
        <x:v>24.034917555771095</x:v>
      </x:c>
      <x:c r="G1191" s="12" t="n">
        <x:f>IF(AND(COUNT(P1191:R1191)=3,MIN(P1191:R1191)&gt;=0,P1191&lt;=Q1191,Q1191&lt;=R1191),P1191/7*0.5+Q1191/14*0.3+R1191/30*0.2,"")</x:f>
        <x:v>2.454761904761905</x:v>
      </x:c>
      <x:c r="H1191" s="10" t="n">
        <x:f>IF(ISNUMBER(U1191),U1191,"")</x:f>
        <x:v>59</x:v>
      </x:c>
      <x:c r="I1191" s="10" t="n">
        <x:v>59</x:v>
      </x:c>
      <x:c r="J1191" s="11" t="n">
        <x:f>IF(AND(Z1191="共同",ISNUMBER(F1191),ISNUMBER(M1191)),F1191-M1191,"")</x:f>
        <x:v>0.9536954991392044</x:v>
      </x:c>
      <x:c r="K1191" s="13" t="n">
        <x:f>IF(AND(ISNUMBER(J1191),M1191&lt;&gt;0),J1191/M1191,"")</x:f>
        <x:v>0.041319107662463675</x:v>
      </x:c>
      <x:c r="L1191" s="10" t="str">
        <x:v>补货提醒</x:v>
      </x:c>
      <x:c r="M1191" s="11" t="n">
        <x:v>23.08122205663189</x:v>
      </x:c>
      <x:c r="N1191" s="10" t="n">
        <x:f>IF(AND(Z1191="共同",COUNT(H1191:I1191)=2),H1191-I1191,"")</x:f>
        <x:v>0</x:v>
      </x:c>
      <x:c r="O1191" s="10" t="n">
        <x:v>0</x:v>
      </x:c>
      <x:c r="P1191" s="10" t="n">
        <x:v>19</x:v>
      </x:c>
      <x:c r="Q1191" s="10" t="n">
        <x:v>31</x:v>
      </x:c>
      <x:c r="R1191" s="10" t="n">
        <x:v>65</x:v>
      </x:c>
      <x:c r="S1191" s="10" t="n">
        <x:v>80</x:v>
      </x:c>
      <x:c r="T1191" s="10" t="n">
        <x:v>3</x:v>
      </x:c>
      <x:c r="U1191" s="10" t="n">
        <x:f>IF(AND(ISNUMBER(X1191),X1191&gt;=0,Y1191&lt;&gt;1),X1191,"")</x:f>
        <x:v>59</x:v>
      </x:c>
      <x:c r="V1191" s="10" t="n">
        <x:v>0</x:v>
      </x:c>
      <x:c r="W1191" s="10" t="n">
        <x:v>96</x:v>
      </x:c>
      <x:c r="X1191" s="10" t="n">
        <x:v>59</x:v>
      </x:c>
      <x:c r="Y1191" s="3" t="n">
        <x:v>0</x:v>
      </x:c>
      <x:c r="Z1191" s="3" t="str">
        <x:v>共同</x:v>
      </x:c>
      <x:c r="AA1191" s="3" t="str">
        <x:v>在售</x:v>
      </x:c>
      <x:c r="AB1191" s="12" t="n">
        <x:f>IF(AND(Z1191="共同",ISNUMBER(G1191),ISNUMBER(AD1191)),G1191-AD1191,"")</x:f>
        <x:v>-0.10142857142857142</x:v>
      </x:c>
      <x:c r="AC1191" s="3" t="str"/>
      <x:c r="AD1191" s="12" t="n">
        <x:v>2.5561904761904763</x:v>
      </x:c>
      <x:c r="AE1191" s="3" t="str">
        <x:v>[13120,"B06-ND-39.5"]</x:v>
      </x:c>
      <x:c r="AF1191" t="n">
        <x:f>IF(ISNUMBER(H1191),1,0)</x:f>
        <x:v>1</x:v>
      </x:c>
      <x:c r="AG1191" t="n">
        <x:f>IF(ISNUMBER(I1191),1,0)</x:f>
        <x:v>1</x:v>
      </x:c>
      <x:c r="AH1191" t="str">
        <x:v>["B06","B06-ND","ND","裸色羊京绒"]</x:v>
      </x:c>
      <x:c r="AI1191" t="n">
        <x:f>IF(ISNUMBER(G1191),1,0)</x:f>
        <x:v>1</x:v>
      </x:c>
      <x:c r="AJ1191" t="n">
        <x:f>IF(ISNUMBER(AD1191),1,0)</x:f>
        <x:v>1</x:v>
      </x:c>
    </x:row>
    <x:row r="1192" ht="30" customHeight="1">
      <x:c r="A1192" s="3" t="str">
        <x:v>B06-ND-40-N</x:v>
      </x:c>
      <x:c r="B1192" s="3" t="str">
        <x:v>1店-MUSSHOE-US</x:v>
      </x:c>
      <x:c r="C1192" s="3" t="str">
        <x:v>艾年</x:v>
      </x:c>
      <x:c r="D1192" s="3" t="str">
        <x:v>B06</x:v>
      </x:c>
      <x:c r="E1192" s="3" t="str">
        <x:f>IF(Z1192="移出","已移出",IF(NOT(ISNUMBER(H1192)),"数据待核",IF(H1192=0,"断货",IF(NOT(ISNUMBER(G1192)),"数据待核",IF(G1192=0,"零日销待复核",IF(F1192&lt;60,"补货提醒",IF(F1192&lt;=90,"正常库存",IF(F1192&lt;180,"促销",IF(F1192&lt;=365,"红线促销","考虑清仓")))))))))</x:f>
        <x:v>补货提醒</x:v>
      </x:c>
      <x:c r="F1192" s="11" t="n">
        <x:f>IF(AND(ISNUMBER(H1192),ISNUMBER(G1192),G1192&gt;0),H1192/G1192,"")</x:f>
        <x:v>2.456140350877193</x:v>
      </x:c>
      <x:c r="G1192" s="12" t="n">
        <x:f>IF(AND(COUNT(P1192:R1192)=3,MIN(P1192:R1192)&gt;=0,P1192&lt;=Q1192,Q1192&lt;=R1192),P1192/7*0.5+Q1192/14*0.3+R1192/30*0.2,"")</x:f>
        <x:v>1.6285714285714286</x:v>
      </x:c>
      <x:c r="H1192" s="10" t="n">
        <x:f>IF(ISNUMBER(U1192),U1192,"")</x:f>
        <x:v>4</x:v>
      </x:c>
      <x:c r="I1192" s="10" t="n">
        <x:v>18</x:v>
      </x:c>
      <x:c r="J1192" s="11" t="n">
        <x:f>IF(AND(Z1192="共同",ISNUMBER(F1192),ISNUMBER(M1192)),F1192-M1192,"")</x:f>
        <x:v>-7.308778274800925</x:v>
      </x:c>
      <x:c r="K1192" s="13" t="n">
        <x:f>IF(AND(ISNUMBER(J1192),M1192&lt;&gt;0),J1192/M1192,"")</x:f>
        <x:v>-0.7484730344379467</x:v>
      </x:c>
      <x:c r="L1192" s="10" t="str">
        <x:v>补货提醒</x:v>
      </x:c>
      <x:c r="M1192" s="11" t="n">
        <x:v>9.764918625678119</x:v>
      </x:c>
      <x:c r="N1192" s="10" t="n">
        <x:f>IF(AND(Z1192="共同",COUNT(H1192:I1192)=2),H1192-I1192,"")</x:f>
        <x:v>-14</x:v>
      </x:c>
      <x:c r="O1192" s="10" t="n">
        <x:v>0</x:v>
      </x:c>
      <x:c r="P1192" s="10" t="n">
        <x:v>12</x:v>
      </x:c>
      <x:c r="Q1192" s="10" t="n">
        <x:v>22</x:v>
      </x:c>
      <x:c r="R1192" s="10" t="n">
        <x:v>45</x:v>
      </x:c>
      <x:c r="S1192" s="10" t="n">
        <x:v>11</x:v>
      </x:c>
      <x:c r="T1192" s="10" t="n">
        <x:v>1</x:v>
      </x:c>
      <x:c r="U1192" s="10" t="n">
        <x:f>IF(AND(ISNUMBER(X1192),X1192&gt;=0,Y1192&lt;&gt;1),X1192,"")</x:f>
        <x:v>4</x:v>
      </x:c>
      <x:c r="V1192" s="10" t="n">
        <x:v>0</x:v>
      </x:c>
      <x:c r="W1192" s="10" t="n">
        <x:v>182</x:v>
      </x:c>
      <x:c r="X1192" s="10" t="n">
        <x:v>4</x:v>
      </x:c>
      <x:c r="Y1192" s="3" t="n">
        <x:v>0</x:v>
      </x:c>
      <x:c r="Z1192" s="3" t="str">
        <x:v>共同</x:v>
      </x:c>
      <x:c r="AA1192" s="3" t="str">
        <x:v>在售</x:v>
      </x:c>
      <x:c r="AB1192" s="12" t="n">
        <x:f>IF(AND(Z1192="共同",ISNUMBER(G1192),ISNUMBER(AD1192)),G1192-AD1192,"")</x:f>
        <x:v>-0.2147619047619047</x:v>
      </x:c>
      <x:c r="AC1192" s="3" t="str"/>
      <x:c r="AD1192" s="12" t="n">
        <x:v>1.8433333333333333</x:v>
      </x:c>
      <x:c r="AE1192" s="3" t="str">
        <x:v>[13120,"B06-ND-40-N"]</x:v>
      </x:c>
      <x:c r="AF1192" t="n">
        <x:f>IF(ISNUMBER(H1192),1,0)</x:f>
        <x:v>1</x:v>
      </x:c>
      <x:c r="AG1192" t="n">
        <x:f>IF(ISNUMBER(I1192),1,0)</x:f>
        <x:v>1</x:v>
      </x:c>
      <x:c r="AH1192" t="str">
        <x:v>["B06","B06-ND","ND","裸色羊京绒"]</x:v>
      </x:c>
      <x:c r="AI1192" t="n">
        <x:f>IF(ISNUMBER(G1192),1,0)</x:f>
        <x:v>1</x:v>
      </x:c>
      <x:c r="AJ1192" t="n">
        <x:f>IF(ISNUMBER(AD1192),1,0)</x:f>
        <x:v>1</x:v>
      </x:c>
    </x:row>
    <x:row r="1193" ht="30" customHeight="1">
      <x:c r="A1193" s="3" t="str">
        <x:v>B06-ND-40.5</x:v>
      </x:c>
      <x:c r="B1193" s="3" t="str">
        <x:v>1店-MUSSHOE-US</x:v>
      </x:c>
      <x:c r="C1193" s="3" t="str">
        <x:v>艾年</x:v>
      </x:c>
      <x:c r="D1193" s="3" t="str">
        <x:v>B06</x:v>
      </x:c>
      <x:c r="E1193" s="3" t="str">
        <x:f>IF(Z1193="移出","已移出",IF(NOT(ISNUMBER(H1193)),"数据待核",IF(H1193=0,"断货",IF(NOT(ISNUMBER(G1193)),"数据待核",IF(G1193=0,"零日销待复核",IF(F1193&lt;60,"补货提醒",IF(F1193&lt;=90,"正常库存",IF(F1193&lt;180,"促销",IF(F1193&lt;=365,"红线促销","考虑清仓")))))))))</x:f>
        <x:v>补货提醒</x:v>
      </x:c>
      <x:c r="F1193" s="11" t="n">
        <x:f>IF(AND(ISNUMBER(H1193),ISNUMBER(G1193),G1193&gt;0),H1193/G1193,"")</x:f>
        <x:v>15.412844036697248</x:v>
      </x:c>
      <x:c r="G1193" s="12" t="n">
        <x:f>IF(AND(COUNT(P1193:R1193)=3,MIN(P1193:R1193)&gt;=0,P1193&lt;=Q1193,Q1193&lt;=R1193),P1193/7*0.5+Q1193/14*0.3+R1193/30*0.2,"")</x:f>
        <x:v>1.5571428571428572</x:v>
      </x:c>
      <x:c r="H1193" s="10" t="n">
        <x:f>IF(ISNUMBER(U1193),U1193,"")</x:f>
        <x:v>24</x:v>
      </x:c>
      <x:c r="I1193" s="10" t="n">
        <x:v>20</x:v>
      </x:c>
      <x:c r="J1193" s="11" t="n">
        <x:f>IF(AND(Z1193="共同",ISNUMBER(F1193),ISNUMBER(M1193)),F1193-M1193,"")</x:f>
        <x:v>-9.542592683445356</x:v>
      </x:c>
      <x:c r="K1193" s="13" t="n">
        <x:f>IF(AND(ISNUMBER(J1193),M1193&lt;&gt;0),J1193/M1193,"")</x:f>
        <x:v>-0.38238532110091744</x:v>
      </x:c>
      <x:c r="L1193" s="10" t="str">
        <x:v>补货提醒</x:v>
      </x:c>
      <x:c r="M1193" s="11" t="n">
        <x:v>24.955436720142604</x:v>
      </x:c>
      <x:c r="N1193" s="10" t="n">
        <x:f>IF(AND(Z1193="共同",COUNT(H1193:I1193)=2),H1193-I1193,"")</x:f>
        <x:v>4</x:v>
      </x:c>
      <x:c r="O1193" s="10" t="n">
        <x:v>10</x:v>
      </x:c>
      <x:c r="P1193" s="10" t="n">
        <x:v>13</x:v>
      </x:c>
      <x:c r="Q1193" s="10" t="n">
        <x:v>20</x:v>
      </x:c>
      <x:c r="R1193" s="10" t="n">
        <x:v>30</x:v>
      </x:c>
      <x:c r="S1193" s="10" t="n">
        <x:v>30</x:v>
      </x:c>
      <x:c r="T1193" s="10" t="n">
        <x:v>0</x:v>
      </x:c>
      <x:c r="U1193" s="10" t="n">
        <x:f>IF(AND(ISNUMBER(X1193),X1193&gt;=0,Y1193&lt;&gt;1),X1193,"")</x:f>
        <x:v>24</x:v>
      </x:c>
      <x:c r="V1193" s="10" t="n">
        <x:v>0</x:v>
      </x:c>
      <x:c r="W1193" s="10" t="n">
        <x:v>59</x:v>
      </x:c>
      <x:c r="X1193" s="10" t="n">
        <x:v>24</x:v>
      </x:c>
      <x:c r="Y1193" s="3" t="n">
        <x:v>0</x:v>
      </x:c>
      <x:c r="Z1193" s="3" t="str">
        <x:v>共同</x:v>
      </x:c>
      <x:c r="AA1193" s="3" t="str">
        <x:v>在售</x:v>
      </x:c>
      <x:c r="AB1193" s="12" t="n">
        <x:f>IF(AND(Z1193="共同",ISNUMBER(G1193),ISNUMBER(AD1193)),G1193-AD1193,"")</x:f>
        <x:v>0.7557142857142858</x:v>
      </x:c>
      <x:c r="AC1193" s="3" t="str"/>
      <x:c r="AD1193" s="12" t="n">
        <x:v>0.8014285714285714</x:v>
      </x:c>
      <x:c r="AE1193" s="3" t="str">
        <x:v>[13120,"B06-ND-40.5"]</x:v>
      </x:c>
      <x:c r="AF1193" t="n">
        <x:f>IF(ISNUMBER(H1193),1,0)</x:f>
        <x:v>1</x:v>
      </x:c>
      <x:c r="AG1193" t="n">
        <x:f>IF(ISNUMBER(I1193),1,0)</x:f>
        <x:v>1</x:v>
      </x:c>
      <x:c r="AH1193" t="str">
        <x:v>["B06","B06-ND","ND","裸色羊京绒"]</x:v>
      </x:c>
      <x:c r="AI1193" t="n">
        <x:f>IF(ISNUMBER(G1193),1,0)</x:f>
        <x:v>1</x:v>
      </x:c>
      <x:c r="AJ1193" t="n">
        <x:f>IF(ISNUMBER(AD1193),1,0)</x:f>
        <x:v>1</x:v>
      </x:c>
    </x:row>
    <x:row r="1194" ht="30" customHeight="1">
      <x:c r="A1194" s="3" t="str">
        <x:v>B06-ND-41-N</x:v>
      </x:c>
      <x:c r="B1194" s="3" t="str">
        <x:v>1店-MUSSHOE-US</x:v>
      </x:c>
      <x:c r="C1194" s="3" t="str">
        <x:v>艾年</x:v>
      </x:c>
      <x:c r="D1194" s="3" t="str">
        <x:v>B06</x:v>
      </x:c>
      <x:c r="E1194" s="3" t="str">
        <x:f>IF(Z1194="移出","已移出",IF(NOT(ISNUMBER(H1194)),"数据待核",IF(H1194=0,"断货",IF(NOT(ISNUMBER(G1194)),"数据待核",IF(G1194=0,"零日销待复核",IF(F1194&lt;60,"补货提醒",IF(F1194&lt;=90,"正常库存",IF(F1194&lt;180,"促销",IF(F1194&lt;=365,"红线促销","考虑清仓")))))))))</x:f>
        <x:v>补货提醒</x:v>
      </x:c>
      <x:c r="F1194" s="11" t="n">
        <x:f>IF(AND(ISNUMBER(H1194),ISNUMBER(G1194),G1194&gt;0),H1194/G1194,"")</x:f>
        <x:v>3.96600566572238</x:v>
      </x:c>
      <x:c r="G1194" s="12" t="n">
        <x:f>IF(AND(COUNT(P1194:R1194)=3,MIN(P1194:R1194)&gt;=0,P1194&lt;=Q1194,Q1194&lt;=R1194),P1194/7*0.5+Q1194/14*0.3+R1194/30*0.2,"")</x:f>
        <x:v>0.5042857142857142</x:v>
      </x:c>
      <x:c r="H1194" s="10" t="n">
        <x:f>IF(ISNUMBER(U1194),U1194,"")</x:f>
        <x:v>2</x:v>
      </x:c>
      <x:c r="I1194" s="10" t="n">
        <x:v>1</x:v>
      </x:c>
      <x:c r="J1194" s="11" t="n">
        <x:f>IF(AND(Z1194="共同",ISNUMBER(F1194),ISNUMBER(M1194)),F1194-M1194,"")</x:f>
        <x:v>2.5603831757625404</x:v>
      </x:c>
      <x:c r="K1194" s="13" t="n">
        <x:f>IF(AND(ISNUMBER(J1194),M1194&lt;&gt;0),J1194/M1194,"")</x:f>
        <x:v>1.821529745042493</x:v>
      </x:c>
      <x:c r="L1194" s="10" t="str">
        <x:v>补货提醒</x:v>
      </x:c>
      <x:c r="M1194" s="11" t="n">
        <x:v>1.4056224899598393</x:v>
      </x:c>
      <x:c r="N1194" s="10" t="n">
        <x:f>IF(AND(Z1194="共同",COUNT(H1194:I1194)=2),H1194-I1194,"")</x:f>
        <x:v>1</x:v>
      </x:c>
      <x:c r="O1194" s="10" t="n">
        <x:v>18</x:v>
      </x:c>
      <x:c r="P1194" s="10" t="n">
        <x:v>3</x:v>
      </x:c>
      <x:c r="Q1194" s="10" t="n">
        <x:v>7</x:v>
      </x:c>
      <x:c r="R1194" s="10" t="n">
        <x:v>21</x:v>
      </x:c>
      <x:c r="S1194" s="10" t="n">
        <x:v>5</x:v>
      </x:c>
      <x:c r="T1194" s="10" t="n">
        <x:v>0</x:v>
      </x:c>
      <x:c r="U1194" s="10" t="n">
        <x:f>IF(AND(ISNUMBER(X1194),X1194&gt;=0,Y1194&lt;&gt;1),X1194,"")</x:f>
        <x:v>2</x:v>
      </x:c>
      <x:c r="V1194" s="10" t="n">
        <x:v>0</x:v>
      </x:c>
      <x:c r="W1194" s="10" t="n">
        <x:v>65</x:v>
      </x:c>
      <x:c r="X1194" s="10" t="n">
        <x:v>2</x:v>
      </x:c>
      <x:c r="Y1194" s="3" t="n">
        <x:v>0</x:v>
      </x:c>
      <x:c r="Z1194" s="3" t="str">
        <x:v>共同</x:v>
      </x:c>
      <x:c r="AA1194" s="3" t="str">
        <x:v>在售</x:v>
      </x:c>
      <x:c r="AB1194" s="12" t="n">
        <x:f>IF(AND(Z1194="共同",ISNUMBER(G1194),ISNUMBER(AD1194)),G1194-AD1194,"")</x:f>
        <x:v>-0.20714285714285718</x:v>
      </x:c>
      <x:c r="AC1194" s="3" t="str"/>
      <x:c r="AD1194" s="12" t="n">
        <x:v>0.7114285714285714</x:v>
      </x:c>
      <x:c r="AE1194" s="3" t="str">
        <x:v>[13120,"B06-ND-41-N"]</x:v>
      </x:c>
      <x:c r="AF1194" t="n">
        <x:f>IF(ISNUMBER(H1194),1,0)</x:f>
        <x:v>1</x:v>
      </x:c>
      <x:c r="AG1194" t="n">
        <x:f>IF(ISNUMBER(I1194),1,0)</x:f>
        <x:v>1</x:v>
      </x:c>
      <x:c r="AH1194" t="str">
        <x:v>["B06","B06-ND","ND","裸色羊京绒"]</x:v>
      </x:c>
      <x:c r="AI1194" t="n">
        <x:f>IF(ISNUMBER(G1194),1,0)</x:f>
        <x:v>1</x:v>
      </x:c>
      <x:c r="AJ1194" t="n">
        <x:f>IF(ISNUMBER(AD1194),1,0)</x:f>
        <x:v>1</x:v>
      </x:c>
    </x:row>
    <x:row r="1195" ht="30" customHeight="1">
      <x:c r="A1195" s="3" t="str">
        <x:v>B06-ND-42-N</x:v>
      </x:c>
      <x:c r="B1195" s="3" t="str">
        <x:v>1店-MUSSHOE-US</x:v>
      </x:c>
      <x:c r="C1195" s="3" t="str">
        <x:v>艾年</x:v>
      </x:c>
      <x:c r="D1195" s="3" t="str">
        <x:v>B06</x:v>
      </x:c>
      <x:c r="E1195" s="3" t="str">
        <x:f>IF(Z1195="移出","已移出",IF(NOT(ISNUMBER(H1195)),"数据待核",IF(H1195=0,"断货",IF(NOT(ISNUMBER(G1195)),"数据待核",IF(G1195=0,"零日销待复核",IF(F1195&lt;60,"补货提醒",IF(F1195&lt;=90,"正常库存",IF(F1195&lt;180,"促销",IF(F1195&lt;=365,"红线促销","考虑清仓")))))))))</x:f>
        <x:v>补货提醒</x:v>
      </x:c>
      <x:c r="F1195" s="11" t="n">
        <x:f>IF(AND(ISNUMBER(H1195),ISNUMBER(G1195),G1195&gt;0),H1195/G1195,"")</x:f>
        <x:v>5.504587155963303</x:v>
      </x:c>
      <x:c r="G1195" s="12" t="n">
        <x:f>IF(AND(COUNT(P1195:R1195)=3,MIN(P1195:R1195)&gt;=0,P1195&lt;=Q1195,Q1195&lt;=R1195),P1195/7*0.5+Q1195/14*0.3+R1195/30*0.2,"")</x:f>
        <x:v>0.36333333333333334</x:v>
      </x:c>
      <x:c r="H1195" s="10" t="n">
        <x:f>IF(ISNUMBER(U1195),U1195,"")</x:f>
        <x:v>2</x:v>
      </x:c>
      <x:c r="I1195" s="10" t="n">
        <x:v>7</x:v>
      </x:c>
      <x:c r="J1195" s="11" t="n">
        <x:f>IF(AND(Z1195="共同",ISNUMBER(F1195),ISNUMBER(M1195)),F1195-M1195,"")</x:f>
        <x:v>-2.97292149455573</x:v>
      </x:c>
      <x:c r="K1195" s="13" t="n">
        <x:f>IF(AND(ISNUMBER(J1195),M1195&lt;&gt;0),J1195/M1195,"")</x:f>
        <x:v>-0.35068339262310444</x:v>
      </x:c>
      <x:c r="L1195" s="10" t="str">
        <x:v>补货提醒</x:v>
      </x:c>
      <x:c r="M1195" s="11" t="n">
        <x:v>8.477508650519033</x:v>
      </x:c>
      <x:c r="N1195" s="10" t="n">
        <x:f>IF(AND(Z1195="共同",COUNT(H1195:I1195)=2),H1195-I1195,"")</x:f>
        <x:v>-5</x:v>
      </x:c>
      <x:c r="O1195" s="10" t="n">
        <x:v>0</x:v>
      </x:c>
      <x:c r="P1195" s="10" t="n">
        <x:v>2</x:v>
      </x:c>
      <x:c r="Q1195" s="10" t="n">
        <x:v>5</x:v>
      </x:c>
      <x:c r="R1195" s="10" t="n">
        <x:v>17</x:v>
      </x:c>
      <x:c r="S1195" s="10" t="n">
        <x:v>2</x:v>
      </x:c>
      <x:c r="T1195" s="10" t="n">
        <x:v>0</x:v>
      </x:c>
      <x:c r="U1195" s="10" t="n">
        <x:f>IF(AND(ISNUMBER(X1195),X1195&gt;=0,Y1195&lt;&gt;1),X1195,"")</x:f>
        <x:v>2</x:v>
      </x:c>
      <x:c r="V1195" s="10" t="n">
        <x:v>0</x:v>
      </x:c>
      <x:c r="W1195" s="10" t="n">
        <x:v>27</x:v>
      </x:c>
      <x:c r="X1195" s="10" t="n">
        <x:v>2</x:v>
      </x:c>
      <x:c r="Y1195" s="3" t="n">
        <x:v>0</x:v>
      </x:c>
      <x:c r="Z1195" s="3" t="str">
        <x:v>共同</x:v>
      </x:c>
      <x:c r="AA1195" s="3" t="str">
        <x:v>在售</x:v>
      </x:c>
      <x:c r="AB1195" s="12" t="n">
        <x:f>IF(AND(Z1195="共同",ISNUMBER(G1195),ISNUMBER(AD1195)),G1195-AD1195,"")</x:f>
        <x:v>-0.4623809523809523</x:v>
      </x:c>
      <x:c r="AC1195" s="3" t="str"/>
      <x:c r="AD1195" s="12" t="n">
        <x:v>0.8257142857142856</x:v>
      </x:c>
      <x:c r="AE1195" s="3" t="str">
        <x:v>[13120,"B06-ND-42-N"]</x:v>
      </x:c>
      <x:c r="AF1195" t="n">
        <x:f>IF(ISNUMBER(H1195),1,0)</x:f>
        <x:v>1</x:v>
      </x:c>
      <x:c r="AG1195" t="n">
        <x:f>IF(ISNUMBER(I1195),1,0)</x:f>
        <x:v>1</x:v>
      </x:c>
      <x:c r="AH1195" t="str">
        <x:v>["B06","B06-ND","ND","裸色羊京绒"]</x:v>
      </x:c>
      <x:c r="AI1195" t="n">
        <x:f>IF(ISNUMBER(G1195),1,0)</x:f>
        <x:v>1</x:v>
      </x:c>
      <x:c r="AJ1195" t="n">
        <x:f>IF(ISNUMBER(AD1195),1,0)</x:f>
        <x:v>1</x:v>
      </x:c>
    </x:row>
    <x:row r="1196" ht="30" customHeight="1">
      <x:c r="A1196" s="3" t="str">
        <x:v>B06-ND-Z-0-39.5</x:v>
      </x:c>
      <x:c r="B1196" s="3" t="str">
        <x:v>1店-MUSSHOE-US</x:v>
      </x:c>
      <x:c r="C1196" s="3" t="str">
        <x:v>艾年</x:v>
      </x:c>
      <x:c r="D1196" s="3" t="str">
        <x:v>B06</x:v>
      </x:c>
      <x:c r="E1196" s="3" t="str">
        <x:f>IF(Z1196="移出","已移出",IF(NOT(ISNUMBER(H1196)),"数据待核",IF(H1196=0,"断货",IF(NOT(ISNUMBER(G1196)),"数据待核",IF(G1196=0,"零日销待复核",IF(F1196&lt;60,"补货提醒",IF(F1196&lt;=90,"正常库存",IF(F1196&lt;180,"促销",IF(F1196&lt;=365,"红线促销","考虑清仓")))))))))</x:f>
        <x:v>补货提醒</x:v>
      </x:c>
      <x:c r="F1196" s="11" t="n">
        <x:f>IF(AND(ISNUMBER(H1196),ISNUMBER(G1196),G1196&gt;0),H1196/G1196,"")</x:f>
        <x:v>30.143540669856456</x:v>
      </x:c>
      <x:c r="G1196" s="12" t="n">
        <x:f>IF(AND(COUNT(P1196:R1196)=3,MIN(P1196:R1196)&gt;=0,P1196&lt;=Q1196,Q1196&lt;=R1196),P1196/7*0.5+Q1196/14*0.3+R1196/30*0.2,"")</x:f>
        <x:v>0.2985714285714286</x:v>
      </x:c>
      <x:c r="H1196" s="10" t="n">
        <x:f>IF(ISNUMBER(U1196),U1196,"")</x:f>
        <x:v>9</x:v>
      </x:c>
      <x:c r="I1196" s="10" t="n">
        <x:v>13</x:v>
      </x:c>
      <x:c r="J1196" s="11" t="n">
        <x:f>IF(AND(Z1196="共同",ISNUMBER(F1196),ISNUMBER(M1196)),F1196-M1196,"")</x:f>
        <x:v>-944.8564593301437</x:v>
      </x:c>
      <x:c r="K1196" s="13" t="n">
        <x:f>IF(AND(ISNUMBER(J1196),M1196&lt;&gt;0),J1196/M1196,"")</x:f>
        <x:v>-0.9690835480309166</x:v>
      </x:c>
      <x:c r="L1196" s="10" t="str">
        <x:v>考虑清仓</x:v>
      </x:c>
      <x:c r="M1196" s="11" t="n">
        <x:v>975.0000000000001</x:v>
      </x:c>
      <x:c r="N1196" s="10" t="n">
        <x:f>IF(AND(Z1196="共同",COUNT(H1196:I1196)=2),H1196-I1196,"")</x:f>
        <x:v>-4</x:v>
      </x:c>
      <x:c r="O1196" s="10" t="n">
        <x:v>0</x:v>
      </x:c>
      <x:c r="P1196" s="10" t="n">
        <x:v>3</x:v>
      </x:c>
      <x:c r="Q1196" s="10" t="n">
        <x:v>3</x:v>
      </x:c>
      <x:c r="R1196" s="10" t="n">
        <x:v>3</x:v>
      </x:c>
      <x:c r="S1196" s="10" t="n">
        <x:v>11</x:v>
      </x:c>
      <x:c r="T1196" s="10" t="n">
        <x:v>1</x:v>
      </x:c>
      <x:c r="U1196" s="10" t="n">
        <x:f>IF(AND(ISNUMBER(X1196),X1196&gt;=0,Y1196&lt;&gt;1),X1196,"")</x:f>
        <x:v>9</x:v>
      </x:c>
      <x:c r="V1196" s="10" t="n">
        <x:v>0</x:v>
      </x:c>
      <x:c r="W1196" s="10" t="n">
        <x:v>0</x:v>
      </x:c>
      <x:c r="X1196" s="10" t="n">
        <x:v>9</x:v>
      </x:c>
      <x:c r="Y1196" s="3" t="n">
        <x:v>0</x:v>
      </x:c>
      <x:c r="Z1196" s="3" t="str">
        <x:v>共同</x:v>
      </x:c>
      <x:c r="AA1196" s="3" t="str">
        <x:v>在售</x:v>
      </x:c>
      <x:c r="AB1196" s="12" t="n">
        <x:f>IF(AND(Z1196="共同",ISNUMBER(G1196),ISNUMBER(AD1196)),G1196-AD1196,"")</x:f>
        <x:v>0.2852380952380953</x:v>
      </x:c>
      <x:c r="AC1196" s="3" t="str"/>
      <x:c r="AD1196" s="12" t="n">
        <x:v>0.013333333333333332</x:v>
      </x:c>
      <x:c r="AE1196" s="3" t="str">
        <x:v>[13120,"B06-ND-Z-0-39.5"]</x:v>
      </x:c>
      <x:c r="AF1196" t="n">
        <x:f>IF(ISNUMBER(H1196),1,0)</x:f>
        <x:v>1</x:v>
      </x:c>
      <x:c r="AG1196" t="n">
        <x:f>IF(ISNUMBER(I1196),1,0)</x:f>
        <x:v>1</x:v>
      </x:c>
      <x:c r="AH1196" t="str">
        <x:v>["B06","B06-ND-Z-0","ND-Z","裸色镜面PU"]</x:v>
      </x:c>
      <x:c r="AI1196" t="n">
        <x:f>IF(ISNUMBER(G1196),1,0)</x:f>
        <x:v>1</x:v>
      </x:c>
      <x:c r="AJ1196" t="n">
        <x:f>IF(ISNUMBER(AD1196),1,0)</x:f>
        <x:v>1</x:v>
      </x:c>
    </x:row>
    <x:row r="1197" ht="30" customHeight="1">
      <x:c r="A1197" s="3" t="str">
        <x:v>B06-NY-38.5</x:v>
      </x:c>
      <x:c r="B1197" s="3" t="str">
        <x:v>1店-MUSSHOE-US</x:v>
      </x:c>
      <x:c r="C1197" s="3" t="str">
        <x:v>艾年</x:v>
      </x:c>
      <x:c r="D1197" s="3" t="str">
        <x:v>B06</x:v>
      </x:c>
      <x:c r="E1197" s="3" t="str">
        <x:f>IF(Z1197="移出","已移出",IF(NOT(ISNUMBER(H1197)),"数据待核",IF(H1197=0,"断货",IF(NOT(ISNUMBER(G1197)),"数据待核",IF(G1197=0,"零日销待复核",IF(F1197&lt;60,"补货提醒",IF(F1197&lt;=90,"正常库存",IF(F1197&lt;180,"促销",IF(F1197&lt;=365,"红线促销","考虑清仓")))))))))</x:f>
        <x:v>补货提醒</x:v>
      </x:c>
      <x:c r="F1197" s="11" t="n">
        <x:f>IF(AND(ISNUMBER(H1197),ISNUMBER(G1197),G1197&gt;0),H1197/G1197,"")</x:f>
        <x:v>24.13793103448276</x:v>
      </x:c>
      <x:c r="G1197" s="12" t="n">
        <x:f>IF(AND(COUNT(P1197:R1197)=3,MIN(P1197:R1197)&gt;=0,P1197&lt;=Q1197,Q1197&lt;=R1197),P1197/7*0.5+Q1197/14*0.3+R1197/30*0.2,"")</x:f>
        <x:v>0.041428571428571426</x:v>
      </x:c>
      <x:c r="H1197" s="10" t="n">
        <x:f>IF(ISNUMBER(U1197),U1197,"")</x:f>
        <x:v>1</x:v>
      </x:c>
      <x:c r="I1197" s="10" t="n">
        <x:v>0</x:v>
      </x:c>
      <x:c r="J1197" s="11" t="n">
        <x:f>IF(AND(Z1197="共同",ISNUMBER(F1197),ISNUMBER(M1197)),F1197-M1197,"")</x:f>
        <x:v>24.13793103448276</x:v>
      </x:c>
      <x:c r="K1197" s="13" t="str">
        <x:f>IF(AND(ISNUMBER(J1197),M1197&lt;&gt;0),J1197/M1197,"")</x:f>
      </x:c>
      <x:c r="L1197" s="10" t="str">
        <x:v>断货</x:v>
      </x:c>
      <x:c r="M1197" s="11" t="n">
        <x:v>0</x:v>
      </x:c>
      <x:c r="N1197" s="10" t="n">
        <x:f>IF(AND(Z1197="共同",COUNT(H1197:I1197)=2),H1197-I1197,"")</x:f>
        <x:v>1</x:v>
      </x:c>
      <x:c r="O1197" s="10" t="n">
        <x:v>39</x:v>
      </x:c>
      <x:c r="P1197" s="10" t="n">
        <x:v>0</x:v>
      </x:c>
      <x:c r="Q1197" s="10" t="n">
        <x:v>1</x:v>
      </x:c>
      <x:c r="R1197" s="10" t="n">
        <x:v>3</x:v>
      </x:c>
      <x:c r="S1197" s="10" t="n">
        <x:v>1</x:v>
      </x:c>
      <x:c r="T1197" s="10" t="n">
        <x:v>0</x:v>
      </x:c>
      <x:c r="U1197" s="10" t="n">
        <x:f>IF(AND(ISNUMBER(X1197),X1197&gt;=0,Y1197&lt;&gt;1),X1197,"")</x:f>
        <x:v>1</x:v>
      </x:c>
      <x:c r="V1197" s="10" t="n">
        <x:v>0</x:v>
      </x:c>
      <x:c r="W1197" s="10" t="n">
        <x:v>30</x:v>
      </x:c>
      <x:c r="X1197" s="10" t="n">
        <x:v>1</x:v>
      </x:c>
      <x:c r="Y1197" s="3" t="n">
        <x:v>0</x:v>
      </x:c>
      <x:c r="Z1197" s="3" t="str">
        <x:v>共同</x:v>
      </x:c>
      <x:c r="AA1197" s="3" t="str">
        <x:v>在售</x:v>
      </x:c>
      <x:c r="AB1197" s="12" t="n">
        <x:f>IF(AND(Z1197="共同",ISNUMBER(G1197),ISNUMBER(AD1197)),G1197-AD1197,"")</x:f>
        <x:v>-0.08619047619047618</x:v>
      </x:c>
      <x:c r="AC1197" s="3" t="str"/>
      <x:c r="AD1197" s="12" t="n">
        <x:v>0.1276190476190476</x:v>
      </x:c>
      <x:c r="AE1197" s="3" t="str">
        <x:v>[13120,"B06-NY-38.5"]</x:v>
      </x:c>
      <x:c r="AF1197" t="n">
        <x:f>IF(ISNUMBER(H1197),1,0)</x:f>
        <x:v>1</x:v>
      </x:c>
      <x:c r="AG1197" t="n">
        <x:f>IF(ISNUMBER(I1197),1,0)</x:f>
        <x:v>1</x:v>
      </x:c>
      <x:c r="AH1197" t="str">
        <x:v>["B06","B06-NY","NY","藏青色羊京绒"]</x:v>
      </x:c>
      <x:c r="AI1197" t="n">
        <x:f>IF(ISNUMBER(G1197),1,0)</x:f>
        <x:v>1</x:v>
      </x:c>
      <x:c r="AJ1197" t="n">
        <x:f>IF(ISNUMBER(AD1197),1,0)</x:f>
        <x:v>1</x:v>
      </x:c>
    </x:row>
    <x:row r="1198" ht="30" customHeight="1">
      <x:c r="A1198" s="3" t="str">
        <x:v>B06-NY-39-NEW</x:v>
      </x:c>
      <x:c r="B1198" s="3" t="str">
        <x:v>1店-MUSSHOE-US</x:v>
      </x:c>
      <x:c r="C1198" s="3" t="str">
        <x:v>艾年</x:v>
      </x:c>
      <x:c r="D1198" s="3" t="str">
        <x:v>B06</x:v>
      </x:c>
      <x:c r="E1198" s="3" t="str">
        <x:f>IF(Z1198="移出","已移出",IF(NOT(ISNUMBER(H1198)),"数据待核",IF(H1198=0,"断货",IF(NOT(ISNUMBER(G1198)),"数据待核",IF(G1198=0,"零日销待复核",IF(F1198&lt;60,"补货提醒",IF(F1198&lt;=90,"正常库存",IF(F1198&lt;180,"促销",IF(F1198&lt;=365,"红线促销","考虑清仓")))))))))</x:f>
        <x:v>补货提醒</x:v>
      </x:c>
      <x:c r="F1198" s="11" t="n">
        <x:f>IF(AND(ISNUMBER(H1198),ISNUMBER(G1198),G1198&gt;0),H1198/G1198,"")</x:f>
        <x:v>29.411764705882355</x:v>
      </x:c>
      <x:c r="G1198" s="12" t="n">
        <x:f>IF(AND(COUNT(P1198:R1198)=3,MIN(P1198:R1198)&gt;=0,P1198&lt;=Q1198,Q1198&lt;=R1198),P1198/7*0.5+Q1198/14*0.3+R1198/30*0.2,"")</x:f>
        <x:v>0.6799999999999999</x:v>
      </x:c>
      <x:c r="H1198" s="10" t="n">
        <x:f>IF(ISNUMBER(U1198),U1198,"")</x:f>
        <x:v>20</x:v>
      </x:c>
      <x:c r="I1198" s="10" t="n">
        <x:v>20</x:v>
      </x:c>
      <x:c r="J1198" s="11" t="n">
        <x:f>IF(AND(Z1198="共同",ISNUMBER(F1198),ISNUMBER(M1198)),F1198-M1198,"")</x:f>
        <x:v>-121.66737198476514</x:v>
      </x:c>
      <x:c r="K1198" s="13" t="n">
        <x:f>IF(AND(ISNUMBER(J1198),M1198&lt;&gt;0),J1198/M1198,"")</x:f>
        <x:v>-0.8053221288515406</x:v>
      </x:c>
      <x:c r="L1198" s="10" t="str">
        <x:v>促销</x:v>
      </x:c>
      <x:c r="M1198" s="11" t="n">
        <x:v>151.0791366906475</x:v>
      </x:c>
      <x:c r="N1198" s="10" t="n">
        <x:f>IF(AND(Z1198="共同",COUNT(H1198:I1198)=2),H1198-I1198,"")</x:f>
        <x:v>0</x:v>
      </x:c>
      <x:c r="O1198" s="10" t="n">
        <x:v>0</x:v>
      </x:c>
      <x:c r="P1198" s="10" t="n">
        <x:v>6</x:v>
      </x:c>
      <x:c r="Q1198" s="10" t="n">
        <x:v>8</x:v>
      </x:c>
      <x:c r="R1198" s="10" t="n">
        <x:v>12</x:v>
      </x:c>
      <x:c r="S1198" s="10" t="n">
        <x:v>20</x:v>
      </x:c>
      <x:c r="T1198" s="10" t="n">
        <x:v>0</x:v>
      </x:c>
      <x:c r="U1198" s="10" t="n">
        <x:f>IF(AND(ISNUMBER(X1198),X1198&gt;=0,Y1198&lt;&gt;1),X1198,"")</x:f>
        <x:v>20</x:v>
      </x:c>
      <x:c r="V1198" s="10" t="n">
        <x:v>0</x:v>
      </x:c>
      <x:c r="W1198" s="10" t="n">
        <x:v>0</x:v>
      </x:c>
      <x:c r="X1198" s="10" t="n">
        <x:v>20</x:v>
      </x:c>
      <x:c r="Y1198" s="3" t="n">
        <x:v>0</x:v>
      </x:c>
      <x:c r="Z1198" s="3" t="str">
        <x:v>共同</x:v>
      </x:c>
      <x:c r="AA1198" s="3" t="str">
        <x:v>在售</x:v>
      </x:c>
      <x:c r="AB1198" s="12" t="n">
        <x:f>IF(AND(Z1198="共同",ISNUMBER(G1198),ISNUMBER(AD1198)),G1198-AD1198,"")</x:f>
        <x:v>0.5476190476190476</x:v>
      </x:c>
      <x:c r="AC1198" s="3" t="str"/>
      <x:c r="AD1198" s="12" t="n">
        <x:v>0.13238095238095238</x:v>
      </x:c>
      <x:c r="AE1198" s="3" t="str">
        <x:v>[13120,"B06-NY-39-NEW"]</x:v>
      </x:c>
      <x:c r="AF1198" t="n">
        <x:f>IF(ISNUMBER(H1198),1,0)</x:f>
        <x:v>1</x:v>
      </x:c>
      <x:c r="AG1198" t="n">
        <x:f>IF(ISNUMBER(I1198),1,0)</x:f>
        <x:v>1</x:v>
      </x:c>
      <x:c r="AH1198" t="str">
        <x:v>["B06","B06-NY","NY","藏青色羊京绒"]</x:v>
      </x:c>
      <x:c r="AI1198" t="n">
        <x:f>IF(ISNUMBER(G1198),1,0)</x:f>
        <x:v>1</x:v>
      </x:c>
      <x:c r="AJ1198" t="n">
        <x:f>IF(ISNUMBER(AD1198),1,0)</x:f>
        <x:v>1</x:v>
      </x:c>
    </x:row>
    <x:row r="1199" ht="30" customHeight="1">
      <x:c r="A1199" s="3" t="str">
        <x:v>B06-NY-39.5</x:v>
      </x:c>
      <x:c r="B1199" s="3" t="str">
        <x:v>1店-MUSSHOE-US</x:v>
      </x:c>
      <x:c r="C1199" s="3" t="str">
        <x:v>艾年</x:v>
      </x:c>
      <x:c r="D1199" s="3" t="str">
        <x:v>B06</x:v>
      </x:c>
      <x:c r="E1199" s="3" t="str">
        <x:f>IF(Z1199="移出","已移出",IF(NOT(ISNUMBER(H1199)),"数据待核",IF(H1199=0,"断货",IF(NOT(ISNUMBER(G1199)),"数据待核",IF(G1199=0,"零日销待复核",IF(F1199&lt;60,"补货提醒",IF(F1199&lt;=90,"正常库存",IF(F1199&lt;180,"促销",IF(F1199&lt;=365,"红线促销","考虑清仓")))))))))</x:f>
        <x:v>补货提醒</x:v>
      </x:c>
      <x:c r="F1199" s="11" t="n">
        <x:f>IF(AND(ISNUMBER(H1199),ISNUMBER(G1199),G1199&gt;0),H1199/G1199,"")</x:f>
        <x:v>23.190184049079758</x:v>
      </x:c>
      <x:c r="G1199" s="12" t="n">
        <x:f>IF(AND(COUNT(P1199:R1199)=3,MIN(P1199:R1199)&gt;=0,P1199&lt;=Q1199,Q1199&lt;=R1199),P1199/7*0.5+Q1199/14*0.3+R1199/30*0.2,"")</x:f>
        <x:v>0.38809523809523805</x:v>
      </x:c>
      <x:c r="H1199" s="10" t="n">
        <x:f>IF(ISNUMBER(U1199),U1199,"")</x:f>
        <x:v>9</x:v>
      </x:c>
      <x:c r="I1199" s="10" t="n">
        <x:v>12</x:v>
      </x:c>
      <x:c r="J1199" s="11" t="n">
        <x:f>IF(AND(Z1199="共同",ISNUMBER(F1199),ISNUMBER(M1199)),F1199-M1199,"")</x:f>
        <x:v>-24.089365669494352</x:v>
      </x:c>
      <x:c r="K1199" s="13" t="n">
        <x:f>IF(AND(ISNUMBER(J1199),M1199&lt;&gt;0),J1199/M1199,"")</x:f>
        <x:v>-0.5095092024539877</x:v>
      </x:c>
      <x:c r="L1199" s="10" t="str">
        <x:v>补货提醒</x:v>
      </x:c>
      <x:c r="M1199" s="11" t="n">
        <x:v>47.27954971857411</x:v>
      </x:c>
      <x:c r="N1199" s="10" t="n">
        <x:f>IF(AND(Z1199="共同",COUNT(H1199:I1199)=2),H1199-I1199,"")</x:f>
        <x:v>-3</x:v>
      </x:c>
      <x:c r="O1199" s="10" t="n">
        <x:v>1</x:v>
      </x:c>
      <x:c r="P1199" s="10" t="n">
        <x:v>3</x:v>
      </x:c>
      <x:c r="Q1199" s="10" t="n">
        <x:v>5</x:v>
      </x:c>
      <x:c r="R1199" s="10" t="n">
        <x:v>10</x:v>
      </x:c>
      <x:c r="S1199" s="10" t="n">
        <x:v>10</x:v>
      </x:c>
      <x:c r="T1199" s="10" t="n">
        <x:v>0</x:v>
      </x:c>
      <x:c r="U1199" s="10" t="n">
        <x:f>IF(AND(ISNUMBER(X1199),X1199&gt;=0,Y1199&lt;&gt;1),X1199,"")</x:f>
        <x:v>9</x:v>
      </x:c>
      <x:c r="V1199" s="10" t="n">
        <x:v>0</x:v>
      </x:c>
      <x:c r="W1199" s="10" t="n">
        <x:v>0</x:v>
      </x:c>
      <x:c r="X1199" s="10" t="n">
        <x:v>9</x:v>
      </x:c>
      <x:c r="Y1199" s="3" t="n">
        <x:v>0</x:v>
      </x:c>
      <x:c r="Z1199" s="3" t="str">
        <x:v>共同</x:v>
      </x:c>
      <x:c r="AA1199" s="3" t="str">
        <x:v>在售</x:v>
      </x:c>
      <x:c r="AB1199" s="12" t="n">
        <x:f>IF(AND(Z1199="共同",ISNUMBER(G1199),ISNUMBER(AD1199)),G1199-AD1199,"")</x:f>
        <x:v>0.13428571428571423</x:v>
      </x:c>
      <x:c r="AC1199" s="3" t="str"/>
      <x:c r="AD1199" s="12" t="n">
        <x:v>0.2538095238095238</x:v>
      </x:c>
      <x:c r="AE1199" s="3" t="str">
        <x:v>[13120,"B06-NY-39.5"]</x:v>
      </x:c>
      <x:c r="AF1199" t="n">
        <x:f>IF(ISNUMBER(H1199),1,0)</x:f>
        <x:v>1</x:v>
      </x:c>
      <x:c r="AG1199" t="n">
        <x:f>IF(ISNUMBER(I1199),1,0)</x:f>
        <x:v>1</x:v>
      </x:c>
      <x:c r="AH1199" t="str">
        <x:v>["B06","B06-NY","NY","藏青色羊京绒"]</x:v>
      </x:c>
      <x:c r="AI1199" t="n">
        <x:f>IF(ISNUMBER(G1199),1,0)</x:f>
        <x:v>1</x:v>
      </x:c>
      <x:c r="AJ1199" t="n">
        <x:f>IF(ISNUMBER(AD1199),1,0)</x:f>
        <x:v>1</x:v>
      </x:c>
    </x:row>
    <x:row r="1200" ht="30" customHeight="1">
      <x:c r="A1200" s="3" t="str">
        <x:v>B06-NY-40</x:v>
      </x:c>
      <x:c r="B1200" s="3" t="str">
        <x:v>1店-MUSSHOE-US</x:v>
      </x:c>
      <x:c r="C1200" s="3" t="str">
        <x:v>艾年</x:v>
      </x:c>
      <x:c r="D1200" s="3" t="str">
        <x:v>B06</x:v>
      </x:c>
      <x:c r="E1200" s="3" t="str">
        <x:f>IF(Z1200="移出","已移出",IF(NOT(ISNUMBER(H1200)),"数据待核",IF(H1200=0,"断货",IF(NOT(ISNUMBER(G1200)),"数据待核",IF(G1200=0,"零日销待复核",IF(F1200&lt;60,"补货提醒",IF(F1200&lt;=90,"正常库存",IF(F1200&lt;180,"促销",IF(F1200&lt;=365,"红线促销","考虑清仓")))))))))</x:f>
        <x:v>补货提醒</x:v>
      </x:c>
      <x:c r="F1200" s="11" t="n">
        <x:f>IF(AND(ISNUMBER(H1200),ISNUMBER(G1200),G1200&gt;0),H1200/G1200,"")</x:f>
        <x:v>29.46428571428572</x:v>
      </x:c>
      <x:c r="G1200" s="12" t="n">
        <x:f>IF(AND(COUNT(P1200:R1200)=3,MIN(P1200:R1200)&gt;=0,P1200&lt;=Q1200,Q1200&lt;=R1200),P1200/7*0.5+Q1200/14*0.3+R1200/30*0.2,"")</x:f>
        <x:v>0.3733333333333333</x:v>
      </x:c>
      <x:c r="H1200" s="10" t="n">
        <x:f>IF(ISNUMBER(U1200),U1200,"")</x:f>
        <x:v>11</x:v>
      </x:c>
      <x:c r="I1200" s="10" t="n">
        <x:v>7</x:v>
      </x:c>
      <x:c r="J1200" s="11" t="n">
        <x:f>IF(AND(Z1200="共同",ISNUMBER(F1200),ISNUMBER(M1200)),F1200-M1200,"")</x:f>
        <x:v>14.866470421336361</x:v>
      </x:c>
      <x:c r="K1200" s="13" t="n">
        <x:f>IF(AND(ISNUMBER(J1200),M1200&lt;&gt;0),J1200/M1200,"")</x:f>
        <x:v>1.0184037900874634</x:v>
      </x:c>
      <x:c r="L1200" s="10" t="str">
        <x:v>补货提醒</x:v>
      </x:c>
      <x:c r="M1200" s="11" t="n">
        <x:v>14.597815292949358</x:v>
      </x:c>
      <x:c r="N1200" s="10" t="n">
        <x:f>IF(AND(Z1200="共同",COUNT(H1200:I1200)=2),H1200-I1200,"")</x:f>
        <x:v>4</x:v>
      </x:c>
      <x:c r="O1200" s="10" t="n">
        <x:v>22</x:v>
      </x:c>
      <x:c r="P1200" s="10" t="n">
        <x:v>3</x:v>
      </x:c>
      <x:c r="Q1200" s="10" t="n">
        <x:v>4</x:v>
      </x:c>
      <x:c r="R1200" s="10" t="n">
        <x:v>11</x:v>
      </x:c>
      <x:c r="S1200" s="10" t="n">
        <x:v>15</x:v>
      </x:c>
      <x:c r="T1200" s="10" t="n">
        <x:v>1</x:v>
      </x:c>
      <x:c r="U1200" s="10" t="n">
        <x:f>IF(AND(ISNUMBER(X1200),X1200&gt;=0,Y1200&lt;&gt;1),X1200,"")</x:f>
        <x:v>11</x:v>
      </x:c>
      <x:c r="V1200" s="10" t="n">
        <x:v>5</x:v>
      </x:c>
      <x:c r="W1200" s="10" t="n">
        <x:v>27</x:v>
      </x:c>
      <x:c r="X1200" s="10" t="n">
        <x:v>11</x:v>
      </x:c>
      <x:c r="Y1200" s="3" t="n">
        <x:v>0</x:v>
      </x:c>
      <x:c r="Z1200" s="3" t="str">
        <x:v>共同</x:v>
      </x:c>
      <x:c r="AA1200" s="3" t="str">
        <x:v>在售</x:v>
      </x:c>
      <x:c r="AB1200" s="12" t="n">
        <x:f>IF(AND(Z1200="共同",ISNUMBER(G1200),ISNUMBER(AD1200)),G1200-AD1200,"")</x:f>
        <x:v>-0.10619047619047611</x:v>
      </x:c>
      <x:c r="AC1200" s="3" t="str"/>
      <x:c r="AD1200" s="12" t="n">
        <x:v>0.4795238095238094</x:v>
      </x:c>
      <x:c r="AE1200" s="3" t="str">
        <x:v>[13120,"B06-NY-40"]</x:v>
      </x:c>
      <x:c r="AF1200" t="n">
        <x:f>IF(ISNUMBER(H1200),1,0)</x:f>
        <x:v>1</x:v>
      </x:c>
      <x:c r="AG1200" t="n">
        <x:f>IF(ISNUMBER(I1200),1,0)</x:f>
        <x:v>1</x:v>
      </x:c>
      <x:c r="AH1200" t="str">
        <x:v>["B06","B06-NY","NY","藏青色羊京绒"]</x:v>
      </x:c>
      <x:c r="AI1200" t="n">
        <x:f>IF(ISNUMBER(G1200),1,0)</x:f>
        <x:v>1</x:v>
      </x:c>
      <x:c r="AJ1200" t="n">
        <x:f>IF(ISNUMBER(AD1200),1,0)</x:f>
        <x:v>1</x:v>
      </x:c>
    </x:row>
    <x:row r="1201" ht="30" customHeight="1">
      <x:c r="A1201" s="3" t="str">
        <x:v>B06-RD-37-N</x:v>
      </x:c>
      <x:c r="B1201" s="3" t="str">
        <x:v>1店-MUSSHOE-US</x:v>
      </x:c>
      <x:c r="C1201" s="3" t="str">
        <x:v>艾年</x:v>
      </x:c>
      <x:c r="D1201" s="3" t="str">
        <x:v>B06</x:v>
      </x:c>
      <x:c r="E1201" s="3" t="str">
        <x:f>IF(Z1201="移出","已移出",IF(NOT(ISNUMBER(H1201)),"数据待核",IF(H1201=0,"断货",IF(NOT(ISNUMBER(G1201)),"数据待核",IF(G1201=0,"零日销待复核",IF(F1201&lt;60,"补货提醒",IF(F1201&lt;=90,"正常库存",IF(F1201&lt;180,"促销",IF(F1201&lt;=365,"红线促销","考虑清仓")))))))))</x:f>
        <x:v>补货提醒</x:v>
      </x:c>
      <x:c r="F1201" s="11" t="n">
        <x:f>IF(AND(ISNUMBER(H1201),ISNUMBER(G1201),G1201&gt;0),H1201/G1201,"")</x:f>
        <x:v>15.071770334928232</x:v>
      </x:c>
      <x:c r="G1201" s="12" t="n">
        <x:f>IF(AND(COUNT(P1201:R1201)=3,MIN(P1201:R1201)&gt;=0,P1201&lt;=Q1201,Q1201&lt;=R1201),P1201/7*0.5+Q1201/14*0.3+R1201/30*0.2,"")</x:f>
        <x:v>0.19904761904761903</x:v>
      </x:c>
      <x:c r="H1201" s="10" t="n">
        <x:f>IF(ISNUMBER(U1201),U1201,"")</x:f>
        <x:v>3</x:v>
      </x:c>
      <x:c r="I1201" s="10" t="n">
        <x:v>6</x:v>
      </x:c>
      <x:c r="J1201" s="11" t="n">
        <x:f>IF(AND(Z1201="共同",ISNUMBER(F1201),ISNUMBER(M1201)),F1201-M1201,"")</x:f>
        <x:v>-884.9282296650719</x:v>
      </x:c>
      <x:c r="K1201" s="13" t="n">
        <x:f>IF(AND(ISNUMBER(J1201),M1201&lt;&gt;0),J1201/M1201,"")</x:f>
        <x:v>-0.9832535885167464</x:v>
      </x:c>
      <x:c r="L1201" s="10" t="str">
        <x:v>考虑清仓</x:v>
      </x:c>
      <x:c r="M1201" s="11" t="n">
        <x:v>900.0000000000001</x:v>
      </x:c>
      <x:c r="N1201" s="10" t="n">
        <x:f>IF(AND(Z1201="共同",COUNT(H1201:I1201)=2),H1201-I1201,"")</x:f>
        <x:v>-3</x:v>
      </x:c>
      <x:c r="O1201" s="10" t="n">
        <x:v>0</x:v>
      </x:c>
      <x:c r="P1201" s="10" t="n">
        <x:v>2</x:v>
      </x:c>
      <x:c r="Q1201" s="10" t="n">
        <x:v>2</x:v>
      </x:c>
      <x:c r="R1201" s="10" t="n">
        <x:v>2</x:v>
      </x:c>
      <x:c r="S1201" s="10" t="n">
        <x:v>7</x:v>
      </x:c>
      <x:c r="T1201" s="10" t="n">
        <x:v>1</x:v>
      </x:c>
      <x:c r="U1201" s="10" t="n">
        <x:f>IF(AND(ISNUMBER(X1201),X1201&gt;=0,Y1201&lt;&gt;1),X1201,"")</x:f>
        <x:v>3</x:v>
      </x:c>
      <x:c r="V1201" s="10" t="n">
        <x:v>0</x:v>
      </x:c>
      <x:c r="W1201" s="10" t="n">
        <x:v>0</x:v>
      </x:c>
      <x:c r="X1201" s="10" t="n">
        <x:v>3</x:v>
      </x:c>
      <x:c r="Y1201" s="3" t="n">
        <x:v>0</x:v>
      </x:c>
      <x:c r="Z1201" s="3" t="str">
        <x:v>共同</x:v>
      </x:c>
      <x:c r="AA1201" s="3" t="str">
        <x:v>在售</x:v>
      </x:c>
      <x:c r="AB1201" s="12" t="n">
        <x:f>IF(AND(Z1201="共同",ISNUMBER(G1201),ISNUMBER(AD1201)),G1201-AD1201,"")</x:f>
        <x:v>0.19238095238095237</x:v>
      </x:c>
      <x:c r="AC1201" s="3" t="str"/>
      <x:c r="AD1201" s="12" t="n">
        <x:v>0.006666666666666666</x:v>
      </x:c>
      <x:c r="AE1201" s="3" t="str">
        <x:v>[13120,"B06-RD-37-N"]</x:v>
      </x:c>
      <x:c r="AF1201" t="n">
        <x:f>IF(ISNUMBER(H1201),1,0)</x:f>
        <x:v>1</x:v>
      </x:c>
      <x:c r="AG1201" t="n">
        <x:f>IF(ISNUMBER(I1201),1,0)</x:f>
        <x:v>1</x:v>
      </x:c>
      <x:c r="AH1201" t="str">
        <x:v>["B06","B06-RD","RD","红色羊京绒"]</x:v>
      </x:c>
      <x:c r="AI1201" t="n">
        <x:f>IF(ISNUMBER(G1201),1,0)</x:f>
        <x:v>1</x:v>
      </x:c>
      <x:c r="AJ1201" t="n">
        <x:f>IF(ISNUMBER(AD1201),1,0)</x:f>
        <x:v>1</x:v>
      </x:c>
    </x:row>
    <x:row r="1202" ht="30" customHeight="1">
      <x:c r="A1202" s="3" t="str">
        <x:v>B06-RD-41</x:v>
      </x:c>
      <x:c r="B1202" s="3" t="str">
        <x:v>1店-MUSSHOE-US</x:v>
      </x:c>
      <x:c r="C1202" s="3" t="str">
        <x:v>艾年</x:v>
      </x:c>
      <x:c r="D1202" s="3" t="str">
        <x:v>B06</x:v>
      </x:c>
      <x:c r="E1202" s="3" t="str">
        <x:f>IF(Z1202="移出","已移出",IF(NOT(ISNUMBER(H1202)),"数据待核",IF(H1202=0,"断货",IF(NOT(ISNUMBER(G1202)),"数据待核",IF(G1202=0,"零日销待复核",IF(F1202&lt;60,"补货提醒",IF(F1202&lt;=90,"正常库存",IF(F1202&lt;180,"促销",IF(F1202&lt;=365,"红线促销","考虑清仓")))))))))</x:f>
        <x:v>补货提醒</x:v>
      </x:c>
      <x:c r="F1202" s="11" t="n">
        <x:f>IF(AND(ISNUMBER(H1202),ISNUMBER(G1202),G1202&gt;0),H1202/G1202,"")</x:f>
        <x:v>50.943396226415096</x:v>
      </x:c>
      <x:c r="G1202" s="12" t="n">
        <x:f>IF(AND(COUNT(P1202:R1202)=3,MIN(P1202:R1202)&gt;=0,P1202&lt;=Q1202,Q1202&lt;=R1202),P1202/7*0.5+Q1202/14*0.3+R1202/30*0.2,"")</x:f>
        <x:v>0.35333333333333333</x:v>
      </x:c>
      <x:c r="H1202" s="10" t="n">
        <x:f>IF(ISNUMBER(U1202),U1202,"")</x:f>
        <x:v>18</x:v>
      </x:c>
      <x:c r="I1202" s="10" t="n">
        <x:v>21</x:v>
      </x:c>
      <x:c r="J1202" s="11" t="n">
        <x:f>IF(AND(Z1202="共同",ISNUMBER(F1202),ISNUMBER(M1202)),F1202-M1202,"")</x:f>
        <x:v>-38.87330438458289</x:v>
      </x:c>
      <x:c r="K1202" s="13" t="n">
        <x:f>IF(AND(ISNUMBER(J1202),M1202&lt;&gt;0),J1202/M1202,"")</x:f>
        <x:v>-0.4328070850981903</x:v>
      </x:c>
      <x:c r="L1202" s="10" t="str">
        <x:v>正常库存</x:v>
      </x:c>
      <x:c r="M1202" s="11" t="n">
        <x:v>89.81670061099798</x:v>
      </x:c>
      <x:c r="N1202" s="10" t="n">
        <x:f>IF(AND(Z1202="共同",COUNT(H1202:I1202)=2),H1202-I1202,"")</x:f>
        <x:v>-3</x:v>
      </x:c>
      <x:c r="O1202" s="10" t="n">
        <x:v>0</x:v>
      </x:c>
      <x:c r="P1202" s="10" t="n">
        <x:v>3</x:v>
      </x:c>
      <x:c r="Q1202" s="10" t="n">
        <x:v>4</x:v>
      </x:c>
      <x:c r="R1202" s="10" t="n">
        <x:v>8</x:v>
      </x:c>
      <x:c r="S1202" s="10" t="n">
        <x:v>18</x:v>
      </x:c>
      <x:c r="T1202" s="10" t="n">
        <x:v>0</x:v>
      </x:c>
      <x:c r="U1202" s="10" t="n">
        <x:f>IF(AND(ISNUMBER(X1202),X1202&gt;=0,Y1202&lt;&gt;1),X1202,"")</x:f>
        <x:v>18</x:v>
      </x:c>
      <x:c r="V1202" s="10" t="n">
        <x:v>0</x:v>
      </x:c>
      <x:c r="W1202" s="10" t="n">
        <x:v>0</x:v>
      </x:c>
      <x:c r="X1202" s="10" t="n">
        <x:v>18</x:v>
      </x:c>
      <x:c r="Y1202" s="3" t="n">
        <x:v>0</x:v>
      </x:c>
      <x:c r="Z1202" s="3" t="str">
        <x:v>共同</x:v>
      </x:c>
      <x:c r="AA1202" s="3" t="str">
        <x:v>在售</x:v>
      </x:c>
      <x:c r="AB1202" s="12" t="n">
        <x:f>IF(AND(Z1202="共同",ISNUMBER(G1202),ISNUMBER(AD1202)),G1202-AD1202,"")</x:f>
        <x:v>0.11952380952380956</x:v>
      </x:c>
      <x:c r="AC1202" s="3" t="str"/>
      <x:c r="AD1202" s="12" t="n">
        <x:v>0.23380952380952377</x:v>
      </x:c>
      <x:c r="AE1202" s="3" t="str">
        <x:v>[13120,"B06-RD-41"]</x:v>
      </x:c>
      <x:c r="AF1202" t="n">
        <x:f>IF(ISNUMBER(H1202),1,0)</x:f>
        <x:v>1</x:v>
      </x:c>
      <x:c r="AG1202" t="n">
        <x:f>IF(ISNUMBER(I1202),1,0)</x:f>
        <x:v>1</x:v>
      </x:c>
      <x:c r="AH1202" t="str">
        <x:v>["B06","B06-RD","RD","红色羊京绒"]</x:v>
      </x:c>
      <x:c r="AI1202" t="n">
        <x:f>IF(ISNUMBER(G1202),1,0)</x:f>
        <x:v>1</x:v>
      </x:c>
      <x:c r="AJ1202" t="n">
        <x:f>IF(ISNUMBER(AD1202),1,0)</x:f>
        <x:v>1</x:v>
      </x:c>
    </x:row>
    <x:row r="1203" ht="30" customHeight="1">
      <x:c r="A1203" s="3" t="str">
        <x:v>B06-RD-Z-0-38</x:v>
      </x:c>
      <x:c r="B1203" s="3" t="str">
        <x:v>1店-MUSSHOE-US</x:v>
      </x:c>
      <x:c r="C1203" s="3" t="str">
        <x:v>艾年</x:v>
      </x:c>
      <x:c r="D1203" s="3" t="str">
        <x:v>B06</x:v>
      </x:c>
      <x:c r="E1203" s="3" t="str">
        <x:f>IF(Z1203="移出","已移出",IF(NOT(ISNUMBER(H1203)),"数据待核",IF(H1203=0,"断货",IF(NOT(ISNUMBER(G1203)),"数据待核",IF(G1203=0,"零日销待复核",IF(F1203&lt;60,"补货提醒",IF(F1203&lt;=90,"正常库存",IF(F1203&lt;180,"促销",IF(F1203&lt;=365,"红线促销","考虑清仓")))))))))</x:f>
        <x:v>补货提醒</x:v>
      </x:c>
      <x:c r="F1203" s="11" t="n">
        <x:f>IF(AND(ISNUMBER(H1203),ISNUMBER(G1203),G1203&gt;0),H1203/G1203,"")</x:f>
        <x:v>7.446808510638298</x:v>
      </x:c>
      <x:c r="G1203" s="12" t="n">
        <x:f>IF(AND(COUNT(P1203:R1203)=3,MIN(P1203:R1203)&gt;=0,P1203&lt;=Q1203,Q1203&lt;=R1203),P1203/7*0.5+Q1203/14*0.3+R1203/30*0.2,"")</x:f>
        <x:v>0.13428571428571429</x:v>
      </x:c>
      <x:c r="H1203" s="10" t="n">
        <x:f>IF(ISNUMBER(U1203),U1203,"")</x:f>
        <x:v>1</x:v>
      </x:c>
      <x:c r="I1203" s="10" t="n">
        <x:v>3</x:v>
      </x:c>
      <x:c r="J1203" s="11" t="n">
        <x:f>IF(AND(Z1203="共同",ISNUMBER(F1203),ISNUMBER(M1203)),F1203-M1203,"")</x:f>
        <x:v>-22.696732159218165</x:v>
      </x:c>
      <x:c r="K1203" s="13" t="n">
        <x:f>IF(AND(ISNUMBER(J1203),M1203&lt;&gt;0),J1203/M1203,"")</x:f>
        <x:v>-0.7529550827423168</x:v>
      </x:c>
      <x:c r="L1203" s="10" t="str">
        <x:v>补货提醒</x:v>
      </x:c>
      <x:c r="M1203" s="11" t="n">
        <x:v>30.143540669856463</x:v>
      </x:c>
      <x:c r="N1203" s="10" t="n">
        <x:f>IF(AND(Z1203="共同",COUNT(H1203:I1203)=2),H1203-I1203,"")</x:f>
        <x:v>-2</x:v>
      </x:c>
      <x:c r="O1203" s="10" t="n">
        <x:v>0</x:v>
      </x:c>
      <x:c r="P1203" s="10" t="n">
        <x:v>1</x:v>
      </x:c>
      <x:c r="Q1203" s="10" t="n">
        <x:v>2</x:v>
      </x:c>
      <x:c r="R1203" s="10" t="n">
        <x:v>3</x:v>
      </x:c>
      <x:c r="S1203" s="10" t="n">
        <x:v>2</x:v>
      </x:c>
      <x:c r="T1203" s="10" t="n">
        <x:v>0</x:v>
      </x:c>
      <x:c r="U1203" s="10" t="n">
        <x:f>IF(AND(ISNUMBER(X1203),X1203&gt;=0,Y1203&lt;&gt;1),X1203,"")</x:f>
        <x:v>1</x:v>
      </x:c>
      <x:c r="V1203" s="10" t="n">
        <x:v>0</x:v>
      </x:c>
      <x:c r="W1203" s="10" t="n">
        <x:v>0</x:v>
      </x:c>
      <x:c r="X1203" s="10" t="n">
        <x:v>1</x:v>
      </x:c>
      <x:c r="Y1203" s="3" t="n">
        <x:v>0</x:v>
      </x:c>
      <x:c r="Z1203" s="3" t="str">
        <x:v>共同</x:v>
      </x:c>
      <x:c r="AA1203" s="3" t="str">
        <x:v>在售</x:v>
      </x:c>
      <x:c r="AB1203" s="12" t="n">
        <x:f>IF(AND(Z1203="共同",ISNUMBER(G1203),ISNUMBER(AD1203)),G1203-AD1203,"")</x:f>
        <x:v>0.03476190476190477</x:v>
      </x:c>
      <x:c r="AC1203" s="3" t="str"/>
      <x:c r="AD1203" s="12" t="n">
        <x:v>0.09952380952380951</x:v>
      </x:c>
      <x:c r="AE1203" s="3" t="str">
        <x:v>[13120,"B06-RD-Z-0-38"]</x:v>
      </x:c>
      <x:c r="AF1203" t="n">
        <x:f>IF(ISNUMBER(H1203),1,0)</x:f>
        <x:v>1</x:v>
      </x:c>
      <x:c r="AG1203" t="n">
        <x:f>IF(ISNUMBER(I1203),1,0)</x:f>
        <x:v>1</x:v>
      </x:c>
      <x:c r="AH1203" t="str">
        <x:v>["B06","B06-RD-Z-0","RD-Z","红色镜面PU"]</x:v>
      </x:c>
      <x:c r="AI1203" t="n">
        <x:f>IF(ISNUMBER(G1203),1,0)</x:f>
        <x:v>1</x:v>
      </x:c>
      <x:c r="AJ1203" t="n">
        <x:f>IF(ISNUMBER(AD1203),1,0)</x:f>
        <x:v>1</x:v>
      </x:c>
    </x:row>
    <x:row r="1204" ht="30" customHeight="1">
      <x:c r="A1204" s="3" t="str">
        <x:v>B06-RD-Z-0-38.5</x:v>
      </x:c>
      <x:c r="B1204" s="3" t="str">
        <x:v>1店-MUSSHOE-US</x:v>
      </x:c>
      <x:c r="C1204" s="3" t="str">
        <x:v>艾年</x:v>
      </x:c>
      <x:c r="D1204" s="3" t="str">
        <x:v>B06</x:v>
      </x:c>
      <x:c r="E1204" s="3" t="str">
        <x:f>IF(Z1204="移出","已移出",IF(NOT(ISNUMBER(H1204)),"数据待核",IF(H1204=0,"断货",IF(NOT(ISNUMBER(G1204)),"数据待核",IF(G1204=0,"零日销待复核",IF(F1204&lt;60,"补货提醒",IF(F1204&lt;=90,"正常库存",IF(F1204&lt;180,"促销",IF(F1204&lt;=365,"红线促销","考虑清仓")))))))))</x:f>
        <x:v>补货提醒</x:v>
      </x:c>
      <x:c r="F1204" s="11" t="n">
        <x:f>IF(AND(ISNUMBER(H1204),ISNUMBER(G1204),G1204&gt;0),H1204/G1204,"")</x:f>
        <x:v>39.62264150943396</x:v>
      </x:c>
      <x:c r="G1204" s="12" t="n">
        <x:f>IF(AND(COUNT(P1204:R1204)=3,MIN(P1204:R1204)&gt;=0,P1204&lt;=Q1204,Q1204&lt;=R1204),P1204/7*0.5+Q1204/14*0.3+R1204/30*0.2,"")</x:f>
        <x:v>0.22714285714285715</x:v>
      </x:c>
      <x:c r="H1204" s="10" t="n">
        <x:f>IF(ISNUMBER(U1204),U1204,"")</x:f>
        <x:v>9</x:v>
      </x:c>
      <x:c r="I1204" s="10" t="n">
        <x:v>7</x:v>
      </x:c>
      <x:c r="J1204" s="11" t="str">
        <x:f>IF(AND(Z1204="共同",ISNUMBER(F1204),ISNUMBER(M1204)),F1204-M1204,"")</x:f>
      </x:c>
      <x:c r="K1204" s="13" t="str">
        <x:f>IF(AND(ISNUMBER(J1204),M1204&lt;&gt;0),J1204/M1204,"")</x:f>
      </x:c>
      <x:c r="L1204" s="10" t="str">
        <x:v>零日销待复核</x:v>
      </x:c>
      <x:c r="M1204" s="11"/>
      <x:c r="N1204" s="10" t="n">
        <x:f>IF(AND(Z1204="共同",COUNT(H1204:I1204)=2),H1204-I1204,"")</x:f>
        <x:v>2</x:v>
      </x:c>
      <x:c r="O1204" s="10" t="n">
        <x:v>0</x:v>
      </x:c>
      <x:c r="P1204" s="10" t="n">
        <x:v>2</x:v>
      </x:c>
      <x:c r="Q1204" s="10" t="n">
        <x:v>3</x:v>
      </x:c>
      <x:c r="R1204" s="10" t="n">
        <x:v>3</x:v>
      </x:c>
      <x:c r="S1204" s="10" t="n">
        <x:v>9</x:v>
      </x:c>
      <x:c r="T1204" s="10" t="n">
        <x:v>0</x:v>
      </x:c>
      <x:c r="U1204" s="10" t="n">
        <x:f>IF(AND(ISNUMBER(X1204),X1204&gt;=0,Y1204&lt;&gt;1),X1204,"")</x:f>
        <x:v>9</x:v>
      </x:c>
      <x:c r="V1204" s="10" t="n">
        <x:v>0</x:v>
      </x:c>
      <x:c r="W1204" s="10" t="n">
        <x:v>0</x:v>
      </x:c>
      <x:c r="X1204" s="10" t="n">
        <x:v>9</x:v>
      </x:c>
      <x:c r="Y1204" s="3" t="n">
        <x:v>0</x:v>
      </x:c>
      <x:c r="Z1204" s="3" t="str">
        <x:v>共同</x:v>
      </x:c>
      <x:c r="AA1204" s="3" t="str">
        <x:v>在售</x:v>
      </x:c>
      <x:c r="AB1204" s="12" t="n">
        <x:f>IF(AND(Z1204="共同",ISNUMBER(G1204),ISNUMBER(AD1204)),G1204-AD1204,"")</x:f>
        <x:v>0.22714285714285715</x:v>
      </x:c>
      <x:c r="AC1204" s="3" t="str"/>
      <x:c r="AD1204" s="12" t="n">
        <x:v>0</x:v>
      </x:c>
      <x:c r="AE1204" s="3" t="str">
        <x:v>[13120,"B06-RD-Z-0-38.5"]</x:v>
      </x:c>
      <x:c r="AF1204" t="n">
        <x:f>IF(ISNUMBER(H1204),1,0)</x:f>
        <x:v>1</x:v>
      </x:c>
      <x:c r="AG1204" t="n">
        <x:f>IF(ISNUMBER(I1204),1,0)</x:f>
        <x:v>1</x:v>
      </x:c>
      <x:c r="AH1204" t="str">
        <x:v>["B06","B06-RD-Z-0","RD-Z","红色镜面PU"]</x:v>
      </x:c>
      <x:c r="AI1204" t="n">
        <x:f>IF(ISNUMBER(G1204),1,0)</x:f>
        <x:v>1</x:v>
      </x:c>
      <x:c r="AJ1204" t="n">
        <x:f>IF(ISNUMBER(AD1204),1,0)</x:f>
        <x:v>1</x:v>
      </x:c>
    </x:row>
    <x:row r="1205" ht="30" customHeight="1">
      <x:c r="A1205" s="3" t="str">
        <x:v>B06-RD-Z-0-40</x:v>
      </x:c>
      <x:c r="B1205" s="3" t="str">
        <x:v>1店-MUSSHOE-US</x:v>
      </x:c>
      <x:c r="C1205" s="3" t="str">
        <x:v>艾年</x:v>
      </x:c>
      <x:c r="D1205" s="3" t="str">
        <x:v>B06</x:v>
      </x:c>
      <x:c r="E1205" s="3" t="str">
        <x:f>IF(Z1205="移出","已移出",IF(NOT(ISNUMBER(H1205)),"数据待核",IF(H1205=0,"断货",IF(NOT(ISNUMBER(G1205)),"数据待核",IF(G1205=0,"零日销待复核",IF(F1205&lt;60,"补货提醒",IF(F1205&lt;=90,"正常库存",IF(F1205&lt;180,"促销",IF(F1205&lt;=365,"红线促销","考虑清仓")))))))))</x:f>
        <x:v>补货提醒</x:v>
      </x:c>
      <x:c r="F1205" s="11" t="n">
        <x:f>IF(AND(ISNUMBER(H1205),ISNUMBER(G1205),G1205&gt;0),H1205/G1205,"")</x:f>
        <x:v>55.26315789473685</x:v>
      </x:c>
      <x:c r="G1205" s="12" t="n">
        <x:f>IF(AND(COUNT(P1205:R1205)=3,MIN(P1205:R1205)&gt;=0,P1205&lt;=Q1205,Q1205&lt;=R1205),P1205/7*0.5+Q1205/14*0.3+R1205/30*0.2,"")</x:f>
        <x:v>0.19904761904761903</x:v>
      </x:c>
      <x:c r="H1205" s="10" t="n">
        <x:f>IF(ISNUMBER(U1205),U1205,"")</x:f>
        <x:v>11</x:v>
      </x:c>
      <x:c r="I1205" s="10" t="n">
        <x:v>13</x:v>
      </x:c>
      <x:c r="J1205" s="11" t="str">
        <x:f>IF(AND(Z1205="共同",ISNUMBER(F1205),ISNUMBER(M1205)),F1205-M1205,"")</x:f>
      </x:c>
      <x:c r="K1205" s="13" t="str">
        <x:f>IF(AND(ISNUMBER(J1205),M1205&lt;&gt;0),J1205/M1205,"")</x:f>
      </x:c>
      <x:c r="L1205" s="10" t="str">
        <x:v>零日销待复核</x:v>
      </x:c>
      <x:c r="M1205" s="11"/>
      <x:c r="N1205" s="10" t="n">
        <x:f>IF(AND(Z1205="共同",COUNT(H1205:I1205)=2),H1205-I1205,"")</x:f>
        <x:v>-2</x:v>
      </x:c>
      <x:c r="O1205" s="10" t="n">
        <x:v>0</x:v>
      </x:c>
      <x:c r="P1205" s="10" t="n">
        <x:v>2</x:v>
      </x:c>
      <x:c r="Q1205" s="10" t="n">
        <x:v>2</x:v>
      </x:c>
      <x:c r="R1205" s="10" t="n">
        <x:v>2</x:v>
      </x:c>
      <x:c r="S1205" s="10" t="n">
        <x:v>11</x:v>
      </x:c>
      <x:c r="T1205" s="10" t="n">
        <x:v>0</x:v>
      </x:c>
      <x:c r="U1205" s="10" t="n">
        <x:f>IF(AND(ISNUMBER(X1205),X1205&gt;=0,Y1205&lt;&gt;1),X1205,"")</x:f>
        <x:v>11</x:v>
      </x:c>
      <x:c r="V1205" s="10" t="n">
        <x:v>0</x:v>
      </x:c>
      <x:c r="W1205" s="10" t="n">
        <x:v>0</x:v>
      </x:c>
      <x:c r="X1205" s="10" t="n">
        <x:v>11</x:v>
      </x:c>
      <x:c r="Y1205" s="3" t="n">
        <x:v>0</x:v>
      </x:c>
      <x:c r="Z1205" s="3" t="str">
        <x:v>共同</x:v>
      </x:c>
      <x:c r="AA1205" s="3" t="str">
        <x:v>在售</x:v>
      </x:c>
      <x:c r="AB1205" s="12" t="n">
        <x:f>IF(AND(Z1205="共同",ISNUMBER(G1205),ISNUMBER(AD1205)),G1205-AD1205,"")</x:f>
        <x:v>0.19904761904761903</x:v>
      </x:c>
      <x:c r="AC1205" s="3" t="str"/>
      <x:c r="AD1205" s="12" t="n">
        <x:v>0</x:v>
      </x:c>
      <x:c r="AE1205" s="3" t="str">
        <x:v>[13120,"B06-RD-Z-0-40"]</x:v>
      </x:c>
      <x:c r="AF1205" t="n">
        <x:f>IF(ISNUMBER(H1205),1,0)</x:f>
        <x:v>1</x:v>
      </x:c>
      <x:c r="AG1205" t="n">
        <x:f>IF(ISNUMBER(I1205),1,0)</x:f>
        <x:v>1</x:v>
      </x:c>
      <x:c r="AH1205" t="str">
        <x:v>["B06","B06-RD-Z-0","RD-Z","红色镜面PU"]</x:v>
      </x:c>
      <x:c r="AI1205" t="n">
        <x:f>IF(ISNUMBER(G1205),1,0)</x:f>
        <x:v>1</x:v>
      </x:c>
      <x:c r="AJ1205" t="n">
        <x:f>IF(ISNUMBER(AD1205),1,0)</x:f>
        <x:v>1</x:v>
      </x:c>
    </x:row>
    <x:row r="1206" ht="30" customHeight="1">
      <x:c r="A1206" s="3" t="str">
        <x:v>B06-RD-Z-0-42</x:v>
      </x:c>
      <x:c r="B1206" s="3" t="str">
        <x:v>1店-MUSSHOE-US</x:v>
      </x:c>
      <x:c r="C1206" s="3" t="str">
        <x:v>艾年</x:v>
      </x:c>
      <x:c r="D1206" s="3" t="str">
        <x:v>B06</x:v>
      </x:c>
      <x:c r="E1206" s="3" t="str">
        <x:f>IF(Z1206="移出","已移出",IF(NOT(ISNUMBER(H1206)),"数据待核",IF(H1206=0,"断货",IF(NOT(ISNUMBER(G1206)),"数据待核",IF(G1206=0,"零日销待复核",IF(F1206&lt;60,"补货提醒",IF(F1206&lt;=90,"正常库存",IF(F1206&lt;180,"促销",IF(F1206&lt;=365,"红线促销","考虑清仓")))))))))</x:f>
        <x:v>补货提醒</x:v>
      </x:c>
      <x:c r="F1206" s="11" t="n">
        <x:f>IF(AND(ISNUMBER(H1206),ISNUMBER(G1206),G1206&gt;0),H1206/G1206,"")</x:f>
        <x:v>13.39712918660287</x:v>
      </x:c>
      <x:c r="G1206" s="12" t="n">
        <x:f>IF(AND(COUNT(P1206:R1206)=3,MIN(P1206:R1206)&gt;=0,P1206&lt;=Q1206,Q1206&lt;=R1206),P1206/7*0.5+Q1206/14*0.3+R1206/30*0.2,"")</x:f>
        <x:v>0.2985714285714286</x:v>
      </x:c>
      <x:c r="H1206" s="10" t="n">
        <x:f>IF(ISNUMBER(U1206),U1206,"")</x:f>
        <x:v>4</x:v>
      </x:c>
      <x:c r="I1206" s="10" t="n">
        <x:v>7</x:v>
      </x:c>
      <x:c r="J1206" s="11" t="str">
        <x:f>IF(AND(Z1206="共同",ISNUMBER(F1206),ISNUMBER(M1206)),F1206-M1206,"")</x:f>
      </x:c>
      <x:c r="K1206" s="13" t="str">
        <x:f>IF(AND(ISNUMBER(J1206),M1206&lt;&gt;0),J1206/M1206,"")</x:f>
      </x:c>
      <x:c r="L1206" s="10" t="str">
        <x:v>零日销待复核</x:v>
      </x:c>
      <x:c r="M1206" s="11"/>
      <x:c r="N1206" s="10" t="n">
        <x:f>IF(AND(Z1206="共同",COUNT(H1206:I1206)=2),H1206-I1206,"")</x:f>
        <x:v>-3</x:v>
      </x:c>
      <x:c r="O1206" s="10" t="n">
        <x:v>0</x:v>
      </x:c>
      <x:c r="P1206" s="10" t="n">
        <x:v>3</x:v>
      </x:c>
      <x:c r="Q1206" s="10" t="n">
        <x:v>3</x:v>
      </x:c>
      <x:c r="R1206" s="10" t="n">
        <x:v>3</x:v>
      </x:c>
      <x:c r="S1206" s="10" t="n">
        <x:v>4</x:v>
      </x:c>
      <x:c r="T1206" s="10" t="n">
        <x:v>0</x:v>
      </x:c>
      <x:c r="U1206" s="10" t="n">
        <x:f>IF(AND(ISNUMBER(X1206),X1206&gt;=0,Y1206&lt;&gt;1),X1206,"")</x:f>
        <x:v>4</x:v>
      </x:c>
      <x:c r="V1206" s="10" t="n">
        <x:v>0</x:v>
      </x:c>
      <x:c r="W1206" s="10" t="n">
        <x:v>0</x:v>
      </x:c>
      <x:c r="X1206" s="10" t="n">
        <x:v>4</x:v>
      </x:c>
      <x:c r="Y1206" s="3" t="n">
        <x:v>0</x:v>
      </x:c>
      <x:c r="Z1206" s="3" t="str">
        <x:v>共同</x:v>
      </x:c>
      <x:c r="AA1206" s="3" t="str">
        <x:v>在售</x:v>
      </x:c>
      <x:c r="AB1206" s="12" t="n">
        <x:f>IF(AND(Z1206="共同",ISNUMBER(G1206),ISNUMBER(AD1206)),G1206-AD1206,"")</x:f>
        <x:v>0.2985714285714286</x:v>
      </x:c>
      <x:c r="AC1206" s="3" t="str"/>
      <x:c r="AD1206" s="12" t="n">
        <x:v>0</x:v>
      </x:c>
      <x:c r="AE1206" s="3" t="str">
        <x:v>[13120,"B06-RD-Z-0-42"]</x:v>
      </x:c>
      <x:c r="AF1206" t="n">
        <x:f>IF(ISNUMBER(H1206),1,0)</x:f>
        <x:v>1</x:v>
      </x:c>
      <x:c r="AG1206" t="n">
        <x:f>IF(ISNUMBER(I1206),1,0)</x:f>
        <x:v>1</x:v>
      </x:c>
      <x:c r="AH1206" t="str">
        <x:v>["B06","B06-RD-Z-0","RD-Z","红色镜面PU"]</x:v>
      </x:c>
      <x:c r="AI1206" t="n">
        <x:f>IF(ISNUMBER(G1206),1,0)</x:f>
        <x:v>1</x:v>
      </x:c>
      <x:c r="AJ1206" t="n">
        <x:f>IF(ISNUMBER(AD1206),1,0)</x:f>
        <x:v>1</x:v>
      </x:c>
    </x:row>
    <x:row r="1207" ht="30" customHeight="1">
      <x:c r="A1207" s="3" t="str">
        <x:v>B06-SP-37</x:v>
      </x:c>
      <x:c r="B1207" s="3" t="str">
        <x:v>1店-MUSSHOE-US</x:v>
      </x:c>
      <x:c r="C1207" s="3" t="str">
        <x:v>艾年</x:v>
      </x:c>
      <x:c r="D1207" s="3" t="str">
        <x:v>B06</x:v>
      </x:c>
      <x:c r="E1207" s="3" t="str">
        <x:f>IF(Z1207="移出","已移出",IF(NOT(ISNUMBER(H1207)),"数据待核",IF(H1207=0,"断货",IF(NOT(ISNUMBER(G1207)),"数据待核",IF(G1207=0,"零日销待复核",IF(F1207&lt;60,"补货提醒",IF(F1207&lt;=90,"正常库存",IF(F1207&lt;180,"促销",IF(F1207&lt;=365,"红线促销","考虑清仓")))))))))</x:f>
        <x:v>补货提醒</x:v>
      </x:c>
      <x:c r="F1207" s="11" t="n">
        <x:f>IF(AND(ISNUMBER(H1207),ISNUMBER(G1207),G1207&gt;0),H1207/G1207,"")</x:f>
        <x:v>17.721518987341774</x:v>
      </x:c>
      <x:c r="G1207" s="12" t="n">
        <x:f>IF(AND(COUNT(P1207:R1207)=3,MIN(P1207:R1207)&gt;=0,P1207&lt;=Q1207,Q1207&lt;=R1207),P1207/7*0.5+Q1207/14*0.3+R1207/30*0.2,"")</x:f>
        <x:v>0.11285714285714285</x:v>
      </x:c>
      <x:c r="H1207" s="10" t="n">
        <x:f>IF(ISNUMBER(U1207),U1207,"")</x:f>
        <x:v>2</x:v>
      </x:c>
      <x:c r="I1207" s="10" t="n">
        <x:v>3</x:v>
      </x:c>
      <x:c r="J1207" s="11" t="n">
        <x:f>IF(AND(Z1207="共同",ISNUMBER(F1207),ISNUMBER(M1207)),F1207-M1207,"")</x:f>
        <x:v>-1.7229254571026722</x:v>
      </x:c>
      <x:c r="K1207" s="13" t="n">
        <x:f>IF(AND(ISNUMBER(J1207),M1207&lt;&gt;0),J1207/M1207,"")</x:f>
        <x:v>-0.08860759493670885</x:v>
      </x:c>
      <x:c r="L1207" s="10" t="str">
        <x:v>补货提醒</x:v>
      </x:c>
      <x:c r="M1207" s="11" t="n">
        <x:v>19.444444444444446</x:v>
      </x:c>
      <x:c r="N1207" s="10" t="n">
        <x:f>IF(AND(Z1207="共同",COUNT(H1207:I1207)=2),H1207-I1207,"")</x:f>
        <x:v>-1</x:v>
      </x:c>
      <x:c r="O1207" s="10" t="n">
        <x:v>11</x:v>
      </x:c>
      <x:c r="P1207" s="10" t="n">
        <x:v>1</x:v>
      </x:c>
      <x:c r="Q1207" s="10" t="n">
        <x:v>1</x:v>
      </x:c>
      <x:c r="R1207" s="10" t="n">
        <x:v>3</x:v>
      </x:c>
      <x:c r="S1207" s="10" t="n">
        <x:v>3</x:v>
      </x:c>
      <x:c r="T1207" s="10" t="n">
        <x:v>0</x:v>
      </x:c>
      <x:c r="U1207" s="10" t="n">
        <x:f>IF(AND(ISNUMBER(X1207),X1207&gt;=0,Y1207&lt;&gt;1),X1207,"")</x:f>
        <x:v>2</x:v>
      </x:c>
      <x:c r="V1207" s="10" t="n">
        <x:v>0</x:v>
      </x:c>
      <x:c r="W1207" s="10" t="n">
        <x:v>20</x:v>
      </x:c>
      <x:c r="X1207" s="10" t="n">
        <x:v>2</x:v>
      </x:c>
      <x:c r="Y1207" s="3" t="n">
        <x:v>0</x:v>
      </x:c>
      <x:c r="Z1207" s="3" t="str">
        <x:v>共同</x:v>
      </x:c>
      <x:c r="AA1207" s="3" t="str">
        <x:v>在售</x:v>
      </x:c>
      <x:c r="AB1207" s="12" t="n">
        <x:f>IF(AND(Z1207="共同",ISNUMBER(G1207),ISNUMBER(AD1207)),G1207-AD1207,"")</x:f>
        <x:v>-0.041428571428571426</x:v>
      </x:c>
      <x:c r="AC1207" s="3" t="str"/>
      <x:c r="AD1207" s="12" t="n">
        <x:v>0.15428571428571428</x:v>
      </x:c>
      <x:c r="AE1207" s="3" t="str">
        <x:v>[13120,"B06-SP-37"]</x:v>
      </x:c>
      <x:c r="AF1207" t="n">
        <x:f>IF(ISNUMBER(H1207),1,0)</x:f>
        <x:v>1</x:v>
      </x:c>
      <x:c r="AG1207" t="n">
        <x:f>IF(ISNUMBER(I1207),1,0)</x:f>
        <x:v>1</x:v>
      </x:c>
      <x:c r="AH1207" t="str">
        <x:v>["B06","B06-SP","SP","蛇纹PU"]</x:v>
      </x:c>
      <x:c r="AI1207" t="n">
        <x:f>IF(ISNUMBER(G1207),1,0)</x:f>
        <x:v>1</x:v>
      </x:c>
      <x:c r="AJ1207" t="n">
        <x:f>IF(ISNUMBER(AD1207),1,0)</x:f>
        <x:v>1</x:v>
      </x:c>
    </x:row>
    <x:row r="1208" ht="30" customHeight="1">
      <x:c r="A1208" s="3" t="str">
        <x:v>B06-SP-38.5</x:v>
      </x:c>
      <x:c r="B1208" s="3" t="str">
        <x:v>1店-MUSSHOE-US</x:v>
      </x:c>
      <x:c r="C1208" s="3" t="str">
        <x:v>艾年</x:v>
      </x:c>
      <x:c r="D1208" s="3" t="str">
        <x:v>B06</x:v>
      </x:c>
      <x:c r="E1208" s="3" t="str">
        <x:f>IF(Z1208="移出","已移出",IF(NOT(ISNUMBER(H1208)),"数据待核",IF(H1208=0,"断货",IF(NOT(ISNUMBER(G1208)),"数据待核",IF(G1208=0,"零日销待复核",IF(F1208&lt;60,"补货提醒",IF(F1208&lt;=90,"正常库存",IF(F1208&lt;180,"促销",IF(F1208&lt;=365,"红线促销","考虑清仓")))))))))</x:f>
        <x:v>补货提醒</x:v>
      </x:c>
      <x:c r="F1208" s="11" t="n">
        <x:f>IF(AND(ISNUMBER(H1208),ISNUMBER(G1208),G1208&gt;0),H1208/G1208,"")</x:f>
        <x:v>23.076923076923077</x:v>
      </x:c>
      <x:c r="G1208" s="12" t="n">
        <x:f>IF(AND(COUNT(P1208:R1208)=3,MIN(P1208:R1208)&gt;=0,P1208&lt;=Q1208,Q1208&lt;=R1208),P1208/7*0.5+Q1208/14*0.3+R1208/30*0.2,"")</x:f>
        <x:v>0.30333333333333334</x:v>
      </x:c>
      <x:c r="H1208" s="10" t="n">
        <x:f>IF(ISNUMBER(U1208),U1208,"")</x:f>
        <x:v>7</x:v>
      </x:c>
      <x:c r="I1208" s="10" t="n">
        <x:v>10</x:v>
      </x:c>
      <x:c r="J1208" s="11" t="n">
        <x:f>IF(AND(Z1208="共同",ISNUMBER(F1208),ISNUMBER(M1208)),F1208-M1208,"")</x:f>
        <x:v>-33.83364602876799</x:v>
      </x:c>
      <x:c r="K1208" s="13" t="n">
        <x:f>IF(AND(ISNUMBER(J1208),M1208&lt;&gt;0),J1208/M1208,"")</x:f>
        <x:v>-0.5945054945054946</x:v>
      </x:c>
      <x:c r="L1208" s="10" t="str">
        <x:v>补货提醒</x:v>
      </x:c>
      <x:c r="M1208" s="11" t="n">
        <x:v>56.91056910569106</x:v>
      </x:c>
      <x:c r="N1208" s="10" t="n">
        <x:f>IF(AND(Z1208="共同",COUNT(H1208:I1208)=2),H1208-I1208,"")</x:f>
        <x:v>-3</x:v>
      </x:c>
      <x:c r="O1208" s="10" t="n">
        <x:v>71</x:v>
      </x:c>
      <x:c r="P1208" s="10" t="n">
        <x:v>2</x:v>
      </x:c>
      <x:c r="Q1208" s="10" t="n">
        <x:v>5</x:v>
      </x:c>
      <x:c r="R1208" s="10" t="n">
        <x:v>8</x:v>
      </x:c>
      <x:c r="S1208" s="10" t="n">
        <x:v>8</x:v>
      </x:c>
      <x:c r="T1208" s="10" t="n">
        <x:v>0</x:v>
      </x:c>
      <x:c r="U1208" s="10" t="n">
        <x:f>IF(AND(ISNUMBER(X1208),X1208&gt;=0,Y1208&lt;&gt;1),X1208,"")</x:f>
        <x:v>7</x:v>
      </x:c>
      <x:c r="V1208" s="10" t="n">
        <x:v>0</x:v>
      </x:c>
      <x:c r="W1208" s="10" t="n">
        <x:v>20</x:v>
      </x:c>
      <x:c r="X1208" s="10" t="n">
        <x:v>7</x:v>
      </x:c>
      <x:c r="Y1208" s="3" t="n">
        <x:v>0</x:v>
      </x:c>
      <x:c r="Z1208" s="3" t="str">
        <x:v>共同</x:v>
      </x:c>
      <x:c r="AA1208" s="3" t="str">
        <x:v>在售</x:v>
      </x:c>
      <x:c r="AB1208" s="12" t="n">
        <x:f>IF(AND(Z1208="共同",ISNUMBER(G1208),ISNUMBER(AD1208)),G1208-AD1208,"")</x:f>
        <x:v>0.12761904761904763</x:v>
      </x:c>
      <x:c r="AC1208" s="3" t="str"/>
      <x:c r="AD1208" s="12" t="n">
        <x:v>0.1757142857142857</x:v>
      </x:c>
      <x:c r="AE1208" s="3" t="str">
        <x:v>[13120,"B06-SP-38.5"]</x:v>
      </x:c>
      <x:c r="AF1208" t="n">
        <x:f>IF(ISNUMBER(H1208),1,0)</x:f>
        <x:v>1</x:v>
      </x:c>
      <x:c r="AG1208" t="n">
        <x:f>IF(ISNUMBER(I1208),1,0)</x:f>
        <x:v>1</x:v>
      </x:c>
      <x:c r="AH1208" t="str">
        <x:v>["B06","B06-SP","SP","蛇纹PU"]</x:v>
      </x:c>
      <x:c r="AI1208" t="n">
        <x:f>IF(ISNUMBER(G1208),1,0)</x:f>
        <x:v>1</x:v>
      </x:c>
      <x:c r="AJ1208" t="n">
        <x:f>IF(ISNUMBER(AD1208),1,0)</x:f>
        <x:v>1</x:v>
      </x:c>
    </x:row>
    <x:row r="1209" ht="30" customHeight="1">
      <x:c r="A1209" s="3" t="str">
        <x:v>B06-TN-39-N</x:v>
      </x:c>
      <x:c r="B1209" s="3" t="str">
        <x:v>1店-MUSSHOE-US</x:v>
      </x:c>
      <x:c r="C1209" s="3" t="str">
        <x:v>艾年</x:v>
      </x:c>
      <x:c r="D1209" s="3" t="str">
        <x:v>B06</x:v>
      </x:c>
      <x:c r="E1209" s="3" t="str">
        <x:f>IF(Z1209="移出","已移出",IF(NOT(ISNUMBER(H1209)),"数据待核",IF(H1209=0,"断货",IF(NOT(ISNUMBER(G1209)),"数据待核",IF(G1209=0,"零日销待复核",IF(F1209&lt;60,"补货提醒",IF(F1209&lt;=90,"正常库存",IF(F1209&lt;180,"促销",IF(F1209&lt;=365,"红线促销","考虑清仓")))))))))</x:f>
        <x:v>补货提醒</x:v>
      </x:c>
      <x:c r="F1209" s="11" t="n">
        <x:f>IF(AND(ISNUMBER(H1209),ISNUMBER(G1209),G1209&gt;0),H1209/G1209,"")</x:f>
        <x:v>38.0246913580247</x:v>
      </x:c>
      <x:c r="G1209" s="12" t="n">
        <x:f>IF(AND(COUNT(P1209:R1209)=3,MIN(P1209:R1209)&gt;=0,P1209&lt;=Q1209,Q1209&lt;=R1209),P1209/7*0.5+Q1209/14*0.3+R1209/30*0.2,"")</x:f>
        <x:v>0.5785714285714285</x:v>
      </x:c>
      <x:c r="H1209" s="10" t="n">
        <x:f>IF(ISNUMBER(U1209),U1209,"")</x:f>
        <x:v>22</x:v>
      </x:c>
      <x:c r="I1209" s="10" t="n">
        <x:v>30</x:v>
      </x:c>
      <x:c r="J1209" s="11" t="n">
        <x:f>IF(AND(Z1209="共同",ISNUMBER(F1209),ISNUMBER(M1209)),F1209-M1209,"")</x:f>
        <x:v>-21.074745790192935</x:v>
      </x:c>
      <x:c r="K1209" s="13" t="n">
        <x:f>IF(AND(ISNUMBER(J1209),M1209&lt;&gt;0),J1209/M1209,"")</x:f>
        <x:v>-0.3565980795610424</x:v>
      </x:c>
      <x:c r="L1209" s="10" t="str">
        <x:v>补货提醒</x:v>
      </x:c>
      <x:c r="M1209" s="11" t="n">
        <x:v>59.09943714821763</x:v>
      </x:c>
      <x:c r="N1209" s="10" t="n">
        <x:f>IF(AND(Z1209="共同",COUNT(H1209:I1209)=2),H1209-I1209,"")</x:f>
        <x:v>-8</x:v>
      </x:c>
      <x:c r="O1209" s="10" t="n">
        <x:v>0</x:v>
      </x:c>
      <x:c r="P1209" s="10" t="n">
        <x:v>4</x:v>
      </x:c>
      <x:c r="Q1209" s="10" t="n">
        <x:v>9</x:v>
      </x:c>
      <x:c r="R1209" s="10" t="n">
        <x:v>15</x:v>
      </x:c>
      <x:c r="S1209" s="10" t="n">
        <x:v>24</x:v>
      </x:c>
      <x:c r="T1209" s="10" t="n">
        <x:v>1</x:v>
      </x:c>
      <x:c r="U1209" s="10" t="n">
        <x:f>IF(AND(ISNUMBER(X1209),X1209&gt;=0,Y1209&lt;&gt;1),X1209,"")</x:f>
        <x:v>22</x:v>
      </x:c>
      <x:c r="V1209" s="10" t="n">
        <x:v>0</x:v>
      </x:c>
      <x:c r="W1209" s="10" t="n">
        <x:v>28</x:v>
      </x:c>
      <x:c r="X1209" s="10" t="n">
        <x:v>22</x:v>
      </x:c>
      <x:c r="Y1209" s="3" t="n">
        <x:v>0</x:v>
      </x:c>
      <x:c r="Z1209" s="3" t="str">
        <x:v>共同</x:v>
      </x:c>
      <x:c r="AA1209" s="3" t="str">
        <x:v>在售</x:v>
      </x:c>
      <x:c r="AB1209" s="12" t="n">
        <x:f>IF(AND(Z1209="共同",ISNUMBER(G1209),ISNUMBER(AD1209)),G1209-AD1209,"")</x:f>
        <x:v>0.07095238095238088</x:v>
      </x:c>
      <x:c r="AC1209" s="3" t="str"/>
      <x:c r="AD1209" s="12" t="n">
        <x:v>0.5076190476190476</x:v>
      </x:c>
      <x:c r="AE1209" s="3" t="str">
        <x:v>[13120,"B06-TN-39-N"]</x:v>
      </x:c>
      <x:c r="AF1209" t="n">
        <x:f>IF(ISNUMBER(H1209),1,0)</x:f>
        <x:v>1</x:v>
      </x:c>
      <x:c r="AG1209" t="n">
        <x:f>IF(ISNUMBER(I1209),1,0)</x:f>
        <x:v>1</x:v>
      </x:c>
      <x:c r="AH1209" t="str">
        <x:v>["B06","B06-TN","TN","驼色羊京绒"]</x:v>
      </x:c>
      <x:c r="AI1209" t="n">
        <x:f>IF(ISNUMBER(G1209),1,0)</x:f>
        <x:v>1</x:v>
      </x:c>
      <x:c r="AJ1209" t="n">
        <x:f>IF(ISNUMBER(AD1209),1,0)</x:f>
        <x:v>1</x:v>
      </x:c>
    </x:row>
    <x:row r="1210" ht="30" customHeight="1">
      <x:c r="A1210" s="3" t="str">
        <x:v>B06-TN-41-N</x:v>
      </x:c>
      <x:c r="B1210" s="3" t="str">
        <x:v>1店-MUSSHOE-US</x:v>
      </x:c>
      <x:c r="C1210" s="3" t="str">
        <x:v>艾年</x:v>
      </x:c>
      <x:c r="D1210" s="3" t="str">
        <x:v>B06</x:v>
      </x:c>
      <x:c r="E1210" s="3" t="str">
        <x:f>IF(Z1210="移出","已移出",IF(NOT(ISNUMBER(H1210)),"数据待核",IF(H1210=0,"断货",IF(NOT(ISNUMBER(G1210)),"数据待核",IF(G1210=0,"零日销待复核",IF(F1210&lt;60,"补货提醒",IF(F1210&lt;=90,"正常库存",IF(F1210&lt;180,"促销",IF(F1210&lt;=365,"红线促销","考虑清仓")))))))))</x:f>
        <x:v>补货提醒</x:v>
      </x:c>
      <x:c r="F1210" s="11" t="n">
        <x:f>IF(AND(ISNUMBER(H1210),ISNUMBER(G1210),G1210&gt;0),H1210/G1210,"")</x:f>
        <x:v>18.59778597785978</x:v>
      </x:c>
      <x:c r="G1210" s="12" t="n">
        <x:f>IF(AND(COUNT(P1210:R1210)=3,MIN(P1210:R1210)&gt;=0,P1210&lt;=Q1210,Q1210&lt;=R1210),P1210/7*0.5+Q1210/14*0.3+R1210/30*0.2,"")</x:f>
        <x:v>0.6452380952380952</x:v>
      </x:c>
      <x:c r="H1210" s="10" t="n">
        <x:f>IF(ISNUMBER(U1210),U1210,"")</x:f>
        <x:v>12</x:v>
      </x:c>
      <x:c r="I1210" s="10" t="n">
        <x:v>15</x:v>
      </x:c>
      <x:c r="J1210" s="11" t="n">
        <x:f>IF(AND(Z1210="共同",ISNUMBER(F1210),ISNUMBER(M1210)),F1210-M1210,"")</x:f>
        <x:v>-70.13460838833743</x:v>
      </x:c>
      <x:c r="K1210" s="13" t="n">
        <x:f>IF(AND(ISNUMBER(J1210),M1210&lt;&gt;0),J1210/M1210,"")</x:f>
        <x:v>-0.7904059040590407</x:v>
      </x:c>
      <x:c r="L1210" s="10" t="str">
        <x:v>正常库存</x:v>
      </x:c>
      <x:c r="M1210" s="11" t="n">
        <x:v>88.7323943661972</x:v>
      </x:c>
      <x:c r="N1210" s="10" t="n">
        <x:f>IF(AND(Z1210="共同",COUNT(H1210:I1210)=2),H1210-I1210,"")</x:f>
        <x:v>-3</x:v>
      </x:c>
      <x:c r="O1210" s="10" t="n">
        <x:v>28</x:v>
      </x:c>
      <x:c r="P1210" s="10" t="n">
        <x:v>6</x:v>
      </x:c>
      <x:c r="Q1210" s="10" t="n">
        <x:v>7</x:v>
      </x:c>
      <x:c r="R1210" s="10" t="n">
        <x:v>10</x:v>
      </x:c>
      <x:c r="S1210" s="10" t="n">
        <x:v>14</x:v>
      </x:c>
      <x:c r="T1210" s="10" t="n">
        <x:v>0</x:v>
      </x:c>
      <x:c r="U1210" s="10" t="n">
        <x:f>IF(AND(ISNUMBER(X1210),X1210&gt;=0,Y1210&lt;&gt;1),X1210,"")</x:f>
        <x:v>12</x:v>
      </x:c>
      <x:c r="V1210" s="10" t="n">
        <x:v>0</x:v>
      </x:c>
      <x:c r="W1210" s="10" t="n">
        <x:v>6</x:v>
      </x:c>
      <x:c r="X1210" s="10" t="n">
        <x:v>12</x:v>
      </x:c>
      <x:c r="Y1210" s="3" t="n">
        <x:v>0</x:v>
      </x:c>
      <x:c r="Z1210" s="3" t="str">
        <x:v>共同</x:v>
      </x:c>
      <x:c r="AA1210" s="3" t="str">
        <x:v>在售</x:v>
      </x:c>
      <x:c r="AB1210" s="12" t="n">
        <x:f>IF(AND(Z1210="共同",ISNUMBER(G1210),ISNUMBER(AD1210)),G1210-AD1210,"")</x:f>
        <x:v>0.47619047619047616</x:v>
      </x:c>
      <x:c r="AC1210" s="3" t="str"/>
      <x:c r="AD1210" s="12" t="n">
        <x:v>0.16904761904761903</x:v>
      </x:c>
      <x:c r="AE1210" s="3" t="str">
        <x:v>[13120,"B06-TN-41-N"]</x:v>
      </x:c>
      <x:c r="AF1210" t="n">
        <x:f>IF(ISNUMBER(H1210),1,0)</x:f>
        <x:v>1</x:v>
      </x:c>
      <x:c r="AG1210" t="n">
        <x:f>IF(ISNUMBER(I1210),1,0)</x:f>
        <x:v>1</x:v>
      </x:c>
      <x:c r="AH1210" t="str">
        <x:v>["B06","B06-TN","TN","驼色羊京绒"]</x:v>
      </x:c>
      <x:c r="AI1210" t="n">
        <x:f>IF(ISNUMBER(G1210),1,0)</x:f>
        <x:v>1</x:v>
      </x:c>
      <x:c r="AJ1210" t="n">
        <x:f>IF(ISNUMBER(AD1210),1,0)</x:f>
        <x:v>1</x:v>
      </x:c>
    </x:row>
    <x:row r="1211" ht="30" customHeight="1">
      <x:c r="A1211" s="3" t="str">
        <x:v>B06b-BK-37</x:v>
      </x:c>
      <x:c r="B1211" s="3" t="str">
        <x:v>1店-MUSSHOE-US</x:v>
      </x:c>
      <x:c r="C1211" s="3" t="str">
        <x:v>艾年</x:v>
      </x:c>
      <x:c r="D1211" s="3" t="str">
        <x:v>B06b</x:v>
      </x:c>
      <x:c r="E1211" s="3" t="str">
        <x:f>IF(Z1211="移出","已移出",IF(NOT(ISNUMBER(H1211)),"数据待核",IF(H1211=0,"断货",IF(NOT(ISNUMBER(G1211)),"数据待核",IF(G1211=0,"零日销待复核",IF(F1211&lt;60,"补货提醒",IF(F1211&lt;=90,"正常库存",IF(F1211&lt;180,"促销",IF(F1211&lt;=365,"红线促销","考虑清仓")))))))))</x:f>
        <x:v>补货提醒</x:v>
      </x:c>
      <x:c r="F1211" s="11" t="n">
        <x:f>IF(AND(ISNUMBER(H1211),ISNUMBER(G1211),G1211&gt;0),H1211/G1211,"")</x:f>
        <x:v>20.477815699658702</x:v>
      </x:c>
      <x:c r="G1211" s="12" t="n">
        <x:f>IF(AND(COUNT(P1211:R1211)=3,MIN(P1211:R1211)&gt;=0,P1211&lt;=Q1211,Q1211&lt;=R1211),P1211/7*0.5+Q1211/14*0.3+R1211/30*0.2,"")</x:f>
        <x:v>0.9766666666666667</x:v>
      </x:c>
      <x:c r="H1211" s="10" t="n">
        <x:f>IF(ISNUMBER(U1211),U1211,"")</x:f>
        <x:v>20</x:v>
      </x:c>
      <x:c r="I1211" s="10" t="n">
        <x:v>34</x:v>
      </x:c>
      <x:c r="J1211" s="11" t="n">
        <x:f>IF(AND(Z1211="共同",ISNUMBER(F1211),ISNUMBER(M1211)),F1211-M1211,"")</x:f>
        <x:v>-58.94376383315553</x:v>
      </x:c>
      <x:c r="K1211" s="13" t="n">
        <x:f>IF(AND(ISNUMBER(J1211),M1211&lt;&gt;0),J1211/M1211,"")</x:f>
        <x:v>-0.7421630768348294</x:v>
      </x:c>
      <x:c r="L1211" s="10" t="str">
        <x:v>正常库存</x:v>
      </x:c>
      <x:c r="M1211" s="11" t="n">
        <x:v>79.42157953281423</x:v>
      </x:c>
      <x:c r="N1211" s="10" t="n">
        <x:f>IF(AND(Z1211="共同",COUNT(H1211:I1211)=2),H1211-I1211,"")</x:f>
        <x:v>-14</x:v>
      </x:c>
      <x:c r="O1211" s="10" t="n">
        <x:v>153</x:v>
      </x:c>
      <x:c r="P1211" s="10" t="n">
        <x:v>8</x:v>
      </x:c>
      <x:c r="Q1211" s="10" t="n">
        <x:v>13</x:v>
      </x:c>
      <x:c r="R1211" s="10" t="n">
        <x:v>19</x:v>
      </x:c>
      <x:c r="S1211" s="10" t="n">
        <x:v>24</x:v>
      </x:c>
      <x:c r="T1211" s="10" t="n">
        <x:v>1</x:v>
      </x:c>
      <x:c r="U1211" s="10" t="n">
        <x:f>IF(AND(ISNUMBER(X1211),X1211&gt;=0,Y1211&lt;&gt;1),X1211,"")</x:f>
        <x:v>20</x:v>
      </x:c>
      <x:c r="V1211" s="10" t="n">
        <x:v>0</x:v>
      </x:c>
      <x:c r="W1211" s="10" t="n">
        <x:v>20</x:v>
      </x:c>
      <x:c r="X1211" s="10" t="n">
        <x:v>20</x:v>
      </x:c>
      <x:c r="Y1211" s="3" t="n">
        <x:v>0</x:v>
      </x:c>
      <x:c r="Z1211" s="3" t="str">
        <x:v>共同</x:v>
      </x:c>
      <x:c r="AA1211" s="3" t="str">
        <x:v>在售</x:v>
      </x:c>
      <x:c r="AB1211" s="12" t="n">
        <x:f>IF(AND(Z1211="共同",ISNUMBER(G1211),ISNUMBER(AD1211)),G1211-AD1211,"")</x:f>
        <x:v>0.5485714285714286</x:v>
      </x:c>
      <x:c r="AC1211" s="3" t="str"/>
      <x:c r="AD1211" s="12" t="n">
        <x:v>0.4280952380952381</x:v>
      </x:c>
      <x:c r="AE1211" s="3" t="str">
        <x:v>[13120,"B06b-BK-37"]</x:v>
      </x:c>
      <x:c r="AF1211" t="n">
        <x:f>IF(ISNUMBER(H1211),1,0)</x:f>
        <x:v>1</x:v>
      </x:c>
      <x:c r="AG1211" t="n">
        <x:f>IF(ISNUMBER(I1211),1,0)</x:f>
        <x:v>1</x:v>
      </x:c>
      <x:c r="AH1211" t="str">
        <x:v>["B06b","B06b-BK","BK","黑色羊京绒"]</x:v>
      </x:c>
      <x:c r="AI1211" t="n">
        <x:f>IF(ISNUMBER(G1211),1,0)</x:f>
        <x:v>1</x:v>
      </x:c>
      <x:c r="AJ1211" t="n">
        <x:f>IF(ISNUMBER(AD1211),1,0)</x:f>
        <x:v>1</x:v>
      </x:c>
    </x:row>
    <x:row r="1212" ht="30" customHeight="1">
      <x:c r="A1212" s="3" t="str">
        <x:v>B06b-BK-38</x:v>
      </x:c>
      <x:c r="B1212" s="3" t="str">
        <x:v>1店-MUSSHOE-US</x:v>
      </x:c>
      <x:c r="C1212" s="3" t="str">
        <x:v>艾年</x:v>
      </x:c>
      <x:c r="D1212" s="3" t="str">
        <x:v>B06b</x:v>
      </x:c>
      <x:c r="E1212" s="3" t="str">
        <x:f>IF(Z1212="移出","已移出",IF(NOT(ISNUMBER(H1212)),"数据待核",IF(H1212=0,"断货",IF(NOT(ISNUMBER(G1212)),"数据待核",IF(G1212=0,"零日销待复核",IF(F1212&lt;60,"补货提醒",IF(F1212&lt;=90,"正常库存",IF(F1212&lt;180,"促销",IF(F1212&lt;=365,"红线促销","考虑清仓")))))))))</x:f>
        <x:v>补货提醒</x:v>
      </x:c>
      <x:c r="F1212" s="11" t="n">
        <x:f>IF(AND(ISNUMBER(H1212),ISNUMBER(G1212),G1212&gt;0),H1212/G1212,"")</x:f>
        <x:v>3.1722054380664657</x:v>
      </x:c>
      <x:c r="G1212" s="12" t="n">
        <x:f>IF(AND(COUNT(P1212:R1212)=3,MIN(P1212:R1212)&gt;=0,P1212&lt;=Q1212,Q1212&lt;=R1212),P1212/7*0.5+Q1212/14*0.3+R1212/30*0.2,"")</x:f>
        <x:v>0.3152380952380952</x:v>
      </x:c>
      <x:c r="H1212" s="10" t="n">
        <x:f>IF(ISNUMBER(U1212),U1212,"")</x:f>
        <x:v>1</x:v>
      </x:c>
      <x:c r="I1212" s="10" t="n">
        <x:v>2</x:v>
      </x:c>
      <x:c r="J1212" s="11" t="n">
        <x:f>IF(AND(Z1212="共同",ISNUMBER(F1212),ISNUMBER(M1212)),F1212-M1212,"")</x:f>
        <x:v>-0.9015094018947369</x:v>
      </x:c>
      <x:c r="K1212" s="13" t="n">
        <x:f>IF(AND(ISNUMBER(J1212),M1212&lt;&gt;0),J1212/M1212,"")</x:f>
        <x:v>-0.221299093655589</x:v>
      </x:c>
      <x:c r="L1212" s="10" t="str">
        <x:v>补货提醒</x:v>
      </x:c>
      <x:c r="M1212" s="11" t="n">
        <x:v>4.073714839961203</x:v>
      </x:c>
      <x:c r="N1212" s="10" t="n">
        <x:f>IF(AND(Z1212="共同",COUNT(H1212:I1212)=2),H1212-I1212,"")</x:f>
        <x:v>-1</x:v>
      </x:c>
      <x:c r="O1212" s="10" t="n">
        <x:v>58</x:v>
      </x:c>
      <x:c r="P1212" s="10" t="n">
        <x:v>2</x:v>
      </x:c>
      <x:c r="Q1212" s="10" t="n">
        <x:v>4</x:v>
      </x:c>
      <x:c r="R1212" s="10" t="n">
        <x:v>13</x:v>
      </x:c>
      <x:c r="S1212" s="10" t="n">
        <x:v>1</x:v>
      </x:c>
      <x:c r="T1212" s="10" t="n">
        <x:v>0</x:v>
      </x:c>
      <x:c r="U1212" s="10" t="n">
        <x:f>IF(AND(ISNUMBER(X1212),X1212&gt;=0,Y1212&lt;&gt;1),X1212,"")</x:f>
        <x:v>1</x:v>
      </x:c>
      <x:c r="V1212" s="10" t="n">
        <x:v>0</x:v>
      </x:c>
      <x:c r="W1212" s="10" t="n">
        <x:v>60</x:v>
      </x:c>
      <x:c r="X1212" s="10" t="n">
        <x:v>1</x:v>
      </x:c>
      <x:c r="Y1212" s="3" t="n">
        <x:v>0</x:v>
      </x:c>
      <x:c r="Z1212" s="3" t="str">
        <x:v>共同</x:v>
      </x:c>
      <x:c r="AA1212" s="3" t="str">
        <x:v>在售</x:v>
      </x:c>
      <x:c r="AB1212" s="12" t="n">
        <x:f>IF(AND(Z1212="共同",ISNUMBER(G1212),ISNUMBER(AD1212)),G1212-AD1212,"")</x:f>
        <x:v>-0.17571428571428577</x:v>
      </x:c>
      <x:c r="AC1212" s="3" t="str"/>
      <x:c r="AD1212" s="12" t="n">
        <x:v>0.490952380952381</x:v>
      </x:c>
      <x:c r="AE1212" s="3" t="str">
        <x:v>[13120,"B06b-BK-38"]</x:v>
      </x:c>
      <x:c r="AF1212" t="n">
        <x:f>IF(ISNUMBER(H1212),1,0)</x:f>
        <x:v>1</x:v>
      </x:c>
      <x:c r="AG1212" t="n">
        <x:f>IF(ISNUMBER(I1212),1,0)</x:f>
        <x:v>1</x:v>
      </x:c>
      <x:c r="AH1212" t="str">
        <x:v>["B06b","B06b-BK","BK","黑色羊京绒"]</x:v>
      </x:c>
      <x:c r="AI1212" t="n">
        <x:f>IF(ISNUMBER(G1212),1,0)</x:f>
        <x:v>1</x:v>
      </x:c>
      <x:c r="AJ1212" t="n">
        <x:f>IF(ISNUMBER(AD1212),1,0)</x:f>
        <x:v>1</x:v>
      </x:c>
    </x:row>
    <x:row r="1213" ht="30" customHeight="1">
      <x:c r="A1213" s="3" t="str">
        <x:v>B06b-BK-38.5</x:v>
      </x:c>
      <x:c r="B1213" s="3" t="str">
        <x:v>1店-MUSSHOE-US</x:v>
      </x:c>
      <x:c r="C1213" s="3" t="str">
        <x:v>艾年</x:v>
      </x:c>
      <x:c r="D1213" s="3" t="str">
        <x:v>B06b</x:v>
      </x:c>
      <x:c r="E1213" s="3" t="str">
        <x:f>IF(Z1213="移出","已移出",IF(NOT(ISNUMBER(H1213)),"数据待核",IF(H1213=0,"断货",IF(NOT(ISNUMBER(G1213)),"数据待核",IF(G1213=0,"零日销待复核",IF(F1213&lt;60,"补货提醒",IF(F1213&lt;=90,"正常库存",IF(F1213&lt;180,"促销",IF(F1213&lt;=365,"红线促销","考虑清仓")))))))))</x:f>
        <x:v>补货提醒</x:v>
      </x:c>
      <x:c r="F1213" s="11" t="n">
        <x:f>IF(AND(ISNUMBER(H1213),ISNUMBER(G1213),G1213&gt;0),H1213/G1213,"")</x:f>
        <x:v>3.889917967716327</x:v>
      </x:c>
      <x:c r="G1213" s="12" t="n">
        <x:f>IF(AND(COUNT(P1213:R1213)=3,MIN(P1213:R1213)&gt;=0,P1213&lt;=Q1213,Q1213&lt;=R1213),P1213/7*0.5+Q1213/14*0.3+R1213/30*0.2,"")</x:f>
        <x:v>1.7995238095238095</x:v>
      </x:c>
      <x:c r="H1213" s="10" t="n">
        <x:f>IF(ISNUMBER(U1213),U1213,"")</x:f>
        <x:v>7</x:v>
      </x:c>
      <x:c r="I1213" s="10" t="n">
        <x:v>24</x:v>
      </x:c>
      <x:c r="J1213" s="11" t="n">
        <x:f>IF(AND(Z1213="共同",ISNUMBER(F1213),ISNUMBER(M1213)),F1213-M1213,"")</x:f>
        <x:v>-25.757140855813084</x:v>
      </x:c>
      <x:c r="K1213" s="13" t="n">
        <x:f>IF(AND(ISNUMBER(J1213),M1213&lt;&gt;0),J1213/M1213,"")</x:f>
        <x:v>-0.8687924495016318</x:v>
      </x:c>
      <x:c r="L1213" s="10" t="str">
        <x:v>补货提醒</x:v>
      </x:c>
      <x:c r="M1213" s="11" t="n">
        <x:v>29.647058823529413</x:v>
      </x:c>
      <x:c r="N1213" s="10" t="n">
        <x:f>IF(AND(Z1213="共同",COUNT(H1213:I1213)=2),H1213-I1213,"")</x:f>
        <x:v>-17</x:v>
      </x:c>
      <x:c r="O1213" s="10" t="n">
        <x:v>1</x:v>
      </x:c>
      <x:c r="P1213" s="10" t="n">
        <x:v>16</x:v>
      </x:c>
      <x:c r="Q1213" s="10" t="n">
        <x:v>21</x:v>
      </x:c>
      <x:c r="R1213" s="10" t="n">
        <x:v>31</x:v>
      </x:c>
      <x:c r="S1213" s="10" t="n">
        <x:v>10</x:v>
      </x:c>
      <x:c r="T1213" s="10" t="n">
        <x:v>0</x:v>
      </x:c>
      <x:c r="U1213" s="10" t="n">
        <x:f>IF(AND(ISNUMBER(X1213),X1213&gt;=0,Y1213&lt;&gt;1),X1213,"")</x:f>
        <x:v>7</x:v>
      </x:c>
      <x:c r="V1213" s="10" t="n">
        <x:v>0</x:v>
      </x:c>
      <x:c r="W1213" s="10" t="n">
        <x:v>92</x:v>
      </x:c>
      <x:c r="X1213" s="10" t="n">
        <x:v>7</x:v>
      </x:c>
      <x:c r="Y1213" s="3" t="n">
        <x:v>0</x:v>
      </x:c>
      <x:c r="Z1213" s="3" t="str">
        <x:v>共同</x:v>
      </x:c>
      <x:c r="AA1213" s="3" t="str">
        <x:v>在售</x:v>
      </x:c>
      <x:c r="AB1213" s="12" t="n">
        <x:f>IF(AND(Z1213="共同",ISNUMBER(G1213),ISNUMBER(AD1213)),G1213-AD1213,"")</x:f>
        <x:v>0.99</x:v>
      </x:c>
      <x:c r="AC1213" s="3" t="str"/>
      <x:c r="AD1213" s="12" t="n">
        <x:v>0.8095238095238095</x:v>
      </x:c>
      <x:c r="AE1213" s="3" t="str">
        <x:v>[13120,"B06b-BK-38.5"]</x:v>
      </x:c>
      <x:c r="AF1213" t="n">
        <x:f>IF(ISNUMBER(H1213),1,0)</x:f>
        <x:v>1</x:v>
      </x:c>
      <x:c r="AG1213" t="n">
        <x:f>IF(ISNUMBER(I1213),1,0)</x:f>
        <x:v>1</x:v>
      </x:c>
      <x:c r="AH1213" t="str">
        <x:v>["B06b","B06b-BK","BK","黑色羊京绒"]</x:v>
      </x:c>
      <x:c r="AI1213" t="n">
        <x:f>IF(ISNUMBER(G1213),1,0)</x:f>
        <x:v>1</x:v>
      </x:c>
      <x:c r="AJ1213" t="n">
        <x:f>IF(ISNUMBER(AD1213),1,0)</x:f>
        <x:v>1</x:v>
      </x:c>
    </x:row>
    <x:row r="1214" ht="30" customHeight="1">
      <x:c r="A1214" s="3" t="str">
        <x:v>B06b-BK-39</x:v>
      </x:c>
      <x:c r="B1214" s="3" t="str">
        <x:v>1店-MUSSHOE-US</x:v>
      </x:c>
      <x:c r="C1214" s="3" t="str">
        <x:v>艾年</x:v>
      </x:c>
      <x:c r="D1214" s="3" t="str">
        <x:v>B06b</x:v>
      </x:c>
      <x:c r="E1214" s="3" t="str">
        <x:f>IF(Z1214="移出","已移出",IF(NOT(ISNUMBER(H1214)),"数据待核",IF(H1214=0,"断货",IF(NOT(ISNUMBER(G1214)),"数据待核",IF(G1214=0,"零日销待复核",IF(F1214&lt;60,"补货提醒",IF(F1214&lt;=90,"正常库存",IF(F1214&lt;180,"促销",IF(F1214&lt;=365,"红线促销","考虑清仓")))))))))</x:f>
        <x:v>补货提醒</x:v>
      </x:c>
      <x:c r="F1214" s="11" t="n">
        <x:f>IF(AND(ISNUMBER(H1214),ISNUMBER(G1214),G1214&gt;0),H1214/G1214,"")</x:f>
        <x:v>20.539906103286388</x:v>
      </x:c>
      <x:c r="G1214" s="12" t="n">
        <x:f>IF(AND(COUNT(P1214:R1214)=3,MIN(P1214:R1214)&gt;=0,P1214&lt;=Q1214,Q1214&lt;=R1214),P1214/7*0.5+Q1214/14*0.3+R1214/30*0.2,"")</x:f>
        <x:v>2.434285714285714</x:v>
      </x:c>
      <x:c r="H1214" s="10" t="n">
        <x:f>IF(ISNUMBER(U1214),U1214,"")</x:f>
        <x:v>50</x:v>
      </x:c>
      <x:c r="I1214" s="10" t="n">
        <x:v>48</x:v>
      </x:c>
      <x:c r="J1214" s="11" t="n">
        <x:f>IF(AND(Z1214="共同",ISNUMBER(F1214),ISNUMBER(M1214)),F1214-M1214,"")</x:f>
        <x:v>-29.287083516090778</x:v>
      </x:c>
      <x:c r="K1214" s="13" t="n">
        <x:f>IF(AND(ISNUMBER(J1214),M1214&lt;&gt;0),J1214/M1214,"")</x:f>
        <x:v>-0.5877754955659885</x:v>
      </x:c>
      <x:c r="L1214" s="10" t="str">
        <x:v>补货提醒</x:v>
      </x:c>
      <x:c r="M1214" s="11" t="n">
        <x:v>49.826989619377166</x:v>
      </x:c>
      <x:c r="N1214" s="10" t="n">
        <x:f>IF(AND(Z1214="共同",COUNT(H1214:I1214)=2),H1214-I1214,"")</x:f>
        <x:v>2</x:v>
      </x:c>
      <x:c r="O1214" s="10" t="n">
        <x:v>230</x:v>
      </x:c>
      <x:c r="P1214" s="10" t="n">
        <x:v>20</x:v>
      </x:c>
      <x:c r="Q1214" s="10" t="n">
        <x:v>32</x:v>
      </x:c>
      <x:c r="R1214" s="10" t="n">
        <x:v>48</x:v>
      </x:c>
      <x:c r="S1214" s="10" t="n">
        <x:v>65</x:v>
      </x:c>
      <x:c r="T1214" s="10" t="n">
        <x:v>1</x:v>
      </x:c>
      <x:c r="U1214" s="10" t="n">
        <x:f>IF(AND(ISNUMBER(X1214),X1214&gt;=0,Y1214&lt;&gt;1),X1214,"")</x:f>
        <x:v>50</x:v>
      </x:c>
      <x:c r="V1214" s="10" t="n">
        <x:v>3</x:v>
      </x:c>
      <x:c r="W1214" s="10" t="n">
        <x:v>89</x:v>
      </x:c>
      <x:c r="X1214" s="10" t="n">
        <x:v>50</x:v>
      </x:c>
      <x:c r="Y1214" s="3" t="n">
        <x:v>0</x:v>
      </x:c>
      <x:c r="Z1214" s="3" t="str">
        <x:v>共同</x:v>
      </x:c>
      <x:c r="AA1214" s="3" t="str">
        <x:v>在售</x:v>
      </x:c>
      <x:c r="AB1214" s="12" t="n">
        <x:f>IF(AND(Z1214="共同",ISNUMBER(G1214),ISNUMBER(AD1214)),G1214-AD1214,"")</x:f>
        <x:v>1.4709523809523808</x:v>
      </x:c>
      <x:c r="AC1214" s="3" t="str"/>
      <x:c r="AD1214" s="12" t="n">
        <x:v>0.9633333333333333</x:v>
      </x:c>
      <x:c r="AE1214" s="3" t="str">
        <x:v>[13120,"B06b-BK-39"]</x:v>
      </x:c>
      <x:c r="AF1214" t="n">
        <x:f>IF(ISNUMBER(H1214),1,0)</x:f>
        <x:v>1</x:v>
      </x:c>
      <x:c r="AG1214" t="n">
        <x:f>IF(ISNUMBER(I1214),1,0)</x:f>
        <x:v>1</x:v>
      </x:c>
      <x:c r="AH1214" t="str">
        <x:v>["B06b","B06b-BK","BK","黑色羊京绒"]</x:v>
      </x:c>
      <x:c r="AI1214" t="n">
        <x:f>IF(ISNUMBER(G1214),1,0)</x:f>
        <x:v>1</x:v>
      </x:c>
      <x:c r="AJ1214" t="n">
        <x:f>IF(ISNUMBER(AD1214),1,0)</x:f>
        <x:v>1</x:v>
      </x:c>
    </x:row>
    <x:row r="1215" ht="30" customHeight="1">
      <x:c r="A1215" s="3" t="str">
        <x:v>B06b-BK-39.5</x:v>
      </x:c>
      <x:c r="B1215" s="3" t="str">
        <x:v>1店-MUSSHOE-US</x:v>
      </x:c>
      <x:c r="C1215" s="3" t="str">
        <x:v>艾年</x:v>
      </x:c>
      <x:c r="D1215" s="3" t="str">
        <x:v>B06b</x:v>
      </x:c>
      <x:c r="E1215" s="3" t="str">
        <x:f>IF(Z1215="移出","已移出",IF(NOT(ISNUMBER(H1215)),"数据待核",IF(H1215=0,"断货",IF(NOT(ISNUMBER(G1215)),"数据待核",IF(G1215=0,"零日销待复核",IF(F1215&lt;60,"补货提醒",IF(F1215&lt;=90,"正常库存",IF(F1215&lt;180,"促销",IF(F1215&lt;=365,"红线促销","考虑清仓")))))))))</x:f>
        <x:v>补货提醒</x:v>
      </x:c>
      <x:c r="F1215" s="11" t="n">
        <x:f>IF(AND(ISNUMBER(H1215),ISNUMBER(G1215),G1215&gt;0),H1215/G1215,"")</x:f>
        <x:v>44.576627011896434</x:v>
      </x:c>
      <x:c r="G1215" s="12" t="n">
        <x:f>IF(AND(COUNT(P1215:R1215)=3,MIN(P1215:R1215)&gt;=0,P1215&lt;=Q1215,Q1215&lt;=R1215),P1215/7*0.5+Q1215/14*0.3+R1215/30*0.2,"")</x:f>
        <x:v>2.0414285714285714</x:v>
      </x:c>
      <x:c r="H1215" s="10" t="n">
        <x:f>IF(ISNUMBER(U1215),U1215,"")</x:f>
        <x:v>91</x:v>
      </x:c>
      <x:c r="I1215" s="10" t="n">
        <x:v>64</x:v>
      </x:c>
      <x:c r="J1215" s="11" t="n">
        <x:f>IF(AND(Z1215="共同",ISNUMBER(F1215),ISNUMBER(M1215)),F1215-M1215,"")</x:f>
        <x:v>0.6694071491064975</x:v>
      </x:c>
      <x:c r="K1215" s="13" t="n">
        <x:f>IF(AND(ISNUMBER(J1215),M1215&lt;&gt;0),J1215/M1215,"")</x:f>
        <x:v>0.015245947049218667</x:v>
      </x:c>
      <x:c r="L1215" s="10" t="str">
        <x:v>补货提醒</x:v>
      </x:c>
      <x:c r="M1215" s="11" t="n">
        <x:v>43.90721986278994</x:v>
      </x:c>
      <x:c r="N1215" s="10" t="n">
        <x:f>IF(AND(Z1215="共同",COUNT(H1215:I1215)=2),H1215-I1215,"")</x:f>
        <x:v>27</x:v>
      </x:c>
      <x:c r="O1215" s="10" t="n">
        <x:v>67</x:v>
      </x:c>
      <x:c r="P1215" s="10" t="n">
        <x:v>16</x:v>
      </x:c>
      <x:c r="Q1215" s="10" t="n">
        <x:v>27</x:v>
      </x:c>
      <x:c r="R1215" s="10" t="n">
        <x:v>48</x:v>
      </x:c>
      <x:c r="S1215" s="10" t="n">
        <x:v>95</x:v>
      </x:c>
      <x:c r="T1215" s="10" t="n">
        <x:v>2</x:v>
      </x:c>
      <x:c r="U1215" s="10" t="n">
        <x:f>IF(AND(ISNUMBER(X1215),X1215&gt;=0,Y1215&lt;&gt;1),X1215,"")</x:f>
        <x:v>91</x:v>
      </x:c>
      <x:c r="V1215" s="10" t="n">
        <x:v>10</x:v>
      </x:c>
      <x:c r="W1215" s="10" t="n">
        <x:v>69</x:v>
      </x:c>
      <x:c r="X1215" s="10" t="n">
        <x:v>91</x:v>
      </x:c>
      <x:c r="Y1215" s="3" t="n">
        <x:v>0</x:v>
      </x:c>
      <x:c r="Z1215" s="3" t="str">
        <x:v>共同</x:v>
      </x:c>
      <x:c r="AA1215" s="3" t="str">
        <x:v>在售</x:v>
      </x:c>
      <x:c r="AB1215" s="12" t="n">
        <x:f>IF(AND(Z1215="共同",ISNUMBER(G1215),ISNUMBER(AD1215)),G1215-AD1215,"")</x:f>
        <x:v>0.5838095238095238</x:v>
      </x:c>
      <x:c r="AC1215" s="3" t="str"/>
      <x:c r="AD1215" s="12" t="n">
        <x:v>1.4576190476190476</x:v>
      </x:c>
      <x:c r="AE1215" s="3" t="str">
        <x:v>[13120,"B06b-BK-39.5"]</x:v>
      </x:c>
      <x:c r="AF1215" t="n">
        <x:f>IF(ISNUMBER(H1215),1,0)</x:f>
        <x:v>1</x:v>
      </x:c>
      <x:c r="AG1215" t="n">
        <x:f>IF(ISNUMBER(I1215),1,0)</x:f>
        <x:v>1</x:v>
      </x:c>
      <x:c r="AH1215" t="str">
        <x:v>["B06b","B06b-BK","BK","黑色羊京绒"]</x:v>
      </x:c>
      <x:c r="AI1215" t="n">
        <x:f>IF(ISNUMBER(G1215),1,0)</x:f>
        <x:v>1</x:v>
      </x:c>
      <x:c r="AJ1215" t="n">
        <x:f>IF(ISNUMBER(AD1215),1,0)</x:f>
        <x:v>1</x:v>
      </x:c>
    </x:row>
    <x:row r="1216" ht="30" customHeight="1">
      <x:c r="A1216" s="3" t="str">
        <x:v>B06b-BK-40</x:v>
      </x:c>
      <x:c r="B1216" s="3" t="str">
        <x:v>1店-MUSSHOE-US</x:v>
      </x:c>
      <x:c r="C1216" s="3" t="str">
        <x:v>艾年</x:v>
      </x:c>
      <x:c r="D1216" s="3" t="str">
        <x:v>B06b</x:v>
      </x:c>
      <x:c r="E1216" s="3" t="str">
        <x:f>IF(Z1216="移出","已移出",IF(NOT(ISNUMBER(H1216)),"数据待核",IF(H1216=0,"断货",IF(NOT(ISNUMBER(G1216)),"数据待核",IF(G1216=0,"零日销待复核",IF(F1216&lt;60,"补货提醒",IF(F1216&lt;=90,"正常库存",IF(F1216&lt;180,"促销",IF(F1216&lt;=365,"红线促销","考虑清仓")))))))))</x:f>
        <x:v>补货提醒</x:v>
      </x:c>
      <x:c r="F1216" s="11" t="n">
        <x:f>IF(AND(ISNUMBER(H1216),ISNUMBER(G1216),G1216&gt;0),H1216/G1216,"")</x:f>
        <x:v>20.116822429906545</x:v>
      </x:c>
      <x:c r="G1216" s="12" t="n">
        <x:f>IF(AND(COUNT(P1216:R1216)=3,MIN(P1216:R1216)&gt;=0,P1216&lt;=Q1216,Q1216&lt;=R1216),P1216/7*0.5+Q1216/14*0.3+R1216/30*0.2,"")</x:f>
        <x:v>2.038095238095238</x:v>
      </x:c>
      <x:c r="H1216" s="10" t="n">
        <x:f>IF(ISNUMBER(U1216),U1216,"")</x:f>
        <x:v>41</x:v>
      </x:c>
      <x:c r="I1216" s="10" t="n">
        <x:v>46</x:v>
      </x:c>
      <x:c r="J1216" s="11" t="n">
        <x:f>IF(AND(Z1216="共同",ISNUMBER(F1216),ISNUMBER(M1216)),F1216-M1216,"")</x:f>
        <x:v>-66.59771976039866</x:v>
      </x:c>
      <x:c r="K1216" s="13" t="n">
        <x:f>IF(AND(ISNUMBER(J1216),M1216&lt;&gt;0),J1216/M1216,"")</x:f>
        <x:v>-0.768010971149939</x:v>
      </x:c>
      <x:c r="L1216" s="10" t="str">
        <x:v>正常库存</x:v>
      </x:c>
      <x:c r="M1216" s="11" t="n">
        <x:v>86.71454219030521</x:v>
      </x:c>
      <x:c r="N1216" s="10" t="n">
        <x:f>IF(AND(Z1216="共同",COUNT(H1216:I1216)=2),H1216-I1216,"")</x:f>
        <x:v>-5</x:v>
      </x:c>
      <x:c r="O1216" s="10" t="n">
        <x:v>4</x:v>
      </x:c>
      <x:c r="P1216" s="10" t="n">
        <x:v>17</x:v>
      </x:c>
      <x:c r="Q1216" s="10" t="n">
        <x:v>26</x:v>
      </x:c>
      <x:c r="R1216" s="10" t="n">
        <x:v>40</x:v>
      </x:c>
      <x:c r="S1216" s="10" t="n">
        <x:v>49</x:v>
      </x:c>
      <x:c r="T1216" s="10" t="n">
        <x:v>3</x:v>
      </x:c>
      <x:c r="U1216" s="10" t="n">
        <x:f>IF(AND(ISNUMBER(X1216),X1216&gt;=0,Y1216&lt;&gt;1),X1216,"")</x:f>
        <x:v>41</x:v>
      </x:c>
      <x:c r="V1216" s="10" t="n">
        <x:v>0</x:v>
      </x:c>
      <x:c r="W1216" s="10" t="n">
        <x:v>7</x:v>
      </x:c>
      <x:c r="X1216" s="10" t="n">
        <x:v>41</x:v>
      </x:c>
      <x:c r="Y1216" s="3" t="n">
        <x:v>0</x:v>
      </x:c>
      <x:c r="Z1216" s="3" t="str">
        <x:v>共同</x:v>
      </x:c>
      <x:c r="AA1216" s="3" t="str">
        <x:v>在售</x:v>
      </x:c>
      <x:c r="AB1216" s="12" t="n">
        <x:f>IF(AND(Z1216="共同",ISNUMBER(G1216),ISNUMBER(AD1216)),G1216-AD1216,"")</x:f>
        <x:v>1.5076190476190474</x:v>
      </x:c>
      <x:c r="AC1216" s="3" t="str"/>
      <x:c r="AD1216" s="12" t="n">
        <x:v>0.5304761904761904</x:v>
      </x:c>
      <x:c r="AE1216" s="3" t="str">
        <x:v>[13120,"B06b-BK-40"]</x:v>
      </x:c>
      <x:c r="AF1216" t="n">
        <x:f>IF(ISNUMBER(H1216),1,0)</x:f>
        <x:v>1</x:v>
      </x:c>
      <x:c r="AG1216" t="n">
        <x:f>IF(ISNUMBER(I1216),1,0)</x:f>
        <x:v>1</x:v>
      </x:c>
      <x:c r="AH1216" t="str">
        <x:v>["B06b","B06b-BK","BK","黑色羊京绒"]</x:v>
      </x:c>
      <x:c r="AI1216" t="n">
        <x:f>IF(ISNUMBER(G1216),1,0)</x:f>
        <x:v>1</x:v>
      </x:c>
      <x:c r="AJ1216" t="n">
        <x:f>IF(ISNUMBER(AD1216),1,0)</x:f>
        <x:v>1</x:v>
      </x:c>
    </x:row>
    <x:row r="1217" ht="30" customHeight="1">
      <x:c r="A1217" s="3" t="str">
        <x:v>B06b-BK-40.5</x:v>
      </x:c>
      <x:c r="B1217" s="3" t="str">
        <x:v>1店-MUSSHOE-US</x:v>
      </x:c>
      <x:c r="C1217" s="3" t="str">
        <x:v>艾年</x:v>
      </x:c>
      <x:c r="D1217" s="3" t="str">
        <x:v>B06b</x:v>
      </x:c>
      <x:c r="E1217" s="3" t="str">
        <x:f>IF(Z1217="移出","已移出",IF(NOT(ISNUMBER(H1217)),"数据待核",IF(H1217=0,"断货",IF(NOT(ISNUMBER(G1217)),"数据待核",IF(G1217=0,"零日销待复核",IF(F1217&lt;60,"补货提醒",IF(F1217&lt;=90,"正常库存",IF(F1217&lt;180,"促销",IF(F1217&lt;=365,"红线促销","考虑清仓")))))))))</x:f>
        <x:v>补货提醒</x:v>
      </x:c>
      <x:c r="F1217" s="11" t="n">
        <x:f>IF(AND(ISNUMBER(H1217),ISNUMBER(G1217),G1217&gt;0),H1217/G1217,"")</x:f>
        <x:v>35.55555555555556</x:v>
      </x:c>
      <x:c r="G1217" s="12" t="n">
        <x:f>IF(AND(COUNT(P1217:R1217)=3,MIN(P1217:R1217)&gt;=0,P1217&lt;=Q1217,Q1217&lt;=R1217),P1217/7*0.5+Q1217/14*0.3+R1217/30*0.2,"")</x:f>
        <x:v>1.3499999999999999</x:v>
      </x:c>
      <x:c r="H1217" s="10" t="n">
        <x:f>IF(ISNUMBER(U1217),U1217,"")</x:f>
        <x:v>48</x:v>
      </x:c>
      <x:c r="I1217" s="10" t="n">
        <x:v>36</x:v>
      </x:c>
      <x:c r="J1217" s="11" t="n">
        <x:f>IF(AND(Z1217="共同",ISNUMBER(F1217),ISNUMBER(M1217)),F1217-M1217,"")</x:f>
        <x:v>-17.385620915032682</x:v>
      </x:c>
      <x:c r="K1217" s="13" t="n">
        <x:f>IF(AND(ISNUMBER(J1217),M1217&lt;&gt;0),J1217/M1217,"")</x:f>
        <x:v>-0.32839506172839505</x:v>
      </x:c>
      <x:c r="L1217" s="10" t="str">
        <x:v>补货提醒</x:v>
      </x:c>
      <x:c r="M1217" s="11" t="n">
        <x:v>52.94117647058824</x:v>
      </x:c>
      <x:c r="N1217" s="10" t="n">
        <x:f>IF(AND(Z1217="共同",COUNT(H1217:I1217)=2),H1217-I1217,"")</x:f>
        <x:v>12</x:v>
      </x:c>
      <x:c r="O1217" s="10" t="n">
        <x:v>0</x:v>
      </x:c>
      <x:c r="P1217" s="10" t="n">
        <x:v>11</x:v>
      </x:c>
      <x:c r="Q1217" s="10" t="n">
        <x:v>17</x:v>
      </x:c>
      <x:c r="R1217" s="10" t="n">
        <x:v>30</x:v>
      </x:c>
      <x:c r="S1217" s="10" t="n">
        <x:v>56</x:v>
      </x:c>
      <x:c r="T1217" s="10" t="n">
        <x:v>2</x:v>
      </x:c>
      <x:c r="U1217" s="10" t="n">
        <x:f>IF(AND(ISNUMBER(X1217),X1217&gt;=0,Y1217&lt;&gt;1),X1217,"")</x:f>
        <x:v>48</x:v>
      </x:c>
      <x:c r="V1217" s="10" t="n">
        <x:v>2</x:v>
      </x:c>
      <x:c r="W1217" s="10" t="n">
        <x:v>8</x:v>
      </x:c>
      <x:c r="X1217" s="10" t="n">
        <x:v>48</x:v>
      </x:c>
      <x:c r="Y1217" s="3" t="n">
        <x:v>0</x:v>
      </x:c>
      <x:c r="Z1217" s="3" t="str">
        <x:v>共同</x:v>
      </x:c>
      <x:c r="AA1217" s="3" t="str">
        <x:v>在售</x:v>
      </x:c>
      <x:c r="AB1217" s="12" t="n">
        <x:f>IF(AND(Z1217="共同",ISNUMBER(G1217),ISNUMBER(AD1217)),G1217-AD1217,"")</x:f>
        <x:v>0.6699999999999999</x:v>
      </x:c>
      <x:c r="AC1217" s="3" t="str"/>
      <x:c r="AD1217" s="12" t="n">
        <x:v>0.6799999999999999</x:v>
      </x:c>
      <x:c r="AE1217" s="3" t="str">
        <x:v>[13120,"B06b-BK-40.5"]</x:v>
      </x:c>
      <x:c r="AF1217" t="n">
        <x:f>IF(ISNUMBER(H1217),1,0)</x:f>
        <x:v>1</x:v>
      </x:c>
      <x:c r="AG1217" t="n">
        <x:f>IF(ISNUMBER(I1217),1,0)</x:f>
        <x:v>1</x:v>
      </x:c>
      <x:c r="AH1217" t="str">
        <x:v>["B06b","B06b-BK","BK","黑色羊京绒"]</x:v>
      </x:c>
      <x:c r="AI1217" t="n">
        <x:f>IF(ISNUMBER(G1217),1,0)</x:f>
        <x:v>1</x:v>
      </x:c>
      <x:c r="AJ1217" t="n">
        <x:f>IF(ISNUMBER(AD1217),1,0)</x:f>
        <x:v>1</x:v>
      </x:c>
    </x:row>
    <x:row r="1218" ht="30" customHeight="1">
      <x:c r="A1218" s="3" t="str">
        <x:v>B06b-BK-41</x:v>
      </x:c>
      <x:c r="B1218" s="3" t="str">
        <x:v>1店-MUSSHOE-US</x:v>
      </x:c>
      <x:c r="C1218" s="3" t="str">
        <x:v>艾年</x:v>
      </x:c>
      <x:c r="D1218" s="3" t="str">
        <x:v>B06b</x:v>
      </x:c>
      <x:c r="E1218" s="3" t="str">
        <x:f>IF(Z1218="移出","已移出",IF(NOT(ISNUMBER(H1218)),"数据待核",IF(H1218=0,"断货",IF(NOT(ISNUMBER(G1218)),"数据待核",IF(G1218=0,"零日销待复核",IF(F1218&lt;60,"补货提醒",IF(F1218&lt;=90,"正常库存",IF(F1218&lt;180,"促销",IF(F1218&lt;=365,"红线促销","考虑清仓")))))))))</x:f>
        <x:v>补货提醒</x:v>
      </x:c>
      <x:c r="F1218" s="11" t="n">
        <x:f>IF(AND(ISNUMBER(H1218),ISNUMBER(G1218),G1218&gt;0),H1218/G1218,"")</x:f>
        <x:v>15.328467153284672</x:v>
      </x:c>
      <x:c r="G1218" s="12" t="n">
        <x:f>IF(AND(COUNT(P1218:R1218)=3,MIN(P1218:R1218)&gt;=0,P1218&lt;=Q1218,Q1218&lt;=R1218),P1218/7*0.5+Q1218/14*0.3+R1218/30*0.2,"")</x:f>
        <x:v>0.9785714285714285</x:v>
      </x:c>
      <x:c r="H1218" s="10" t="n">
        <x:f>IF(ISNUMBER(U1218),U1218,"")</x:f>
        <x:v>15</x:v>
      </x:c>
      <x:c r="I1218" s="10" t="n">
        <x:v>24</x:v>
      </x:c>
      <x:c r="J1218" s="11" t="n">
        <x:f>IF(AND(Z1218="共同",ISNUMBER(F1218),ISNUMBER(M1218)),F1218-M1218,"")</x:f>
        <x:v>-91.90557539990684</x:v>
      </x:c>
      <x:c r="K1218" s="13" t="n">
        <x:f>IF(AND(ISNUMBER(J1218),M1218&lt;&gt;0),J1218/M1218,"")</x:f>
        <x:v>-0.8570559610705596</x:v>
      </x:c>
      <x:c r="L1218" s="10" t="str">
        <x:v>促销</x:v>
      </x:c>
      <x:c r="M1218" s="11" t="n">
        <x:v>107.23404255319151</x:v>
      </x:c>
      <x:c r="N1218" s="10" t="n">
        <x:f>IF(AND(Z1218="共同",COUNT(H1218:I1218)=2),H1218-I1218,"")</x:f>
        <x:v>-9</x:v>
      </x:c>
      <x:c r="O1218" s="10" t="n">
        <x:v>67</x:v>
      </x:c>
      <x:c r="P1218" s="10" t="n">
        <x:v>9</x:v>
      </x:c>
      <x:c r="Q1218" s="10" t="n">
        <x:v>11</x:v>
      </x:c>
      <x:c r="R1218" s="10" t="n">
        <x:v>15</x:v>
      </x:c>
      <x:c r="S1218" s="10" t="n">
        <x:v>17</x:v>
      </x:c>
      <x:c r="T1218" s="10" t="n">
        <x:v>0</x:v>
      </x:c>
      <x:c r="U1218" s="10" t="n">
        <x:f>IF(AND(ISNUMBER(X1218),X1218&gt;=0,Y1218&lt;&gt;1),X1218,"")</x:f>
        <x:v>15</x:v>
      </x:c>
      <x:c r="V1218" s="10" t="n">
        <x:v>0</x:v>
      </x:c>
      <x:c r="W1218" s="10" t="n">
        <x:v>39</x:v>
      </x:c>
      <x:c r="X1218" s="10" t="n">
        <x:v>15</x:v>
      </x:c>
      <x:c r="Y1218" s="3" t="n">
        <x:v>0</x:v>
      </x:c>
      <x:c r="Z1218" s="3" t="str">
        <x:v>共同</x:v>
      </x:c>
      <x:c r="AA1218" s="3" t="str">
        <x:v>在售</x:v>
      </x:c>
      <x:c r="AB1218" s="12" t="n">
        <x:f>IF(AND(Z1218="共同",ISNUMBER(G1218),ISNUMBER(AD1218)),G1218-AD1218,"")</x:f>
        <x:v>0.7547619047619047</x:v>
      </x:c>
      <x:c r="AC1218" s="3" t="str"/>
      <x:c r="AD1218" s="12" t="n">
        <x:v>0.22380952380952376</x:v>
      </x:c>
      <x:c r="AE1218" s="3" t="str">
        <x:v>[13120,"B06b-BK-41"]</x:v>
      </x:c>
      <x:c r="AF1218" t="n">
        <x:f>IF(ISNUMBER(H1218),1,0)</x:f>
        <x:v>1</x:v>
      </x:c>
      <x:c r="AG1218" t="n">
        <x:f>IF(ISNUMBER(I1218),1,0)</x:f>
        <x:v>1</x:v>
      </x:c>
      <x:c r="AH1218" t="str">
        <x:v>["B06b","B06b-BK","BK","黑色羊京绒"]</x:v>
      </x:c>
      <x:c r="AI1218" t="n">
        <x:f>IF(ISNUMBER(G1218),1,0)</x:f>
        <x:v>1</x:v>
      </x:c>
      <x:c r="AJ1218" t="n">
        <x:f>IF(ISNUMBER(AD1218),1,0)</x:f>
        <x:v>1</x:v>
      </x:c>
    </x:row>
    <x:row r="1219" ht="30" customHeight="1">
      <x:c r="A1219" s="3" t="str">
        <x:v>B06b-BKP-38</x:v>
      </x:c>
      <x:c r="B1219" s="3" t="str">
        <x:v>1店-MUSSHOE-US</x:v>
      </x:c>
      <x:c r="C1219" s="3" t="str">
        <x:v>艾年</x:v>
      </x:c>
      <x:c r="D1219" s="3" t="str">
        <x:v>B06b</x:v>
      </x:c>
      <x:c r="E1219" s="3" t="str">
        <x:f>IF(Z1219="移出","已移出",IF(NOT(ISNUMBER(H1219)),"数据待核",IF(H1219=0,"断货",IF(NOT(ISNUMBER(G1219)),"数据待核",IF(G1219=0,"零日销待复核",IF(F1219&lt;60,"补货提醒",IF(F1219&lt;=90,"正常库存",IF(F1219&lt;180,"促销",IF(F1219&lt;=365,"红线促销","考虑清仓")))))))))</x:f>
        <x:v>补货提醒</x:v>
      </x:c>
      <x:c r="F1219" s="11" t="n">
        <x:f>IF(AND(ISNUMBER(H1219),ISNUMBER(G1219),G1219&gt;0),H1219/G1219,"")</x:f>
        <x:v>26.48367952522255</x:v>
      </x:c>
      <x:c r="G1219" s="12" t="n">
        <x:f>IF(AND(COUNT(P1219:R1219)=3,MIN(P1219:R1219)&gt;=0,P1219&lt;=Q1219,Q1219&lt;=R1219),P1219/7*0.5+Q1219/14*0.3+R1219/30*0.2,"")</x:f>
        <x:v>0.641904761904762</x:v>
      </x:c>
      <x:c r="H1219" s="10" t="n">
        <x:f>IF(ISNUMBER(U1219),U1219,"")</x:f>
        <x:v>17</x:v>
      </x:c>
      <x:c r="I1219" s="10" t="n">
        <x:v>15</x:v>
      </x:c>
      <x:c r="J1219" s="11" t="n">
        <x:f>IF(AND(Z1219="共同",ISNUMBER(F1219),ISNUMBER(M1219)),F1219-M1219,"")</x:f>
        <x:v>2.1028745716621735</x:v>
      </x:c>
      <x:c r="K1219" s="13" t="n">
        <x:f>IF(AND(ISNUMBER(J1219),M1219&lt;&gt;0),J1219/M1219,"")</x:f>
        <x:v>0.08625123639960405</x:v>
      </x:c>
      <x:c r="L1219" s="10" t="str">
        <x:v>补货提醒</x:v>
      </x:c>
      <x:c r="M1219" s="11" t="n">
        <x:v>24.380804953560375</x:v>
      </x:c>
      <x:c r="N1219" s="10" t="n">
        <x:f>IF(AND(Z1219="共同",COUNT(H1219:I1219)=2),H1219-I1219,"")</x:f>
        <x:v>2</x:v>
      </x:c>
      <x:c r="O1219" s="10" t="n">
        <x:v>19</x:v>
      </x:c>
      <x:c r="P1219" s="10" t="n">
        <x:v>5</x:v>
      </x:c>
      <x:c r="Q1219" s="10" t="n">
        <x:v>8</x:v>
      </x:c>
      <x:c r="R1219" s="10" t="n">
        <x:v>17</x:v>
      </x:c>
      <x:c r="S1219" s="10" t="n">
        <x:v>22</x:v>
      </x:c>
      <x:c r="T1219" s="10" t="n">
        <x:v>2</x:v>
      </x:c>
      <x:c r="U1219" s="10" t="n">
        <x:f>IF(AND(ISNUMBER(X1219),X1219&gt;=0,Y1219&lt;&gt;1),X1219,"")</x:f>
        <x:v>17</x:v>
      </x:c>
      <x:c r="V1219" s="10" t="n">
        <x:v>0</x:v>
      </x:c>
      <x:c r="W1219" s="10" t="n">
        <x:v>38</x:v>
      </x:c>
      <x:c r="X1219" s="10" t="n">
        <x:v>17</x:v>
      </x:c>
      <x:c r="Y1219" s="3" t="n">
        <x:v>0</x:v>
      </x:c>
      <x:c r="Z1219" s="3" t="str">
        <x:v>共同</x:v>
      </x:c>
      <x:c r="AA1219" s="3" t="str">
        <x:v>在售</x:v>
      </x:c>
      <x:c r="AB1219" s="12" t="n">
        <x:f>IF(AND(Z1219="共同",ISNUMBER(G1219),ISNUMBER(AD1219)),G1219-AD1219,"")</x:f>
        <x:v>0.02666666666666684</x:v>
      </x:c>
      <x:c r="AC1219" s="3" t="str"/>
      <x:c r="AD1219" s="12" t="n">
        <x:v>0.6152380952380951</x:v>
      </x:c>
      <x:c r="AE1219" s="3" t="str">
        <x:v>[13120,"B06b-BKP-38"]</x:v>
      </x:c>
      <x:c r="AF1219" t="n">
        <x:f>IF(ISNUMBER(H1219),1,0)</x:f>
        <x:v>1</x:v>
      </x:c>
      <x:c r="AG1219" t="n">
        <x:f>IF(ISNUMBER(I1219),1,0)</x:f>
        <x:v>1</x:v>
      </x:c>
      <x:c r="AH1219" t="str">
        <x:v>["B06b","B06b-BKP","BKP","黑色PU"]</x:v>
      </x:c>
      <x:c r="AI1219" t="n">
        <x:f>IF(ISNUMBER(G1219),1,0)</x:f>
        <x:v>1</x:v>
      </x:c>
      <x:c r="AJ1219" t="n">
        <x:f>IF(ISNUMBER(AD1219),1,0)</x:f>
        <x:v>1</x:v>
      </x:c>
    </x:row>
    <x:row r="1220" ht="30" customHeight="1">
      <x:c r="A1220" s="3" t="str">
        <x:v>B06b-BKP-38.5</x:v>
      </x:c>
      <x:c r="B1220" s="3" t="str">
        <x:v>1店-MUSSHOE-US</x:v>
      </x:c>
      <x:c r="C1220" s="3" t="str">
        <x:v>艾年</x:v>
      </x:c>
      <x:c r="D1220" s="3" t="str">
        <x:v>B06b</x:v>
      </x:c>
      <x:c r="E1220" s="3" t="str">
        <x:f>IF(Z1220="移出","已移出",IF(NOT(ISNUMBER(H1220)),"数据待核",IF(H1220=0,"断货",IF(NOT(ISNUMBER(G1220)),"数据待核",IF(G1220=0,"零日销待复核",IF(F1220&lt;60,"补货提醒",IF(F1220&lt;=90,"正常库存",IF(F1220&lt;180,"促销",IF(F1220&lt;=365,"红线促销","考虑清仓")))))))))</x:f>
        <x:v>补货提醒</x:v>
      </x:c>
      <x:c r="F1220" s="11" t="n">
        <x:f>IF(AND(ISNUMBER(H1220),ISNUMBER(G1220),G1220&gt;0),H1220/G1220,"")</x:f>
        <x:v>54.83870967741935</x:v>
      </x:c>
      <x:c r="G1220" s="12" t="n">
        <x:f>IF(AND(COUNT(P1220:R1220)=3,MIN(P1220:R1220)&gt;=0,P1220&lt;=Q1220,Q1220&lt;=R1220),P1220/7*0.5+Q1220/14*0.3+R1220/30*0.2,"")</x:f>
        <x:v>0.31</x:v>
      </x:c>
      <x:c r="H1220" s="10" t="n">
        <x:f>IF(ISNUMBER(U1220),U1220,"")</x:f>
        <x:v>17</x:v>
      </x:c>
      <x:c r="I1220" s="10" t="n">
        <x:v>12</x:v>
      </x:c>
      <x:c r="J1220" s="11" t="n">
        <x:f>IF(AND(Z1220="共同",ISNUMBER(F1220),ISNUMBER(M1220)),F1220-M1220,"")</x:f>
        <x:v>-0.42444821731749016</x:v>
      </x:c>
      <x:c r="K1220" s="13" t="n">
        <x:f>IF(AND(ISNUMBER(J1220),M1220&lt;&gt;0),J1220/M1220,"")</x:f>
        <x:v>-0.007680491551459345</x:v>
      </x:c>
      <x:c r="L1220" s="10" t="str">
        <x:v>补货提醒</x:v>
      </x:c>
      <x:c r="M1220" s="11" t="n">
        <x:v>55.26315789473684</x:v>
      </x:c>
      <x:c r="N1220" s="10" t="n">
        <x:f>IF(AND(Z1220="共同",COUNT(H1220:I1220)=2),H1220-I1220,"")</x:f>
        <x:v>5</x:v>
      </x:c>
      <x:c r="O1220" s="10" t="n">
        <x:v>0</x:v>
      </x:c>
      <x:c r="P1220" s="10" t="n">
        <x:v>2</x:v>
      </x:c>
      <x:c r="Q1220" s="10" t="n">
        <x:v>5</x:v>
      </x:c>
      <x:c r="R1220" s="10" t="n">
        <x:v>9</x:v>
      </x:c>
      <x:c r="S1220" s="10" t="n">
        <x:v>20</x:v>
      </x:c>
      <x:c r="T1220" s="10" t="n">
        <x:v>1</x:v>
      </x:c>
      <x:c r="U1220" s="10" t="n">
        <x:f>IF(AND(ISNUMBER(X1220),X1220&gt;=0,Y1220&lt;&gt;1),X1220,"")</x:f>
        <x:v>17</x:v>
      </x:c>
      <x:c r="V1220" s="10" t="n">
        <x:v>2</x:v>
      </x:c>
      <x:c r="W1220" s="10" t="n">
        <x:v>2</x:v>
      </x:c>
      <x:c r="X1220" s="10" t="n">
        <x:v>17</x:v>
      </x:c>
      <x:c r="Y1220" s="3" t="n">
        <x:v>0</x:v>
      </x:c>
      <x:c r="Z1220" s="3" t="str">
        <x:v>共同</x:v>
      </x:c>
      <x:c r="AA1220" s="3" t="str">
        <x:v>在售</x:v>
      </x:c>
      <x:c r="AB1220" s="12" t="n">
        <x:f>IF(AND(Z1220="共同",ISNUMBER(G1220),ISNUMBER(AD1220)),G1220-AD1220,"")</x:f>
        <x:v>0.09285714285714286</x:v>
      </x:c>
      <x:c r="AC1220" s="3" t="str"/>
      <x:c r="AD1220" s="12" t="n">
        <x:v>0.21714285714285714</x:v>
      </x:c>
      <x:c r="AE1220" s="3" t="str">
        <x:v>[13120,"B06b-BKP-38.5"]</x:v>
      </x:c>
      <x:c r="AF1220" t="n">
        <x:f>IF(ISNUMBER(H1220),1,0)</x:f>
        <x:v>1</x:v>
      </x:c>
      <x:c r="AG1220" t="n">
        <x:f>IF(ISNUMBER(I1220),1,0)</x:f>
        <x:v>1</x:v>
      </x:c>
      <x:c r="AH1220" t="str">
        <x:v>["B06b","B06b-BKP","BKP","黑色PU"]</x:v>
      </x:c>
      <x:c r="AI1220" t="n">
        <x:f>IF(ISNUMBER(G1220),1,0)</x:f>
        <x:v>1</x:v>
      </x:c>
      <x:c r="AJ1220" t="n">
        <x:f>IF(ISNUMBER(AD1220),1,0)</x:f>
        <x:v>1</x:v>
      </x:c>
    </x:row>
    <x:row r="1221" ht="30" customHeight="1">
      <x:c r="A1221" s="3" t="str">
        <x:v>B06b-BKP-39</x:v>
      </x:c>
      <x:c r="B1221" s="3" t="str">
        <x:v>1店-MUSSHOE-US</x:v>
      </x:c>
      <x:c r="C1221" s="3" t="str">
        <x:v>艾年</x:v>
      </x:c>
      <x:c r="D1221" s="3" t="str">
        <x:v>B06b</x:v>
      </x:c>
      <x:c r="E1221" s="3" t="str">
        <x:f>IF(Z1221="移出","已移出",IF(NOT(ISNUMBER(H1221)),"数据待核",IF(H1221=0,"断货",IF(NOT(ISNUMBER(G1221)),"数据待核",IF(G1221=0,"零日销待复核",IF(F1221&lt;60,"补货提醒",IF(F1221&lt;=90,"正常库存",IF(F1221&lt;180,"促销",IF(F1221&lt;=365,"红线促销","考虑清仓")))))))))</x:f>
        <x:v>补货提醒</x:v>
      </x:c>
      <x:c r="F1221" s="11" t="n">
        <x:f>IF(AND(ISNUMBER(H1221),ISNUMBER(G1221),G1221&gt;0),H1221/G1221,"")</x:f>
        <x:v>46.73157162726009</x:v>
      </x:c>
      <x:c r="G1221" s="12" t="n">
        <x:f>IF(AND(COUNT(P1221:R1221)=3,MIN(P1221:R1221)&gt;=0,P1221&lt;=Q1221,Q1221&lt;=R1221),P1221/7*0.5+Q1221/14*0.3+R1221/30*0.2,"")</x:f>
        <x:v>0.6847619047619047</x:v>
      </x:c>
      <x:c r="H1221" s="10" t="n">
        <x:f>IF(ISNUMBER(U1221),U1221,"")</x:f>
        <x:v>32</x:v>
      </x:c>
      <x:c r="I1221" s="10" t="n">
        <x:v>17</x:v>
      </x:c>
      <x:c r="J1221" s="11" t="n">
        <x:f>IF(AND(Z1221="共同",ISNUMBER(F1221),ISNUMBER(M1221)),F1221-M1221,"")</x:f>
        <x:v>8.467906032404784</x:v>
      </x:c>
      <x:c r="K1221" s="13" t="n">
        <x:f>IF(AND(ISNUMBER(J1221),M1221&lt;&gt;0),J1221/M1221,"")</x:f>
        <x:v>0.22130409883007462</x:v>
      </x:c>
      <x:c r="L1221" s="10" t="str">
        <x:v>补货提醒</x:v>
      </x:c>
      <x:c r="M1221" s="11" t="n">
        <x:v>38.263665594855304</x:v>
      </x:c>
      <x:c r="N1221" s="10" t="n">
        <x:f>IF(AND(Z1221="共同",COUNT(H1221:I1221)=2),H1221-I1221,"")</x:f>
        <x:v>15</x:v>
      </x:c>
      <x:c r="O1221" s="10" t="n">
        <x:v>18</x:v>
      </x:c>
      <x:c r="P1221" s="10" t="n">
        <x:v>5</x:v>
      </x:c>
      <x:c r="Q1221" s="10" t="n">
        <x:v>10</x:v>
      </x:c>
      <x:c r="R1221" s="10" t="n">
        <x:v>17</x:v>
      </x:c>
      <x:c r="S1221" s="10" t="n">
        <x:v>34</x:v>
      </x:c>
      <x:c r="T1221" s="10" t="n">
        <x:v>0</x:v>
      </x:c>
      <x:c r="U1221" s="10" t="n">
        <x:f>IF(AND(ISNUMBER(X1221),X1221&gt;=0,Y1221&lt;&gt;1),X1221,"")</x:f>
        <x:v>32</x:v>
      </x:c>
      <x:c r="V1221" s="10" t="n">
        <x:v>14</x:v>
      </x:c>
      <x:c r="W1221" s="10" t="n">
        <x:v>14</x:v>
      </x:c>
      <x:c r="X1221" s="10" t="n">
        <x:v>32</x:v>
      </x:c>
      <x:c r="Y1221" s="3" t="n">
        <x:v>0</x:v>
      </x:c>
      <x:c r="Z1221" s="3" t="str">
        <x:v>共同</x:v>
      </x:c>
      <x:c r="AA1221" s="3" t="str">
        <x:v>在售</x:v>
      </x:c>
      <x:c r="AB1221" s="12" t="n">
        <x:f>IF(AND(Z1221="共同",ISNUMBER(G1221),ISNUMBER(AD1221)),G1221-AD1221,"")</x:f>
        <x:v>0.2404761904761904</x:v>
      </x:c>
      <x:c r="AC1221" s="3" t="str"/>
      <x:c r="AD1221" s="12" t="n">
        <x:v>0.4442857142857143</x:v>
      </x:c>
      <x:c r="AE1221" s="3" t="str">
        <x:v>[13120,"B06b-BKP-39"]</x:v>
      </x:c>
      <x:c r="AF1221" t="n">
        <x:f>IF(ISNUMBER(H1221),1,0)</x:f>
        <x:v>1</x:v>
      </x:c>
      <x:c r="AG1221" t="n">
        <x:f>IF(ISNUMBER(I1221),1,0)</x:f>
        <x:v>1</x:v>
      </x:c>
      <x:c r="AH1221" t="str">
        <x:v>["B06b","B06b-BKP","BKP","黑色PU"]</x:v>
      </x:c>
      <x:c r="AI1221" t="n">
        <x:f>IF(ISNUMBER(G1221),1,0)</x:f>
        <x:v>1</x:v>
      </x:c>
      <x:c r="AJ1221" t="n">
        <x:f>IF(ISNUMBER(AD1221),1,0)</x:f>
        <x:v>1</x:v>
      </x:c>
    </x:row>
    <x:row r="1222" ht="30" customHeight="1">
      <x:c r="A1222" s="3" t="str">
        <x:v>B06b-BKP-39.5</x:v>
      </x:c>
      <x:c r="B1222" s="3" t="str">
        <x:v>1店-MUSSHOE-US</x:v>
      </x:c>
      <x:c r="C1222" s="3" t="str">
        <x:v>艾年</x:v>
      </x:c>
      <x:c r="D1222" s="3" t="str">
        <x:v>B06b</x:v>
      </x:c>
      <x:c r="E1222" s="3" t="str">
        <x:f>IF(Z1222="移出","已移出",IF(NOT(ISNUMBER(H1222)),"数据待核",IF(H1222=0,"断货",IF(NOT(ISNUMBER(G1222)),"数据待核",IF(G1222=0,"零日销待复核",IF(F1222&lt;60,"补货提醒",IF(F1222&lt;=90,"正常库存",IF(F1222&lt;180,"促销",IF(F1222&lt;=365,"红线促销","考虑清仓")))))))))</x:f>
        <x:v>补货提醒</x:v>
      </x:c>
      <x:c r="F1222" s="11" t="n">
        <x:f>IF(AND(ISNUMBER(H1222),ISNUMBER(G1222),G1222&gt;0),H1222/G1222,"")</x:f>
        <x:v>32.59423503325942</x:v>
      </x:c>
      <x:c r="G1222" s="12" t="n">
        <x:f>IF(AND(COUNT(P1222:R1222)=3,MIN(P1222:R1222)&gt;=0,P1222&lt;=Q1222,Q1222&lt;=R1222),P1222/7*0.5+Q1222/14*0.3+R1222/30*0.2,"")</x:f>
        <x:v>0.42952380952380953</x:v>
      </x:c>
      <x:c r="H1222" s="10" t="n">
        <x:f>IF(ISNUMBER(U1222),U1222,"")</x:f>
        <x:v>14</x:v>
      </x:c>
      <x:c r="I1222" s="10" t="n">
        <x:v>9</x:v>
      </x:c>
      <x:c r="J1222" s="11" t="n">
        <x:f>IF(AND(Z1222="共同",ISNUMBER(F1222),ISNUMBER(M1222)),F1222-M1222,"")</x:f>
        <x:v>14.13720378325942</x:v>
      </x:c>
      <x:c r="K1222" s="13" t="n">
        <x:f>IF(AND(ISNUMBER(J1222),M1222&lt;&gt;0),J1222/M1222,"")</x:f>
        <x:v>0.7659522049765949</x:v>
      </x:c>
      <x:c r="L1222" s="10" t="str">
        <x:v>补货提醒</x:v>
      </x:c>
      <x:c r="M1222" s="11" t="n">
        <x:v>18.457031250000004</x:v>
      </x:c>
      <x:c r="N1222" s="10" t="n">
        <x:f>IF(AND(Z1222="共同",COUNT(H1222:I1222)=2),H1222-I1222,"")</x:f>
        <x:v>5</x:v>
      </x:c>
      <x:c r="O1222" s="10" t="n">
        <x:v>0</x:v>
      </x:c>
      <x:c r="P1222" s="10" t="n">
        <x:v>3</x:v>
      </x:c>
      <x:c r="Q1222" s="10" t="n">
        <x:v>6</x:v>
      </x:c>
      <x:c r="R1222" s="10" t="n">
        <x:v>13</x:v>
      </x:c>
      <x:c r="S1222" s="10" t="n">
        <x:v>14</x:v>
      </x:c>
      <x:c r="T1222" s="10" t="n">
        <x:v>0</x:v>
      </x:c>
      <x:c r="U1222" s="10" t="n">
        <x:f>IF(AND(ISNUMBER(X1222),X1222&gt;=0,Y1222&lt;&gt;1),X1222,"")</x:f>
        <x:v>14</x:v>
      </x:c>
      <x:c r="V1222" s="10" t="n">
        <x:v>7</x:v>
      </x:c>
      <x:c r="W1222" s="10" t="n">
        <x:v>9</x:v>
      </x:c>
      <x:c r="X1222" s="10" t="n">
        <x:v>14</x:v>
      </x:c>
      <x:c r="Y1222" s="3" t="n">
        <x:v>0</x:v>
      </x:c>
      <x:c r="Z1222" s="3" t="str">
        <x:v>共同</x:v>
      </x:c>
      <x:c r="AA1222" s="3" t="str">
        <x:v>在售</x:v>
      </x:c>
      <x:c r="AB1222" s="12" t="n">
        <x:f>IF(AND(Z1222="共同",ISNUMBER(G1222),ISNUMBER(AD1222)),G1222-AD1222,"")</x:f>
        <x:v>-0.05809523809523803</x:v>
      </x:c>
      <x:c r="AC1222" s="3" t="str"/>
      <x:c r="AD1222" s="12" t="n">
        <x:v>0.48761904761904756</x:v>
      </x:c>
      <x:c r="AE1222" s="3" t="str">
        <x:v>[13120,"B06b-BKP-39.5"]</x:v>
      </x:c>
      <x:c r="AF1222" t="n">
        <x:f>IF(ISNUMBER(H1222),1,0)</x:f>
        <x:v>1</x:v>
      </x:c>
      <x:c r="AG1222" t="n">
        <x:f>IF(ISNUMBER(I1222),1,0)</x:f>
        <x:v>1</x:v>
      </x:c>
      <x:c r="AH1222" t="str">
        <x:v>["B06b","B06b-BKP","BKP","黑色PU"]</x:v>
      </x:c>
      <x:c r="AI1222" t="n">
        <x:f>IF(ISNUMBER(G1222),1,0)</x:f>
        <x:v>1</x:v>
      </x:c>
      <x:c r="AJ1222" t="n">
        <x:f>IF(ISNUMBER(AD1222),1,0)</x:f>
        <x:v>1</x:v>
      </x:c>
    </x:row>
    <x:row r="1223" ht="30" customHeight="1">
      <x:c r="A1223" s="3" t="str">
        <x:v>B06b-CCP0-7.5</x:v>
      </x:c>
      <x:c r="B1223" s="3" t="str">
        <x:v>1店-MUSSHOE-US</x:v>
      </x:c>
      <x:c r="C1223" s="3" t="str">
        <x:v>艾年</x:v>
      </x:c>
      <x:c r="D1223" s="3" t="str">
        <x:v>B06b</x:v>
      </x:c>
      <x:c r="E1223" s="3" t="str">
        <x:f>IF(Z1223="移出","已移出",IF(NOT(ISNUMBER(H1223)),"数据待核",IF(H1223=0,"断货",IF(NOT(ISNUMBER(G1223)),"数据待核",IF(G1223=0,"零日销待复核",IF(F1223&lt;60,"补货提醒",IF(F1223&lt;=90,"正常库存",IF(F1223&lt;180,"促销",IF(F1223&lt;=365,"红线促销","考虑清仓")))))))))</x:f>
        <x:v>补货提醒</x:v>
      </x:c>
      <x:c r="F1223" s="11" t="n">
        <x:f>IF(AND(ISNUMBER(H1223),ISNUMBER(G1223),G1223&gt;0),H1223/G1223,"")</x:f>
        <x:v>7.167235494880546</x:v>
      </x:c>
      <x:c r="G1223" s="12" t="n">
        <x:f>IF(AND(COUNT(P1223:R1223)=3,MIN(P1223:R1223)&gt;=0,P1223&lt;=Q1223,Q1223&lt;=R1223),P1223/7*0.5+Q1223/14*0.3+R1223/30*0.2,"")</x:f>
        <x:v>0.13952380952380952</x:v>
      </x:c>
      <x:c r="H1223" s="10" t="n">
        <x:f>IF(ISNUMBER(U1223),U1223,"")</x:f>
        <x:v>1</x:v>
      </x:c>
      <x:c r="I1223" s="10" t="n">
        <x:v>0</x:v>
      </x:c>
      <x:c r="J1223" s="11" t="n">
        <x:f>IF(AND(Z1223="共同",ISNUMBER(F1223),ISNUMBER(M1223)),F1223-M1223,"")</x:f>
        <x:v>7.167235494880546</x:v>
      </x:c>
      <x:c r="K1223" s="13" t="str">
        <x:f>IF(AND(ISNUMBER(J1223),M1223&lt;&gt;0),J1223/M1223,"")</x:f>
      </x:c>
      <x:c r="L1223" s="10" t="str">
        <x:v>断货</x:v>
      </x:c>
      <x:c r="M1223" s="11" t="n">
        <x:v>0</x:v>
      </x:c>
      <x:c r="N1223" s="10" t="n">
        <x:f>IF(AND(Z1223="共同",COUNT(H1223:I1223)=2),H1223-I1223,"")</x:f>
        <x:v>1</x:v>
      </x:c>
      <x:c r="O1223" s="10" t="n">
        <x:v>0</x:v>
      </x:c>
      <x:c r="P1223" s="10" t="n">
        <x:v>1</x:v>
      </x:c>
      <x:c r="Q1223" s="10" t="n">
        <x:v>1</x:v>
      </x:c>
      <x:c r="R1223" s="10" t="n">
        <x:v>7</x:v>
      </x:c>
      <x:c r="S1223" s="10" t="n">
        <x:v>3</x:v>
      </x:c>
      <x:c r="T1223" s="10" t="n">
        <x:v>0</x:v>
      </x:c>
      <x:c r="U1223" s="10" t="n">
        <x:f>IF(AND(ISNUMBER(X1223),X1223&gt;=0,Y1223&lt;&gt;1),X1223,"")</x:f>
        <x:v>1</x:v>
      </x:c>
      <x:c r="V1223" s="10" t="n">
        <x:v>0</x:v>
      </x:c>
      <x:c r="W1223" s="10" t="n">
        <x:v>0</x:v>
      </x:c>
      <x:c r="X1223" s="10" t="n">
        <x:v>1</x:v>
      </x:c>
      <x:c r="Y1223" s="3" t="n">
        <x:v>0</x:v>
      </x:c>
      <x:c r="Z1223" s="3" t="str">
        <x:v>共同</x:v>
      </x:c>
      <x:c r="AA1223" s="3" t="str">
        <x:v>在售</x:v>
      </x:c>
      <x:c r="AB1223" s="12" t="n">
        <x:f>IF(AND(Z1223="共同",ISNUMBER(G1223),ISNUMBER(AD1223)),G1223-AD1223,"")</x:f>
        <x:v>-0.024761904761904763</x:v>
      </x:c>
      <x:c r="AC1223" s="3" t="str"/>
      <x:c r="AD1223" s="12" t="n">
        <x:v>0.16428571428571428</x:v>
      </x:c>
      <x:c r="AE1223" s="3" t="str">
        <x:v>[13120,"B06b-CCP0-7.5"]</x:v>
      </x:c>
      <x:c r="AF1223" t="n">
        <x:f>IF(ISNUMBER(H1223),1,0)</x:f>
        <x:v>1</x:v>
      </x:c>
      <x:c r="AG1223" t="n">
        <x:f>IF(ISNUMBER(I1223),1,0)</x:f>
        <x:v>1</x:v>
      </x:c>
      <x:c r="AH1223" t="str">
        <x:v>["B06b","B06b-CCP0","CCP0","咖色PU"]</x:v>
      </x:c>
      <x:c r="AI1223" t="n">
        <x:f>IF(ISNUMBER(G1223),1,0)</x:f>
        <x:v>1</x:v>
      </x:c>
      <x:c r="AJ1223" t="n">
        <x:f>IF(ISNUMBER(AD1223),1,0)</x:f>
        <x:v>1</x:v>
      </x:c>
    </x:row>
    <x:row r="1224" ht="30" customHeight="1">
      <x:c r="A1224" s="3" t="str">
        <x:v>B06b-CCP0-8</x:v>
      </x:c>
      <x:c r="B1224" s="3" t="str">
        <x:v>1店-MUSSHOE-US</x:v>
      </x:c>
      <x:c r="C1224" s="3" t="str">
        <x:v>艾年</x:v>
      </x:c>
      <x:c r="D1224" s="3" t="str">
        <x:v>B06b</x:v>
      </x:c>
      <x:c r="E1224" s="3" t="str">
        <x:f>IF(Z1224="移出","已移出",IF(NOT(ISNUMBER(H1224)),"数据待核",IF(H1224=0,"断货",IF(NOT(ISNUMBER(G1224)),"数据待核",IF(G1224=0,"零日销待复核",IF(F1224&lt;60,"补货提醒",IF(F1224&lt;=90,"正常库存",IF(F1224&lt;180,"促销",IF(F1224&lt;=365,"红线促销","考虑清仓")))))))))</x:f>
        <x:v>补货提醒</x:v>
      </x:c>
      <x:c r="F1224" s="11" t="n">
        <x:f>IF(AND(ISNUMBER(H1224),ISNUMBER(G1224),G1224&gt;0),H1224/G1224,"")</x:f>
        <x:v>22.95742232451093</x:v>
      </x:c>
      <x:c r="G1224" s="12" t="n">
        <x:f>IF(AND(COUNT(P1224:R1224)=3,MIN(P1224:R1224)&gt;=0,P1224&lt;=Q1224,Q1224&lt;=R1224),P1224/7*0.5+Q1224/14*0.3+R1224/30*0.2,"")</x:f>
        <x:v>0.8276190476190477</x:v>
      </x:c>
      <x:c r="H1224" s="10" t="n">
        <x:f>IF(ISNUMBER(U1224),U1224,"")</x:f>
        <x:v>19</x:v>
      </x:c>
      <x:c r="I1224" s="10" t="n">
        <x:v>20</x:v>
      </x:c>
      <x:c r="J1224" s="11" t="n">
        <x:f>IF(AND(Z1224="共同",ISNUMBER(F1224),ISNUMBER(M1224)),F1224-M1224,"")</x:f>
        <x:v>-30.409794956302285</x:v>
      </x:c>
      <x:c r="K1224" s="13" t="n">
        <x:f>IF(AND(ISNUMBER(J1224),M1224&lt;&gt;0),J1224/M1224,"")</x:f>
        <x:v>-0.5698216340621405</x:v>
      </x:c>
      <x:c r="L1224" s="10" t="str">
        <x:v>补货提醒</x:v>
      </x:c>
      <x:c r="M1224" s="11" t="n">
        <x:v>53.367217280813215</x:v>
      </x:c>
      <x:c r="N1224" s="10" t="n">
        <x:f>IF(AND(Z1224="共同",COUNT(H1224:I1224)=2),H1224-I1224,"")</x:f>
        <x:v>-1</x:v>
      </x:c>
      <x:c r="O1224" s="10" t="n">
        <x:v>0</x:v>
      </x:c>
      <x:c r="P1224" s="10" t="n">
        <x:v>7</x:v>
      </x:c>
      <x:c r="Q1224" s="10" t="n">
        <x:v>10</x:v>
      </x:c>
      <x:c r="R1224" s="10" t="n">
        <x:v>17</x:v>
      </x:c>
      <x:c r="S1224" s="10" t="n">
        <x:v>22</x:v>
      </x:c>
      <x:c r="T1224" s="10" t="n">
        <x:v>1</x:v>
      </x:c>
      <x:c r="U1224" s="10" t="n">
        <x:f>IF(AND(ISNUMBER(X1224),X1224&gt;=0,Y1224&lt;&gt;1),X1224,"")</x:f>
        <x:v>19</x:v>
      </x:c>
      <x:c r="V1224" s="10" t="n">
        <x:v>5</x:v>
      </x:c>
      <x:c r="W1224" s="10" t="n">
        <x:v>5</x:v>
      </x:c>
      <x:c r="X1224" s="10" t="n">
        <x:v>19</x:v>
      </x:c>
      <x:c r="Y1224" s="3" t="n">
        <x:v>0</x:v>
      </x:c>
      <x:c r="Z1224" s="3" t="str">
        <x:v>共同</x:v>
      </x:c>
      <x:c r="AA1224" s="3" t="str">
        <x:v>在售</x:v>
      </x:c>
      <x:c r="AB1224" s="12" t="n">
        <x:f>IF(AND(Z1224="共同",ISNUMBER(G1224),ISNUMBER(AD1224)),G1224-AD1224,"")</x:f>
        <x:v>0.45285714285714296</x:v>
      </x:c>
      <x:c r="AC1224" s="3" t="str"/>
      <x:c r="AD1224" s="12" t="n">
        <x:v>0.37476190476190474</x:v>
      </x:c>
      <x:c r="AE1224" s="3" t="str">
        <x:v>[13120,"B06b-CCP0-8"]</x:v>
      </x:c>
      <x:c r="AF1224" t="n">
        <x:f>IF(ISNUMBER(H1224),1,0)</x:f>
        <x:v>1</x:v>
      </x:c>
      <x:c r="AG1224" t="n">
        <x:f>IF(ISNUMBER(I1224),1,0)</x:f>
        <x:v>1</x:v>
      </x:c>
      <x:c r="AH1224" t="str">
        <x:v>["B06b","B06b-CCP0","CCP0","咖色PU"]</x:v>
      </x:c>
      <x:c r="AI1224" t="n">
        <x:f>IF(ISNUMBER(G1224),1,0)</x:f>
        <x:v>1</x:v>
      </x:c>
      <x:c r="AJ1224" t="n">
        <x:f>IF(ISNUMBER(AD1224),1,0)</x:f>
        <x:v>1</x:v>
      </x:c>
    </x:row>
    <x:row r="1225" ht="30" customHeight="1">
      <x:c r="A1225" s="3" t="str">
        <x:v>B06b-CCP0-9</x:v>
      </x:c>
      <x:c r="B1225" s="3" t="str">
        <x:v>1店-MUSSHOE-US</x:v>
      </x:c>
      <x:c r="C1225" s="3" t="str">
        <x:v>艾年</x:v>
      </x:c>
      <x:c r="D1225" s="3" t="str">
        <x:v>B06b</x:v>
      </x:c>
      <x:c r="E1225" s="3" t="str">
        <x:f>IF(Z1225="移出","已移出",IF(NOT(ISNUMBER(H1225)),"数据待核",IF(H1225=0,"断货",IF(NOT(ISNUMBER(G1225)),"数据待核",IF(G1225=0,"零日销待复核",IF(F1225&lt;60,"补货提醒",IF(F1225&lt;=90,"正常库存",IF(F1225&lt;180,"促销",IF(F1225&lt;=365,"红线促销","考虑清仓")))))))))</x:f>
        <x:v>补货提醒</x:v>
      </x:c>
      <x:c r="F1225" s="11" t="n">
        <x:f>IF(AND(ISNUMBER(H1225),ISNUMBER(G1225),G1225&gt;0),H1225/G1225,"")</x:f>
        <x:v>9.699769053117784</x:v>
      </x:c>
      <x:c r="G1225" s="12" t="n">
        <x:f>IF(AND(COUNT(P1225:R1225)=3,MIN(P1225:R1225)&gt;=0,P1225&lt;=Q1225,Q1225&lt;=R1225),P1225/7*0.5+Q1225/14*0.3+R1225/30*0.2,"")</x:f>
        <x:v>0.6185714285714285</x:v>
      </x:c>
      <x:c r="H1225" s="10" t="n">
        <x:f>IF(ISNUMBER(U1225),U1225,"")</x:f>
        <x:v>6</x:v>
      </x:c>
      <x:c r="I1225" s="10" t="n">
        <x:v>8</x:v>
      </x:c>
      <x:c r="J1225" s="11" t="n">
        <x:f>IF(AND(Z1225="共同",ISNUMBER(F1225),ISNUMBER(M1225)),F1225-M1225,"")</x:f>
        <x:v>-1.2806231037449614</x:v>
      </x:c>
      <x:c r="K1225" s="13" t="n">
        <x:f>IF(AND(ISNUMBER(J1225),M1225&lt;&gt;0),J1225/M1225,"")</x:f>
        <x:v>-0.11662817551963041</x:v>
      </x:c>
      <x:c r="L1225" s="10" t="str">
        <x:v>补货提醒</x:v>
      </x:c>
      <x:c r="M1225" s="11" t="n">
        <x:v>10.980392156862745</x:v>
      </x:c>
      <x:c r="N1225" s="10" t="n">
        <x:f>IF(AND(Z1225="共同",COUNT(H1225:I1225)=2),H1225-I1225,"")</x:f>
        <x:v>-2</x:v>
      </x:c>
      <x:c r="O1225" s="10" t="n">
        <x:v>0</x:v>
      </x:c>
      <x:c r="P1225" s="10" t="n">
        <x:v>4</x:v>
      </x:c>
      <x:c r="Q1225" s="10" t="n">
        <x:v>9</x:v>
      </x:c>
      <x:c r="R1225" s="10" t="n">
        <x:v>21</x:v>
      </x:c>
      <x:c r="S1225" s="10" t="n">
        <x:v>7</x:v>
      </x:c>
      <x:c r="T1225" s="10" t="n">
        <x:v>0</x:v>
      </x:c>
      <x:c r="U1225" s="10" t="n">
        <x:f>IF(AND(ISNUMBER(X1225),X1225&gt;=0,Y1225&lt;&gt;1),X1225,"")</x:f>
        <x:v>6</x:v>
      </x:c>
      <x:c r="V1225" s="10" t="n">
        <x:v>0</x:v>
      </x:c>
      <x:c r="W1225" s="10" t="n">
        <x:v>0</x:v>
      </x:c>
      <x:c r="X1225" s="10" t="n">
        <x:v>6</x:v>
      </x:c>
      <x:c r="Y1225" s="3" t="n">
        <x:v>0</x:v>
      </x:c>
      <x:c r="Z1225" s="3" t="str">
        <x:v>共同</x:v>
      </x:c>
      <x:c r="AA1225" s="3" t="str">
        <x:v>在售</x:v>
      </x:c>
      <x:c r="AB1225" s="12" t="n">
        <x:f>IF(AND(Z1225="共同",ISNUMBER(G1225),ISNUMBER(AD1225)),G1225-AD1225,"")</x:f>
        <x:v>-0.10999999999999999</x:v>
      </x:c>
      <x:c r="AC1225" s="3" t="str"/>
      <x:c r="AD1225" s="12" t="n">
        <x:v>0.7285714285714285</x:v>
      </x:c>
      <x:c r="AE1225" s="3" t="str">
        <x:v>[13120,"B06b-CCP0-9"]</x:v>
      </x:c>
      <x:c r="AF1225" t="n">
        <x:f>IF(ISNUMBER(H1225),1,0)</x:f>
        <x:v>1</x:v>
      </x:c>
      <x:c r="AG1225" t="n">
        <x:f>IF(ISNUMBER(I1225),1,0)</x:f>
        <x:v>1</x:v>
      </x:c>
      <x:c r="AH1225" t="str">
        <x:v>["B06b","B06b-CCP0","CCP0","咖色PU"]</x:v>
      </x:c>
      <x:c r="AI1225" t="n">
        <x:f>IF(ISNUMBER(G1225),1,0)</x:f>
        <x:v>1</x:v>
      </x:c>
      <x:c r="AJ1225" t="n">
        <x:f>IF(ISNUMBER(AD1225),1,0)</x:f>
        <x:v>1</x:v>
      </x:c>
    </x:row>
    <x:row r="1226" ht="30" customHeight="1">
      <x:c r="A1226" s="3" t="str">
        <x:v>B06b-LP-38</x:v>
      </x:c>
      <x:c r="B1226" s="3" t="str">
        <x:v>1店-MUSSHOE-US</x:v>
      </x:c>
      <x:c r="C1226" s="3" t="str">
        <x:v>艾年</x:v>
      </x:c>
      <x:c r="D1226" s="3" t="str">
        <x:v>B06b</x:v>
      </x:c>
      <x:c r="E1226" s="3" t="str">
        <x:f>IF(Z1226="移出","已移出",IF(NOT(ISNUMBER(H1226)),"数据待核",IF(H1226=0,"断货",IF(NOT(ISNUMBER(G1226)),"数据待核",IF(G1226=0,"零日销待复核",IF(F1226&lt;60,"补货提醒",IF(F1226&lt;=90,"正常库存",IF(F1226&lt;180,"促销",IF(F1226&lt;=365,"红线促销","考虑清仓")))))))))</x:f>
        <x:v>补货提醒</x:v>
      </x:c>
      <x:c r="F1226" s="11" t="n">
        <x:f>IF(AND(ISNUMBER(H1226),ISNUMBER(G1226),G1226&gt;0),H1226/G1226,"")</x:f>
        <x:v>48.734177215189874</x:v>
      </x:c>
      <x:c r="G1226" s="12" t="n">
        <x:f>IF(AND(COUNT(P1226:R1226)=3,MIN(P1226:R1226)&gt;=0,P1226&lt;=Q1226,Q1226&lt;=R1226),P1226/7*0.5+Q1226/14*0.3+R1226/30*0.2,"")</x:f>
        <x:v>0.2257142857142857</x:v>
      </x:c>
      <x:c r="H1226" s="10" t="n">
        <x:f>IF(ISNUMBER(U1226),U1226,"")</x:f>
        <x:v>11</x:v>
      </x:c>
      <x:c r="I1226" s="10" t="n">
        <x:v>12</x:v>
      </x:c>
      <x:c r="J1226" s="11" t="n">
        <x:f>IF(AND(Z1226="共同",ISNUMBER(F1226),ISNUMBER(M1226)),F1226-M1226,"")</x:f>
        <x:v>-53.29011428278585</x:v>
      </x:c>
      <x:c r="K1226" s="13" t="n">
        <x:f>IF(AND(ISNUMBER(J1226),M1226&lt;&gt;0),J1226/M1226,"")</x:f>
        <x:v>-0.5223277074542898</x:v>
      </x:c>
      <x:c r="L1226" s="10" t="str">
        <x:v>促销</x:v>
      </x:c>
      <x:c r="M1226" s="11" t="n">
        <x:v>102.02429149797572</x:v>
      </x:c>
      <x:c r="N1226" s="10" t="n">
        <x:f>IF(AND(Z1226="共同",COUNT(H1226:I1226)=2),H1226-I1226,"")</x:f>
        <x:v>-1</x:v>
      </x:c>
      <x:c r="O1226" s="10" t="n">
        <x:v>20</x:v>
      </x:c>
      <x:c r="P1226" s="10" t="n">
        <x:v>2</x:v>
      </x:c>
      <x:c r="Q1226" s="10" t="n">
        <x:v>2</x:v>
      </x:c>
      <x:c r="R1226" s="10" t="n">
        <x:v>6</x:v>
      </x:c>
      <x:c r="S1226" s="10" t="n">
        <x:v>13</x:v>
      </x:c>
      <x:c r="T1226" s="10" t="n">
        <x:v>0</x:v>
      </x:c>
      <x:c r="U1226" s="10" t="n">
        <x:f>IF(AND(ISNUMBER(X1226),X1226&gt;=0,Y1226&lt;&gt;1),X1226,"")</x:f>
        <x:v>11</x:v>
      </x:c>
      <x:c r="V1226" s="10" t="n">
        <x:v>0</x:v>
      </x:c>
      <x:c r="W1226" s="10" t="n">
        <x:v>38</x:v>
      </x:c>
      <x:c r="X1226" s="10" t="n">
        <x:v>11</x:v>
      </x:c>
      <x:c r="Y1226" s="3" t="n">
        <x:v>0</x:v>
      </x:c>
      <x:c r="Z1226" s="3" t="str">
        <x:v>共同</x:v>
      </x:c>
      <x:c r="AA1226" s="3" t="str">
        <x:v>在售</x:v>
      </x:c>
      <x:c r="AB1226" s="12" t="n">
        <x:f>IF(AND(Z1226="共同",ISNUMBER(G1226),ISNUMBER(AD1226)),G1226-AD1226,"")</x:f>
        <x:v>0.1080952380952381</x:v>
      </x:c>
      <x:c r="AC1226" s="3" t="str"/>
      <x:c r="AD1226" s="12" t="n">
        <x:v>0.1176190476190476</x:v>
      </x:c>
      <x:c r="AE1226" s="3" t="str">
        <x:v>[13120,"B06b-LP-38"]</x:v>
      </x:c>
      <x:c r="AF1226" t="n">
        <x:f>IF(ISNUMBER(H1226),1,0)</x:f>
        <x:v>1</x:v>
      </x:c>
      <x:c r="AG1226" t="n">
        <x:f>IF(ISNUMBER(I1226),1,0)</x:f>
        <x:v>1</x:v>
      </x:c>
      <x:c r="AH1226" t="str">
        <x:v>["B06b","B06b-LP","LP","豹纹羊京绒"]</x:v>
      </x:c>
      <x:c r="AI1226" t="n">
        <x:f>IF(ISNUMBER(G1226),1,0)</x:f>
        <x:v>1</x:v>
      </x:c>
      <x:c r="AJ1226" t="n">
        <x:f>IF(ISNUMBER(AD1226),1,0)</x:f>
        <x:v>1</x:v>
      </x:c>
    </x:row>
    <x:row r="1227" ht="30" customHeight="1">
      <x:c r="A1227" s="3" t="str">
        <x:v>B06b-LP-39</x:v>
      </x:c>
      <x:c r="B1227" s="3" t="str">
        <x:v>1店-MUSSHOE-US</x:v>
      </x:c>
      <x:c r="C1227" s="3" t="str">
        <x:v>艾年</x:v>
      </x:c>
      <x:c r="D1227" s="3" t="str">
        <x:v>B06b</x:v>
      </x:c>
      <x:c r="E1227" s="3" t="str">
        <x:f>IF(Z1227="移出","已移出",IF(NOT(ISNUMBER(H1227)),"数据待核",IF(H1227=0,"断货",IF(NOT(ISNUMBER(G1227)),"数据待核",IF(G1227=0,"零日销待复核",IF(F1227&lt;60,"补货提醒",IF(F1227&lt;=90,"正常库存",IF(F1227&lt;180,"促销",IF(F1227&lt;=365,"红线促销","考虑清仓")))))))))</x:f>
        <x:v>补货提醒</x:v>
      </x:c>
      <x:c r="F1227" s="11" t="n">
        <x:f>IF(AND(ISNUMBER(H1227),ISNUMBER(G1227),G1227&gt;0),H1227/G1227,"")</x:f>
        <x:v>49.494949494949495</x:v>
      </x:c>
      <x:c r="G1227" s="12" t="n">
        <x:f>IF(AND(COUNT(P1227:R1227)=3,MIN(P1227:R1227)&gt;=0,P1227&lt;=Q1227,Q1227&lt;=R1227),P1227/7*0.5+Q1227/14*0.3+R1227/30*0.2,"")</x:f>
        <x:v>0.5657142857142857</x:v>
      </x:c>
      <x:c r="H1227" s="10" t="n">
        <x:f>IF(ISNUMBER(U1227),U1227,"")</x:f>
        <x:v>28</x:v>
      </x:c>
      <x:c r="I1227" s="10" t="n">
        <x:v>9</x:v>
      </x:c>
      <x:c r="J1227" s="11" t="n">
        <x:f>IF(AND(Z1227="共同",ISNUMBER(F1227),ISNUMBER(M1227)),F1227-M1227,"")</x:f>
        <x:v>25.17062517062517</x:v>
      </x:c>
      <x:c r="K1227" s="13" t="n">
        <x:f>IF(AND(ISNUMBER(J1227),M1227&lt;&gt;0),J1227/M1227,"")</x:f>
        <x:v>1.0347923681257012</x:v>
      </x:c>
      <x:c r="L1227" s="10" t="str">
        <x:v>补货提醒</x:v>
      </x:c>
      <x:c r="M1227" s="11" t="n">
        <x:v>24.324324324324326</x:v>
      </x:c>
      <x:c r="N1227" s="10" t="n">
        <x:f>IF(AND(Z1227="共同",COUNT(H1227:I1227)=2),H1227-I1227,"")</x:f>
        <x:v>19</x:v>
      </x:c>
      <x:c r="O1227" s="10" t="n">
        <x:v>0</x:v>
      </x:c>
      <x:c r="P1227" s="10" t="n">
        <x:v>5</x:v>
      </x:c>
      <x:c r="Q1227" s="10" t="n">
        <x:v>6</x:v>
      </x:c>
      <x:c r="R1227" s="10" t="n">
        <x:v>12</x:v>
      </x:c>
      <x:c r="S1227" s="10" t="n">
        <x:v>29</x:v>
      </x:c>
      <x:c r="T1227" s="10" t="n">
        <x:v>0</x:v>
      </x:c>
      <x:c r="U1227" s="10" t="n">
        <x:f>IF(AND(ISNUMBER(X1227),X1227&gt;=0,Y1227&lt;&gt;1),X1227,"")</x:f>
        <x:v>28</x:v>
      </x:c>
      <x:c r="V1227" s="10" t="n">
        <x:v>0</x:v>
      </x:c>
      <x:c r="W1227" s="10" t="n">
        <x:v>11</x:v>
      </x:c>
      <x:c r="X1227" s="10" t="n">
        <x:v>28</x:v>
      </x:c>
      <x:c r="Y1227" s="3" t="n">
        <x:v>0</x:v>
      </x:c>
      <x:c r="Z1227" s="3" t="str">
        <x:v>共同</x:v>
      </x:c>
      <x:c r="AA1227" s="3" t="str">
        <x:v>在售</x:v>
      </x:c>
      <x:c r="AB1227" s="12" t="n">
        <x:f>IF(AND(Z1227="共同",ISNUMBER(G1227),ISNUMBER(AD1227)),G1227-AD1227,"")</x:f>
        <x:v>0.19571428571428573</x:v>
      </x:c>
      <x:c r="AC1227" s="3" t="str"/>
      <x:c r="AD1227" s="12" t="n">
        <x:v>0.37</x:v>
      </x:c>
      <x:c r="AE1227" s="3" t="str">
        <x:v>[13120,"B06b-LP-39"]</x:v>
      </x:c>
      <x:c r="AF1227" t="n">
        <x:f>IF(ISNUMBER(H1227),1,0)</x:f>
        <x:v>1</x:v>
      </x:c>
      <x:c r="AG1227" t="n">
        <x:f>IF(ISNUMBER(I1227),1,0)</x:f>
        <x:v>1</x:v>
      </x:c>
      <x:c r="AH1227" t="str">
        <x:v>["B06b","B06b-LP","LP","豹纹羊京绒"]</x:v>
      </x:c>
      <x:c r="AI1227" t="n">
        <x:f>IF(ISNUMBER(G1227),1,0)</x:f>
        <x:v>1</x:v>
      </x:c>
      <x:c r="AJ1227" t="n">
        <x:f>IF(ISNUMBER(AD1227),1,0)</x:f>
        <x:v>1</x:v>
      </x:c>
    </x:row>
    <x:row r="1228" ht="30" customHeight="1">
      <x:c r="A1228" s="3" t="str">
        <x:v>B06b-LP-39.5</x:v>
      </x:c>
      <x:c r="B1228" s="3" t="str">
        <x:v>1店-MUSSHOE-US</x:v>
      </x:c>
      <x:c r="C1228" s="3" t="str">
        <x:v>艾年</x:v>
      </x:c>
      <x:c r="D1228" s="3" t="str">
        <x:v>B06b</x:v>
      </x:c>
      <x:c r="E1228" s="3" t="str">
        <x:f>IF(Z1228="移出","已移出",IF(NOT(ISNUMBER(H1228)),"数据待核",IF(H1228=0,"断货",IF(NOT(ISNUMBER(G1228)),"数据待核",IF(G1228=0,"零日销待复核",IF(F1228&lt;60,"补货提醒",IF(F1228&lt;=90,"正常库存",IF(F1228&lt;180,"促销",IF(F1228&lt;=365,"红线促销","考虑清仓")))))))))</x:f>
        <x:v>补货提醒</x:v>
      </x:c>
      <x:c r="F1228" s="11" t="n">
        <x:f>IF(AND(ISNUMBER(H1228),ISNUMBER(G1228),G1228&gt;0),H1228/G1228,"")</x:f>
        <x:v>24.50928381962865</x:v>
      </x:c>
      <x:c r="G1228" s="12" t="n">
        <x:f>IF(AND(COUNT(P1228:R1228)=3,MIN(P1228:R1228)&gt;=0,P1228&lt;=Q1228,Q1228&lt;=R1228),P1228/7*0.5+Q1228/14*0.3+R1228/30*0.2,"")</x:f>
        <x:v>0.8976190476190475</x:v>
      </x:c>
      <x:c r="H1228" s="10" t="n">
        <x:f>IF(ISNUMBER(U1228),U1228,"")</x:f>
        <x:v>22</x:v>
      </x:c>
      <x:c r="I1228" s="10" t="n">
        <x:v>17</x:v>
      </x:c>
      <x:c r="J1228" s="11" t="n">
        <x:f>IF(AND(Z1228="共同",ISNUMBER(F1228),ISNUMBER(M1228)),F1228-M1228,"")</x:f>
        <x:v>3.968432266118864</x:v>
      </x:c>
      <x:c r="K1228" s="13" t="n">
        <x:f>IF(AND(ISNUMBER(J1228),M1228&lt;&gt;0),J1228/M1228,"")</x:f>
        <x:v>0.19319706662505837</x:v>
      </x:c>
      <x:c r="L1228" s="10" t="str">
        <x:v>补货提醒</x:v>
      </x:c>
      <x:c r="M1228" s="11" t="n">
        <x:v>20.540851553509786</x:v>
      </x:c>
      <x:c r="N1228" s="10" t="n">
        <x:f>IF(AND(Z1228="共同",COUNT(H1228:I1228)=2),H1228-I1228,"")</x:f>
        <x:v>5</x:v>
      </x:c>
      <x:c r="O1228" s="10" t="n">
        <x:v>0</x:v>
      </x:c>
      <x:c r="P1228" s="10" t="n">
        <x:v>8</x:v>
      </x:c>
      <x:c r="Q1228" s="10" t="n">
        <x:v>9</x:v>
      </x:c>
      <x:c r="R1228" s="10" t="n">
        <x:v>20</x:v>
      </x:c>
      <x:c r="S1228" s="10" t="n">
        <x:v>22</x:v>
      </x:c>
      <x:c r="T1228" s="10" t="n">
        <x:v>0</x:v>
      </x:c>
      <x:c r="U1228" s="10" t="n">
        <x:f>IF(AND(ISNUMBER(X1228),X1228&gt;=0,Y1228&lt;&gt;1),X1228,"")</x:f>
        <x:v>22</x:v>
      </x:c>
      <x:c r="V1228" s="10" t="n">
        <x:v>0</x:v>
      </x:c>
      <x:c r="W1228" s="10" t="n">
        <x:v>0</x:v>
      </x:c>
      <x:c r="X1228" s="10" t="n">
        <x:v>22</x:v>
      </x:c>
      <x:c r="Y1228" s="3" t="n">
        <x:v>0</x:v>
      </x:c>
      <x:c r="Z1228" s="3" t="str">
        <x:v>共同</x:v>
      </x:c>
      <x:c r="AA1228" s="3" t="str">
        <x:v>在售</x:v>
      </x:c>
      <x:c r="AB1228" s="12" t="n">
        <x:f>IF(AND(Z1228="共同",ISNUMBER(G1228),ISNUMBER(AD1228)),G1228-AD1228,"")</x:f>
        <x:v>0.07000000000000006</x:v>
      </x:c>
      <x:c r="AC1228" s="3" t="str"/>
      <x:c r="AD1228" s="12" t="n">
        <x:v>0.8276190476190475</x:v>
      </x:c>
      <x:c r="AE1228" s="3" t="str">
        <x:v>[13120,"B06b-LP-39.5"]</x:v>
      </x:c>
      <x:c r="AF1228" t="n">
        <x:f>IF(ISNUMBER(H1228),1,0)</x:f>
        <x:v>1</x:v>
      </x:c>
      <x:c r="AG1228" t="n">
        <x:f>IF(ISNUMBER(I1228),1,0)</x:f>
        <x:v>1</x:v>
      </x:c>
      <x:c r="AH1228" t="str">
        <x:v>["B06b","B06b-LP","LP","豹纹羊京绒"]</x:v>
      </x:c>
      <x:c r="AI1228" t="n">
        <x:f>IF(ISNUMBER(G1228),1,0)</x:f>
        <x:v>1</x:v>
      </x:c>
      <x:c r="AJ1228" t="n">
        <x:f>IF(ISNUMBER(AD1228),1,0)</x:f>
        <x:v>1</x:v>
      </x:c>
    </x:row>
    <x:row r="1229" ht="30" customHeight="1">
      <x:c r="A1229" s="3" t="str">
        <x:v>B06b-LP-40</x:v>
      </x:c>
      <x:c r="B1229" s="3" t="str">
        <x:v>1店-MUSSHOE-US</x:v>
      </x:c>
      <x:c r="C1229" s="3" t="str">
        <x:v>艾年</x:v>
      </x:c>
      <x:c r="D1229" s="3" t="str">
        <x:v>B06b</x:v>
      </x:c>
      <x:c r="E1229" s="3" t="str">
        <x:f>IF(Z1229="移出","已移出",IF(NOT(ISNUMBER(H1229)),"数据待核",IF(H1229=0,"断货",IF(NOT(ISNUMBER(G1229)),"数据待核",IF(G1229=0,"零日销待复核",IF(F1229&lt;60,"补货提醒",IF(F1229&lt;=90,"正常库存",IF(F1229&lt;180,"促销",IF(F1229&lt;=365,"红线促销","考虑清仓")))))))))</x:f>
        <x:v>补货提醒</x:v>
      </x:c>
      <x:c r="F1229" s="11" t="n">
        <x:f>IF(AND(ISNUMBER(H1229),ISNUMBER(G1229),G1229&gt;0),H1229/G1229,"")</x:f>
        <x:v>28.980891719745223</x:v>
      </x:c>
      <x:c r="G1229" s="12" t="n">
        <x:f>IF(AND(COUNT(P1229:R1229)=3,MIN(P1229:R1229)&gt;=0,P1229&lt;=Q1229,Q1229&lt;=R1229),P1229/7*0.5+Q1229/14*0.3+R1229/30*0.2,"")</x:f>
        <x:v>0.8971428571428571</x:v>
      </x:c>
      <x:c r="H1229" s="10" t="n">
        <x:f>IF(ISNUMBER(U1229),U1229,"")</x:f>
        <x:v>26</x:v>
      </x:c>
      <x:c r="I1229" s="10" t="n">
        <x:v>18</x:v>
      </x:c>
      <x:c r="J1229" s="11" t="n">
        <x:f>IF(AND(Z1229="共同",ISNUMBER(F1229),ISNUMBER(M1229)),F1229-M1229,"")</x:f>
        <x:v>-5.258238715037393</x:v>
      </x:c>
      <x:c r="K1229" s="13" t="n">
        <x:f>IF(AND(ISNUMBER(J1229),M1229&lt;&gt;0),J1229/M1229,"")</x:f>
        <x:v>-0.153573956121727</x:v>
      </x:c>
      <x:c r="L1229" s="10" t="str">
        <x:v>补货提醒</x:v>
      </x:c>
      <x:c r="M1229" s="11" t="n">
        <x:v>34.239130434782616</x:v>
      </x:c>
      <x:c r="N1229" s="10" t="n">
        <x:f>IF(AND(Z1229="共同",COUNT(H1229:I1229)=2),H1229-I1229,"")</x:f>
        <x:v>8</x:v>
      </x:c>
      <x:c r="O1229" s="10" t="n">
        <x:v>0</x:v>
      </x:c>
      <x:c r="P1229" s="10" t="n">
        <x:v>7</x:v>
      </x:c>
      <x:c r="Q1229" s="10" t="n">
        <x:v>12</x:v>
      </x:c>
      <x:c r="R1229" s="10" t="n">
        <x:v>21</x:v>
      </x:c>
      <x:c r="S1229" s="10" t="n">
        <x:v>28</x:v>
      </x:c>
      <x:c r="T1229" s="10" t="n">
        <x:v>0</x:v>
      </x:c>
      <x:c r="U1229" s="10" t="n">
        <x:f>IF(AND(ISNUMBER(X1229),X1229&gt;=0,Y1229&lt;&gt;1),X1229,"")</x:f>
        <x:v>26</x:v>
      </x:c>
      <x:c r="V1229" s="10" t="n">
        <x:v>0</x:v>
      </x:c>
      <x:c r="W1229" s="10" t="n">
        <x:v>0</x:v>
      </x:c>
      <x:c r="X1229" s="10" t="n">
        <x:v>26</x:v>
      </x:c>
      <x:c r="Y1229" s="3" t="n">
        <x:v>0</x:v>
      </x:c>
      <x:c r="Z1229" s="3" t="str">
        <x:v>共同</x:v>
      </x:c>
      <x:c r="AA1229" s="3" t="str">
        <x:v>在售</x:v>
      </x:c>
      <x:c r="AB1229" s="12" t="n">
        <x:f>IF(AND(Z1229="共同",ISNUMBER(G1229),ISNUMBER(AD1229)),G1229-AD1229,"")</x:f>
        <x:v>0.37142857142857155</x:v>
      </x:c>
      <x:c r="AC1229" s="3" t="str"/>
      <x:c r="AD1229" s="12" t="n">
        <x:v>0.5257142857142856</x:v>
      </x:c>
      <x:c r="AE1229" s="3" t="str">
        <x:v>[13120,"B06b-LP-40"]</x:v>
      </x:c>
      <x:c r="AF1229" t="n">
        <x:f>IF(ISNUMBER(H1229),1,0)</x:f>
        <x:v>1</x:v>
      </x:c>
      <x:c r="AG1229" t="n">
        <x:f>IF(ISNUMBER(I1229),1,0)</x:f>
        <x:v>1</x:v>
      </x:c>
      <x:c r="AH1229" t="str">
        <x:v>["B06b","B06b-LP","LP","豹纹羊京绒"]</x:v>
      </x:c>
      <x:c r="AI1229" t="n">
        <x:f>IF(ISNUMBER(G1229),1,0)</x:f>
        <x:v>1</x:v>
      </x:c>
      <x:c r="AJ1229" t="n">
        <x:f>IF(ISNUMBER(AD1229),1,0)</x:f>
        <x:v>1</x:v>
      </x:c>
    </x:row>
    <x:row r="1230" ht="30" customHeight="1">
      <x:c r="A1230" s="3" t="str">
        <x:v>B06b-LP-41.5</x:v>
      </x:c>
      <x:c r="B1230" s="3" t="str">
        <x:v>1店-MUSSHOE-US</x:v>
      </x:c>
      <x:c r="C1230" s="3" t="str">
        <x:v>艾年</x:v>
      </x:c>
      <x:c r="D1230" s="3" t="str">
        <x:v>B06b</x:v>
      </x:c>
      <x:c r="E1230" s="3" t="str">
        <x:f>IF(Z1230="移出","已移出",IF(NOT(ISNUMBER(H1230)),"数据待核",IF(H1230=0,"断货",IF(NOT(ISNUMBER(G1230)),"数据待核",IF(G1230=0,"零日销待复核",IF(F1230&lt;60,"补货提醒",IF(F1230&lt;=90,"正常库存",IF(F1230&lt;180,"促销",IF(F1230&lt;=365,"红线促销","考虑清仓")))))))))</x:f>
        <x:v>补货提醒</x:v>
      </x:c>
      <x:c r="F1230" s="11" t="n">
        <x:f>IF(AND(ISNUMBER(H1230),ISNUMBER(G1230),G1230&gt;0),H1230/G1230,"")</x:f>
        <x:v>10.344827586206895</x:v>
      </x:c>
      <x:c r="G1230" s="12" t="n">
        <x:f>IF(AND(COUNT(P1230:R1230)=3,MIN(P1230:R1230)&gt;=0,P1230&lt;=Q1230,Q1230&lt;=R1230),P1230/7*0.5+Q1230/14*0.3+R1230/30*0.2,"")</x:f>
        <x:v>0.29000000000000004</x:v>
      </x:c>
      <x:c r="H1230" s="10" t="n">
        <x:f>IF(ISNUMBER(U1230),U1230,"")</x:f>
        <x:v>3</x:v>
      </x:c>
      <x:c r="I1230" s="10" t="n">
        <x:v>8</x:v>
      </x:c>
      <x:c r="J1230" s="11" t="n">
        <x:f>IF(AND(Z1230="共同",ISNUMBER(F1230),ISNUMBER(M1230)),F1230-M1230,"")</x:f>
        <x:v>-155.99180607715945</x:v>
      </x:c>
      <x:c r="K1230" s="13" t="n">
        <x:f>IF(AND(ISNUMBER(J1230),M1230&lt;&gt;0),J1230/M1230,"")</x:f>
        <x:v>-0.937807881773399</x:v>
      </x:c>
      <x:c r="L1230" s="10" t="str">
        <x:v>促销</x:v>
      </x:c>
      <x:c r="M1230" s="11" t="n">
        <x:v>166.33663366336634</x:v>
      </x:c>
      <x:c r="N1230" s="10" t="n">
        <x:f>IF(AND(Z1230="共同",COUNT(H1230:I1230)=2),H1230-I1230,"")</x:f>
        <x:v>-5</x:v>
      </x:c>
      <x:c r="O1230" s="10" t="n">
        <x:v>0</x:v>
      </x:c>
      <x:c r="P1230" s="10" t="n">
        <x:v>2</x:v>
      </x:c>
      <x:c r="Q1230" s="10" t="n">
        <x:v>5</x:v>
      </x:c>
      <x:c r="R1230" s="10" t="n">
        <x:v>6</x:v>
      </x:c>
      <x:c r="S1230" s="10" t="n">
        <x:v>3</x:v>
      </x:c>
      <x:c r="T1230" s="10" t="n">
        <x:v>0</x:v>
      </x:c>
      <x:c r="U1230" s="10" t="n">
        <x:f>IF(AND(ISNUMBER(X1230),X1230&gt;=0,Y1230&lt;&gt;1),X1230,"")</x:f>
        <x:v>3</x:v>
      </x:c>
      <x:c r="V1230" s="10" t="n">
        <x:v>0</x:v>
      </x:c>
      <x:c r="W1230" s="10" t="n">
        <x:v>0</x:v>
      </x:c>
      <x:c r="X1230" s="10" t="n">
        <x:v>3</x:v>
      </x:c>
      <x:c r="Y1230" s="3" t="n">
        <x:v>0</x:v>
      </x:c>
      <x:c r="Z1230" s="3" t="str">
        <x:v>共同</x:v>
      </x:c>
      <x:c r="AA1230" s="3" t="str">
        <x:v>在售</x:v>
      </x:c>
      <x:c r="AB1230" s="12" t="n">
        <x:f>IF(AND(Z1230="共同",ISNUMBER(G1230),ISNUMBER(AD1230)),G1230-AD1230,"")</x:f>
        <x:v>0.24190476190476196</x:v>
      </x:c>
      <x:c r="AC1230" s="3" t="str"/>
      <x:c r="AD1230" s="12" t="n">
        <x:v>0.048095238095238094</x:v>
      </x:c>
      <x:c r="AE1230" s="3" t="str">
        <x:v>[13120,"B06b-LP-41.5"]</x:v>
      </x:c>
      <x:c r="AF1230" t="n">
        <x:f>IF(ISNUMBER(H1230),1,0)</x:f>
        <x:v>1</x:v>
      </x:c>
      <x:c r="AG1230" t="n">
        <x:f>IF(ISNUMBER(I1230),1,0)</x:f>
        <x:v>1</x:v>
      </x:c>
      <x:c r="AH1230" t="str">
        <x:v>["B06b","B06b-LP","LP","豹纹羊京绒"]</x:v>
      </x:c>
      <x:c r="AI1230" t="n">
        <x:f>IF(ISNUMBER(G1230),1,0)</x:f>
        <x:v>1</x:v>
      </x:c>
      <x:c r="AJ1230" t="n">
        <x:f>IF(ISNUMBER(AD1230),1,0)</x:f>
        <x:v>1</x:v>
      </x:c>
    </x:row>
    <x:row r="1231" ht="30" customHeight="1">
      <x:c r="A1231" s="3" t="str">
        <x:v>B06b-NDP0-8</x:v>
      </x:c>
      <x:c r="B1231" s="3" t="str">
        <x:v>1店-MUSSHOE-US</x:v>
      </x:c>
      <x:c r="C1231" s="3" t="str">
        <x:v>艾年</x:v>
      </x:c>
      <x:c r="D1231" s="3" t="str">
        <x:v>B06b</x:v>
      </x:c>
      <x:c r="E1231" s="3" t="str">
        <x:f>IF(Z1231="移出","已移出",IF(NOT(ISNUMBER(H1231)),"数据待核",IF(H1231=0,"断货",IF(NOT(ISNUMBER(G1231)),"数据待核",IF(G1231=0,"零日销待复核",IF(F1231&lt;60,"补货提醒",IF(F1231&lt;=90,"正常库存",IF(F1231&lt;180,"促销",IF(F1231&lt;=365,"红线促销","考虑清仓")))))))))</x:f>
        <x:v>补货提醒</x:v>
      </x:c>
      <x:c r="F1231" s="11" t="n">
        <x:f>IF(AND(ISNUMBER(H1231),ISNUMBER(G1231),G1231&gt;0),H1231/G1231,"")</x:f>
        <x:v>6.41711229946524</x:v>
      </x:c>
      <x:c r="G1231" s="12" t="n">
        <x:f>IF(AND(COUNT(P1231:R1231)=3,MIN(P1231:R1231)&gt;=0,P1231&lt;=Q1231,Q1231&lt;=R1231),P1231/7*0.5+Q1231/14*0.3+R1231/30*0.2,"")</x:f>
        <x:v>0.6233333333333334</x:v>
      </x:c>
      <x:c r="H1231" s="10" t="n">
        <x:f>IF(ISNUMBER(U1231),U1231,"")</x:f>
        <x:v>4</x:v>
      </x:c>
      <x:c r="I1231" s="10" t="n">
        <x:v>0</x:v>
      </x:c>
      <x:c r="J1231" s="11" t="n">
        <x:f>IF(AND(Z1231="共同",ISNUMBER(F1231),ISNUMBER(M1231)),F1231-M1231,"")</x:f>
        <x:v>6.41711229946524</x:v>
      </x:c>
      <x:c r="K1231" s="13" t="str">
        <x:f>IF(AND(ISNUMBER(J1231),M1231&lt;&gt;0),J1231/M1231,"")</x:f>
      </x:c>
      <x:c r="L1231" s="10" t="str">
        <x:v>断货</x:v>
      </x:c>
      <x:c r="M1231" s="11" t="n">
        <x:v>0</x:v>
      </x:c>
      <x:c r="N1231" s="10" t="n">
        <x:f>IF(AND(Z1231="共同",COUNT(H1231:I1231)=2),H1231-I1231,"")</x:f>
        <x:v>4</x:v>
      </x:c>
      <x:c r="O1231" s="10" t="n">
        <x:v>0</x:v>
      </x:c>
      <x:c r="P1231" s="10" t="n">
        <x:v>5</x:v>
      </x:c>
      <x:c r="Q1231" s="10" t="n">
        <x:v>9</x:v>
      </x:c>
      <x:c r="R1231" s="10" t="n">
        <x:v>11</x:v>
      </x:c>
      <x:c r="S1231" s="10" t="n">
        <x:v>5</x:v>
      </x:c>
      <x:c r="T1231" s="10" t="n">
        <x:v>0</x:v>
      </x:c>
      <x:c r="U1231" s="10" t="n">
        <x:f>IF(AND(ISNUMBER(X1231),X1231&gt;=0,Y1231&lt;&gt;1),X1231,"")</x:f>
        <x:v>4</x:v>
      </x:c>
      <x:c r="V1231" s="10" t="n">
        <x:v>7</x:v>
      </x:c>
      <x:c r="W1231" s="10" t="n">
        <x:v>7</x:v>
      </x:c>
      <x:c r="X1231" s="10" t="n">
        <x:v>4</x:v>
      </x:c>
      <x:c r="Y1231" s="3" t="n">
        <x:v>0</x:v>
      </x:c>
      <x:c r="Z1231" s="3" t="str">
        <x:v>共同</x:v>
      </x:c>
      <x:c r="AA1231" s="3" t="str">
        <x:v>在售</x:v>
      </x:c>
      <x:c r="AB1231" s="12" t="n">
        <x:f>IF(AND(Z1231="共同",ISNUMBER(G1231),ISNUMBER(AD1231)),G1231-AD1231,"")</x:f>
        <x:v>0.5104761904761905</x:v>
      </x:c>
      <x:c r="AC1231" s="3" t="str"/>
      <x:c r="AD1231" s="12" t="n">
        <x:v>0.11285714285714285</x:v>
      </x:c>
      <x:c r="AE1231" s="3" t="str">
        <x:v>[13120,"B06b-NDP0-8"]</x:v>
      </x:c>
      <x:c r="AF1231" t="n">
        <x:f>IF(ISNUMBER(H1231),1,0)</x:f>
        <x:v>1</x:v>
      </x:c>
      <x:c r="AG1231" t="n">
        <x:f>IF(ISNUMBER(I1231),1,0)</x:f>
        <x:v>1</x:v>
      </x:c>
      <x:c r="AH1231" t="str">
        <x:v>["B06b","B06b-NDP0","NDP0","裸色PU"]</x:v>
      </x:c>
      <x:c r="AI1231" t="n">
        <x:f>IF(ISNUMBER(G1231),1,0)</x:f>
        <x:v>1</x:v>
      </x:c>
      <x:c r="AJ1231" t="n">
        <x:f>IF(ISNUMBER(AD1231),1,0)</x:f>
        <x:v>1</x:v>
      </x:c>
    </x:row>
    <x:row r="1232" ht="30" customHeight="1">
      <x:c r="A1232" s="3" t="str">
        <x:v>B06b-NDP0-9</x:v>
      </x:c>
      <x:c r="B1232" s="3" t="str">
        <x:v>1店-MUSSHOE-US</x:v>
      </x:c>
      <x:c r="C1232" s="3" t="str">
        <x:v>艾年</x:v>
      </x:c>
      <x:c r="D1232" s="3" t="str">
        <x:v>B06b</x:v>
      </x:c>
      <x:c r="E1232" s="3" t="str">
        <x:f>IF(Z1232="移出","已移出",IF(NOT(ISNUMBER(H1232)),"数据待核",IF(H1232=0,"断货",IF(NOT(ISNUMBER(G1232)),"数据待核",IF(G1232=0,"零日销待复核",IF(F1232&lt;60,"补货提醒",IF(F1232&lt;=90,"正常库存",IF(F1232&lt;180,"促销",IF(F1232&lt;=365,"红线促销","考虑清仓")))))))))</x:f>
        <x:v>补货提醒</x:v>
      </x:c>
      <x:c r="F1232" s="11" t="n">
        <x:f>IF(AND(ISNUMBER(H1232),ISNUMBER(G1232),G1232&gt;0),H1232/G1232,"")</x:f>
        <x:v>19.024390243902438</x:v>
      </x:c>
      <x:c r="G1232" s="12" t="n">
        <x:f>IF(AND(COUNT(P1232:R1232)=3,MIN(P1232:R1232)&gt;=0,P1232&lt;=Q1232,Q1232&lt;=R1232),P1232/7*0.5+Q1232/14*0.3+R1232/30*0.2,"")</x:f>
        <x:v>0.6833333333333333</x:v>
      </x:c>
      <x:c r="H1232" s="10" t="n">
        <x:f>IF(ISNUMBER(U1232),U1232,"")</x:f>
        <x:v>13</x:v>
      </x:c>
      <x:c r="I1232" s="10" t="n">
        <x:v>9</x:v>
      </x:c>
      <x:c r="J1232" s="11" t="n">
        <x:f>IF(AND(Z1232="共同",ISNUMBER(F1232),ISNUMBER(M1232)),F1232-M1232,"")</x:f>
        <x:v>5.318806487557259</x:v>
      </x:c>
      <x:c r="K1232" s="13" t="n">
        <x:f>IF(AND(ISNUMBER(J1232),M1232&lt;&gt;0),J1232/M1232,"")</x:f>
        <x:v>0.3880758807588074</x:v>
      </x:c>
      <x:c r="L1232" s="10" t="str">
        <x:v>补货提醒</x:v>
      </x:c>
      <x:c r="M1232" s="11" t="n">
        <x:v>13.70558375634518</x:v>
      </x:c>
      <x:c r="N1232" s="10" t="n">
        <x:f>IF(AND(Z1232="共同",COUNT(H1232:I1232)=2),H1232-I1232,"")</x:f>
        <x:v>4</x:v>
      </x:c>
      <x:c r="O1232" s="10" t="n">
        <x:v>0</x:v>
      </x:c>
      <x:c r="P1232" s="10" t="n">
        <x:v>5</x:v>
      </x:c>
      <x:c r="Q1232" s="10" t="n">
        <x:v>9</x:v>
      </x:c>
      <x:c r="R1232" s="10" t="n">
        <x:v>20</x:v>
      </x:c>
      <x:c r="S1232" s="10" t="n">
        <x:v>15</x:v>
      </x:c>
      <x:c r="T1232" s="10" t="n">
        <x:v>1</x:v>
      </x:c>
      <x:c r="U1232" s="10" t="n">
        <x:f>IF(AND(ISNUMBER(X1232),X1232&gt;=0,Y1232&lt;&gt;1),X1232,"")</x:f>
        <x:v>13</x:v>
      </x:c>
      <x:c r="V1232" s="10" t="n">
        <x:v>0</x:v>
      </x:c>
      <x:c r="W1232" s="10" t="n">
        <x:v>0</x:v>
      </x:c>
      <x:c r="X1232" s="10" t="n">
        <x:v>13</x:v>
      </x:c>
      <x:c r="Y1232" s="3" t="n">
        <x:v>0</x:v>
      </x:c>
      <x:c r="Z1232" s="3" t="str">
        <x:v>共同</x:v>
      </x:c>
      <x:c r="AA1232" s="3" t="str">
        <x:v>在售</x:v>
      </x:c>
      <x:c r="AB1232" s="12" t="n">
        <x:f>IF(AND(Z1232="共同",ISNUMBER(G1232),ISNUMBER(AD1232)),G1232-AD1232,"")</x:f>
        <x:v>0.026666666666666727</x:v>
      </x:c>
      <x:c r="AC1232" s="3" t="str"/>
      <x:c r="AD1232" s="12" t="n">
        <x:v>0.6566666666666666</x:v>
      </x:c>
      <x:c r="AE1232" s="3" t="str">
        <x:v>[13120,"B06b-NDP0-9"]</x:v>
      </x:c>
      <x:c r="AF1232" t="n">
        <x:f>IF(ISNUMBER(H1232),1,0)</x:f>
        <x:v>1</x:v>
      </x:c>
      <x:c r="AG1232" t="n">
        <x:f>IF(ISNUMBER(I1232),1,0)</x:f>
        <x:v>1</x:v>
      </x:c>
      <x:c r="AH1232" t="str">
        <x:v>["B06b","B06b-NDP0","NDP0","裸色PU"]</x:v>
      </x:c>
      <x:c r="AI1232" t="n">
        <x:f>IF(ISNUMBER(G1232),1,0)</x:f>
        <x:v>1</x:v>
      </x:c>
      <x:c r="AJ1232" t="n">
        <x:f>IF(ISNUMBER(AD1232),1,0)</x:f>
        <x:v>1</x:v>
      </x:c>
    </x:row>
    <x:row r="1233" ht="30" customHeight="1">
      <x:c r="A1233" s="3" t="str">
        <x:v>B06b-NU-38.5</x:v>
      </x:c>
      <x:c r="B1233" s="3" t="str">
        <x:v>1店-MUSSHOE-US</x:v>
      </x:c>
      <x:c r="C1233" s="3" t="str">
        <x:v>艾年</x:v>
      </x:c>
      <x:c r="D1233" s="3" t="str">
        <x:v>B06b</x:v>
      </x:c>
      <x:c r="E1233" s="3" t="str">
        <x:f>IF(Z1233="移出","已移出",IF(NOT(ISNUMBER(H1233)),"数据待核",IF(H1233=0,"断货",IF(NOT(ISNUMBER(G1233)),"数据待核",IF(G1233=0,"零日销待复核",IF(F1233&lt;60,"补货提醒",IF(F1233&lt;=90,"正常库存",IF(F1233&lt;180,"促销",IF(F1233&lt;=365,"红线促销","考虑清仓")))))))))</x:f>
        <x:v>补货提醒</x:v>
      </x:c>
      <x:c r="F1233" s="11" t="n">
        <x:f>IF(AND(ISNUMBER(H1233),ISNUMBER(G1233),G1233&gt;0),H1233/G1233,"")</x:f>
        <x:v>3.6777583187390546</x:v>
      </x:c>
      <x:c r="G1233" s="12" t="n">
        <x:f>IF(AND(COUNT(P1233:R1233)=3,MIN(P1233:R1233)&gt;=0,P1233&lt;=Q1233,Q1233&lt;=R1233),P1233/7*0.5+Q1233/14*0.3+R1233/30*0.2,"")</x:f>
        <x:v>0.27190476190476187</x:v>
      </x:c>
      <x:c r="H1233" s="10" t="n">
        <x:f>IF(ISNUMBER(U1233),U1233,"")</x:f>
        <x:v>1</x:v>
      </x:c>
      <x:c r="I1233" s="10" t="n">
        <x:v>6</x:v>
      </x:c>
      <x:c r="J1233" s="11" t="n">
        <x:f>IF(AND(Z1233="共同",ISNUMBER(F1233),ISNUMBER(M1233)),F1233-M1233,"")</x:f>
        <x:v>-5.746325450894452</x:v>
      </x:c>
      <x:c r="K1233" s="13" t="n">
        <x:f>IF(AND(ISNUMBER(J1233),M1233&lt;&gt;0),J1233/M1233,"")</x:f>
        <x:v>-0.6097489784004669</x:v>
      </x:c>
      <x:c r="L1233" s="10" t="str">
        <x:v>补货提醒</x:v>
      </x:c>
      <x:c r="M1233" s="11" t="n">
        <x:v>9.424083769633507</x:v>
      </x:c>
      <x:c r="N1233" s="10" t="n">
        <x:f>IF(AND(Z1233="共同",COUNT(H1233:I1233)=2),H1233-I1233,"")</x:f>
        <x:v>-5</x:v>
      </x:c>
      <x:c r="O1233" s="10" t="n">
        <x:v>13</x:v>
      </x:c>
      <x:c r="P1233" s="10" t="n">
        <x:v>1</x:v>
      </x:c>
      <x:c r="Q1233" s="10" t="n">
        <x:v>5</x:v>
      </x:c>
      <x:c r="R1233" s="10" t="n">
        <x:v>14</x:v>
      </x:c>
      <x:c r="S1233" s="10" t="n">
        <x:v>3</x:v>
      </x:c>
      <x:c r="T1233" s="10" t="n">
        <x:v>0</x:v>
      </x:c>
      <x:c r="U1233" s="10" t="n">
        <x:f>IF(AND(ISNUMBER(X1233),X1233&gt;=0,Y1233&lt;&gt;1),X1233,"")</x:f>
        <x:v>1</x:v>
      </x:c>
      <x:c r="V1233" s="10" t="n">
        <x:v>0</x:v>
      </x:c>
      <x:c r="W1233" s="10" t="n">
        <x:v>20</x:v>
      </x:c>
      <x:c r="X1233" s="10" t="n">
        <x:v>1</x:v>
      </x:c>
      <x:c r="Y1233" s="3" t="n">
        <x:v>0</x:v>
      </x:c>
      <x:c r="Z1233" s="3" t="str">
        <x:v>共同</x:v>
      </x:c>
      <x:c r="AA1233" s="3" t="str">
        <x:v>在售</x:v>
      </x:c>
      <x:c r="AB1233" s="12" t="n">
        <x:f>IF(AND(Z1233="共同",ISNUMBER(G1233),ISNUMBER(AD1233)),G1233-AD1233,"")</x:f>
        <x:v>-0.36476190476190484</x:v>
      </x:c>
      <x:c r="AC1233" s="3" t="str"/>
      <x:c r="AD1233" s="12" t="n">
        <x:v>0.6366666666666667</x:v>
      </x:c>
      <x:c r="AE1233" s="3" t="str">
        <x:v>[13120,"B06b-NU-38.5"]</x:v>
      </x:c>
      <x:c r="AF1233" t="n">
        <x:f>IF(ISNUMBER(H1233),1,0)</x:f>
        <x:v>1</x:v>
      </x:c>
      <x:c r="AG1233" t="n">
        <x:f>IF(ISNUMBER(I1233),1,0)</x:f>
        <x:v>1</x:v>
      </x:c>
      <x:c r="AH1233" t="str">
        <x:v>["B06b","B06b-NU","NU","裸色羊京绒"]</x:v>
      </x:c>
      <x:c r="AI1233" t="n">
        <x:f>IF(ISNUMBER(G1233),1,0)</x:f>
        <x:v>1</x:v>
      </x:c>
      <x:c r="AJ1233" t="n">
        <x:f>IF(ISNUMBER(AD1233),1,0)</x:f>
        <x:v>1</x:v>
      </x:c>
    </x:row>
    <x:row r="1234" ht="30" customHeight="1">
      <x:c r="A1234" s="3" t="str">
        <x:v>B06b-NU-40</x:v>
      </x:c>
      <x:c r="B1234" s="3" t="str">
        <x:v>1店-MUSSHOE-US</x:v>
      </x:c>
      <x:c r="C1234" s="3" t="str">
        <x:v>艾年</x:v>
      </x:c>
      <x:c r="D1234" s="3" t="str">
        <x:v>B06b</x:v>
      </x:c>
      <x:c r="E1234" s="3" t="str">
        <x:f>IF(Z1234="移出","已移出",IF(NOT(ISNUMBER(H1234)),"数据待核",IF(H1234=0,"断货",IF(NOT(ISNUMBER(G1234)),"数据待核",IF(G1234=0,"零日销待复核",IF(F1234&lt;60,"补货提醒",IF(F1234&lt;=90,"正常库存",IF(F1234&lt;180,"促销",IF(F1234&lt;=365,"红线促销","考虑清仓")))))))))</x:f>
        <x:v>补货提醒</x:v>
      </x:c>
      <x:c r="F1234" s="11" t="n">
        <x:f>IF(AND(ISNUMBER(H1234),ISNUMBER(G1234),G1234&gt;0),H1234/G1234,"")</x:f>
        <x:v>11.229946524064172</x:v>
      </x:c>
      <x:c r="G1234" s="12" t="n">
        <x:f>IF(AND(COUNT(P1234:R1234)=3,MIN(P1234:R1234)&gt;=0,P1234&lt;=Q1234,Q1234&lt;=R1234),P1234/7*0.5+Q1234/14*0.3+R1234/30*0.2,"")</x:f>
        <x:v>0.8904761904761904</x:v>
      </x:c>
      <x:c r="H1234" s="10" t="n">
        <x:f>IF(ISNUMBER(U1234),U1234,"")</x:f>
        <x:v>10</x:v>
      </x:c>
      <x:c r="I1234" s="10" t="n">
        <x:v>24</x:v>
      </x:c>
      <x:c r="J1234" s="11" t="n">
        <x:f>IF(AND(Z1234="共同",ISNUMBER(F1234),ISNUMBER(M1234)),F1234-M1234,"")</x:f>
        <x:v>-38.474195487770146</x:v>
      </x:c>
      <x:c r="K1234" s="13" t="n">
        <x:f>IF(AND(ISNUMBER(J1234),M1234&lt;&gt;0),J1234/M1234,"")</x:f>
        <x:v>-0.7740641711229945</x:v>
      </x:c>
      <x:c r="L1234" s="10" t="str">
        <x:v>补货提醒</x:v>
      </x:c>
      <x:c r="M1234" s="11" t="n">
        <x:v>49.70414201183432</x:v>
      </x:c>
      <x:c r="N1234" s="10" t="n">
        <x:f>IF(AND(Z1234="共同",COUNT(H1234:I1234)=2),H1234-I1234,"")</x:f>
        <x:v>-14</x:v>
      </x:c>
      <x:c r="O1234" s="10" t="n">
        <x:v>0</x:v>
      </x:c>
      <x:c r="P1234" s="10" t="n">
        <x:v>7</x:v>
      </x:c>
      <x:c r="Q1234" s="10" t="n">
        <x:v>12</x:v>
      </x:c>
      <x:c r="R1234" s="10" t="n">
        <x:v>20</x:v>
      </x:c>
      <x:c r="S1234" s="10" t="n">
        <x:v>12</x:v>
      </x:c>
      <x:c r="T1234" s="10" t="n">
        <x:v>2</x:v>
      </x:c>
      <x:c r="U1234" s="10" t="n">
        <x:f>IF(AND(ISNUMBER(X1234),X1234&gt;=0,Y1234&lt;&gt;1),X1234,"")</x:f>
        <x:v>10</x:v>
      </x:c>
      <x:c r="V1234" s="10" t="n">
        <x:v>0</x:v>
      </x:c>
      <x:c r="W1234" s="10" t="n">
        <x:v>17</x:v>
      </x:c>
      <x:c r="X1234" s="10" t="n">
        <x:v>10</x:v>
      </x:c>
      <x:c r="Y1234" s="3" t="n">
        <x:v>0</x:v>
      </x:c>
      <x:c r="Z1234" s="3" t="str">
        <x:v>共同</x:v>
      </x:c>
      <x:c r="AA1234" s="3" t="str">
        <x:v>在售</x:v>
      </x:c>
      <x:c r="AB1234" s="12" t="n">
        <x:f>IF(AND(Z1234="共同",ISNUMBER(G1234),ISNUMBER(AD1234)),G1234-AD1234,"")</x:f>
        <x:v>0.4076190476190476</x:v>
      </x:c>
      <x:c r="AC1234" s="3" t="str"/>
      <x:c r="AD1234" s="12" t="n">
        <x:v>0.4828571428571428</x:v>
      </x:c>
      <x:c r="AE1234" s="3" t="str">
        <x:v>[13120,"B06b-NU-40"]</x:v>
      </x:c>
      <x:c r="AF1234" t="n">
        <x:f>IF(ISNUMBER(H1234),1,0)</x:f>
        <x:v>1</x:v>
      </x:c>
      <x:c r="AG1234" t="n">
        <x:f>IF(ISNUMBER(I1234),1,0)</x:f>
        <x:v>1</x:v>
      </x:c>
      <x:c r="AH1234" t="str">
        <x:v>["B06b","B06b-NU","NU","裸色羊京绒"]</x:v>
      </x:c>
      <x:c r="AI1234" t="n">
        <x:f>IF(ISNUMBER(G1234),1,0)</x:f>
        <x:v>1</x:v>
      </x:c>
      <x:c r="AJ1234" t="n">
        <x:f>IF(ISNUMBER(AD1234),1,0)</x:f>
        <x:v>1</x:v>
      </x:c>
    </x:row>
    <x:row r="1235" ht="30" customHeight="1">
      <x:c r="A1235" s="3" t="str">
        <x:v>B06b-NU-40.5</x:v>
      </x:c>
      <x:c r="B1235" s="3" t="str">
        <x:v>1店-MUSSHOE-US</x:v>
      </x:c>
      <x:c r="C1235" s="3" t="str">
        <x:v>艾年</x:v>
      </x:c>
      <x:c r="D1235" s="3" t="str">
        <x:v>B06b</x:v>
      </x:c>
      <x:c r="E1235" s="3" t="str">
        <x:f>IF(Z1235="移出","已移出",IF(NOT(ISNUMBER(H1235)),"数据待核",IF(H1235=0,"断货",IF(NOT(ISNUMBER(G1235)),"数据待核",IF(G1235=0,"零日销待复核",IF(F1235&lt;60,"补货提醒",IF(F1235&lt;=90,"正常库存",IF(F1235&lt;180,"促销",IF(F1235&lt;=365,"红线促销","考虑清仓")))))))))</x:f>
        <x:v>补货提醒</x:v>
      </x:c>
      <x:c r="F1235" s="11" t="n">
        <x:f>IF(AND(ISNUMBER(H1235),ISNUMBER(G1235),G1235&gt;0),H1235/G1235,"")</x:f>
        <x:v>26.94466720128308</x:v>
      </x:c>
      <x:c r="G1235" s="12" t="n">
        <x:f>IF(AND(COUNT(P1235:R1235)=3,MIN(P1235:R1235)&gt;=0,P1235&lt;=Q1235,Q1235&lt;=R1235),P1235/7*0.5+Q1235/14*0.3+R1235/30*0.2,"")</x:f>
        <x:v>0.5938095238095238</x:v>
      </x:c>
      <x:c r="H1235" s="10" t="n">
        <x:f>IF(ISNUMBER(U1235),U1235,"")</x:f>
        <x:v>16</x:v>
      </x:c>
      <x:c r="I1235" s="10" t="n">
        <x:v>11</x:v>
      </x:c>
      <x:c r="J1235" s="11" t="n">
        <x:f>IF(AND(Z1235="共同",ISNUMBER(F1235),ISNUMBER(M1235)),F1235-M1235,"")</x:f>
        <x:v>5.213717060173018</x:v>
      </x:c>
      <x:c r="K1235" s="13" t="n">
        <x:f>IF(AND(ISNUMBER(J1235),M1235&lt;&gt;0),J1235/M1235,"")</x:f>
        <x:v>0.2399212655828536</x:v>
      </x:c>
      <x:c r="L1235" s="10" t="str">
        <x:v>补货提醒</x:v>
      </x:c>
      <x:c r="M1235" s="11" t="n">
        <x:v>21.730950141110064</x:v>
      </x:c>
      <x:c r="N1235" s="10" t="n">
        <x:f>IF(AND(Z1235="共同",COUNT(H1235:I1235)=2),H1235-I1235,"")</x:f>
        <x:v>5</x:v>
      </x:c>
      <x:c r="O1235" s="10" t="n">
        <x:v>11</x:v>
      </x:c>
      <x:c r="P1235" s="10" t="n">
        <x:v>5</x:v>
      </x:c>
      <x:c r="Q1235" s="10" t="n">
        <x:v>7</x:v>
      </x:c>
      <x:c r="R1235" s="10" t="n">
        <x:v>13</x:v>
      </x:c>
      <x:c r="S1235" s="10" t="n">
        <x:v>17</x:v>
      </x:c>
      <x:c r="T1235" s="10" t="n">
        <x:v>0</x:v>
      </x:c>
      <x:c r="U1235" s="10" t="n">
        <x:f>IF(AND(ISNUMBER(X1235),X1235&gt;=0,Y1235&lt;&gt;1),X1235,"")</x:f>
        <x:v>16</x:v>
      </x:c>
      <x:c r="V1235" s="10" t="n">
        <x:v>6</x:v>
      </x:c>
      <x:c r="W1235" s="10" t="n">
        <x:v>28</x:v>
      </x:c>
      <x:c r="X1235" s="10" t="n">
        <x:v>16</x:v>
      </x:c>
      <x:c r="Y1235" s="3" t="n">
        <x:v>0</x:v>
      </x:c>
      <x:c r="Z1235" s="3" t="str">
        <x:v>共同</x:v>
      </x:c>
      <x:c r="AA1235" s="3" t="str">
        <x:v>在售</x:v>
      </x:c>
      <x:c r="AB1235" s="12" t="n">
        <x:f>IF(AND(Z1235="共同",ISNUMBER(G1235),ISNUMBER(AD1235)),G1235-AD1235,"")</x:f>
        <x:v>0.0876190476190476</x:v>
      </x:c>
      <x:c r="AC1235" s="3" t="str"/>
      <x:c r="AD1235" s="12" t="n">
        <x:v>0.5061904761904762</x:v>
      </x:c>
      <x:c r="AE1235" s="3" t="str">
        <x:v>[13120,"B06b-NU-40.5"]</x:v>
      </x:c>
      <x:c r="AF1235" t="n">
        <x:f>IF(ISNUMBER(H1235),1,0)</x:f>
        <x:v>1</x:v>
      </x:c>
      <x:c r="AG1235" t="n">
        <x:f>IF(ISNUMBER(I1235),1,0)</x:f>
        <x:v>1</x:v>
      </x:c>
      <x:c r="AH1235" t="str">
        <x:v>["B06b","B06b-NU","NU","裸色羊京绒"]</x:v>
      </x:c>
      <x:c r="AI1235" t="n">
        <x:f>IF(ISNUMBER(G1235),1,0)</x:f>
        <x:v>1</x:v>
      </x:c>
      <x:c r="AJ1235" t="n">
        <x:f>IF(ISNUMBER(AD1235),1,0)</x:f>
        <x:v>1</x:v>
      </x:c>
    </x:row>
    <x:row r="1236" ht="30" customHeight="1">
      <x:c r="A1236" s="3" t="str">
        <x:v>B06b-NY-37.5</x:v>
      </x:c>
      <x:c r="B1236" s="3" t="str">
        <x:v>1店-MUSSHOE-US</x:v>
      </x:c>
      <x:c r="C1236" s="3" t="str">
        <x:v>艾年</x:v>
      </x:c>
      <x:c r="D1236" s="3" t="str">
        <x:v>B06b</x:v>
      </x:c>
      <x:c r="E1236" s="3" t="str">
        <x:f>IF(Z1236="移出","已移出",IF(NOT(ISNUMBER(H1236)),"数据待核",IF(H1236=0,"断货",IF(NOT(ISNUMBER(G1236)),"数据待核",IF(G1236=0,"零日销待复核",IF(F1236&lt;60,"补货提醒",IF(F1236&lt;=90,"正常库存",IF(F1236&lt;180,"促销",IF(F1236&lt;=365,"红线促销","考虑清仓")))))))))</x:f>
        <x:v>补货提醒</x:v>
      </x:c>
      <x:c r="F1236" s="11" t="n">
        <x:f>IF(AND(ISNUMBER(H1236),ISNUMBER(G1236),G1236&gt;0),H1236/G1236,"")</x:f>
        <x:v>4.046242774566474</x:v>
      </x:c>
      <x:c r="G1236" s="12" t="n">
        <x:f>IF(AND(COUNT(P1236:R1236)=3,MIN(P1236:R1236)&gt;=0,P1236&lt;=Q1236,Q1236&lt;=R1236),P1236/7*0.5+Q1236/14*0.3+R1236/30*0.2,"")</x:f>
        <x:v>0.24714285714285714</x:v>
      </x:c>
      <x:c r="H1236" s="10" t="n">
        <x:f>IF(ISNUMBER(U1236),U1236,"")</x:f>
        <x:v>1</x:v>
      </x:c>
      <x:c r="I1236" s="10" t="n">
        <x:v>5</x:v>
      </x:c>
      <x:c r="J1236" s="11" t="n">
        <x:f>IF(AND(Z1236="共同",ISNUMBER(F1236),ISNUMBER(M1236)),F1236-M1236,"")</x:f>
        <x:v>-28.063848968552797</x:v>
      </x:c>
      <x:c r="K1236" s="13" t="n">
        <x:f>IF(AND(ISNUMBER(J1236),M1236&lt;&gt;0),J1236/M1236,"")</x:f>
        <x:v>-0.8739884393063584</x:v>
      </x:c>
      <x:c r="L1236" s="10" t="str">
        <x:v>补货提醒</x:v>
      </x:c>
      <x:c r="M1236" s="11" t="n">
        <x:v>32.11009174311927</x:v>
      </x:c>
      <x:c r="N1236" s="10" t="n">
        <x:f>IF(AND(Z1236="共同",COUNT(H1236:I1236)=2),H1236-I1236,"")</x:f>
        <x:v>-4</x:v>
      </x:c>
      <x:c r="O1236" s="10" t="n">
        <x:v>0</x:v>
      </x:c>
      <x:c r="P1236" s="10" t="n">
        <x:v>2</x:v>
      </x:c>
      <x:c r="Q1236" s="10" t="n">
        <x:v>3</x:v>
      </x:c>
      <x:c r="R1236" s="10" t="n">
        <x:v>6</x:v>
      </x:c>
      <x:c r="S1236" s="10" t="n">
        <x:v>1</x:v>
      </x:c>
      <x:c r="T1236" s="10" t="n">
        <x:v>0</x:v>
      </x:c>
      <x:c r="U1236" s="10" t="n">
        <x:f>IF(AND(ISNUMBER(X1236),X1236&gt;=0,Y1236&lt;&gt;1),X1236,"")</x:f>
        <x:v>1</x:v>
      </x:c>
      <x:c r="V1236" s="10" t="n">
        <x:v>0</x:v>
      </x:c>
      <x:c r="W1236" s="10" t="n">
        <x:v>0</x:v>
      </x:c>
      <x:c r="X1236" s="10" t="n">
        <x:v>1</x:v>
      </x:c>
      <x:c r="Y1236" s="3" t="n">
        <x:v>0</x:v>
      </x:c>
      <x:c r="Z1236" s="3" t="str">
        <x:v>共同</x:v>
      </x:c>
      <x:c r="AA1236" s="3" t="str">
        <x:v>在售</x:v>
      </x:c>
      <x:c r="AB1236" s="12" t="n">
        <x:f>IF(AND(Z1236="共同",ISNUMBER(G1236),ISNUMBER(AD1236)),G1236-AD1236,"")</x:f>
        <x:v>0.09142857142857144</x:v>
      </x:c>
      <x:c r="AC1236" s="3" t="str"/>
      <x:c r="AD1236" s="12" t="n">
        <x:v>0.1557142857142857</x:v>
      </x:c>
      <x:c r="AE1236" s="3" t="str">
        <x:v>[13120,"B06b-NY-37.5"]</x:v>
      </x:c>
      <x:c r="AF1236" t="n">
        <x:f>IF(ISNUMBER(H1236),1,0)</x:f>
        <x:v>1</x:v>
      </x:c>
      <x:c r="AG1236" t="n">
        <x:f>IF(ISNUMBER(I1236),1,0)</x:f>
        <x:v>1</x:v>
      </x:c>
      <x:c r="AH1236" t="str">
        <x:v>["B06b","B06b-NY","NY","藏青色羊京绒"]</x:v>
      </x:c>
      <x:c r="AI1236" t="n">
        <x:f>IF(ISNUMBER(G1236),1,0)</x:f>
        <x:v>1</x:v>
      </x:c>
      <x:c r="AJ1236" t="n">
        <x:f>IF(ISNUMBER(AD1236),1,0)</x:f>
        <x:v>1</x:v>
      </x:c>
    </x:row>
    <x:row r="1237" ht="30" customHeight="1">
      <x:c r="A1237" s="3" t="str">
        <x:v>B06b-RD-40</x:v>
      </x:c>
      <x:c r="B1237" s="3" t="str">
        <x:v>1店-MUSSHOE-US</x:v>
      </x:c>
      <x:c r="C1237" s="3" t="str">
        <x:v>艾年</x:v>
      </x:c>
      <x:c r="D1237" s="3" t="str">
        <x:v>B06b</x:v>
      </x:c>
      <x:c r="E1237" s="3" t="str">
        <x:f>IF(Z1237="移出","已移出",IF(NOT(ISNUMBER(H1237)),"数据待核",IF(H1237=0,"断货",IF(NOT(ISNUMBER(G1237)),"数据待核",IF(G1237=0,"零日销待复核",IF(F1237&lt;60,"补货提醒",IF(F1237&lt;=90,"正常库存",IF(F1237&lt;180,"促销",IF(F1237&lt;=365,"红线促销","考虑清仓")))))))))</x:f>
        <x:v>补货提醒</x:v>
      </x:c>
      <x:c r="F1237" s="11" t="n">
        <x:f>IF(AND(ISNUMBER(H1237),ISNUMBER(G1237),G1237&gt;0),H1237/G1237,"")</x:f>
        <x:v>47.08520179372198</x:v>
      </x:c>
      <x:c r="G1237" s="12" t="n">
        <x:f>IF(AND(COUNT(P1237:R1237)=3,MIN(P1237:R1237)&gt;=0,P1237&lt;=Q1237,Q1237&lt;=R1237),P1237/7*0.5+Q1237/14*0.3+R1237/30*0.2,"")</x:f>
        <x:v>0.10619047619047618</x:v>
      </x:c>
      <x:c r="H1237" s="10" t="n">
        <x:f>IF(ISNUMBER(U1237),U1237,"")</x:f>
        <x:v>5</x:v>
      </x:c>
      <x:c r="I1237" s="10" t="n">
        <x:v>7</x:v>
      </x:c>
      <x:c r="J1237" s="11" t="n">
        <x:f>IF(AND(Z1237="共同",ISNUMBER(F1237),ISNUMBER(M1237)),F1237-M1237,"")</x:f>
        <x:v>-80.74088516279977</x:v>
      </x:c>
      <x:c r="K1237" s="13" t="n">
        <x:f>IF(AND(ISNUMBER(J1237),M1237&lt;&gt;0),J1237/M1237,"")</x:f>
        <x:v>-0.6316463805253043</x:v>
      </x:c>
      <x:c r="L1237" s="10" t="str">
        <x:v>促销</x:v>
      </x:c>
      <x:c r="M1237" s="11" t="n">
        <x:v>127.82608695652175</x:v>
      </x:c>
      <x:c r="N1237" s="10" t="n">
        <x:f>IF(AND(Z1237="共同",COUNT(H1237:I1237)=2),H1237-I1237,"")</x:f>
        <x:v>-2</x:v>
      </x:c>
      <x:c r="O1237" s="10" t="n">
        <x:v>0</x:v>
      </x:c>
      <x:c r="P1237" s="10" t="n">
        <x:v>1</x:v>
      </x:c>
      <x:c r="Q1237" s="10" t="n">
        <x:v>1</x:v>
      </x:c>
      <x:c r="R1237" s="10" t="n">
        <x:v>2</x:v>
      </x:c>
      <x:c r="S1237" s="10" t="n">
        <x:v>7</x:v>
      </x:c>
      <x:c r="T1237" s="10" t="n">
        <x:v>1</x:v>
      </x:c>
      <x:c r="U1237" s="10" t="n">
        <x:f>IF(AND(ISNUMBER(X1237),X1237&gt;=0,Y1237&lt;&gt;1),X1237,"")</x:f>
        <x:v>5</x:v>
      </x:c>
      <x:c r="V1237" s="10" t="n">
        <x:v>0</x:v>
      </x:c>
      <x:c r="W1237" s="10" t="n">
        <x:v>0</x:v>
      </x:c>
      <x:c r="X1237" s="10" t="n">
        <x:v>5</x:v>
      </x:c>
      <x:c r="Y1237" s="3" t="n">
        <x:v>0</x:v>
      </x:c>
      <x:c r="Z1237" s="3" t="str">
        <x:v>共同</x:v>
      </x:c>
      <x:c r="AA1237" s="3" t="str">
        <x:v>在售</x:v>
      </x:c>
      <x:c r="AB1237" s="12" t="n">
        <x:f>IF(AND(Z1237="共同",ISNUMBER(G1237),ISNUMBER(AD1237)),G1237-AD1237,"")</x:f>
        <x:v>0.05142857142857143</x:v>
      </x:c>
      <x:c r="AC1237" s="3" t="str"/>
      <x:c r="AD1237" s="12" t="n">
        <x:v>0.054761904761904755</x:v>
      </x:c>
      <x:c r="AE1237" s="3" t="str">
        <x:v>[13120,"B06b-RD-40"]</x:v>
      </x:c>
      <x:c r="AF1237" t="n">
        <x:f>IF(ISNUMBER(H1237),1,0)</x:f>
        <x:v>1</x:v>
      </x:c>
      <x:c r="AG1237" t="n">
        <x:f>IF(ISNUMBER(I1237),1,0)</x:f>
        <x:v>1</x:v>
      </x:c>
      <x:c r="AH1237" t="str">
        <x:v>["B06b","B06b-RD","RD","大红色羊京绒"]</x:v>
      </x:c>
      <x:c r="AI1237" t="n">
        <x:f>IF(ISNUMBER(G1237),1,0)</x:f>
        <x:v>1</x:v>
      </x:c>
      <x:c r="AJ1237" t="n">
        <x:f>IF(ISNUMBER(AD1237),1,0)</x:f>
        <x:v>1</x:v>
      </x:c>
    </x:row>
    <x:row r="1238" ht="30" customHeight="1">
      <x:c r="A1238" s="3" t="str">
        <x:v>B07-BG-37-by</x:v>
      </x:c>
      <x:c r="B1238" s="3" t="str">
        <x:v>4店-彬郁-US</x:v>
      </x:c>
      <x:c r="C1238" s="3" t="str">
        <x:v>艾年</x:v>
      </x:c>
      <x:c r="D1238" s="3" t="str">
        <x:v>B07</x:v>
      </x:c>
      <x:c r="E1238" s="3" t="str">
        <x:f>IF(Z1238="移出","已移出",IF(NOT(ISNUMBER(H1238)),"数据待核",IF(H1238=0,"断货",IF(NOT(ISNUMBER(G1238)),"数据待核",IF(G1238=0,"零日销待复核",IF(F1238&lt;60,"补货提醒",IF(F1238&lt;=90,"正常库存",IF(F1238&lt;180,"促销",IF(F1238&lt;=365,"红线促销","考虑清仓")))))))))</x:f>
        <x:v>补货提醒</x:v>
      </x:c>
      <x:c r="F1238" s="11" t="n">
        <x:f>IF(AND(ISNUMBER(H1238),ISNUMBER(G1238),G1238&gt;0),H1238/G1238,"")</x:f>
        <x:v>23.507462686567166</x:v>
      </x:c>
      <x:c r="G1238" s="12" t="n">
        <x:f>IF(AND(COUNT(P1238:R1238)=3,MIN(P1238:R1238)&gt;=0,P1238&lt;=Q1238,Q1238&lt;=R1238),P1238/7*0.5+Q1238/14*0.3+R1238/30*0.2,"")</x:f>
        <x:v>0.1276190476190476</x:v>
      </x:c>
      <x:c r="H1238" s="10" t="n">
        <x:f>IF(ISNUMBER(U1238),U1238,"")</x:f>
        <x:v>3</x:v>
      </x:c>
      <x:c r="I1238" s="10" t="n">
        <x:v>3</x:v>
      </x:c>
      <x:c r="J1238" s="11" t="n">
        <x:f>IF(AND(Z1238="共同",ISNUMBER(F1238),ISNUMBER(M1238)),F1238-M1238,"")</x:f>
        <x:v>-88.99253731343285</x:v>
      </x:c>
      <x:c r="K1238" s="13" t="n">
        <x:f>IF(AND(ISNUMBER(J1238),M1238&lt;&gt;0),J1238/M1238,"")</x:f>
        <x:v>-0.791044776119403</x:v>
      </x:c>
      <x:c r="L1238" s="10" t="str">
        <x:v>促销</x:v>
      </x:c>
      <x:c r="M1238" s="11" t="n">
        <x:v>112.50000000000001</x:v>
      </x:c>
      <x:c r="N1238" s="10" t="n">
        <x:f>IF(AND(Z1238="共同",COUNT(H1238:I1238)=2),H1238-I1238,"")</x:f>
        <x:v>0</x:v>
      </x:c>
      <x:c r="O1238" s="10" t="n">
        <x:v>0</x:v>
      </x:c>
      <x:c r="P1238" s="10" t="n">
        <x:v>1</x:v>
      </x:c>
      <x:c r="Q1238" s="10" t="n">
        <x:v>2</x:v>
      </x:c>
      <x:c r="R1238" s="10" t="n">
        <x:v>2</x:v>
      </x:c>
      <x:c r="S1238" s="10" t="n">
        <x:v>3</x:v>
      </x:c>
      <x:c r="T1238" s="10" t="n">
        <x:v>0</x:v>
      </x:c>
      <x:c r="U1238" s="10" t="n">
        <x:f>IF(AND(ISNUMBER(X1238),X1238&gt;=0,Y1238&lt;&gt;1),X1238,"")</x:f>
        <x:v>3</x:v>
      </x:c>
      <x:c r="V1238" s="10" t="n">
        <x:v>0</x:v>
      </x:c>
      <x:c r="W1238" s="10" t="n">
        <x:v>0</x:v>
      </x:c>
      <x:c r="X1238" s="10" t="n">
        <x:v>3</x:v>
      </x:c>
      <x:c r="Y1238" s="3" t="n">
        <x:v>0</x:v>
      </x:c>
      <x:c r="Z1238" s="3" t="str">
        <x:v>共同</x:v>
      </x:c>
      <x:c r="AA1238" s="3" t="str">
        <x:v>在售</x:v>
      </x:c>
      <x:c r="AB1238" s="12" t="n">
        <x:f>IF(AND(Z1238="共同",ISNUMBER(G1238),ISNUMBER(AD1238)),G1238-AD1238,"")</x:f>
        <x:v>0.10095238095238093</x:v>
      </x:c>
      <x:c r="AC1238" s="3" t="str"/>
      <x:c r="AD1238" s="12" t="n">
        <x:v>0.026666666666666665</x:v>
      </x:c>
      <x:c r="AE1238" s="3" t="str">
        <x:v>[13306,"B07-BG-37-by"]</x:v>
      </x:c>
      <x:c r="AF1238" t="n">
        <x:f>IF(ISNUMBER(H1238),1,0)</x:f>
        <x:v>1</x:v>
      </x:c>
      <x:c r="AG1238" t="n">
        <x:f>IF(ISNUMBER(I1238),1,0)</x:f>
        <x:v>1</x:v>
      </x:c>
      <x:c r="AH1238" t="str">
        <x:v>["B07","B07-BG","BG","米色羊京绒"]</x:v>
      </x:c>
      <x:c r="AI1238" t="n">
        <x:f>IF(ISNUMBER(G1238),1,0)</x:f>
        <x:v>1</x:v>
      </x:c>
      <x:c r="AJ1238" t="n">
        <x:f>IF(ISNUMBER(AD1238),1,0)</x:f>
        <x:v>1</x:v>
      </x:c>
    </x:row>
    <x:row r="1239" ht="30" customHeight="1">
      <x:c r="A1239" s="3" t="str">
        <x:v>B07-BG-38.5</x:v>
      </x:c>
      <x:c r="B1239" s="3" t="str">
        <x:v>4店-彬郁-US</x:v>
      </x:c>
      <x:c r="C1239" s="3" t="str">
        <x:v>艾年</x:v>
      </x:c>
      <x:c r="D1239" s="3" t="str">
        <x:v>B07</x:v>
      </x:c>
      <x:c r="E1239" s="3" t="str">
        <x:f>IF(Z1239="移出","已移出",IF(NOT(ISNUMBER(H1239)),"数据待核",IF(H1239=0,"断货",IF(NOT(ISNUMBER(G1239)),"数据待核",IF(G1239=0,"零日销待复核",IF(F1239&lt;60,"补货提醒",IF(F1239&lt;=90,"正常库存",IF(F1239&lt;180,"促销",IF(F1239&lt;=365,"红线促销","考虑清仓")))))))))</x:f>
        <x:v>补货提醒</x:v>
      </x:c>
      <x:c r="F1239" s="11" t="n">
        <x:f>IF(AND(ISNUMBER(H1239),ISNUMBER(G1239),G1239&gt;0),H1239/G1239,"")</x:f>
        <x:v>12.883435582822088</x:v>
      </x:c>
      <x:c r="G1239" s="12" t="n">
        <x:f>IF(AND(COUNT(P1239:R1239)=3,MIN(P1239:R1239)&gt;=0,P1239&lt;=Q1239,Q1239&lt;=R1239),P1239/7*0.5+Q1239/14*0.3+R1239/30*0.2,"")</x:f>
        <x:v>0.38809523809523805</x:v>
      </x:c>
      <x:c r="H1239" s="10" t="n">
        <x:f>IF(ISNUMBER(U1239),U1239,"")</x:f>
        <x:v>5</x:v>
      </x:c>
      <x:c r="I1239" s="10" t="n">
        <x:v>9</x:v>
      </x:c>
      <x:c r="J1239" s="11" t="n">
        <x:f>IF(AND(Z1239="共同",ISNUMBER(F1239),ISNUMBER(M1239)),F1239-M1239,"")</x:f>
        <x:v>-15.53761704875686</x:v>
      </x:c>
      <x:c r="K1239" s="13" t="n">
        <x:f>IF(AND(ISNUMBER(J1239),M1239&lt;&gt;0),J1239/M1239,"")</x:f>
        <x:v>-0.5466939331970007</x:v>
      </x:c>
      <x:c r="L1239" s="10" t="str">
        <x:v>补货提醒</x:v>
      </x:c>
      <x:c r="M1239" s="11" t="n">
        <x:v>28.42105263157895</x:v>
      </x:c>
      <x:c r="N1239" s="10" t="n">
        <x:f>IF(AND(Z1239="共同",COUNT(H1239:I1239)=2),H1239-I1239,"")</x:f>
        <x:v>-4</x:v>
      </x:c>
      <x:c r="O1239" s="10" t="n">
        <x:v>0</x:v>
      </x:c>
      <x:c r="P1239" s="10" t="n">
        <x:v>3</x:v>
      </x:c>
      <x:c r="Q1239" s="10" t="n">
        <x:v>5</x:v>
      </x:c>
      <x:c r="R1239" s="10" t="n">
        <x:v>10</x:v>
      </x:c>
      <x:c r="S1239" s="10" t="n">
        <x:v>5</x:v>
      </x:c>
      <x:c r="T1239" s="10" t="n">
        <x:v>0</x:v>
      </x:c>
      <x:c r="U1239" s="10" t="n">
        <x:f>IF(AND(ISNUMBER(X1239),X1239&gt;=0,Y1239&lt;&gt;1),X1239,"")</x:f>
        <x:v>5</x:v>
      </x:c>
      <x:c r="V1239" s="10" t="n">
        <x:v>0</x:v>
      </x:c>
      <x:c r="W1239" s="10" t="n">
        <x:v>18</x:v>
      </x:c>
      <x:c r="X1239" s="10" t="n">
        <x:v>5</x:v>
      </x:c>
      <x:c r="Y1239" s="3" t="n">
        <x:v>0</x:v>
      </x:c>
      <x:c r="Z1239" s="3" t="str">
        <x:v>共同</x:v>
      </x:c>
      <x:c r="AA1239" s="3" t="str">
        <x:v>在售</x:v>
      </x:c>
      <x:c r="AB1239" s="12" t="n">
        <x:f>IF(AND(Z1239="共同",ISNUMBER(G1239),ISNUMBER(AD1239)),G1239-AD1239,"")</x:f>
        <x:v>0.0714285714285714</x:v>
      </x:c>
      <x:c r="AC1239" s="3" t="str"/>
      <x:c r="AD1239" s="12" t="n">
        <x:v>0.31666666666666665</x:v>
      </x:c>
      <x:c r="AE1239" s="3" t="str">
        <x:v>[13306,"B07-BG-38.5"]</x:v>
      </x:c>
      <x:c r="AF1239" t="n">
        <x:f>IF(ISNUMBER(H1239),1,0)</x:f>
        <x:v>1</x:v>
      </x:c>
      <x:c r="AG1239" t="n">
        <x:f>IF(ISNUMBER(I1239),1,0)</x:f>
        <x:v>1</x:v>
      </x:c>
      <x:c r="AH1239" t="str">
        <x:v>["B07","B07-BG","BG","米色羊京绒"]</x:v>
      </x:c>
      <x:c r="AI1239" t="n">
        <x:f>IF(ISNUMBER(G1239),1,0)</x:f>
        <x:v>1</x:v>
      </x:c>
      <x:c r="AJ1239" t="n">
        <x:f>IF(ISNUMBER(AD1239),1,0)</x:f>
        <x:v>1</x:v>
      </x:c>
    </x:row>
    <x:row r="1240" ht="30" customHeight="1">
      <x:c r="A1240" s="3" t="str">
        <x:v>B07-BG-39.5</x:v>
      </x:c>
      <x:c r="B1240" s="3" t="str">
        <x:v>4店-彬郁-US</x:v>
      </x:c>
      <x:c r="C1240" s="3" t="str">
        <x:v>艾年</x:v>
      </x:c>
      <x:c r="D1240" s="3" t="str">
        <x:v>B07</x:v>
      </x:c>
      <x:c r="E1240" s="3" t="str">
        <x:f>IF(Z1240="移出","已移出",IF(NOT(ISNUMBER(H1240)),"数据待核",IF(H1240=0,"断货",IF(NOT(ISNUMBER(G1240)),"数据待核",IF(G1240=0,"零日销待复核",IF(F1240&lt;60,"补货提醒",IF(F1240&lt;=90,"正常库存",IF(F1240&lt;180,"促销",IF(F1240&lt;=365,"红线促销","考虑清仓")))))))))</x:f>
        <x:v>补货提醒</x:v>
      </x:c>
      <x:c r="F1240" s="11" t="n">
        <x:f>IF(AND(ISNUMBER(H1240),ISNUMBER(G1240),G1240&gt;0),H1240/G1240,"")</x:f>
        <x:v>12.27173119065011</x:v>
      </x:c>
      <x:c r="G1240" s="12" t="n">
        <x:f>IF(AND(COUNT(P1240:R1240)=3,MIN(P1240:R1240)&gt;=0,P1240&lt;=Q1240,Q1240&lt;=R1240),P1240/7*0.5+Q1240/14*0.3+R1240/30*0.2,"")</x:f>
        <x:v>0.6519047619047619</x:v>
      </x:c>
      <x:c r="H1240" s="10" t="n">
        <x:f>IF(ISNUMBER(U1240),U1240,"")</x:f>
        <x:v>8</x:v>
      </x:c>
      <x:c r="I1240" s="10" t="n">
        <x:v>10</x:v>
      </x:c>
      <x:c r="J1240" s="11" t="n">
        <x:f>IF(AND(Z1240="共同",ISNUMBER(F1240),ISNUMBER(M1240)),F1240-M1240,"")</x:f>
        <x:v>-16.03015560180272</x:v>
      </x:c>
      <x:c r="K1240" s="13" t="n">
        <x:f>IF(AND(ISNUMBER(J1240),M1240&lt;&gt;0),J1240/M1240,"")</x:f>
        <x:v>-0.5663988312636961</x:v>
      </x:c>
      <x:c r="L1240" s="10" t="str">
        <x:v>补货提醒</x:v>
      </x:c>
      <x:c r="M1240" s="11" t="n">
        <x:v>28.30188679245283</x:v>
      </x:c>
      <x:c r="N1240" s="10" t="n">
        <x:f>IF(AND(Z1240="共同",COUNT(H1240:I1240)=2),H1240-I1240,"")</x:f>
        <x:v>-2</x:v>
      </x:c>
      <x:c r="O1240" s="10" t="n">
        <x:v>0</x:v>
      </x:c>
      <x:c r="P1240" s="10" t="n">
        <x:v>6</x:v>
      </x:c>
      <x:c r="Q1240" s="10" t="n">
        <x:v>7</x:v>
      </x:c>
      <x:c r="R1240" s="10" t="n">
        <x:v>11</x:v>
      </x:c>
      <x:c r="S1240" s="10" t="n">
        <x:v>12</x:v>
      </x:c>
      <x:c r="T1240" s="10" t="n">
        <x:v>0</x:v>
      </x:c>
      <x:c r="U1240" s="10" t="n">
        <x:f>IF(AND(ISNUMBER(X1240),X1240&gt;=0,Y1240&lt;&gt;1),X1240,"")</x:f>
        <x:v>8</x:v>
      </x:c>
      <x:c r="V1240" s="10" t="n">
        <x:v>0</x:v>
      </x:c>
      <x:c r="W1240" s="10" t="n">
        <x:v>23</x:v>
      </x:c>
      <x:c r="X1240" s="10" t="n">
        <x:v>8</x:v>
      </x:c>
      <x:c r="Y1240" s="3" t="n">
        <x:v>0</x:v>
      </x:c>
      <x:c r="Z1240" s="3" t="str">
        <x:v>共同</x:v>
      </x:c>
      <x:c r="AA1240" s="3" t="str">
        <x:v>在售</x:v>
      </x:c>
      <x:c r="AB1240" s="12" t="n">
        <x:f>IF(AND(Z1240="共同",ISNUMBER(G1240),ISNUMBER(AD1240)),G1240-AD1240,"")</x:f>
        <x:v>0.29857142857142854</x:v>
      </x:c>
      <x:c r="AC1240" s="3" t="str"/>
      <x:c r="AD1240" s="12" t="n">
        <x:v>0.35333333333333333</x:v>
      </x:c>
      <x:c r="AE1240" s="3" t="str">
        <x:v>[13306,"B07-BG-39.5"]</x:v>
      </x:c>
      <x:c r="AF1240" t="n">
        <x:f>IF(ISNUMBER(H1240),1,0)</x:f>
        <x:v>1</x:v>
      </x:c>
      <x:c r="AG1240" t="n">
        <x:f>IF(ISNUMBER(I1240),1,0)</x:f>
        <x:v>1</x:v>
      </x:c>
      <x:c r="AH1240" t="str">
        <x:v>["B07","B07-BG","BG","米色羊京绒"]</x:v>
      </x:c>
      <x:c r="AI1240" t="n">
        <x:f>IF(ISNUMBER(G1240),1,0)</x:f>
        <x:v>1</x:v>
      </x:c>
      <x:c r="AJ1240" t="n">
        <x:f>IF(ISNUMBER(AD1240),1,0)</x:f>
        <x:v>1</x:v>
      </x:c>
    </x:row>
    <x:row r="1241" ht="30" customHeight="1">
      <x:c r="A1241" s="3" t="str">
        <x:v>B07-BGP-40.5</x:v>
      </x:c>
      <x:c r="B1241" s="3" t="str">
        <x:v>4店-彬郁-US</x:v>
      </x:c>
      <x:c r="C1241" s="3" t="str">
        <x:v>艾年</x:v>
      </x:c>
      <x:c r="D1241" s="3" t="str">
        <x:v>B07</x:v>
      </x:c>
      <x:c r="E1241" s="3" t="str">
        <x:f>IF(Z1241="移出","已移出",IF(NOT(ISNUMBER(H1241)),"数据待核",IF(H1241=0,"断货",IF(NOT(ISNUMBER(G1241)),"数据待核",IF(G1241=0,"零日销待复核",IF(F1241&lt;60,"补货提醒",IF(F1241&lt;=90,"正常库存",IF(F1241&lt;180,"促销",IF(F1241&lt;=365,"红线促销","考虑清仓")))))))))</x:f>
        <x:v>补货提醒</x:v>
      </x:c>
      <x:c r="F1241" s="11" t="n">
        <x:f>IF(AND(ISNUMBER(H1241),ISNUMBER(G1241),G1241&gt;0),H1241/G1241,"")</x:f>
        <x:v>47.01492537313433</x:v>
      </x:c>
      <x:c r="G1241" s="12" t="n">
        <x:f>IF(AND(COUNT(P1241:R1241)=3,MIN(P1241:R1241)&gt;=0,P1241&lt;=Q1241,Q1241&lt;=R1241),P1241/7*0.5+Q1241/14*0.3+R1241/30*0.2,"")</x:f>
        <x:v>0.1276190476190476</x:v>
      </x:c>
      <x:c r="H1241" s="10" t="n">
        <x:f>IF(ISNUMBER(U1241),U1241,"")</x:f>
        <x:v>6</x:v>
      </x:c>
      <x:c r="I1241" s="10" t="n">
        <x:v>9</x:v>
      </x:c>
      <x:c r="J1241" s="11" t="n">
        <x:f>IF(AND(Z1241="共同",ISNUMBER(F1241),ISNUMBER(M1241)),F1241-M1241,"")</x:f>
        <x:v>-627.9850746268656</x:v>
      </x:c>
      <x:c r="K1241" s="13" t="n">
        <x:f>IF(AND(ISNUMBER(J1241),M1241&lt;&gt;0),J1241/M1241,"")</x:f>
        <x:v>-0.9303482587064676</x:v>
      </x:c>
      <x:c r="L1241" s="10" t="str">
        <x:v>考虑清仓</x:v>
      </x:c>
      <x:c r="M1241" s="11" t="n">
        <x:v>675</x:v>
      </x:c>
      <x:c r="N1241" s="10" t="n">
        <x:f>IF(AND(Z1241="共同",COUNT(H1241:I1241)=2),H1241-I1241,"")</x:f>
        <x:v>-3</x:v>
      </x:c>
      <x:c r="O1241" s="10" t="n">
        <x:v>0</x:v>
      </x:c>
      <x:c r="P1241" s="10" t="n">
        <x:v>1</x:v>
      </x:c>
      <x:c r="Q1241" s="10" t="n">
        <x:v>2</x:v>
      </x:c>
      <x:c r="R1241" s="10" t="n">
        <x:v>2</x:v>
      </x:c>
      <x:c r="S1241" s="10" t="n">
        <x:v>6</x:v>
      </x:c>
      <x:c r="T1241" s="10" t="n">
        <x:v>0</x:v>
      </x:c>
      <x:c r="U1241" s="10" t="n">
        <x:f>IF(AND(ISNUMBER(X1241),X1241&gt;=0,Y1241&lt;&gt;1),X1241,"")</x:f>
        <x:v>6</x:v>
      </x:c>
      <x:c r="V1241" s="10" t="n">
        <x:v>0</x:v>
      </x:c>
      <x:c r="W1241" s="10" t="n">
        <x:v>0</x:v>
      </x:c>
      <x:c r="X1241" s="10" t="n">
        <x:v>6</x:v>
      </x:c>
      <x:c r="Y1241" s="3" t="n">
        <x:v>0</x:v>
      </x:c>
      <x:c r="Z1241" s="3" t="str">
        <x:v>共同</x:v>
      </x:c>
      <x:c r="AA1241" s="3" t="str">
        <x:v>在售</x:v>
      </x:c>
      <x:c r="AB1241" s="12" t="n">
        <x:f>IF(AND(Z1241="共同",ISNUMBER(G1241),ISNUMBER(AD1241)),G1241-AD1241,"")</x:f>
        <x:v>0.11428571428571427</x:v>
      </x:c>
      <x:c r="AC1241" s="3" t="str"/>
      <x:c r="AD1241" s="12" t="n">
        <x:v>0.013333333333333332</x:v>
      </x:c>
      <x:c r="AE1241" s="3" t="str">
        <x:v>[13306,"B07-BGP-40.5"]</x:v>
      </x:c>
      <x:c r="AF1241" t="n">
        <x:f>IF(ISNUMBER(H1241),1,0)</x:f>
        <x:v>1</x:v>
      </x:c>
      <x:c r="AG1241" t="n">
        <x:f>IF(ISNUMBER(I1241),1,0)</x:f>
        <x:v>1</x:v>
      </x:c>
      <x:c r="AH1241" t="str">
        <x:v>["B07","B07-BGP","BGP","米色PU"]</x:v>
      </x:c>
      <x:c r="AI1241" t="n">
        <x:f>IF(ISNUMBER(G1241),1,0)</x:f>
        <x:v>1</x:v>
      </x:c>
      <x:c r="AJ1241" t="n">
        <x:f>IF(ISNUMBER(AD1241),1,0)</x:f>
        <x:v>1</x:v>
      </x:c>
    </x:row>
    <x:row r="1242" ht="30" customHeight="1">
      <x:c r="A1242" s="3" t="str">
        <x:v>B07-BK-37-by</x:v>
      </x:c>
      <x:c r="B1242" s="3" t="str">
        <x:v>4店-彬郁-US</x:v>
      </x:c>
      <x:c r="C1242" s="3" t="str">
        <x:v>艾年</x:v>
      </x:c>
      <x:c r="D1242" s="3" t="str">
        <x:v>B07</x:v>
      </x:c>
      <x:c r="E1242" s="3" t="str">
        <x:f>IF(Z1242="移出","已移出",IF(NOT(ISNUMBER(H1242)),"数据待核",IF(H1242=0,"断货",IF(NOT(ISNUMBER(G1242)),"数据待核",IF(G1242=0,"零日销待复核",IF(F1242&lt;60,"补货提醒",IF(F1242&lt;=90,"正常库存",IF(F1242&lt;180,"促销",IF(F1242&lt;=365,"红线促销","考虑清仓")))))))))</x:f>
        <x:v>补货提醒</x:v>
      </x:c>
      <x:c r="F1242" s="11" t="n">
        <x:f>IF(AND(ISNUMBER(H1242),ISNUMBER(G1242),G1242&gt;0),H1242/G1242,"")</x:f>
        <x:v>29.577464788732396</x:v>
      </x:c>
      <x:c r="G1242" s="12" t="n">
        <x:f>IF(AND(COUNT(P1242:R1242)=3,MIN(P1242:R1242)&gt;=0,P1242&lt;=Q1242,Q1242&lt;=R1242),P1242/7*0.5+Q1242/14*0.3+R1242/30*0.2,"")</x:f>
        <x:v>0.16904761904761903</x:v>
      </x:c>
      <x:c r="H1242" s="10" t="n">
        <x:f>IF(ISNUMBER(U1242),U1242,"")</x:f>
        <x:v>5</x:v>
      </x:c>
      <x:c r="I1242" s="10" t="n">
        <x:v>8</x:v>
      </x:c>
      <x:c r="J1242" s="11" t="n">
        <x:f>IF(AND(Z1242="共同",ISNUMBER(F1242),ISNUMBER(M1242)),F1242-M1242,"")</x:f>
        <x:v>-9.311424100156497</x:v>
      </x:c>
      <x:c r="K1242" s="13" t="n">
        <x:f>IF(AND(ISNUMBER(J1242),M1242&lt;&gt;0),J1242/M1242,"")</x:f>
        <x:v>-0.2394366197183099</x:v>
      </x:c>
      <x:c r="L1242" s="10" t="str">
        <x:v>补货提醒</x:v>
      </x:c>
      <x:c r="M1242" s="11" t="n">
        <x:v>38.88888888888889</x:v>
      </x:c>
      <x:c r="N1242" s="10" t="n">
        <x:f>IF(AND(Z1242="共同",COUNT(H1242:I1242)=2),H1242-I1242,"")</x:f>
        <x:v>-3</x:v>
      </x:c>
      <x:c r="O1242" s="10" t="n">
        <x:v>38</x:v>
      </x:c>
      <x:c r="P1242" s="10" t="n">
        <x:v>1</x:v>
      </x:c>
      <x:c r="Q1242" s="10" t="n">
        <x:v>3</x:v>
      </x:c>
      <x:c r="R1242" s="10" t="n">
        <x:v>5</x:v>
      </x:c>
      <x:c r="S1242" s="10" t="n">
        <x:v>8</x:v>
      </x:c>
      <x:c r="T1242" s="10" t="n">
        <x:v>0</x:v>
      </x:c>
      <x:c r="U1242" s="10" t="n">
        <x:f>IF(AND(ISNUMBER(X1242),X1242&gt;=0,Y1242&lt;&gt;1),X1242,"")</x:f>
        <x:v>5</x:v>
      </x:c>
      <x:c r="V1242" s="10" t="n">
        <x:v>0</x:v>
      </x:c>
      <x:c r="W1242" s="10" t="n">
        <x:v>37</x:v>
      </x:c>
      <x:c r="X1242" s="10" t="n">
        <x:v>5</x:v>
      </x:c>
      <x:c r="Y1242" s="3" t="n">
        <x:v>0</x:v>
      </x:c>
      <x:c r="Z1242" s="3" t="str">
        <x:v>共同</x:v>
      </x:c>
      <x:c r="AA1242" s="3" t="str">
        <x:v>在售</x:v>
      </x:c>
      <x:c r="AB1242" s="12" t="n">
        <x:f>IF(AND(Z1242="共同",ISNUMBER(G1242),ISNUMBER(AD1242)),G1242-AD1242,"")</x:f>
        <x:v>-0.03666666666666665</x:v>
      </x:c>
      <x:c r="AC1242" s="3" t="str"/>
      <x:c r="AD1242" s="12" t="n">
        <x:v>0.20571428571428568</x:v>
      </x:c>
      <x:c r="AE1242" s="3" t="str">
        <x:v>[13306,"B07-BK-37-by"]</x:v>
      </x:c>
      <x:c r="AF1242" t="n">
        <x:f>IF(ISNUMBER(H1242),1,0)</x:f>
        <x:v>1</x:v>
      </x:c>
      <x:c r="AG1242" t="n">
        <x:f>IF(ISNUMBER(I1242),1,0)</x:f>
        <x:v>1</x:v>
      </x:c>
      <x:c r="AH1242" t="str">
        <x:v>["B07","B07-BK","BK","黑色羊京绒"]</x:v>
      </x:c>
      <x:c r="AI1242" t="n">
        <x:f>IF(ISNUMBER(G1242),1,0)</x:f>
        <x:v>1</x:v>
      </x:c>
      <x:c r="AJ1242" t="n">
        <x:f>IF(ISNUMBER(AD1242),1,0)</x:f>
        <x:v>1</x:v>
      </x:c>
    </x:row>
    <x:row r="1243" ht="30" customHeight="1">
      <x:c r="A1243" s="3" t="str">
        <x:v>B07-BK-40.5</x:v>
      </x:c>
      <x:c r="B1243" s="3" t="str">
        <x:v>4店-彬郁-US</x:v>
      </x:c>
      <x:c r="C1243" s="3" t="str">
        <x:v>艾年</x:v>
      </x:c>
      <x:c r="D1243" s="3" t="str">
        <x:v>B07</x:v>
      </x:c>
      <x:c r="E1243" s="3" t="str">
        <x:f>IF(Z1243="移出","已移出",IF(NOT(ISNUMBER(H1243)),"数据待核",IF(H1243=0,"断货",IF(NOT(ISNUMBER(G1243)),"数据待核",IF(G1243=0,"零日销待复核",IF(F1243&lt;60,"补货提醒",IF(F1243&lt;=90,"正常库存",IF(F1243&lt;180,"促销",IF(F1243&lt;=365,"红线促销","考虑清仓")))))))))</x:f>
        <x:v>补货提醒</x:v>
      </x:c>
      <x:c r="F1243" s="11" t="n">
        <x:f>IF(AND(ISNUMBER(H1243),ISNUMBER(G1243),G1243&gt;0),H1243/G1243,"")</x:f>
        <x:v>17.758985200845668</x:v>
      </x:c>
      <x:c r="G1243" s="12" t="n">
        <x:f>IF(AND(COUNT(P1243:R1243)=3,MIN(P1243:R1243)&gt;=0,P1243&lt;=Q1243,Q1243&lt;=R1243),P1243/7*0.5+Q1243/14*0.3+R1243/30*0.2,"")</x:f>
        <x:v>0.2252380952380952</x:v>
      </x:c>
      <x:c r="H1243" s="10" t="n">
        <x:f>IF(ISNUMBER(U1243),U1243,"")</x:f>
        <x:v>4</x:v>
      </x:c>
      <x:c r="I1243" s="10" t="n">
        <x:v>4</x:v>
      </x:c>
      <x:c r="J1243" s="11" t="n">
        <x:f>IF(AND(Z1243="共同",ISNUMBER(F1243),ISNUMBER(M1243)),F1243-M1243,"")</x:f>
        <x:v>-30.516876868119855</x:v>
      </x:c>
      <x:c r="K1243" s="13" t="n">
        <x:f>IF(AND(ISNUMBER(J1243),M1243&lt;&gt;0),J1243/M1243,"")</x:f>
        <x:v>-0.6321353065539113</x:v>
      </x:c>
      <x:c r="L1243" s="10" t="str">
        <x:v>补货提醒</x:v>
      </x:c>
      <x:c r="M1243" s="11" t="n">
        <x:v>48.27586206896552</x:v>
      </x:c>
      <x:c r="N1243" s="10" t="n">
        <x:f>IF(AND(Z1243="共同",COUNT(H1243:I1243)=2),H1243-I1243,"")</x:f>
        <x:v>0</x:v>
      </x:c>
      <x:c r="O1243" s="10" t="n">
        <x:v>44</x:v>
      </x:c>
      <x:c r="P1243" s="10" t="n">
        <x:v>1</x:v>
      </x:c>
      <x:c r="Q1243" s="10" t="n">
        <x:v>5</x:v>
      </x:c>
      <x:c r="R1243" s="10" t="n">
        <x:v>7</x:v>
      </x:c>
      <x:c r="S1243" s="10" t="n">
        <x:v>14</x:v>
      </x:c>
      <x:c r="T1243" s="10" t="n">
        <x:v>0</x:v>
      </x:c>
      <x:c r="U1243" s="10" t="n">
        <x:f>IF(AND(ISNUMBER(X1243),X1243&gt;=0,Y1243&lt;&gt;1),X1243,"")</x:f>
        <x:v>4</x:v>
      </x:c>
      <x:c r="V1243" s="10" t="n">
        <x:v>0</x:v>
      </x:c>
      <x:c r="W1243" s="10" t="n">
        <x:v>44</x:v>
      </x:c>
      <x:c r="X1243" s="10" t="n">
        <x:v>4</x:v>
      </x:c>
      <x:c r="Y1243" s="3" t="n">
        <x:v>0</x:v>
      </x:c>
      <x:c r="Z1243" s="3" t="str">
        <x:v>共同</x:v>
      </x:c>
      <x:c r="AA1243" s="3" t="str">
        <x:v>在售</x:v>
      </x:c>
      <x:c r="AB1243" s="12" t="n">
        <x:f>IF(AND(Z1243="共同",ISNUMBER(G1243),ISNUMBER(AD1243)),G1243-AD1243,"")</x:f>
        <x:v>0.14238095238095236</x:v>
      </x:c>
      <x:c r="AC1243" s="3" t="str"/>
      <x:c r="AD1243" s="12" t="n">
        <x:v>0.08285714285714285</x:v>
      </x:c>
      <x:c r="AE1243" s="3" t="str">
        <x:v>[13306,"B07-BK-40.5"]</x:v>
      </x:c>
      <x:c r="AF1243" t="n">
        <x:f>IF(ISNUMBER(H1243),1,0)</x:f>
        <x:v>1</x:v>
      </x:c>
      <x:c r="AG1243" t="n">
        <x:f>IF(ISNUMBER(I1243),1,0)</x:f>
        <x:v>1</x:v>
      </x:c>
      <x:c r="AH1243" t="str">
        <x:v>["B07","B07-BK","BK","黑色羊京绒"]</x:v>
      </x:c>
      <x:c r="AI1243" t="n">
        <x:f>IF(ISNUMBER(G1243),1,0)</x:f>
        <x:v>1</x:v>
      </x:c>
      <x:c r="AJ1243" t="n">
        <x:f>IF(ISNUMBER(AD1243),1,0)</x:f>
        <x:v>1</x:v>
      </x:c>
    </x:row>
    <x:row r="1244" ht="30" customHeight="1">
      <x:c r="A1244" s="3" t="str">
        <x:v>B07-BK-V-0-38.5</x:v>
      </x:c>
      <x:c r="B1244" s="3" t="str">
        <x:v>4店-彬郁-US</x:v>
      </x:c>
      <x:c r="C1244" s="3" t="str">
        <x:v>艾年</x:v>
      </x:c>
      <x:c r="D1244" s="3" t="str">
        <x:v>B07</x:v>
      </x:c>
      <x:c r="E1244" s="3" t="str">
        <x:f>IF(Z1244="移出","已移出",IF(NOT(ISNUMBER(H1244)),"数据待核",IF(H1244=0,"断货",IF(NOT(ISNUMBER(G1244)),"数据待核",IF(G1244=0,"零日销待复核",IF(F1244&lt;60,"补货提醒",IF(F1244&lt;=90,"正常库存",IF(F1244&lt;180,"促销",IF(F1244&lt;=365,"红线促销","考虑清仓")))))))))</x:f>
        <x:v>补货提醒</x:v>
      </x:c>
      <x:c r="F1244" s="11" t="n">
        <x:f>IF(AND(ISNUMBER(H1244),ISNUMBER(G1244),G1244&gt;0),H1244/G1244,"")</x:f>
        <x:v>7.835820895522389</x:v>
      </x:c>
      <x:c r="G1244" s="12" t="n">
        <x:f>IF(AND(COUNT(P1244:R1244)=3,MIN(P1244:R1244)&gt;=0,P1244&lt;=Q1244,Q1244&lt;=R1244),P1244/7*0.5+Q1244/14*0.3+R1244/30*0.2,"")</x:f>
        <x:v>0.1276190476190476</x:v>
      </x:c>
      <x:c r="H1244" s="10" t="n">
        <x:f>IF(ISNUMBER(U1244),U1244,"")</x:f>
        <x:v>1</x:v>
      </x:c>
      <x:c r="I1244" s="10" t="n">
        <x:v>3</x:v>
      </x:c>
      <x:c r="J1244" s="11" t="n">
        <x:f>IF(AND(Z1244="共同",ISNUMBER(F1244),ISNUMBER(M1244)),F1244-M1244,"")</x:f>
        <x:v>-442.1641791044777</x:v>
      </x:c>
      <x:c r="K1244" s="13" t="n">
        <x:f>IF(AND(ISNUMBER(J1244),M1244&lt;&gt;0),J1244/M1244,"")</x:f>
        <x:v>-0.9825870646766169</x:v>
      </x:c>
      <x:c r="L1244" s="10" t="str">
        <x:v>考虑清仓</x:v>
      </x:c>
      <x:c r="M1244" s="11" t="n">
        <x:v>450.00000000000006</x:v>
      </x:c>
      <x:c r="N1244" s="10" t="n">
        <x:f>IF(AND(Z1244="共同",COUNT(H1244:I1244)=2),H1244-I1244,"")</x:f>
        <x:v>-2</x:v>
      </x:c>
      <x:c r="O1244" s="10" t="n">
        <x:v>0</x:v>
      </x:c>
      <x:c r="P1244" s="10" t="n">
        <x:v>1</x:v>
      </x:c>
      <x:c r="Q1244" s="10" t="n">
        <x:v>2</x:v>
      </x:c>
      <x:c r="R1244" s="10" t="n">
        <x:v>2</x:v>
      </x:c>
      <x:c r="S1244" s="10" t="n">
        <x:v>1</x:v>
      </x:c>
      <x:c r="T1244" s="10" t="n">
        <x:v>0</x:v>
      </x:c>
      <x:c r="U1244" s="10" t="n">
        <x:f>IF(AND(ISNUMBER(X1244),X1244&gt;=0,Y1244&lt;&gt;1),X1244,"")</x:f>
        <x:v>1</x:v>
      </x:c>
      <x:c r="V1244" s="10" t="n">
        <x:v>0</x:v>
      </x:c>
      <x:c r="W1244" s="10" t="n">
        <x:v>0</x:v>
      </x:c>
      <x:c r="X1244" s="10" t="n">
        <x:v>1</x:v>
      </x:c>
      <x:c r="Y1244" s="3" t="n">
        <x:v>0</x:v>
      </x:c>
      <x:c r="Z1244" s="3" t="str">
        <x:v>共同</x:v>
      </x:c>
      <x:c r="AA1244" s="3" t="str">
        <x:v>在售</x:v>
      </x:c>
      <x:c r="AB1244" s="12" t="n">
        <x:f>IF(AND(Z1244="共同",ISNUMBER(G1244),ISNUMBER(AD1244)),G1244-AD1244,"")</x:f>
        <x:v>0.12095238095238094</x:v>
      </x:c>
      <x:c r="AC1244" s="3" t="str"/>
      <x:c r="AD1244" s="12" t="n">
        <x:v>0.006666666666666666</x:v>
      </x:c>
      <x:c r="AE1244" s="3" t="str">
        <x:v>[13306,"B07-BK-V-0-38.5"]</x:v>
      </x:c>
      <x:c r="AF1244" t="n">
        <x:f>IF(ISNUMBER(H1244),1,0)</x:f>
        <x:v>1</x:v>
      </x:c>
      <x:c r="AG1244" t="n">
        <x:f>IF(ISNUMBER(I1244),1,0)</x:f>
        <x:v>1</x:v>
      </x:c>
      <x:c r="AH1244" t="str">
        <x:v>["B07","B07-BK-V-0","BK-V","黑色天鹅绒"]</x:v>
      </x:c>
      <x:c r="AI1244" t="n">
        <x:f>IF(ISNUMBER(G1244),1,0)</x:f>
        <x:v>1</x:v>
      </x:c>
      <x:c r="AJ1244" t="n">
        <x:f>IF(ISNUMBER(AD1244),1,0)</x:f>
        <x:v>1</x:v>
      </x:c>
    </x:row>
    <x:row r="1245" ht="30" customHeight="1">
      <x:c r="A1245" s="3" t="str">
        <x:v>B07-BK-V-0-39.5</x:v>
      </x:c>
      <x:c r="B1245" s="3" t="str">
        <x:v>4店-彬郁-US</x:v>
      </x:c>
      <x:c r="C1245" s="3" t="str">
        <x:v>艾年</x:v>
      </x:c>
      <x:c r="D1245" s="3" t="str">
        <x:v>B07</x:v>
      </x:c>
      <x:c r="E1245" s="3" t="str">
        <x:f>IF(Z1245="移出","已移出",IF(NOT(ISNUMBER(H1245)),"数据待核",IF(H1245=0,"断货",IF(NOT(ISNUMBER(G1245)),"数据待核",IF(G1245=0,"零日销待复核",IF(F1245&lt;60,"补货提醒",IF(F1245&lt;=90,"正常库存",IF(F1245&lt;180,"促销",IF(F1245&lt;=365,"红线促销","考虑清仓")))))))))</x:f>
        <x:v>补货提醒</x:v>
      </x:c>
      <x:c r="F1245" s="11" t="n">
        <x:f>IF(AND(ISNUMBER(H1245),ISNUMBER(G1245),G1245&gt;0),H1245/G1245,"")</x:f>
        <x:v>20.792079207920793</x:v>
      </x:c>
      <x:c r="G1245" s="12" t="n">
        <x:f>IF(AND(COUNT(P1245:R1245)=3,MIN(P1245:R1245)&gt;=0,P1245&lt;=Q1245,Q1245&lt;=R1245),P1245/7*0.5+Q1245/14*0.3+R1245/30*0.2,"")</x:f>
        <x:v>0.048095238095238094</x:v>
      </x:c>
      <x:c r="H1245" s="10" t="n">
        <x:f>IF(ISNUMBER(U1245),U1245,"")</x:f>
        <x:v>1</x:v>
      </x:c>
      <x:c r="I1245" s="10" t="n">
        <x:v>2</x:v>
      </x:c>
      <x:c r="J1245" s="11" t="n">
        <x:f>IF(AND(Z1245="共同",ISNUMBER(F1245),ISNUMBER(M1245)),F1245-M1245,"")</x:f>
        <x:v>-15.729659922513996</x:v>
      </x:c>
      <x:c r="K1245" s="13" t="n">
        <x:f>IF(AND(ISNUMBER(J1245),M1245&lt;&gt;0),J1245/M1245,"")</x:f>
        <x:v>-0.43069306930693074</x:v>
      </x:c>
      <x:c r="L1245" s="10" t="str">
        <x:v>补货提醒</x:v>
      </x:c>
      <x:c r="M1245" s="11" t="n">
        <x:v>36.52173913043479</x:v>
      </x:c>
      <x:c r="N1245" s="10" t="n">
        <x:f>IF(AND(Z1245="共同",COUNT(H1245:I1245)=2),H1245-I1245,"")</x:f>
        <x:v>-1</x:v>
      </x:c>
      <x:c r="O1245" s="10" t="n">
        <x:v>0</x:v>
      </x:c>
      <x:c r="P1245" s="10" t="n">
        <x:v>0</x:v>
      </x:c>
      <x:c r="Q1245" s="10" t="n">
        <x:v>1</x:v>
      </x:c>
      <x:c r="R1245" s="10" t="n">
        <x:v>4</x:v>
      </x:c>
      <x:c r="S1245" s="10" t="n">
        <x:v>1</x:v>
      </x:c>
      <x:c r="T1245" s="10" t="n">
        <x:v>0</x:v>
      </x:c>
      <x:c r="U1245" s="10" t="n">
        <x:f>IF(AND(ISNUMBER(X1245),X1245&gt;=0,Y1245&lt;&gt;1),X1245,"")</x:f>
        <x:v>1</x:v>
      </x:c>
      <x:c r="V1245" s="10" t="n">
        <x:v>0</x:v>
      </x:c>
      <x:c r="W1245" s="10" t="n">
        <x:v>0</x:v>
      </x:c>
      <x:c r="X1245" s="10" t="n">
        <x:v>1</x:v>
      </x:c>
      <x:c r="Y1245" s="3" t="n">
        <x:v>0</x:v>
      </x:c>
      <x:c r="Z1245" s="3" t="str">
        <x:v>共同</x:v>
      </x:c>
      <x:c r="AA1245" s="3" t="str">
        <x:v>在售</x:v>
      </x:c>
      <x:c r="AB1245" s="12" t="n">
        <x:f>IF(AND(Z1245="共同",ISNUMBER(G1245),ISNUMBER(AD1245)),G1245-AD1245,"")</x:f>
        <x:v>-0.006666666666666661</x:v>
      </x:c>
      <x:c r="AC1245" s="3" t="str"/>
      <x:c r="AD1245" s="12" t="n">
        <x:v>0.054761904761904755</x:v>
      </x:c>
      <x:c r="AE1245" s="3" t="str">
        <x:v>[13306,"B07-BK-V-0-39.5"]</x:v>
      </x:c>
      <x:c r="AF1245" t="n">
        <x:f>IF(ISNUMBER(H1245),1,0)</x:f>
        <x:v>1</x:v>
      </x:c>
      <x:c r="AG1245" t="n">
        <x:f>IF(ISNUMBER(I1245),1,0)</x:f>
        <x:v>1</x:v>
      </x:c>
      <x:c r="AH1245" t="str">
        <x:v>["B07","B07-BK-V-0","BK-V","黑色天鹅绒"]</x:v>
      </x:c>
      <x:c r="AI1245" t="n">
        <x:f>IF(ISNUMBER(G1245),1,0)</x:f>
        <x:v>1</x:v>
      </x:c>
      <x:c r="AJ1245" t="n">
        <x:f>IF(ISNUMBER(AD1245),1,0)</x:f>
        <x:v>1</x:v>
      </x:c>
    </x:row>
    <x:row r="1246" ht="30" customHeight="1">
      <x:c r="A1246" s="3" t="str">
        <x:v>B07-BK-V-0-40</x:v>
      </x:c>
      <x:c r="B1246" s="3" t="str">
        <x:v>4店-彬郁-US</x:v>
      </x:c>
      <x:c r="C1246" s="3" t="str">
        <x:v>艾年</x:v>
      </x:c>
      <x:c r="D1246" s="3" t="str">
        <x:v>B07</x:v>
      </x:c>
      <x:c r="E1246" s="3" t="str">
        <x:f>IF(Z1246="移出","已移出",IF(NOT(ISNUMBER(H1246)),"数据待核",IF(H1246=0,"断货",IF(NOT(ISNUMBER(G1246)),"数据待核",IF(G1246=0,"零日销待复核",IF(F1246&lt;60,"补货提醒",IF(F1246&lt;=90,"正常库存",IF(F1246&lt;180,"促销",IF(F1246&lt;=365,"红线促销","考虑清仓")))))))))</x:f>
        <x:v>补货提醒</x:v>
      </x:c>
      <x:c r="F1246" s="11" t="n">
        <x:f>IF(AND(ISNUMBER(H1246),ISNUMBER(G1246),G1246&gt;0),H1246/G1246,"")</x:f>
        <x:v>49.99999999999999</x:v>
      </x:c>
      <x:c r="G1246" s="12" t="n">
        <x:f>IF(AND(COUNT(P1246:R1246)=3,MIN(P1246:R1246)&gt;=0,P1246&lt;=Q1246,Q1246&lt;=R1246),P1246/7*0.5+Q1246/14*0.3+R1246/30*0.2,"")</x:f>
        <x:v>0.020000000000000004</x:v>
      </x:c>
      <x:c r="H1246" s="10" t="n">
        <x:f>IF(ISNUMBER(U1246),U1246,"")</x:f>
        <x:v>1</x:v>
      </x:c>
      <x:c r="I1246" s="10" t="n">
        <x:v>0</x:v>
      </x:c>
      <x:c r="J1246" s="11" t="n">
        <x:f>IF(AND(Z1246="共同",ISNUMBER(F1246),ISNUMBER(M1246)),F1246-M1246,"")</x:f>
        <x:v>49.99999999999999</x:v>
      </x:c>
      <x:c r="K1246" s="13" t="str">
        <x:f>IF(AND(ISNUMBER(J1246),M1246&lt;&gt;0),J1246/M1246,"")</x:f>
      </x:c>
      <x:c r="L1246" s="10" t="str">
        <x:v>断货</x:v>
      </x:c>
      <x:c r="M1246" s="11" t="n">
        <x:v>0</x:v>
      </x:c>
      <x:c r="N1246" s="10" t="n">
        <x:f>IF(AND(Z1246="共同",COUNT(H1246:I1246)=2),H1246-I1246,"")</x:f>
        <x:v>1</x:v>
      </x:c>
      <x:c r="O1246" s="10" t="n">
        <x:v>0</x:v>
      </x:c>
      <x:c r="P1246" s="10" t="n">
        <x:v>0</x:v>
      </x:c>
      <x:c r="Q1246" s="10" t="n">
        <x:v>0</x:v>
      </x:c>
      <x:c r="R1246" s="10" t="n">
        <x:v>3</x:v>
      </x:c>
      <x:c r="S1246" s="10" t="n">
        <x:v>2</x:v>
      </x:c>
      <x:c r="T1246" s="10" t="n">
        <x:v>0</x:v>
      </x:c>
      <x:c r="U1246" s="10" t="n">
        <x:f>IF(AND(ISNUMBER(X1246),X1246&gt;=0,Y1246&lt;&gt;1),X1246,"")</x:f>
        <x:v>1</x:v>
      </x:c>
      <x:c r="V1246" s="10" t="n">
        <x:v>0</x:v>
      </x:c>
      <x:c r="W1246" s="10" t="n">
        <x:v>0</x:v>
      </x:c>
      <x:c r="X1246" s="10" t="n">
        <x:v>1</x:v>
      </x:c>
      <x:c r="Y1246" s="3" t="n">
        <x:v>0</x:v>
      </x:c>
      <x:c r="Z1246" s="3" t="str">
        <x:v>共同</x:v>
      </x:c>
      <x:c r="AA1246" s="3" t="str">
        <x:v>在售</x:v>
      </x:c>
      <x:c r="AB1246" s="12" t="n">
        <x:f>IF(AND(Z1246="共同",ISNUMBER(G1246),ISNUMBER(AD1246)),G1246-AD1246,"")</x:f>
        <x:v>-0.04952380952380951</x:v>
      </x:c>
      <x:c r="AC1246" s="3" t="str"/>
      <x:c r="AD1246" s="12" t="n">
        <x:v>0.06952380952380952</x:v>
      </x:c>
      <x:c r="AE1246" s="3" t="str">
        <x:v>[13306,"B07-BK-V-0-40"]</x:v>
      </x:c>
      <x:c r="AF1246" t="n">
        <x:f>IF(ISNUMBER(H1246),1,0)</x:f>
        <x:v>1</x:v>
      </x:c>
      <x:c r="AG1246" t="n">
        <x:f>IF(ISNUMBER(I1246),1,0)</x:f>
        <x:v>1</x:v>
      </x:c>
      <x:c r="AH1246" t="str">
        <x:v>["B07","B07-BK-V-0","BK-V","黑色天鹅绒"]</x:v>
      </x:c>
      <x:c r="AI1246" t="n">
        <x:f>IF(ISNUMBER(G1246),1,0)</x:f>
        <x:v>1</x:v>
      </x:c>
      <x:c r="AJ1246" t="n">
        <x:f>IF(ISNUMBER(AD1246),1,0)</x:f>
        <x:v>1</x:v>
      </x:c>
    </x:row>
    <x:row r="1247" ht="30" customHeight="1">
      <x:c r="A1247" s="3" t="str">
        <x:v>B07-BK-V-0-41.5</x:v>
      </x:c>
      <x:c r="B1247" s="3" t="str">
        <x:v>4店-彬郁-US</x:v>
      </x:c>
      <x:c r="C1247" s="3" t="str">
        <x:v>艾年</x:v>
      </x:c>
      <x:c r="D1247" s="3" t="str">
        <x:v>B07</x:v>
      </x:c>
      <x:c r="E1247" s="3" t="str">
        <x:f>IF(Z1247="移出","已移出",IF(NOT(ISNUMBER(H1247)),"数据待核",IF(H1247=0,"断货",IF(NOT(ISNUMBER(G1247)),"数据待核",IF(G1247=0,"零日销待复核",IF(F1247&lt;60,"补货提醒",IF(F1247&lt;=90,"正常库存",IF(F1247&lt;180,"促销",IF(F1247&lt;=365,"红线促销","考虑清仓")))))))))</x:f>
        <x:v>补货提醒</x:v>
      </x:c>
      <x:c r="F1247" s="11" t="n">
        <x:f>IF(AND(ISNUMBER(H1247),ISNUMBER(G1247),G1247&gt;0),H1247/G1247,"")</x:f>
        <x:v>53.58851674641148</x:v>
      </x:c>
      <x:c r="G1247" s="12" t="n">
        <x:f>IF(AND(COUNT(P1247:R1247)=3,MIN(P1247:R1247)&gt;=0,P1247&lt;=Q1247,Q1247&lt;=R1247),P1247/7*0.5+Q1247/14*0.3+R1247/30*0.2,"")</x:f>
        <x:v>0.2985714285714286</x:v>
      </x:c>
      <x:c r="H1247" s="10" t="n">
        <x:f>IF(ISNUMBER(U1247),U1247,"")</x:f>
        <x:v>16</x:v>
      </x:c>
      <x:c r="I1247" s="10" t="n">
        <x:v>19</x:v>
      </x:c>
      <x:c r="J1247" s="11" t="str">
        <x:f>IF(AND(Z1247="共同",ISNUMBER(F1247),ISNUMBER(M1247)),F1247-M1247,"")</x:f>
      </x:c>
      <x:c r="K1247" s="13" t="str">
        <x:f>IF(AND(ISNUMBER(J1247),M1247&lt;&gt;0),J1247/M1247,"")</x:f>
      </x:c>
      <x:c r="L1247" s="10" t="str">
        <x:v>零日销待复核</x:v>
      </x:c>
      <x:c r="M1247" s="11"/>
      <x:c r="N1247" s="10" t="n">
        <x:f>IF(AND(Z1247="共同",COUNT(H1247:I1247)=2),H1247-I1247,"")</x:f>
        <x:v>-3</x:v>
      </x:c>
      <x:c r="O1247" s="10" t="n">
        <x:v>10</x:v>
      </x:c>
      <x:c r="P1247" s="10" t="n">
        <x:v>3</x:v>
      </x:c>
      <x:c r="Q1247" s="10" t="n">
        <x:v>3</x:v>
      </x:c>
      <x:c r="R1247" s="10" t="n">
        <x:v>3</x:v>
      </x:c>
      <x:c r="S1247" s="10" t="n">
        <x:v>16</x:v>
      </x:c>
      <x:c r="T1247" s="10" t="n">
        <x:v>0</x:v>
      </x:c>
      <x:c r="U1247" s="10" t="n">
        <x:f>IF(AND(ISNUMBER(X1247),X1247&gt;=0,Y1247&lt;&gt;1),X1247,"")</x:f>
        <x:v>16</x:v>
      </x:c>
      <x:c r="V1247" s="10" t="n">
        <x:v>24</x:v>
      </x:c>
      <x:c r="W1247" s="10" t="n">
        <x:v>0</x:v>
      </x:c>
      <x:c r="X1247" s="10" t="n">
        <x:v>16</x:v>
      </x:c>
      <x:c r="Y1247" s="3" t="n">
        <x:v>0</x:v>
      </x:c>
      <x:c r="Z1247" s="3" t="str">
        <x:v>共同</x:v>
      </x:c>
      <x:c r="AA1247" s="3" t="str">
        <x:v>在售</x:v>
      </x:c>
      <x:c r="AB1247" s="12" t="n">
        <x:f>IF(AND(Z1247="共同",ISNUMBER(G1247),ISNUMBER(AD1247)),G1247-AD1247,"")</x:f>
        <x:v>0.2985714285714286</x:v>
      </x:c>
      <x:c r="AC1247" s="3" t="str"/>
      <x:c r="AD1247" s="12" t="n">
        <x:v>0</x:v>
      </x:c>
      <x:c r="AE1247" s="3" t="str">
        <x:v>[13306,"B07-BK-V-0-41.5"]</x:v>
      </x:c>
      <x:c r="AF1247" t="n">
        <x:f>IF(ISNUMBER(H1247),1,0)</x:f>
        <x:v>1</x:v>
      </x:c>
      <x:c r="AG1247" t="n">
        <x:f>IF(ISNUMBER(I1247),1,0)</x:f>
        <x:v>1</x:v>
      </x:c>
      <x:c r="AH1247" t="str">
        <x:v>["B07","B07-BK-V-0","BK-V","黑色天鹅绒"]</x:v>
      </x:c>
      <x:c r="AI1247" t="n">
        <x:f>IF(ISNUMBER(G1247),1,0)</x:f>
        <x:v>1</x:v>
      </x:c>
      <x:c r="AJ1247" t="n">
        <x:f>IF(ISNUMBER(AD1247),1,0)</x:f>
        <x:v>1</x:v>
      </x:c>
    </x:row>
    <x:row r="1248" ht="30" customHeight="1">
      <x:c r="A1248" s="3" t="str">
        <x:v>B07-BK-V-0-42</x:v>
      </x:c>
      <x:c r="B1248" s="3" t="str">
        <x:v>4店-彬郁-US</x:v>
      </x:c>
      <x:c r="C1248" s="3" t="str">
        <x:v>艾年</x:v>
      </x:c>
      <x:c r="D1248" s="3" t="str">
        <x:v>B07</x:v>
      </x:c>
      <x:c r="E1248" s="3" t="str">
        <x:f>IF(Z1248="移出","已移出",IF(NOT(ISNUMBER(H1248)),"数据待核",IF(H1248=0,"断货",IF(NOT(ISNUMBER(G1248)),"数据待核",IF(G1248=0,"零日销待复核",IF(F1248&lt;60,"补货提醒",IF(F1248&lt;=90,"正常库存",IF(F1248&lt;180,"促销",IF(F1248&lt;=365,"红线促销","考虑清仓")))))))))</x:f>
        <x:v>补货提醒</x:v>
      </x:c>
      <x:c r="F1248" s="11" t="n">
        <x:f>IF(AND(ISNUMBER(H1248),ISNUMBER(G1248),G1248&gt;0),H1248/G1248,"")</x:f>
        <x:v>24.45019404915912</x:v>
      </x:c>
      <x:c r="G1248" s="12" t="n">
        <x:f>IF(AND(COUNT(P1248:R1248)=3,MIN(P1248:R1248)&gt;=0,P1248&lt;=Q1248,Q1248&lt;=R1248),P1248/7*0.5+Q1248/14*0.3+R1248/30*0.2,"")</x:f>
        <x:v>0.3680952380952381</x:v>
      </x:c>
      <x:c r="H1248" s="10" t="n">
        <x:f>IF(ISNUMBER(U1248),U1248,"")</x:f>
        <x:v>9</x:v>
      </x:c>
      <x:c r="I1248" s="10" t="n">
        <x:v>13</x:v>
      </x:c>
      <x:c r="J1248" s="11" t="n">
        <x:f>IF(AND(Z1248="共同",ISNUMBER(F1248),ISNUMBER(M1248)),F1248-M1248,"")</x:f>
        <x:v>-182.3679877690227</x:v>
      </x:c>
      <x:c r="K1248" s="13" t="n">
        <x:f>IF(AND(ISNUMBER(J1248),M1248&lt;&gt;0),J1248/M1248,"")</x:f>
        <x:v>-0.8817792815205494</x:v>
      </x:c>
      <x:c r="L1248" s="10" t="str">
        <x:v>红线促销</x:v>
      </x:c>
      <x:c r="M1248" s="11" t="n">
        <x:v>206.8181818181818</x:v>
      </x:c>
      <x:c r="N1248" s="10" t="n">
        <x:f>IF(AND(Z1248="共同",COUNT(H1248:I1248)=2),H1248-I1248,"")</x:f>
        <x:v>-4</x:v>
      </x:c>
      <x:c r="O1248" s="10" t="n">
        <x:v>52</x:v>
      </x:c>
      <x:c r="P1248" s="10" t="n">
        <x:v>3</x:v>
      </x:c>
      <x:c r="Q1248" s="10" t="n">
        <x:v>5</x:v>
      </x:c>
      <x:c r="R1248" s="10" t="n">
        <x:v>7</x:v>
      </x:c>
      <x:c r="S1248" s="10" t="n">
        <x:v>11</x:v>
      </x:c>
      <x:c r="T1248" s="10" t="n">
        <x:v>0</x:v>
      </x:c>
      <x:c r="U1248" s="10" t="n">
        <x:f>IF(AND(ISNUMBER(X1248),X1248&gt;=0,Y1248&lt;&gt;1),X1248,"")</x:f>
        <x:v>9</x:v>
      </x:c>
      <x:c r="V1248" s="10" t="n">
        <x:v>0</x:v>
      </x:c>
      <x:c r="W1248" s="10" t="n">
        <x:v>26</x:v>
      </x:c>
      <x:c r="X1248" s="10" t="n">
        <x:v>9</x:v>
      </x:c>
      <x:c r="Y1248" s="3" t="n">
        <x:v>0</x:v>
      </x:c>
      <x:c r="Z1248" s="3" t="str">
        <x:v>共同</x:v>
      </x:c>
      <x:c r="AA1248" s="3" t="str">
        <x:v>在售</x:v>
      </x:c>
      <x:c r="AB1248" s="12" t="n">
        <x:f>IF(AND(Z1248="共同",ISNUMBER(G1248),ISNUMBER(AD1248)),G1248-AD1248,"")</x:f>
        <x:v>0.3052380952380952</x:v>
      </x:c>
      <x:c r="AC1248" s="3" t="str"/>
      <x:c r="AD1248" s="12" t="n">
        <x:v>0.06285714285714286</x:v>
      </x:c>
      <x:c r="AE1248" s="3" t="str">
        <x:v>[13306,"B07-BK-V-0-42"]</x:v>
      </x:c>
      <x:c r="AF1248" t="n">
        <x:f>IF(ISNUMBER(H1248),1,0)</x:f>
        <x:v>1</x:v>
      </x:c>
      <x:c r="AG1248" t="n">
        <x:f>IF(ISNUMBER(I1248),1,0)</x:f>
        <x:v>1</x:v>
      </x:c>
      <x:c r="AH1248" t="str">
        <x:v>["B07","B07-BK-V-0","BK-V","黑色天鹅绒"]</x:v>
      </x:c>
      <x:c r="AI1248" t="n">
        <x:f>IF(ISNUMBER(G1248),1,0)</x:f>
        <x:v>1</x:v>
      </x:c>
      <x:c r="AJ1248" t="n">
        <x:f>IF(ISNUMBER(AD1248),1,0)</x:f>
        <x:v>1</x:v>
      </x:c>
    </x:row>
    <x:row r="1249" ht="30" customHeight="1">
      <x:c r="A1249" s="3" t="str">
        <x:v>B07-BK-Z-0-38</x:v>
      </x:c>
      <x:c r="B1249" s="3" t="str">
        <x:v>4店-彬郁-US</x:v>
      </x:c>
      <x:c r="C1249" s="3" t="str">
        <x:v>艾年</x:v>
      </x:c>
      <x:c r="D1249" s="3" t="str">
        <x:v>B07</x:v>
      </x:c>
      <x:c r="E1249" s="3" t="str">
        <x:f>IF(Z1249="移出","已移出",IF(NOT(ISNUMBER(H1249)),"数据待核",IF(H1249=0,"断货",IF(NOT(ISNUMBER(G1249)),"数据待核",IF(G1249=0,"零日销待复核",IF(F1249&lt;60,"补货提醒",IF(F1249&lt;=90,"正常库存",IF(F1249&lt;180,"促销",IF(F1249&lt;=365,"红线促销","考虑清仓")))))))))</x:f>
        <x:v>补货提醒</x:v>
      </x:c>
      <x:c r="F1249" s="11" t="n">
        <x:f>IF(AND(ISNUMBER(H1249),ISNUMBER(G1249),G1249&gt;0),H1249/G1249,"")</x:f>
        <x:v>30.143540669856463</x:v>
      </x:c>
      <x:c r="G1249" s="12" t="n">
        <x:f>IF(AND(COUNT(P1249:R1249)=3,MIN(P1249:R1249)&gt;=0,P1249&lt;=Q1249,Q1249&lt;=R1249),P1249/7*0.5+Q1249/14*0.3+R1249/30*0.2,"")</x:f>
        <x:v>0.09952380952380951</x:v>
      </x:c>
      <x:c r="H1249" s="10" t="n">
        <x:f>IF(ISNUMBER(U1249),U1249,"")</x:f>
        <x:v>3</x:v>
      </x:c>
      <x:c r="I1249" s="10" t="n">
        <x:v>4</x:v>
      </x:c>
      <x:c r="J1249" s="11" t="str">
        <x:f>IF(AND(Z1249="共同",ISNUMBER(F1249),ISNUMBER(M1249)),F1249-M1249,"")</x:f>
      </x:c>
      <x:c r="K1249" s="13" t="str">
        <x:f>IF(AND(ISNUMBER(J1249),M1249&lt;&gt;0),J1249/M1249,"")</x:f>
      </x:c>
      <x:c r="L1249" s="10" t="str">
        <x:v>零日销待复核</x:v>
      </x:c>
      <x:c r="M1249" s="11"/>
      <x:c r="N1249" s="10" t="n">
        <x:f>IF(AND(Z1249="共同",COUNT(H1249:I1249)=2),H1249-I1249,"")</x:f>
        <x:v>-1</x:v>
      </x:c>
      <x:c r="O1249" s="10" t="n">
        <x:v>0</x:v>
      </x:c>
      <x:c r="P1249" s="10" t="n">
        <x:v>1</x:v>
      </x:c>
      <x:c r="Q1249" s="10" t="n">
        <x:v>1</x:v>
      </x:c>
      <x:c r="R1249" s="10" t="n">
        <x:v>1</x:v>
      </x:c>
      <x:c r="S1249" s="10" t="n">
        <x:v>3</x:v>
      </x:c>
      <x:c r="T1249" s="10" t="n">
        <x:v>0</x:v>
      </x:c>
      <x:c r="U1249" s="10" t="n">
        <x:f>IF(AND(ISNUMBER(X1249),X1249&gt;=0,Y1249&lt;&gt;1),X1249,"")</x:f>
        <x:v>3</x:v>
      </x:c>
      <x:c r="V1249" s="10" t="n">
        <x:v>0</x:v>
      </x:c>
      <x:c r="W1249" s="10" t="n">
        <x:v>0</x:v>
      </x:c>
      <x:c r="X1249" s="10" t="n">
        <x:v>3</x:v>
      </x:c>
      <x:c r="Y1249" s="3" t="n">
        <x:v>0</x:v>
      </x:c>
      <x:c r="Z1249" s="3" t="str">
        <x:v>共同</x:v>
      </x:c>
      <x:c r="AA1249" s="3" t="str">
        <x:v>在售</x:v>
      </x:c>
      <x:c r="AB1249" s="12" t="n">
        <x:f>IF(AND(Z1249="共同",ISNUMBER(G1249),ISNUMBER(AD1249)),G1249-AD1249,"")</x:f>
        <x:v>0.09952380952380951</x:v>
      </x:c>
      <x:c r="AC1249" s="3" t="str"/>
      <x:c r="AD1249" s="12" t="n">
        <x:v>0</x:v>
      </x:c>
      <x:c r="AE1249" s="3" t="str">
        <x:v>[13306,"B07-BK-Z-0-38"]</x:v>
      </x:c>
      <x:c r="AF1249" t="n">
        <x:f>IF(ISNUMBER(H1249),1,0)</x:f>
        <x:v>1</x:v>
      </x:c>
      <x:c r="AG1249" t="n">
        <x:f>IF(ISNUMBER(I1249),1,0)</x:f>
        <x:v>1</x:v>
      </x:c>
      <x:c r="AH1249" t="str">
        <x:v>["B07","B07-BK-Z-0","BK-Z","黑色镜面PU"]</x:v>
      </x:c>
      <x:c r="AI1249" t="n">
        <x:f>IF(ISNUMBER(G1249),1,0)</x:f>
        <x:v>1</x:v>
      </x:c>
      <x:c r="AJ1249" t="n">
        <x:f>IF(ISNUMBER(AD1249),1,0)</x:f>
        <x:v>1</x:v>
      </x:c>
    </x:row>
    <x:row r="1250" ht="30" customHeight="1">
      <x:c r="A1250" s="3" t="str">
        <x:v>B07-BK-Z-0-41.5</x:v>
      </x:c>
      <x:c r="B1250" s="3" t="str">
        <x:v>4店-彬郁-US</x:v>
      </x:c>
      <x:c r="C1250" s="3" t="str">
        <x:v>艾年</x:v>
      </x:c>
      <x:c r="D1250" s="3" t="str">
        <x:v>B07</x:v>
      </x:c>
      <x:c r="E1250" s="3" t="str">
        <x:f>IF(Z1250="移出","已移出",IF(NOT(ISNUMBER(H1250)),"数据待核",IF(H1250=0,"断货",IF(NOT(ISNUMBER(G1250)),"数据待核",IF(G1250=0,"零日销待复核",IF(F1250&lt;60,"补货提醒",IF(F1250&lt;=90,"正常库存",IF(F1250&lt;180,"促销",IF(F1250&lt;=365,"红线促销","考虑清仓")))))))))</x:f>
        <x:v>补货提醒</x:v>
      </x:c>
      <x:c r="F1250" s="11" t="n">
        <x:f>IF(AND(ISNUMBER(H1250),ISNUMBER(G1250),G1250&gt;0),H1250/G1250,"")</x:f>
        <x:v>23.507462686567166</x:v>
      </x:c>
      <x:c r="G1250" s="12" t="n">
        <x:f>IF(AND(COUNT(P1250:R1250)=3,MIN(P1250:R1250)&gt;=0,P1250&lt;=Q1250,Q1250&lt;=R1250),P1250/7*0.5+Q1250/14*0.3+R1250/30*0.2,"")</x:f>
        <x:v>0.1276190476190476</x:v>
      </x:c>
      <x:c r="H1250" s="10" t="n">
        <x:f>IF(ISNUMBER(U1250),U1250,"")</x:f>
        <x:v>3</x:v>
      </x:c>
      <x:c r="I1250" s="10" t="n">
        <x:v>5</x:v>
      </x:c>
      <x:c r="J1250" s="11" t="str">
        <x:f>IF(AND(Z1250="共同",ISNUMBER(F1250),ISNUMBER(M1250)),F1250-M1250,"")</x:f>
      </x:c>
      <x:c r="K1250" s="13" t="str">
        <x:f>IF(AND(ISNUMBER(J1250),M1250&lt;&gt;0),J1250/M1250,"")</x:f>
      </x:c>
      <x:c r="L1250" s="10" t="str">
        <x:v>零日销待复核</x:v>
      </x:c>
      <x:c r="M1250" s="11"/>
      <x:c r="N1250" s="10" t="n">
        <x:f>IF(AND(Z1250="共同",COUNT(H1250:I1250)=2),H1250-I1250,"")</x:f>
        <x:v>-2</x:v>
      </x:c>
      <x:c r="O1250" s="10" t="n">
        <x:v>0</x:v>
      </x:c>
      <x:c r="P1250" s="10" t="n">
        <x:v>1</x:v>
      </x:c>
      <x:c r="Q1250" s="10" t="n">
        <x:v>2</x:v>
      </x:c>
      <x:c r="R1250" s="10" t="n">
        <x:v>2</x:v>
      </x:c>
      <x:c r="S1250" s="10" t="n">
        <x:v>3</x:v>
      </x:c>
      <x:c r="T1250" s="10" t="n">
        <x:v>0</x:v>
      </x:c>
      <x:c r="U1250" s="10" t="n">
        <x:f>IF(AND(ISNUMBER(X1250),X1250&gt;=0,Y1250&lt;&gt;1),X1250,"")</x:f>
        <x:v>3</x:v>
      </x:c>
      <x:c r="V1250" s="10" t="n">
        <x:v>0</x:v>
      </x:c>
      <x:c r="W1250" s="10" t="n">
        <x:v>0</x:v>
      </x:c>
      <x:c r="X1250" s="10" t="n">
        <x:v>3</x:v>
      </x:c>
      <x:c r="Y1250" s="3" t="n">
        <x:v>0</x:v>
      </x:c>
      <x:c r="Z1250" s="3" t="str">
        <x:v>共同</x:v>
      </x:c>
      <x:c r="AA1250" s="3" t="str">
        <x:v>在售</x:v>
      </x:c>
      <x:c r="AB1250" s="12" t="n">
        <x:f>IF(AND(Z1250="共同",ISNUMBER(G1250),ISNUMBER(AD1250)),G1250-AD1250,"")</x:f>
        <x:v>0.1276190476190476</x:v>
      </x:c>
      <x:c r="AC1250" s="3" t="str"/>
      <x:c r="AD1250" s="12" t="n">
        <x:v>0</x:v>
      </x:c>
      <x:c r="AE1250" s="3" t="str">
        <x:v>[13306,"B07-BK-Z-0-41.5"]</x:v>
      </x:c>
      <x:c r="AF1250" t="n">
        <x:f>IF(ISNUMBER(H1250),1,0)</x:f>
        <x:v>1</x:v>
      </x:c>
      <x:c r="AG1250" t="n">
        <x:f>IF(ISNUMBER(I1250),1,0)</x:f>
        <x:v>1</x:v>
      </x:c>
      <x:c r="AH1250" t="str">
        <x:v>["B07","B07-BK-Z-0","BK-Z","黑色镜面PU"]</x:v>
      </x:c>
      <x:c r="AI1250" t="n">
        <x:f>IF(ISNUMBER(G1250),1,0)</x:f>
        <x:v>1</x:v>
      </x:c>
      <x:c r="AJ1250" t="n">
        <x:f>IF(ISNUMBER(AD1250),1,0)</x:f>
        <x:v>1</x:v>
      </x:c>
    </x:row>
    <x:row r="1251" ht="30" customHeight="1">
      <x:c r="A1251" s="3" t="str">
        <x:v>B07-BKP-39-New</x:v>
      </x:c>
      <x:c r="B1251" s="3" t="str">
        <x:v>4店-彬郁-US</x:v>
      </x:c>
      <x:c r="C1251" s="3" t="str">
        <x:v>艾年</x:v>
      </x:c>
      <x:c r="D1251" s="3" t="str">
        <x:v>B07</x:v>
      </x:c>
      <x:c r="E1251" s="3" t="str">
        <x:f>IF(Z1251="移出","已移出",IF(NOT(ISNUMBER(H1251)),"数据待核",IF(H1251=0,"断货",IF(NOT(ISNUMBER(G1251)),"数据待核",IF(G1251=0,"零日销待复核",IF(F1251&lt;60,"补货提醒",IF(F1251&lt;=90,"正常库存",IF(F1251&lt;180,"促销",IF(F1251&lt;=365,"红线促销","考虑清仓")))))))))</x:f>
        <x:v>补货提醒</x:v>
      </x:c>
      <x:c r="F1251" s="11" t="n">
        <x:f>IF(AND(ISNUMBER(H1251),ISNUMBER(G1251),G1251&gt;0),H1251/G1251,"")</x:f>
        <x:v>16.369710467706014</x:v>
      </x:c>
      <x:c r="G1251" s="12" t="n">
        <x:f>IF(AND(COUNT(P1251:R1251)=3,MIN(P1251:R1251)&gt;=0,P1251&lt;=Q1251,Q1251&lt;=R1251),P1251/7*0.5+Q1251/14*0.3+R1251/30*0.2,"")</x:f>
        <x:v>0.4276190476190476</x:v>
      </x:c>
      <x:c r="H1251" s="10" t="n">
        <x:f>IF(ISNUMBER(U1251),U1251,"")</x:f>
        <x:v>7</x:v>
      </x:c>
      <x:c r="I1251" s="10" t="n">
        <x:v>15</x:v>
      </x:c>
      <x:c r="J1251" s="11" t="n">
        <x:f>IF(AND(Z1251="共同",ISNUMBER(F1251),ISNUMBER(M1251)),F1251-M1251,"")</x:f>
        <x:v>-11.906770681306554</x:v>
      </x:c>
      <x:c r="K1251" s="13" t="n">
        <x:f>IF(AND(ISNUMBER(J1251),M1251&lt;&gt;0),J1251/M1251,"")</x:f>
        <x:v>-0.4210838901262064</x:v>
      </x:c>
      <x:c r="L1251" s="10" t="str">
        <x:v>补货提醒</x:v>
      </x:c>
      <x:c r="M1251" s="11" t="n">
        <x:v>28.276481149012568</x:v>
      </x:c>
      <x:c r="N1251" s="10" t="n">
        <x:f>IF(AND(Z1251="共同",COUNT(H1251:I1251)=2),H1251-I1251,"")</x:f>
        <x:v>-8</x:v>
      </x:c>
      <x:c r="O1251" s="10" t="n">
        <x:v>0</x:v>
      </x:c>
      <x:c r="P1251" s="10" t="n">
        <x:v>2</x:v>
      </x:c>
      <x:c r="Q1251" s="10" t="n">
        <x:v>8</x:v>
      </x:c>
      <x:c r="R1251" s="10" t="n">
        <x:v>17</x:v>
      </x:c>
      <x:c r="S1251" s="10" t="n">
        <x:v>10</x:v>
      </x:c>
      <x:c r="T1251" s="10" t="n">
        <x:v>1</x:v>
      </x:c>
      <x:c r="U1251" s="10" t="n">
        <x:f>IF(AND(ISNUMBER(X1251),X1251&gt;=0,Y1251&lt;&gt;1),X1251,"")</x:f>
        <x:v>7</x:v>
      </x:c>
      <x:c r="V1251" s="10" t="n">
        <x:v>16</x:v>
      </x:c>
      <x:c r="W1251" s="10" t="n">
        <x:v>0</x:v>
      </x:c>
      <x:c r="X1251" s="10" t="n">
        <x:v>7</x:v>
      </x:c>
      <x:c r="Y1251" s="3" t="n">
        <x:v>0</x:v>
      </x:c>
      <x:c r="Z1251" s="3" t="str">
        <x:v>共同</x:v>
      </x:c>
      <x:c r="AA1251" s="3" t="str">
        <x:v>在售</x:v>
      </x:c>
      <x:c r="AB1251" s="12" t="n">
        <x:f>IF(AND(Z1251="共同",ISNUMBER(G1251),ISNUMBER(AD1251)),G1251-AD1251,"")</x:f>
        <x:v>-0.10285714285714281</x:v>
      </x:c>
      <x:c r="AC1251" s="3" t="str"/>
      <x:c r="AD1251" s="12" t="n">
        <x:v>0.5304761904761904</x:v>
      </x:c>
      <x:c r="AE1251" s="3" t="str">
        <x:v>[13306,"B07-BKP-39-New"]</x:v>
      </x:c>
      <x:c r="AF1251" t="n">
        <x:f>IF(ISNUMBER(H1251),1,0)</x:f>
        <x:v>1</x:v>
      </x:c>
      <x:c r="AG1251" t="n">
        <x:f>IF(ISNUMBER(I1251),1,0)</x:f>
        <x:v>1</x:v>
      </x:c>
      <x:c r="AH1251" t="str">
        <x:v>["B07","B07-BKP","BKP","黑色PU"]</x:v>
      </x:c>
      <x:c r="AI1251" t="n">
        <x:f>IF(ISNUMBER(G1251),1,0)</x:f>
        <x:v>1</x:v>
      </x:c>
      <x:c r="AJ1251" t="n">
        <x:f>IF(ISNUMBER(AD1251),1,0)</x:f>
        <x:v>1</x:v>
      </x:c>
    </x:row>
    <x:row r="1252" ht="30" customHeight="1">
      <x:c r="A1252" s="3" t="str">
        <x:v>B07-CF-41</x:v>
      </x:c>
      <x:c r="B1252" s="3" t="str">
        <x:v>4店-彬郁-US</x:v>
      </x:c>
      <x:c r="C1252" s="3" t="str">
        <x:v>艾年</x:v>
      </x:c>
      <x:c r="D1252" s="3" t="str">
        <x:v>B07</x:v>
      </x:c>
      <x:c r="E1252" s="3" t="str">
        <x:f>IF(Z1252="移出","已移出",IF(NOT(ISNUMBER(H1252)),"数据待核",IF(H1252=0,"断货",IF(NOT(ISNUMBER(G1252)),"数据待核",IF(G1252=0,"零日销待复核",IF(F1252&lt;60,"补货提醒",IF(F1252&lt;=90,"正常库存",IF(F1252&lt;180,"促销",IF(F1252&lt;=365,"红线促销","考虑清仓")))))))))</x:f>
        <x:v>补货提醒</x:v>
      </x:c>
      <x:c r="F1252" s="11" t="n">
        <x:f>IF(AND(ISNUMBER(H1252),ISNUMBER(G1252),G1252&gt;0),H1252/G1252,"")</x:f>
        <x:v>10.047846889952154</x:v>
      </x:c>
      <x:c r="G1252" s="12" t="n">
        <x:f>IF(AND(COUNT(P1252:R1252)=3,MIN(P1252:R1252)&gt;=0,P1252&lt;=Q1252,Q1252&lt;=R1252),P1252/7*0.5+Q1252/14*0.3+R1252/30*0.2,"")</x:f>
        <x:v>0.09952380952380951</x:v>
      </x:c>
      <x:c r="H1252" s="10" t="n">
        <x:f>IF(ISNUMBER(U1252),U1252,"")</x:f>
        <x:v>1</x:v>
      </x:c>
      <x:c r="I1252" s="10" t="n">
        <x:v>2</x:v>
      </x:c>
      <x:c r="J1252" s="11" t="str">
        <x:f>IF(AND(Z1252="共同",ISNUMBER(F1252),ISNUMBER(M1252)),F1252-M1252,"")</x:f>
      </x:c>
      <x:c r="K1252" s="13" t="str">
        <x:f>IF(AND(ISNUMBER(J1252),M1252&lt;&gt;0),J1252/M1252,"")</x:f>
      </x:c>
      <x:c r="L1252" s="10" t="str">
        <x:v>零日销待复核</x:v>
      </x:c>
      <x:c r="M1252" s="11"/>
      <x:c r="N1252" s="10" t="n">
        <x:f>IF(AND(Z1252="共同",COUNT(H1252:I1252)=2),H1252-I1252,"")</x:f>
        <x:v>-1</x:v>
      </x:c>
      <x:c r="O1252" s="10" t="n">
        <x:v>0</x:v>
      </x:c>
      <x:c r="P1252" s="10" t="n">
        <x:v>1</x:v>
      </x:c>
      <x:c r="Q1252" s="10" t="n">
        <x:v>1</x:v>
      </x:c>
      <x:c r="R1252" s="10" t="n">
        <x:v>1</x:v>
      </x:c>
      <x:c r="S1252" s="10" t="n">
        <x:v>2</x:v>
      </x:c>
      <x:c r="T1252" s="10" t="n">
        <x:v>1</x:v>
      </x:c>
      <x:c r="U1252" s="10" t="n">
        <x:f>IF(AND(ISNUMBER(X1252),X1252&gt;=0,Y1252&lt;&gt;1),X1252,"")</x:f>
        <x:v>1</x:v>
      </x:c>
      <x:c r="V1252" s="10" t="n">
        <x:v>0</x:v>
      </x:c>
      <x:c r="W1252" s="10" t="n">
        <x:v>8</x:v>
      </x:c>
      <x:c r="X1252" s="10" t="n">
        <x:v>1</x:v>
      </x:c>
      <x:c r="Y1252" s="3" t="n">
        <x:v>0</x:v>
      </x:c>
      <x:c r="Z1252" s="3" t="str">
        <x:v>共同</x:v>
      </x:c>
      <x:c r="AA1252" s="3" t="str">
        <x:v>在售</x:v>
      </x:c>
      <x:c r="AB1252" s="12" t="n">
        <x:f>IF(AND(Z1252="共同",ISNUMBER(G1252),ISNUMBER(AD1252)),G1252-AD1252,"")</x:f>
        <x:v>0.09952380952380951</x:v>
      </x:c>
      <x:c r="AC1252" s="3" t="str"/>
      <x:c r="AD1252" s="12" t="n">
        <x:v>0</x:v>
      </x:c>
      <x:c r="AE1252" s="3" t="str">
        <x:v>[13306,"B07-CF-41"]</x:v>
      </x:c>
      <x:c r="AF1252" t="n">
        <x:f>IF(ISNUMBER(H1252),1,0)</x:f>
        <x:v>1</x:v>
      </x:c>
      <x:c r="AG1252" t="n">
        <x:f>IF(ISNUMBER(I1252),1,0)</x:f>
        <x:v>1</x:v>
      </x:c>
      <x:c r="AH1252" t="str">
        <x:v>["B07","B07-CF","CF","咖色PU"]</x:v>
      </x:c>
      <x:c r="AI1252" t="n">
        <x:f>IF(ISNUMBER(G1252),1,0)</x:f>
        <x:v>1</x:v>
      </x:c>
      <x:c r="AJ1252" t="n">
        <x:f>IF(ISNUMBER(AD1252),1,0)</x:f>
        <x:v>1</x:v>
      </x:c>
    </x:row>
    <x:row r="1253" ht="30" customHeight="1">
      <x:c r="A1253" s="3" t="str">
        <x:v>B07-LP-37.5</x:v>
      </x:c>
      <x:c r="B1253" s="3" t="str">
        <x:v>4店-彬郁-US</x:v>
      </x:c>
      <x:c r="C1253" s="3" t="str">
        <x:v>艾年</x:v>
      </x:c>
      <x:c r="D1253" s="3" t="str">
        <x:v>B07</x:v>
      </x:c>
      <x:c r="E1253" s="3" t="str">
        <x:f>IF(Z1253="移出","已移出",IF(NOT(ISNUMBER(H1253)),"数据待核",IF(H1253=0,"断货",IF(NOT(ISNUMBER(G1253)),"数据待核",IF(G1253=0,"零日销待复核",IF(F1253&lt;60,"补货提醒",IF(F1253&lt;=90,"正常库存",IF(F1253&lt;180,"促销",IF(F1253&lt;=365,"红线促销","考虑清仓")))))))))</x:f>
        <x:v>补货提醒</x:v>
      </x:c>
      <x:c r="F1253" s="11" t="n">
        <x:f>IF(AND(ISNUMBER(H1253),ISNUMBER(G1253),G1253&gt;0),H1253/G1253,"")</x:f>
        <x:v>29.16666666666667</x:v>
      </x:c>
      <x:c r="G1253" s="12" t="n">
        <x:f>IF(AND(COUNT(P1253:R1253)=3,MIN(P1253:R1253)&gt;=0,P1253&lt;=Q1253,Q1253&lt;=R1253),P1253/7*0.5+Q1253/14*0.3+R1253/30*0.2,"")</x:f>
        <x:v>0.5485714285714285</x:v>
      </x:c>
      <x:c r="H1253" s="10" t="n">
        <x:f>IF(ISNUMBER(U1253),U1253,"")</x:f>
        <x:v>16</x:v>
      </x:c>
      <x:c r="I1253" s="10" t="n">
        <x:v>23</x:v>
      </x:c>
      <x:c r="J1253" s="11" t="n">
        <x:f>IF(AND(Z1253="共同",ISNUMBER(F1253),ISNUMBER(M1253)),F1253-M1253,"")</x:f>
        <x:v>-25.225225225225216</x:v>
      </x:c>
      <x:c r="K1253" s="13" t="n">
        <x:f>IF(AND(ISNUMBER(J1253),M1253&lt;&gt;0),J1253/M1253,"")</x:f>
        <x:v>-0.4637681159420289</x:v>
      </x:c>
      <x:c r="L1253" s="10" t="str">
        <x:v>补货提醒</x:v>
      </x:c>
      <x:c r="M1253" s="11" t="n">
        <x:v>54.39189189189189</x:v>
      </x:c>
      <x:c r="N1253" s="10" t="n">
        <x:f>IF(AND(Z1253="共同",COUNT(H1253:I1253)=2),H1253-I1253,"")</x:f>
        <x:v>-7</x:v>
      </x:c>
      <x:c r="O1253" s="10" t="n">
        <x:v>62</x:v>
      </x:c>
      <x:c r="P1253" s="10" t="n">
        <x:v>3</x:v>
      </x:c>
      <x:c r="Q1253" s="10" t="n">
        <x:v>10</x:v>
      </x:c>
      <x:c r="R1253" s="10" t="n">
        <x:v>18</x:v>
      </x:c>
      <x:c r="S1253" s="10" t="n">
        <x:v>19</x:v>
      </x:c>
      <x:c r="T1253" s="10" t="n">
        <x:v>0</x:v>
      </x:c>
      <x:c r="U1253" s="10" t="n">
        <x:f>IF(AND(ISNUMBER(X1253),X1253&gt;=0,Y1253&lt;&gt;1),X1253,"")</x:f>
        <x:v>16</x:v>
      </x:c>
      <x:c r="V1253" s="10" t="n">
        <x:v>0</x:v>
      </x:c>
      <x:c r="W1253" s="10" t="n">
        <x:v>64</x:v>
      </x:c>
      <x:c r="X1253" s="10" t="n">
        <x:v>16</x:v>
      </x:c>
      <x:c r="Y1253" s="3" t="n">
        <x:v>0</x:v>
      </x:c>
      <x:c r="Z1253" s="3" t="str">
        <x:v>共同</x:v>
      </x:c>
      <x:c r="AA1253" s="3" t="str">
        <x:v>在售</x:v>
      </x:c>
      <x:c r="AB1253" s="12" t="n">
        <x:f>IF(AND(Z1253="共同",ISNUMBER(G1253),ISNUMBER(AD1253)),G1253-AD1253,"")</x:f>
        <x:v>0.1257142857142856</x:v>
      </x:c>
      <x:c r="AC1253" s="3" t="str"/>
      <x:c r="AD1253" s="12" t="n">
        <x:v>0.4228571428571429</x:v>
      </x:c>
      <x:c r="AE1253" s="3" t="str">
        <x:v>[13306,"B07-LP-37.5"]</x:v>
      </x:c>
      <x:c r="AF1253" t="n">
        <x:f>IF(ISNUMBER(H1253),1,0)</x:f>
        <x:v>1</x:v>
      </x:c>
      <x:c r="AG1253" t="n">
        <x:f>IF(ISNUMBER(I1253),1,0)</x:f>
        <x:v>1</x:v>
      </x:c>
      <x:c r="AH1253" t="str">
        <x:v>["B07","B07-LP","LP","豹纹羊京绒"]</x:v>
      </x:c>
      <x:c r="AI1253" t="n">
        <x:f>IF(ISNUMBER(G1253),1,0)</x:f>
        <x:v>1</x:v>
      </x:c>
      <x:c r="AJ1253" t="n">
        <x:f>IF(ISNUMBER(AD1253),1,0)</x:f>
        <x:v>1</x:v>
      </x:c>
    </x:row>
    <x:row r="1254" ht="30" customHeight="1">
      <x:c r="A1254" s="3" t="str">
        <x:v>B07-LP1-41.5</x:v>
      </x:c>
      <x:c r="B1254" s="3" t="str">
        <x:v>4店-彬郁-US</x:v>
      </x:c>
      <x:c r="C1254" s="3" t="str">
        <x:v>艾年</x:v>
      </x:c>
      <x:c r="D1254" s="3" t="str">
        <x:v>B07</x:v>
      </x:c>
      <x:c r="E1254" s="3" t="str">
        <x:f>IF(Z1254="移出","已移出",IF(NOT(ISNUMBER(H1254)),"数据待核",IF(H1254=0,"断货",IF(NOT(ISNUMBER(G1254)),"数据待核",IF(G1254=0,"零日销待复核",IF(F1254&lt;60,"补货提醒",IF(F1254&lt;=90,"正常库存",IF(F1254&lt;180,"促销",IF(F1254&lt;=365,"红线促销","考虑清仓")))))))))</x:f>
        <x:v>补货提醒</x:v>
      </x:c>
      <x:c r="F1254" s="11" t="n">
        <x:f>IF(AND(ISNUMBER(H1254),ISNUMBER(G1254),G1254&gt;0),H1254/G1254,"")</x:f>
        <x:v>7.82851817334576</x:v>
      </x:c>
      <x:c r="G1254" s="12" t="n">
        <x:f>IF(AND(COUNT(P1254:R1254)=3,MIN(P1254:R1254)&gt;=0,P1254&lt;=Q1254,Q1254&lt;=R1254),P1254/7*0.5+Q1254/14*0.3+R1254/30*0.2,"")</x:f>
        <x:v>0.5109523809523809</x:v>
      </x:c>
      <x:c r="H1254" s="10" t="n">
        <x:f>IF(ISNUMBER(U1254),U1254,"")</x:f>
        <x:v>4</x:v>
      </x:c>
      <x:c r="I1254" s="10" t="n">
        <x:v>5</x:v>
      </x:c>
      <x:c r="J1254" s="11" t="n">
        <x:f>IF(AND(Z1254="共同",ISNUMBER(F1254),ISNUMBER(M1254)),F1254-M1254,"")</x:f>
        <x:v>0.6612826784652137</x:v>
      </x:c>
      <x:c r="K1254" s="13" t="n">
        <x:f>IF(AND(ISNUMBER(J1254),M1254&lt;&gt;0),J1254/M1254,"")</x:f>
        <x:v>0.09226467847157506</x:v>
      </x:c>
      <x:c r="L1254" s="10" t="str">
        <x:v>补货提醒</x:v>
      </x:c>
      <x:c r="M1254" s="11" t="n">
        <x:v>7.167235494880546</x:v>
      </x:c>
      <x:c r="N1254" s="10" t="n">
        <x:f>IF(AND(Z1254="共同",COUNT(H1254:I1254)=2),H1254-I1254,"")</x:f>
        <x:v>-1</x:v>
      </x:c>
      <x:c r="O1254" s="10" t="n">
        <x:v>22</x:v>
      </x:c>
      <x:c r="P1254" s="10" t="n">
        <x:v>3</x:v>
      </x:c>
      <x:c r="Q1254" s="10" t="n">
        <x:v>7</x:v>
      </x:c>
      <x:c r="R1254" s="10" t="n">
        <x:v>22</x:v>
      </x:c>
      <x:c r="S1254" s="10" t="n">
        <x:v>8</x:v>
      </x:c>
      <x:c r="T1254" s="10" t="n">
        <x:v>0</x:v>
      </x:c>
      <x:c r="U1254" s="10" t="n">
        <x:f>IF(AND(ISNUMBER(X1254),X1254&gt;=0,Y1254&lt;&gt;1),X1254,"")</x:f>
        <x:v>4</x:v>
      </x:c>
      <x:c r="V1254" s="10" t="n">
        <x:v>0</x:v>
      </x:c>
      <x:c r="W1254" s="10" t="n">
        <x:v>22</x:v>
      </x:c>
      <x:c r="X1254" s="10" t="n">
        <x:v>4</x:v>
      </x:c>
      <x:c r="Y1254" s="3" t="n">
        <x:v>0</x:v>
      </x:c>
      <x:c r="Z1254" s="3" t="str">
        <x:v>共同</x:v>
      </x:c>
      <x:c r="AA1254" s="3" t="str">
        <x:v>在售</x:v>
      </x:c>
      <x:c r="AB1254" s="12" t="n">
        <x:f>IF(AND(Z1254="共同",ISNUMBER(G1254),ISNUMBER(AD1254)),G1254-AD1254,"")</x:f>
        <x:v>-0.18666666666666665</x:v>
      </x:c>
      <x:c r="AC1254" s="3" t="str"/>
      <x:c r="AD1254" s="12" t="n">
        <x:v>0.6976190476190476</x:v>
      </x:c>
      <x:c r="AE1254" s="3" t="str">
        <x:v>[13306,"B07-LP1-41.5"]</x:v>
      </x:c>
      <x:c r="AF1254" t="n">
        <x:f>IF(ISNUMBER(H1254),1,0)</x:f>
        <x:v>1</x:v>
      </x:c>
      <x:c r="AG1254" t="n">
        <x:f>IF(ISNUMBER(I1254),1,0)</x:f>
        <x:v>1</x:v>
      </x:c>
      <x:c r="AH1254" t="str">
        <x:v>["B07","B07-LP1","LP1","豹纹羊京绒"]</x:v>
      </x:c>
      <x:c r="AI1254" t="n">
        <x:f>IF(ISNUMBER(G1254),1,0)</x:f>
        <x:v>1</x:v>
      </x:c>
      <x:c r="AJ1254" t="n">
        <x:f>IF(ISNUMBER(AD1254),1,0)</x:f>
        <x:v>1</x:v>
      </x:c>
    </x:row>
    <x:row r="1255" ht="30" customHeight="1">
      <x:c r="A1255" s="3" t="str">
        <x:v>B07-MT-37.5</x:v>
      </x:c>
      <x:c r="B1255" s="3" t="str">
        <x:v>4店-彬郁-US</x:v>
      </x:c>
      <x:c r="C1255" s="3" t="str">
        <x:v>艾年</x:v>
      </x:c>
      <x:c r="D1255" s="3" t="str">
        <x:v>B07</x:v>
      </x:c>
      <x:c r="E1255" s="3" t="str">
        <x:f>IF(Z1255="移出","已移出",IF(NOT(ISNUMBER(H1255)),"数据待核",IF(H1255=0,"断货",IF(NOT(ISNUMBER(G1255)),"数据待核",IF(G1255=0,"零日销待复核",IF(F1255&lt;60,"补货提醒",IF(F1255&lt;=90,"正常库存",IF(F1255&lt;180,"促销",IF(F1255&lt;=365,"红线促销","考虑清仓")))))))))</x:f>
        <x:v>补货提醒</x:v>
      </x:c>
      <x:c r="F1255" s="11" t="n">
        <x:f>IF(AND(ISNUMBER(H1255),ISNUMBER(G1255),G1255&gt;0),H1255/G1255,"")</x:f>
        <x:v>28.251121076233186</x:v>
      </x:c>
      <x:c r="G1255" s="12" t="n">
        <x:f>IF(AND(COUNT(P1255:R1255)=3,MIN(P1255:R1255)&gt;=0,P1255&lt;=Q1255,Q1255&lt;=R1255),P1255/7*0.5+Q1255/14*0.3+R1255/30*0.2,"")</x:f>
        <x:v>0.21238095238095236</x:v>
      </x:c>
      <x:c r="H1255" s="10" t="n">
        <x:f>IF(ISNUMBER(U1255),U1255,"")</x:f>
        <x:v>6</x:v>
      </x:c>
      <x:c r="I1255" s="10" t="n">
        <x:v>7</x:v>
      </x:c>
      <x:c r="J1255" s="11" t="n">
        <x:f>IF(AND(Z1255="共同",ISNUMBER(F1255),ISNUMBER(M1255)),F1255-M1255,"")</x:f>
        <x:v>-37.66816143497756</x:v>
      </x:c>
      <x:c r="K1255" s="13" t="n">
        <x:f>IF(AND(ISNUMBER(J1255),M1255&lt;&gt;0),J1255/M1255,"")</x:f>
        <x:v>-0.5714285714285713</x:v>
      </x:c>
      <x:c r="L1255" s="10" t="str">
        <x:v>正常库存</x:v>
      </x:c>
      <x:c r="M1255" s="11" t="n">
        <x:v>65.91928251121075</x:v>
      </x:c>
      <x:c r="N1255" s="10" t="n">
        <x:f>IF(AND(Z1255="共同",COUNT(H1255:I1255)=2),H1255-I1255,"")</x:f>
        <x:v>-1</x:v>
      </x:c>
      <x:c r="O1255" s="10" t="n">
        <x:v>0</x:v>
      </x:c>
      <x:c r="P1255" s="10" t="n">
        <x:v>2</x:v>
      </x:c>
      <x:c r="Q1255" s="10" t="n">
        <x:v>2</x:v>
      </x:c>
      <x:c r="R1255" s="10" t="n">
        <x:v>4</x:v>
      </x:c>
      <x:c r="S1255" s="10" t="n">
        <x:v>6</x:v>
      </x:c>
      <x:c r="T1255" s="10" t="n">
        <x:v>0</x:v>
      </x:c>
      <x:c r="U1255" s="10" t="n">
        <x:f>IF(AND(ISNUMBER(X1255),X1255&gt;=0,Y1255&lt;&gt;1),X1255,"")</x:f>
        <x:v>6</x:v>
      </x:c>
      <x:c r="V1255" s="10" t="n">
        <x:v>0</x:v>
      </x:c>
      <x:c r="W1255" s="10" t="n">
        <x:v>0</x:v>
      </x:c>
      <x:c r="X1255" s="10" t="n">
        <x:v>6</x:v>
      </x:c>
      <x:c r="Y1255" s="3" t="n">
        <x:v>0</x:v>
      </x:c>
      <x:c r="Z1255" s="3" t="str">
        <x:v>共同</x:v>
      </x:c>
      <x:c r="AA1255" s="3" t="str">
        <x:v>在售</x:v>
      </x:c>
      <x:c r="AB1255" s="12" t="n">
        <x:f>IF(AND(Z1255="共同",ISNUMBER(G1255),ISNUMBER(AD1255)),G1255-AD1255,"")</x:f>
        <x:v>0.10619047619047617</x:v>
      </x:c>
      <x:c r="AC1255" s="3" t="str"/>
      <x:c r="AD1255" s="12" t="n">
        <x:v>0.1061904761904762</x:v>
      </x:c>
      <x:c r="AE1255" s="3" t="str">
        <x:v>[13306,"B07-MT-37.5"]</x:v>
      </x:c>
      <x:c r="AF1255" t="n">
        <x:f>IF(ISNUMBER(H1255),1,0)</x:f>
        <x:v>1</x:v>
      </x:c>
      <x:c r="AG1255" t="n">
        <x:f>IF(ISNUMBER(I1255),1,0)</x:f>
        <x:v>1</x:v>
      </x:c>
      <x:c r="AH1255" t="str">
        <x:v>["B07","B07-MT","MT","黄色羊京绒"]</x:v>
      </x:c>
      <x:c r="AI1255" t="n">
        <x:f>IF(ISNUMBER(G1255),1,0)</x:f>
        <x:v>1</x:v>
      </x:c>
      <x:c r="AJ1255" t="n">
        <x:f>IF(ISNUMBER(AD1255),1,0)</x:f>
        <x:v>1</x:v>
      </x:c>
    </x:row>
    <x:row r="1256" ht="30" customHeight="1">
      <x:c r="A1256" s="3" t="str">
        <x:v>B07-ND-I-0-40.5</x:v>
      </x:c>
      <x:c r="B1256" s="3" t="str">
        <x:v>4店-彬郁-US</x:v>
      </x:c>
      <x:c r="C1256" s="3" t="str">
        <x:v>艾年</x:v>
      </x:c>
      <x:c r="D1256" s="3" t="str">
        <x:v>B07</x:v>
      </x:c>
      <x:c r="E1256" s="3" t="str">
        <x:f>IF(Z1256="移出","已移出",IF(NOT(ISNUMBER(H1256)),"数据待核",IF(H1256=0,"断货",IF(NOT(ISNUMBER(G1256)),"数据待核",IF(G1256=0,"零日销待复核",IF(F1256&lt;60,"补货提醒",IF(F1256&lt;=90,"正常库存",IF(F1256&lt;180,"促销",IF(F1256&lt;=365,"红线促销","考虑清仓")))))))))</x:f>
        <x:v>补货提醒</x:v>
      </x:c>
      <x:c r="F1256" s="11" t="n">
        <x:f>IF(AND(ISNUMBER(H1256),ISNUMBER(G1256),G1256&gt;0),H1256/G1256,"")</x:f>
        <x:v>35.59322033898305</x:v>
      </x:c>
      <x:c r="G1256" s="12" t="n">
        <x:f>IF(AND(COUNT(P1256:R1256)=3,MIN(P1256:R1256)&gt;=0,P1256&lt;=Q1256,Q1256&lt;=R1256),P1256/7*0.5+Q1256/14*0.3+R1256/30*0.2,"")</x:f>
        <x:v>0.028095238095238093</x:v>
      </x:c>
      <x:c r="H1256" s="10" t="n">
        <x:f>IF(ISNUMBER(U1256),U1256,"")</x:f>
        <x:v>1</x:v>
      </x:c>
      <x:c r="I1256" s="10" t="n">
        <x:v>2</x:v>
      </x:c>
      <x:c r="J1256" s="11" t="n">
        <x:f>IF(AND(Z1256="共同",ISNUMBER(F1256),ISNUMBER(M1256)),F1256-M1256,"")</x:f>
        <x:v>-114.40677966101694</x:v>
      </x:c>
      <x:c r="K1256" s="13" t="n">
        <x:f>IF(AND(ISNUMBER(J1256),M1256&lt;&gt;0),J1256/M1256,"")</x:f>
        <x:v>-0.7627118644067796</x:v>
      </x:c>
      <x:c r="L1256" s="10" t="str">
        <x:v>促销</x:v>
      </x:c>
      <x:c r="M1256" s="11" t="n">
        <x:v>150</x:v>
      </x:c>
      <x:c r="N1256" s="10" t="n">
        <x:f>IF(AND(Z1256="共同",COUNT(H1256:I1256)=2),H1256-I1256,"")</x:f>
        <x:v>-1</x:v>
      </x:c>
      <x:c r="O1256" s="10" t="n">
        <x:v>0</x:v>
      </x:c>
      <x:c r="P1256" s="10" t="n">
        <x:v>0</x:v>
      </x:c>
      <x:c r="Q1256" s="10" t="n">
        <x:v>1</x:v>
      </x:c>
      <x:c r="R1256" s="10" t="n">
        <x:v>1</x:v>
      </x:c>
      <x:c r="S1256" s="10" t="n">
        <x:v>1</x:v>
      </x:c>
      <x:c r="T1256" s="10" t="n">
        <x:v>0</x:v>
      </x:c>
      <x:c r="U1256" s="10" t="n">
        <x:f>IF(AND(ISNUMBER(X1256),X1256&gt;=0,Y1256&lt;&gt;1),X1256,"")</x:f>
        <x:v>1</x:v>
      </x:c>
      <x:c r="V1256" s="10" t="n">
        <x:v>0</x:v>
      </x:c>
      <x:c r="W1256" s="10" t="n">
        <x:v>0</x:v>
      </x:c>
      <x:c r="X1256" s="10" t="n">
        <x:v>1</x:v>
      </x:c>
      <x:c r="Y1256" s="3" t="n">
        <x:v>0</x:v>
      </x:c>
      <x:c r="Z1256" s="3" t="str">
        <x:v>共同</x:v>
      </x:c>
      <x:c r="AA1256" s="3" t="str">
        <x:v>在售</x:v>
      </x:c>
      <x:c r="AB1256" s="12" t="n">
        <x:f>IF(AND(Z1256="共同",ISNUMBER(G1256),ISNUMBER(AD1256)),G1256-AD1256,"")</x:f>
        <x:v>0.01476190476190476</x:v>
      </x:c>
      <x:c r="AC1256" s="3" t="str"/>
      <x:c r="AD1256" s="12" t="n">
        <x:v>0.013333333333333332</x:v>
      </x:c>
      <x:c r="AE1256" s="3" t="str">
        <x:v>[13306,"B07-ND-I-0-40.5"]</x:v>
      </x:c>
      <x:c r="AF1256" t="n">
        <x:f>IF(ISNUMBER(H1256),1,0)</x:f>
        <x:v>1</x:v>
      </x:c>
      <x:c r="AG1256" t="n">
        <x:f>IF(ISNUMBER(I1256),1,0)</x:f>
        <x:v>1</x:v>
      </x:c>
      <x:c r="AH1256" t="str">
        <x:v>["B07","B07-ND-I-0","ND-I","裸色色织提花"]</x:v>
      </x:c>
      <x:c r="AI1256" t="n">
        <x:f>IF(ISNUMBER(G1256),1,0)</x:f>
        <x:v>1</x:v>
      </x:c>
      <x:c r="AJ1256" t="n">
        <x:f>IF(ISNUMBER(AD1256),1,0)</x:f>
        <x:v>1</x:v>
      </x:c>
    </x:row>
    <x:row r="1257" ht="30" customHeight="1">
      <x:c r="A1257" s="3" t="str">
        <x:v>B07-PK-37.5</x:v>
      </x:c>
      <x:c r="B1257" s="3" t="str">
        <x:v>4店-彬郁-US</x:v>
      </x:c>
      <x:c r="C1257" s="3" t="str">
        <x:v>艾年</x:v>
      </x:c>
      <x:c r="D1257" s="3" t="str">
        <x:v>B07</x:v>
      </x:c>
      <x:c r="E1257" s="3" t="str">
        <x:f>IF(Z1257="移出","已移出",IF(NOT(ISNUMBER(H1257)),"数据待核",IF(H1257=0,"断货",IF(NOT(ISNUMBER(G1257)),"数据待核",IF(G1257=0,"零日销待复核",IF(F1257&lt;60,"补货提醒",IF(F1257&lt;=90,"正常库存",IF(F1257&lt;180,"促销",IF(F1257&lt;=365,"红线促销","考虑清仓")))))))))</x:f>
        <x:v>补货提醒</x:v>
      </x:c>
      <x:c r="F1257" s="11" t="n">
        <x:f>IF(AND(ISNUMBER(H1257),ISNUMBER(G1257),G1257&gt;0),H1257/G1257,"")</x:f>
        <x:v>53.38983050847458</x:v>
      </x:c>
      <x:c r="G1257" s="12" t="n">
        <x:f>IF(AND(COUNT(P1257:R1257)=3,MIN(P1257:R1257)&gt;=0,P1257&lt;=Q1257,Q1257&lt;=R1257),P1257/7*0.5+Q1257/14*0.3+R1257/30*0.2,"")</x:f>
        <x:v>0.056190476190476187</x:v>
      </x:c>
      <x:c r="H1257" s="10" t="n">
        <x:f>IF(ISNUMBER(U1257),U1257,"")</x:f>
        <x:v>3</x:v>
      </x:c>
      <x:c r="I1257" s="10" t="n">
        <x:v>5</x:v>
      </x:c>
      <x:c r="J1257" s="11" t="n">
        <x:f>IF(AND(Z1257="共同",ISNUMBER(F1257),ISNUMBER(M1257)),F1257-M1257,"")</x:f>
        <x:v>-696.6101694915254</x:v>
      </x:c>
      <x:c r="K1257" s="13" t="n">
        <x:f>IF(AND(ISNUMBER(J1257),M1257&lt;&gt;0),J1257/M1257,"")</x:f>
        <x:v>-0.9288135593220339</x:v>
      </x:c>
      <x:c r="L1257" s="10" t="str">
        <x:v>考虑清仓</x:v>
      </x:c>
      <x:c r="M1257" s="11" t="n">
        <x:v>750</x:v>
      </x:c>
      <x:c r="N1257" s="10" t="n">
        <x:f>IF(AND(Z1257="共同",COUNT(H1257:I1257)=2),H1257-I1257,"")</x:f>
        <x:v>-2</x:v>
      </x:c>
      <x:c r="O1257" s="10"/>
      <x:c r="P1257" s="10" t="n">
        <x:v>0</x:v>
      </x:c>
      <x:c r="Q1257" s="10" t="n">
        <x:v>2</x:v>
      </x:c>
      <x:c r="R1257" s="10" t="n">
        <x:v>2</x:v>
      </x:c>
      <x:c r="S1257" s="10" t="n">
        <x:v>4</x:v>
      </x:c>
      <x:c r="T1257" s="10" t="n">
        <x:v>0</x:v>
      </x:c>
      <x:c r="U1257" s="10" t="n">
        <x:f>IF(AND(ISNUMBER(X1257),X1257&gt;=0,Y1257&lt;&gt;1),X1257,"")</x:f>
        <x:v>3</x:v>
      </x:c>
      <x:c r="V1257" s="10" t="n">
        <x:v>0</x:v>
      </x:c>
      <x:c r="W1257" s="10" t="n">
        <x:v>0</x:v>
      </x:c>
      <x:c r="X1257" s="10" t="n">
        <x:v>3</x:v>
      </x:c>
      <x:c r="Y1257" s="3" t="n">
        <x:v>0</x:v>
      </x:c>
      <x:c r="Z1257" s="3" t="str">
        <x:v>共同</x:v>
      </x:c>
      <x:c r="AA1257" s="3" t="str">
        <x:v>在售</x:v>
      </x:c>
      <x:c r="AB1257" s="12" t="n">
        <x:f>IF(AND(Z1257="共同",ISNUMBER(G1257),ISNUMBER(AD1257)),G1257-AD1257,"")</x:f>
        <x:v>0.04952380952380952</x:v>
      </x:c>
      <x:c r="AC1257" s="3" t="str"/>
      <x:c r="AD1257" s="12" t="n">
        <x:v>0.006666666666666666</x:v>
      </x:c>
      <x:c r="AE1257" s="3" t="str">
        <x:v>[13306,"B07-PK-37.5"]</x:v>
      </x:c>
      <x:c r="AF1257" t="n">
        <x:f>IF(ISNUMBER(H1257),1,0)</x:f>
        <x:v>1</x:v>
      </x:c>
      <x:c r="AG1257" t="n">
        <x:f>IF(ISNUMBER(I1257),1,0)</x:f>
        <x:v>1</x:v>
      </x:c>
      <x:c r="AH1257" t="str">
        <x:v>["B07","B07-PK","PK","粉色羊京绒"]</x:v>
      </x:c>
      <x:c r="AI1257" t="n">
        <x:f>IF(ISNUMBER(G1257),1,0)</x:f>
        <x:v>1</x:v>
      </x:c>
      <x:c r="AJ1257" t="n">
        <x:f>IF(ISNUMBER(AD1257),1,0)</x:f>
        <x:v>1</x:v>
      </x:c>
    </x:row>
    <x:row r="1258" ht="30" customHeight="1">
      <x:c r="A1258" s="3" t="str">
        <x:v>B07-PK-40.5</x:v>
      </x:c>
      <x:c r="B1258" s="3" t="str">
        <x:v>4店-彬郁-US</x:v>
      </x:c>
      <x:c r="C1258" s="3" t="str">
        <x:v>艾年</x:v>
      </x:c>
      <x:c r="D1258" s="3" t="str">
        <x:v>B07</x:v>
      </x:c>
      <x:c r="E1258" s="3" t="str">
        <x:f>IF(Z1258="移出","已移出",IF(NOT(ISNUMBER(H1258)),"数据待核",IF(H1258=0,"断货",IF(NOT(ISNUMBER(G1258)),"数据待核",IF(G1258=0,"零日销待复核",IF(F1258&lt;60,"补货提醒",IF(F1258&lt;=90,"正常库存",IF(F1258&lt;180,"促销",IF(F1258&lt;=365,"红线促销","考虑清仓")))))))))</x:f>
        <x:v>补货提醒</x:v>
      </x:c>
      <x:c r="F1258" s="11" t="n">
        <x:f>IF(AND(ISNUMBER(H1258),ISNUMBER(G1258),G1258&gt;0),H1258/G1258,"")</x:f>
        <x:v>20.09569377990431</x:v>
      </x:c>
      <x:c r="G1258" s="12" t="n">
        <x:f>IF(AND(COUNT(P1258:R1258)=3,MIN(P1258:R1258)&gt;=0,P1258&lt;=Q1258,Q1258&lt;=R1258),P1258/7*0.5+Q1258/14*0.3+R1258/30*0.2,"")</x:f>
        <x:v>0.09952380952380951</x:v>
      </x:c>
      <x:c r="H1258" s="10" t="n">
        <x:f>IF(ISNUMBER(U1258),U1258,"")</x:f>
        <x:v>2</x:v>
      </x:c>
      <x:c r="I1258" s="10" t="n">
        <x:v>4</x:v>
      </x:c>
      <x:c r="J1258" s="11" t="n">
        <x:f>IF(AND(Z1258="共同",ISNUMBER(F1258),ISNUMBER(M1258)),F1258-M1258,"")</x:f>
        <x:v>-579.9043062200957</x:v>
      </x:c>
      <x:c r="K1258" s="13" t="n">
        <x:f>IF(AND(ISNUMBER(J1258),M1258&lt;&gt;0),J1258/M1258,"")</x:f>
        <x:v>-0.9665071770334929</x:v>
      </x:c>
      <x:c r="L1258" s="10" t="str">
        <x:v>考虑清仓</x:v>
      </x:c>
      <x:c r="M1258" s="11" t="n">
        <x:v>600</x:v>
      </x:c>
      <x:c r="N1258" s="10" t="n">
        <x:f>IF(AND(Z1258="共同",COUNT(H1258:I1258)=2),H1258-I1258,"")</x:f>
        <x:v>-2</x:v>
      </x:c>
      <x:c r="O1258" s="10" t="n">
        <x:v>0</x:v>
      </x:c>
      <x:c r="P1258" s="10" t="n">
        <x:v>1</x:v>
      </x:c>
      <x:c r="Q1258" s="10" t="n">
        <x:v>1</x:v>
      </x:c>
      <x:c r="R1258" s="10" t="n">
        <x:v>1</x:v>
      </x:c>
      <x:c r="S1258" s="10" t="n">
        <x:v>2</x:v>
      </x:c>
      <x:c r="T1258" s="10" t="n">
        <x:v>0</x:v>
      </x:c>
      <x:c r="U1258" s="10" t="n">
        <x:f>IF(AND(ISNUMBER(X1258),X1258&gt;=0,Y1258&lt;&gt;1),X1258,"")</x:f>
        <x:v>2</x:v>
      </x:c>
      <x:c r="V1258" s="10" t="n">
        <x:v>0</x:v>
      </x:c>
      <x:c r="W1258" s="10" t="n">
        <x:v>0</x:v>
      </x:c>
      <x:c r="X1258" s="10" t="n">
        <x:v>2</x:v>
      </x:c>
      <x:c r="Y1258" s="3" t="n">
        <x:v>0</x:v>
      </x:c>
      <x:c r="Z1258" s="3" t="str">
        <x:v>共同</x:v>
      </x:c>
      <x:c r="AA1258" s="3" t="str">
        <x:v>在售</x:v>
      </x:c>
      <x:c r="AB1258" s="12" t="n">
        <x:f>IF(AND(Z1258="共同",ISNUMBER(G1258),ISNUMBER(AD1258)),G1258-AD1258,"")</x:f>
        <x:v>0.09285714285714285</x:v>
      </x:c>
      <x:c r="AC1258" s="3" t="str"/>
      <x:c r="AD1258" s="12" t="n">
        <x:v>0.006666666666666666</x:v>
      </x:c>
      <x:c r="AE1258" s="3" t="str">
        <x:v>[13306,"B07-PK-40.5"]</x:v>
      </x:c>
      <x:c r="AF1258" t="n">
        <x:f>IF(ISNUMBER(H1258),1,0)</x:f>
        <x:v>1</x:v>
      </x:c>
      <x:c r="AG1258" t="n">
        <x:f>IF(ISNUMBER(I1258),1,0)</x:f>
        <x:v>1</x:v>
      </x:c>
      <x:c r="AH1258" t="str">
        <x:v>["B07","B07-PK","PK","粉色羊京绒"]</x:v>
      </x:c>
      <x:c r="AI1258" t="n">
        <x:f>IF(ISNUMBER(G1258),1,0)</x:f>
        <x:v>1</x:v>
      </x:c>
      <x:c r="AJ1258" t="n">
        <x:f>IF(ISNUMBER(AD1258),1,0)</x:f>
        <x:v>1</x:v>
      </x:c>
    </x:row>
    <x:row r="1259" ht="30" customHeight="1">
      <x:c r="A1259" s="3" t="str">
        <x:v>B07-PK-42-by</x:v>
      </x:c>
      <x:c r="B1259" s="3" t="str">
        <x:v>4店-彬郁-US</x:v>
      </x:c>
      <x:c r="C1259" s="3" t="str">
        <x:v>艾年</x:v>
      </x:c>
      <x:c r="D1259" s="3" t="str">
        <x:v>B07</x:v>
      </x:c>
      <x:c r="E1259" s="3" t="str">
        <x:f>IF(Z1259="移出","已移出",IF(NOT(ISNUMBER(H1259)),"数据待核",IF(H1259=0,"断货",IF(NOT(ISNUMBER(G1259)),"数据待核",IF(G1259=0,"零日销待复核",IF(F1259&lt;60,"补货提醒",IF(F1259&lt;=90,"正常库存",IF(F1259&lt;180,"促销",IF(F1259&lt;=365,"红线促销","考虑清仓")))))))))</x:f>
        <x:v>补货提醒</x:v>
      </x:c>
      <x:c r="F1259" s="11" t="n">
        <x:f>IF(AND(ISNUMBER(H1259),ISNUMBER(G1259),G1259&gt;0),H1259/G1259,"")</x:f>
        <x:v>21.283783783783786</x:v>
      </x:c>
      <x:c r="G1259" s="12" t="n">
        <x:f>IF(AND(COUNT(P1259:R1259)=3,MIN(P1259:R1259)&gt;=0,P1259&lt;=Q1259,Q1259&lt;=R1259),P1259/7*0.5+Q1259/14*0.3+R1259/30*0.2,"")</x:f>
        <x:v>0.14095238095238094</x:v>
      </x:c>
      <x:c r="H1259" s="10" t="n">
        <x:f>IF(ISNUMBER(U1259),U1259,"")</x:f>
        <x:v>3</x:v>
      </x:c>
      <x:c r="I1259" s="10" t="n">
        <x:v>5</x:v>
      </x:c>
      <x:c r="J1259" s="11" t="n">
        <x:f>IF(AND(Z1259="共同",ISNUMBER(F1259),ISNUMBER(M1259)),F1259-M1259,"")</x:f>
        <x:v>-25.801418009938185</x:v>
      </x:c>
      <x:c r="K1259" s="13" t="n">
        <x:f>IF(AND(ISNUMBER(J1259),M1259&lt;&gt;0),J1259/M1259,"")</x:f>
        <x:v>-0.5479729729729729</x:v>
      </x:c>
      <x:c r="L1259" s="10" t="str">
        <x:v>补货提醒</x:v>
      </x:c>
      <x:c r="M1259" s="11" t="n">
        <x:v>47.08520179372197</x:v>
      </x:c>
      <x:c r="N1259" s="10" t="n">
        <x:f>IF(AND(Z1259="共同",COUNT(H1259:I1259)=2),H1259-I1259,"")</x:f>
        <x:v>-2</x:v>
      </x:c>
      <x:c r="O1259" s="10" t="n">
        <x:v>9</x:v>
      </x:c>
      <x:c r="P1259" s="10" t="n">
        <x:v>1</x:v>
      </x:c>
      <x:c r="Q1259" s="10" t="n">
        <x:v>2</x:v>
      </x:c>
      <x:c r="R1259" s="10" t="n">
        <x:v>4</x:v>
      </x:c>
      <x:c r="S1259" s="10" t="n">
        <x:v>3</x:v>
      </x:c>
      <x:c r="T1259" s="10" t="n">
        <x:v>0</x:v>
      </x:c>
      <x:c r="U1259" s="10" t="n">
        <x:f>IF(AND(ISNUMBER(X1259),X1259&gt;=0,Y1259&lt;&gt;1),X1259,"")</x:f>
        <x:v>3</x:v>
      </x:c>
      <x:c r="V1259" s="10" t="n">
        <x:v>0</x:v>
      </x:c>
      <x:c r="W1259" s="10" t="n">
        <x:v>9</x:v>
      </x:c>
      <x:c r="X1259" s="10" t="n">
        <x:v>3</x:v>
      </x:c>
      <x:c r="Y1259" s="3" t="n">
        <x:v>0</x:v>
      </x:c>
      <x:c r="Z1259" s="3" t="str">
        <x:v>共同</x:v>
      </x:c>
      <x:c r="AA1259" s="3" t="str">
        <x:v>在售</x:v>
      </x:c>
      <x:c r="AB1259" s="12" t="n">
        <x:f>IF(AND(Z1259="共同",ISNUMBER(G1259),ISNUMBER(AD1259)),G1259-AD1259,"")</x:f>
        <x:v>0.034761904761904744</x:v>
      </x:c>
      <x:c r="AC1259" s="3" t="str"/>
      <x:c r="AD1259" s="12" t="n">
        <x:v>0.1061904761904762</x:v>
      </x:c>
      <x:c r="AE1259" s="3" t="str">
        <x:v>[13306,"B07-PK-42-by"]</x:v>
      </x:c>
      <x:c r="AF1259" t="n">
        <x:f>IF(ISNUMBER(H1259),1,0)</x:f>
        <x:v>1</x:v>
      </x:c>
      <x:c r="AG1259" t="n">
        <x:f>IF(ISNUMBER(I1259),1,0)</x:f>
        <x:v>1</x:v>
      </x:c>
      <x:c r="AH1259" t="str">
        <x:v>["B07","B07-PK","PK","粉色羊京绒"]</x:v>
      </x:c>
      <x:c r="AI1259" t="n">
        <x:f>IF(ISNUMBER(G1259),1,0)</x:f>
        <x:v>1</x:v>
      </x:c>
      <x:c r="AJ1259" t="n">
        <x:f>IF(ISNUMBER(AD1259),1,0)</x:f>
        <x:v>1</x:v>
      </x:c>
    </x:row>
    <x:row r="1260" ht="30" customHeight="1">
      <x:c r="A1260" s="3" t="str">
        <x:v>B07-RD-38.5</x:v>
      </x:c>
      <x:c r="B1260" s="3" t="str">
        <x:v>4店-彬郁-US</x:v>
      </x:c>
      <x:c r="C1260" s="3" t="str">
        <x:v>艾年</x:v>
      </x:c>
      <x:c r="D1260" s="3" t="str">
        <x:v>B07</x:v>
      </x:c>
      <x:c r="E1260" s="3" t="str">
        <x:f>IF(Z1260="移出","已移出",IF(NOT(ISNUMBER(H1260)),"数据待核",IF(H1260=0,"断货",IF(NOT(ISNUMBER(G1260)),"数据待核",IF(G1260=0,"零日销待复核",IF(F1260&lt;60,"补货提醒",IF(F1260&lt;=90,"正常库存",IF(F1260&lt;180,"促销",IF(F1260&lt;=365,"红线促销","考虑清仓")))))))))</x:f>
        <x:v>补货提醒</x:v>
      </x:c>
      <x:c r="F1260" s="11" t="n">
        <x:f>IF(AND(ISNUMBER(H1260),ISNUMBER(G1260),G1260&gt;0),H1260/G1260,"")</x:f>
        <x:v>25.119617224880386</x:v>
      </x:c>
      <x:c r="G1260" s="12" t="n">
        <x:f>IF(AND(COUNT(P1260:R1260)=3,MIN(P1260:R1260)&gt;=0,P1260&lt;=Q1260,Q1260&lt;=R1260),P1260/7*0.5+Q1260/14*0.3+R1260/30*0.2,"")</x:f>
        <x:v>0.19904761904761903</x:v>
      </x:c>
      <x:c r="H1260" s="10" t="n">
        <x:f>IF(ISNUMBER(U1260),U1260,"")</x:f>
        <x:v>5</x:v>
      </x:c>
      <x:c r="I1260" s="10" t="n">
        <x:v>2</x:v>
      </x:c>
      <x:c r="J1260" s="11" t="n">
        <x:f>IF(AND(Z1260="共同",ISNUMBER(F1260),ISNUMBER(M1260)),F1260-M1260,"")</x:f>
        <x:v>-274.88038277511964</x:v>
      </x:c>
      <x:c r="K1260" s="13" t="n">
        <x:f>IF(AND(ISNUMBER(J1260),M1260&lt;&gt;0),J1260/M1260,"")</x:f>
        <x:v>-0.9162679425837321</x:v>
      </x:c>
      <x:c r="L1260" s="10" t="str">
        <x:v>红线促销</x:v>
      </x:c>
      <x:c r="M1260" s="11" t="n">
        <x:v>300</x:v>
      </x:c>
      <x:c r="N1260" s="10" t="n">
        <x:f>IF(AND(Z1260="共同",COUNT(H1260:I1260)=2),H1260-I1260,"")</x:f>
        <x:v>3</x:v>
      </x:c>
      <x:c r="O1260" s="10" t="n">
        <x:v>0</x:v>
      </x:c>
      <x:c r="P1260" s="10" t="n">
        <x:v>2</x:v>
      </x:c>
      <x:c r="Q1260" s="10" t="n">
        <x:v>2</x:v>
      </x:c>
      <x:c r="R1260" s="10" t="n">
        <x:v>2</x:v>
      </x:c>
      <x:c r="S1260" s="10" t="n">
        <x:v>5</x:v>
      </x:c>
      <x:c r="T1260" s="10" t="n">
        <x:v>0</x:v>
      </x:c>
      <x:c r="U1260" s="10" t="n">
        <x:f>IF(AND(ISNUMBER(X1260),X1260&gt;=0,Y1260&lt;&gt;1),X1260,"")</x:f>
        <x:v>5</x:v>
      </x:c>
      <x:c r="V1260" s="10" t="n">
        <x:v>17</x:v>
      </x:c>
      <x:c r="W1260" s="10" t="n">
        <x:v>0</x:v>
      </x:c>
      <x:c r="X1260" s="10" t="n">
        <x:v>5</x:v>
      </x:c>
      <x:c r="Y1260" s="3" t="n">
        <x:v>0</x:v>
      </x:c>
      <x:c r="Z1260" s="3" t="str">
        <x:v>共同</x:v>
      </x:c>
      <x:c r="AA1260" s="3" t="str">
        <x:v>在售</x:v>
      </x:c>
      <x:c r="AB1260" s="12" t="n">
        <x:f>IF(AND(Z1260="共同",ISNUMBER(G1260),ISNUMBER(AD1260)),G1260-AD1260,"")</x:f>
        <x:v>0.19238095238095237</x:v>
      </x:c>
      <x:c r="AC1260" s="3" t="str"/>
      <x:c r="AD1260" s="12" t="n">
        <x:v>0.006666666666666666</x:v>
      </x:c>
      <x:c r="AE1260" s="3" t="str">
        <x:v>[13306,"B07-RD-38.5"]</x:v>
      </x:c>
      <x:c r="AF1260" t="n">
        <x:f>IF(ISNUMBER(H1260),1,0)</x:f>
        <x:v>1</x:v>
      </x:c>
      <x:c r="AG1260" t="n">
        <x:f>IF(ISNUMBER(I1260),1,0)</x:f>
        <x:v>1</x:v>
      </x:c>
      <x:c r="AH1260" t="str">
        <x:v>["B07","B07-RD","RD","红色羊京绒"]</x:v>
      </x:c>
      <x:c r="AI1260" t="n">
        <x:f>IF(ISNUMBER(G1260),1,0)</x:f>
        <x:v>1</x:v>
      </x:c>
      <x:c r="AJ1260" t="n">
        <x:f>IF(ISNUMBER(AD1260),1,0)</x:f>
        <x:v>1</x:v>
      </x:c>
    </x:row>
    <x:row r="1261" ht="30" customHeight="1">
      <x:c r="A1261" s="3" t="str">
        <x:v>B07-RD-41.5</x:v>
      </x:c>
      <x:c r="B1261" s="3" t="str">
        <x:v>4店-彬郁-US</x:v>
      </x:c>
      <x:c r="C1261" s="3" t="str">
        <x:v>艾年</x:v>
      </x:c>
      <x:c r="D1261" s="3" t="str">
        <x:v>B07</x:v>
      </x:c>
      <x:c r="E1261" s="3" t="str">
        <x:f>IF(Z1261="移出","已移出",IF(NOT(ISNUMBER(H1261)),"数据待核",IF(H1261=0,"断货",IF(NOT(ISNUMBER(G1261)),"数据待核",IF(G1261=0,"零日销待复核",IF(F1261&lt;60,"补货提醒",IF(F1261&lt;=90,"正常库存",IF(F1261&lt;180,"促销",IF(F1261&lt;=365,"红线促销","考虑清仓")))))))))</x:f>
        <x:v>补货提醒</x:v>
      </x:c>
      <x:c r="F1261" s="11" t="n">
        <x:f>IF(AND(ISNUMBER(H1261),ISNUMBER(G1261),G1261&gt;0),H1261/G1261,"")</x:f>
        <x:v>37.668161434977584</x:v>
      </x:c>
      <x:c r="G1261" s="12" t="n">
        <x:f>IF(AND(COUNT(P1261:R1261)=3,MIN(P1261:R1261)&gt;=0,P1261&lt;=Q1261,Q1261&lt;=R1261),P1261/7*0.5+Q1261/14*0.3+R1261/30*0.2,"")</x:f>
        <x:v>0.10619047619047618</x:v>
      </x:c>
      <x:c r="H1261" s="10" t="n">
        <x:f>IF(ISNUMBER(U1261),U1261,"")</x:f>
        <x:v>4</x:v>
      </x:c>
      <x:c r="I1261" s="10" t="n">
        <x:v>5</x:v>
      </x:c>
      <x:c r="J1261" s="11" t="n">
        <x:f>IF(AND(Z1261="共同",ISNUMBER(F1261),ISNUMBER(M1261)),F1261-M1261,"")</x:f>
        <x:v>-12.571073014783188</x:v>
      </x:c>
      <x:c r="K1261" s="13" t="n">
        <x:f>IF(AND(ISNUMBER(J1261),M1261&lt;&gt;0),J1261/M1261,"")</x:f>
        <x:v>-0.25022421524663674</x:v>
      </x:c>
      <x:c r="L1261" s="10" t="str">
        <x:v>补货提醒</x:v>
      </x:c>
      <x:c r="M1261" s="11" t="n">
        <x:v>50.23923444976077</x:v>
      </x:c>
      <x:c r="N1261" s="10" t="n">
        <x:f>IF(AND(Z1261="共同",COUNT(H1261:I1261)=2),H1261-I1261,"")</x:f>
        <x:v>-1</x:v>
      </x:c>
      <x:c r="O1261" s="10" t="n">
        <x:v>0</x:v>
      </x:c>
      <x:c r="P1261" s="10" t="n">
        <x:v>1</x:v>
      </x:c>
      <x:c r="Q1261" s="10" t="n">
        <x:v>1</x:v>
      </x:c>
      <x:c r="R1261" s="10" t="n">
        <x:v>2</x:v>
      </x:c>
      <x:c r="S1261" s="10" t="n">
        <x:v>4</x:v>
      </x:c>
      <x:c r="T1261" s="10" t="n">
        <x:v>0</x:v>
      </x:c>
      <x:c r="U1261" s="10" t="n">
        <x:f>IF(AND(ISNUMBER(X1261),X1261&gt;=0,Y1261&lt;&gt;1),X1261,"")</x:f>
        <x:v>4</x:v>
      </x:c>
      <x:c r="V1261" s="10" t="n">
        <x:v>0</x:v>
      </x:c>
      <x:c r="W1261" s="10" t="n">
        <x:v>0</x:v>
      </x:c>
      <x:c r="X1261" s="10" t="n">
        <x:v>4</x:v>
      </x:c>
      <x:c r="Y1261" s="3" t="n">
        <x:v>0</x:v>
      </x:c>
      <x:c r="Z1261" s="3" t="str">
        <x:v>共同</x:v>
      </x:c>
      <x:c r="AA1261" s="3" t="str">
        <x:v>在售</x:v>
      </x:c>
      <x:c r="AB1261" s="12" t="n">
        <x:f>IF(AND(Z1261="共同",ISNUMBER(G1261),ISNUMBER(AD1261)),G1261-AD1261,"")</x:f>
        <x:v>0.006666666666666668</x:v>
      </x:c>
      <x:c r="AC1261" s="3" t="str"/>
      <x:c r="AD1261" s="12" t="n">
        <x:v>0.09952380952380951</x:v>
      </x:c>
      <x:c r="AE1261" s="3" t="str">
        <x:v>[13306,"B07-RD-41.5"]</x:v>
      </x:c>
      <x:c r="AF1261" t="n">
        <x:f>IF(ISNUMBER(H1261),1,0)</x:f>
        <x:v>1</x:v>
      </x:c>
      <x:c r="AG1261" t="n">
        <x:f>IF(ISNUMBER(I1261),1,0)</x:f>
        <x:v>1</x:v>
      </x:c>
      <x:c r="AH1261" t="str">
        <x:v>["B07","B07-RD","RD","红色羊京绒"]</x:v>
      </x:c>
      <x:c r="AI1261" t="n">
        <x:f>IF(ISNUMBER(G1261),1,0)</x:f>
        <x:v>1</x:v>
      </x:c>
      <x:c r="AJ1261" t="n">
        <x:f>IF(ISNUMBER(AD1261),1,0)</x:f>
        <x:v>1</x:v>
      </x:c>
    </x:row>
    <x:row r="1262" ht="30" customHeight="1">
      <x:c r="A1262" s="3" t="str">
        <x:v>B07-TN-38.5</x:v>
      </x:c>
      <x:c r="B1262" s="3" t="str">
        <x:v>4店-彬郁-US</x:v>
      </x:c>
      <x:c r="C1262" s="3" t="str">
        <x:v>艾年</x:v>
      </x:c>
      <x:c r="D1262" s="3" t="str">
        <x:v>B07</x:v>
      </x:c>
      <x:c r="E1262" s="3" t="str">
        <x:f>IF(Z1262="移出","已移出",IF(NOT(ISNUMBER(H1262)),"数据待核",IF(H1262=0,"断货",IF(NOT(ISNUMBER(G1262)),"数据待核",IF(G1262=0,"零日销待复核",IF(F1262&lt;60,"补货提醒",IF(F1262&lt;=90,"正常库存",IF(F1262&lt;180,"促销",IF(F1262&lt;=365,"红线促销","考虑清仓")))))))))</x:f>
        <x:v>补货提醒</x:v>
      </x:c>
      <x:c r="F1262" s="11" t="n">
        <x:f>IF(AND(ISNUMBER(H1262),ISNUMBER(G1262),G1262&gt;0),H1262/G1262,"")</x:f>
        <x:v>17.10794297352342</x:v>
      </x:c>
      <x:c r="G1262" s="12" t="n">
        <x:f>IF(AND(COUNT(P1262:R1262)=3,MIN(P1262:R1262)&gt;=0,P1262&lt;=Q1262,Q1262&lt;=R1262),P1262/7*0.5+Q1262/14*0.3+R1262/30*0.2,"")</x:f>
        <x:v>0.2338095238095238</x:v>
      </x:c>
      <x:c r="H1262" s="10" t="n">
        <x:f>IF(ISNUMBER(U1262),U1262,"")</x:f>
        <x:v>4</x:v>
      </x:c>
      <x:c r="I1262" s="10" t="n">
        <x:v>6</x:v>
      </x:c>
      <x:c r="J1262" s="11" t="n">
        <x:f>IF(AND(Z1262="共同",ISNUMBER(F1262),ISNUMBER(M1262)),F1262-M1262,"")</x:f>
        <x:v>-39.394299178942944</x:v>
      </x:c>
      <x:c r="K1262" s="13" t="n">
        <x:f>IF(AND(ISNUMBER(J1262),M1262&lt;&gt;0),J1262/M1262,"")</x:f>
        <x:v>-0.6972165648336728</x:v>
      </x:c>
      <x:c r="L1262" s="10" t="str">
        <x:v>补货提醒</x:v>
      </x:c>
      <x:c r="M1262" s="11" t="n">
        <x:v>56.502242152466366</x:v>
      </x:c>
      <x:c r="N1262" s="10" t="n">
        <x:f>IF(AND(Z1262="共同",COUNT(H1262:I1262)=2),H1262-I1262,"")</x:f>
        <x:v>-2</x:v>
      </x:c>
      <x:c r="O1262" s="10" t="n">
        <x:v>0</x:v>
      </x:c>
      <x:c r="P1262" s="10" t="n">
        <x:v>2</x:v>
      </x:c>
      <x:c r="Q1262" s="10" t="n">
        <x:v>3</x:v>
      </x:c>
      <x:c r="R1262" s="10" t="n">
        <x:v>4</x:v>
      </x:c>
      <x:c r="S1262" s="10" t="n">
        <x:v>4</x:v>
      </x:c>
      <x:c r="T1262" s="10" t="n">
        <x:v>0</x:v>
      </x:c>
      <x:c r="U1262" s="10" t="n">
        <x:f>IF(AND(ISNUMBER(X1262),X1262&gt;=0,Y1262&lt;&gt;1),X1262,"")</x:f>
        <x:v>4</x:v>
      </x:c>
      <x:c r="V1262" s="10" t="n">
        <x:v>0</x:v>
      </x:c>
      <x:c r="W1262" s="10" t="n">
        <x:v>0</x:v>
      </x:c>
      <x:c r="X1262" s="10" t="n">
        <x:v>4</x:v>
      </x:c>
      <x:c r="Y1262" s="3" t="n">
        <x:v>0</x:v>
      </x:c>
      <x:c r="Z1262" s="3" t="str">
        <x:v>共同</x:v>
      </x:c>
      <x:c r="AA1262" s="3" t="str">
        <x:v>在售</x:v>
      </x:c>
      <x:c r="AB1262" s="12" t="n">
        <x:f>IF(AND(Z1262="共同",ISNUMBER(G1262),ISNUMBER(AD1262)),G1262-AD1262,"")</x:f>
        <x:v>0.1276190476190476</x:v>
      </x:c>
      <x:c r="AC1262" s="3" t="str"/>
      <x:c r="AD1262" s="12" t="n">
        <x:v>0.1061904761904762</x:v>
      </x:c>
      <x:c r="AE1262" s="3" t="str">
        <x:v>[13306,"B07-TN-38.5"]</x:v>
      </x:c>
      <x:c r="AF1262" t="n">
        <x:f>IF(ISNUMBER(H1262),1,0)</x:f>
        <x:v>1</x:v>
      </x:c>
      <x:c r="AG1262" t="n">
        <x:f>IF(ISNUMBER(I1262),1,0)</x:f>
        <x:v>1</x:v>
      </x:c>
      <x:c r="AH1262" t="str">
        <x:v>["B07","B07-TN","TN","驼色羊京绒"]</x:v>
      </x:c>
      <x:c r="AI1262" t="n">
        <x:f>IF(ISNUMBER(G1262),1,0)</x:f>
        <x:v>1</x:v>
      </x:c>
      <x:c r="AJ1262" t="n">
        <x:f>IF(ISNUMBER(AD1262),1,0)</x:f>
        <x:v>1</x:v>
      </x:c>
    </x:row>
    <x:row r="1263" ht="30" customHeight="1">
      <x:c r="A1263" s="3" t="str">
        <x:v>B07-TNP-41-New</x:v>
      </x:c>
      <x:c r="B1263" s="3" t="str">
        <x:v>4店-彬郁-US</x:v>
      </x:c>
      <x:c r="C1263" s="3" t="str">
        <x:v>艾年</x:v>
      </x:c>
      <x:c r="D1263" s="3" t="str">
        <x:v>B07</x:v>
      </x:c>
      <x:c r="E1263" s="3" t="str">
        <x:f>IF(Z1263="移出","已移出",IF(NOT(ISNUMBER(H1263)),"数据待核",IF(H1263=0,"断货",IF(NOT(ISNUMBER(G1263)),"数据待核",IF(G1263=0,"零日销待复核",IF(F1263&lt;60,"补货提醒",IF(F1263&lt;=90,"正常库存",IF(F1263&lt;180,"促销",IF(F1263&lt;=365,"红线促销","考虑清仓")))))))))</x:f>
        <x:v>补货提醒</x:v>
      </x:c>
      <x:c r="F1263" s="11" t="n">
        <x:f>IF(AND(ISNUMBER(H1263),ISNUMBER(G1263),G1263&gt;0),H1263/G1263,"")</x:f>
        <x:v>35.59322033898305</x:v>
      </x:c>
      <x:c r="G1263" s="12" t="n">
        <x:f>IF(AND(COUNT(P1263:R1263)=3,MIN(P1263:R1263)&gt;=0,P1263&lt;=Q1263,Q1263&lt;=R1263),P1263/7*0.5+Q1263/14*0.3+R1263/30*0.2,"")</x:f>
        <x:v>0.056190476190476187</x:v>
      </x:c>
      <x:c r="H1263" s="10" t="n">
        <x:f>IF(ISNUMBER(U1263),U1263,"")</x:f>
        <x:v>2</x:v>
      </x:c>
      <x:c r="I1263" s="10" t="n">
        <x:v>4</x:v>
      </x:c>
      <x:c r="J1263" s="11" t="n">
        <x:f>IF(AND(Z1263="共同",ISNUMBER(F1263),ISNUMBER(M1263)),F1263-M1263,"")</x:f>
        <x:v>-564.4067796610169</x:v>
      </x:c>
      <x:c r="K1263" s="13" t="n">
        <x:f>IF(AND(ISNUMBER(J1263),M1263&lt;&gt;0),J1263/M1263,"")</x:f>
        <x:v>-0.9406779661016949</x:v>
      </x:c>
      <x:c r="L1263" s="10" t="str">
        <x:v>考虑清仓</x:v>
      </x:c>
      <x:c r="M1263" s="11" t="n">
        <x:v>600</x:v>
      </x:c>
      <x:c r="N1263" s="10" t="n">
        <x:f>IF(AND(Z1263="共同",COUNT(H1263:I1263)=2),H1263-I1263,"")</x:f>
        <x:v>-2</x:v>
      </x:c>
      <x:c r="O1263" s="10" t="n">
        <x:v>0</x:v>
      </x:c>
      <x:c r="P1263" s="10" t="n">
        <x:v>0</x:v>
      </x:c>
      <x:c r="Q1263" s="10" t="n">
        <x:v>2</x:v>
      </x:c>
      <x:c r="R1263" s="10" t="n">
        <x:v>2</x:v>
      </x:c>
      <x:c r="S1263" s="10" t="n">
        <x:v>3</x:v>
      </x:c>
      <x:c r="T1263" s="10" t="n">
        <x:v>0</x:v>
      </x:c>
      <x:c r="U1263" s="10" t="n">
        <x:f>IF(AND(ISNUMBER(X1263),X1263&gt;=0,Y1263&lt;&gt;1),X1263,"")</x:f>
        <x:v>2</x:v>
      </x:c>
      <x:c r="V1263" s="10" t="n">
        <x:v>0</x:v>
      </x:c>
      <x:c r="W1263" s="10" t="n">
        <x:v>0</x:v>
      </x:c>
      <x:c r="X1263" s="10" t="n">
        <x:v>2</x:v>
      </x:c>
      <x:c r="Y1263" s="3" t="n">
        <x:v>0</x:v>
      </x:c>
      <x:c r="Z1263" s="3" t="str">
        <x:v>共同</x:v>
      </x:c>
      <x:c r="AA1263" s="3" t="str">
        <x:v>在售</x:v>
      </x:c>
      <x:c r="AB1263" s="12" t="n">
        <x:f>IF(AND(Z1263="共同",ISNUMBER(G1263),ISNUMBER(AD1263)),G1263-AD1263,"")</x:f>
        <x:v>0.04952380952380952</x:v>
      </x:c>
      <x:c r="AC1263" s="3" t="str"/>
      <x:c r="AD1263" s="12" t="n">
        <x:v>0.006666666666666666</x:v>
      </x:c>
      <x:c r="AE1263" s="3" t="str">
        <x:v>[13306,"B07-TNP-41-New"]</x:v>
      </x:c>
      <x:c r="AF1263" t="n">
        <x:f>IF(ISNUMBER(H1263),1,0)</x:f>
        <x:v>1</x:v>
      </x:c>
      <x:c r="AG1263" t="n">
        <x:f>IF(ISNUMBER(I1263),1,0)</x:f>
        <x:v>1</x:v>
      </x:c>
      <x:c r="AH1263" t="str">
        <x:v>["B07","B07-TNP","TNP","驼色PU"]</x:v>
      </x:c>
      <x:c r="AI1263" t="n">
        <x:f>IF(ISNUMBER(G1263),1,0)</x:f>
        <x:v>1</x:v>
      </x:c>
      <x:c r="AJ1263" t="n">
        <x:f>IF(ISNUMBER(AD1263),1,0)</x:f>
        <x:v>1</x:v>
      </x:c>
    </x:row>
    <x:row r="1264" ht="30" customHeight="1">
      <x:c r="A1264" s="3" t="str">
        <x:v>S02-BG-39</x:v>
      </x:c>
      <x:c r="B1264" s="3" t="str">
        <x:v>3店-SANDIEX-US</x:v>
      </x:c>
      <x:c r="C1264" s="3" t="str">
        <x:v>陈晨</x:v>
      </x:c>
      <x:c r="D1264" s="3" t="str">
        <x:v>S02</x:v>
      </x:c>
      <x:c r="E1264" s="3" t="str">
        <x:f>IF(Z1264="移出","已移出",IF(NOT(ISNUMBER(H1264)),"数据待核",IF(H1264=0,"断货",IF(NOT(ISNUMBER(G1264)),"数据待核",IF(G1264=0,"零日销待复核",IF(F1264&lt;60,"补货提醒",IF(F1264&lt;=90,"正常库存",IF(F1264&lt;180,"促销",IF(F1264&lt;=365,"红线促销","考虑清仓")))))))))</x:f>
        <x:v>补货提醒</x:v>
      </x:c>
      <x:c r="F1264" s="11" t="n">
        <x:f>IF(AND(ISNUMBER(H1264),ISNUMBER(G1264),G1264&gt;0),H1264/G1264,"")</x:f>
        <x:v>15.98111935266352</x:v>
      </x:c>
      <x:c r="G1264" s="12" t="n">
        <x:f>IF(AND(COUNT(P1264:R1264)=3,MIN(P1264:R1264)&gt;=0,P1264&lt;=Q1264,Q1264&lt;=R1264),P1264/7*0.5+Q1264/14*0.3+R1264/30*0.2,"")</x:f>
        <x:v>4.943333333333333</x:v>
      </x:c>
      <x:c r="H1264" s="10" t="n">
        <x:f>IF(ISNUMBER(U1264),U1264,"")</x:f>
        <x:v>79</x:v>
      </x:c>
      <x:c r="I1264" s="10" t="n">
        <x:v>87</x:v>
      </x:c>
      <x:c r="J1264" s="11" t="n">
        <x:f>IF(AND(Z1264="共同",ISNUMBER(F1264),ISNUMBER(M1264)),F1264-M1264,"")</x:f>
        <x:v>1.471907154442425</x:v>
      </x:c>
      <x:c r="K1264" s="13" t="n">
        <x:f>IF(AND(ISNUMBER(J1264),M1264&lt;&gt;0),J1264/M1264,"")</x:f>
        <x:v>0.10144638691154358</x:v>
      </x:c>
      <x:c r="L1264" s="10" t="str">
        <x:v>补货提醒</x:v>
      </x:c>
      <x:c r="M1264" s="11" t="n">
        <x:v>14.509212198221094</x:v>
      </x:c>
      <x:c r="N1264" s="10" t="n">
        <x:f>IF(AND(Z1264="共同",COUNT(H1264:I1264)=2),H1264-I1264,"")</x:f>
        <x:v>-8</x:v>
      </x:c>
      <x:c r="O1264" s="10" t="n">
        <x:v>398</x:v>
      </x:c>
      <x:c r="P1264" s="10" t="n">
        <x:v>37</x:v>
      </x:c>
      <x:c r="Q1264" s="10" t="n">
        <x:v>61</x:v>
      </x:c>
      <x:c r="R1264" s="10" t="n">
        <x:v>149</x:v>
      </x:c>
      <x:c r="S1264" s="10" t="n">
        <x:v>99</x:v>
      </x:c>
      <x:c r="T1264" s="10" t="n">
        <x:v>3</x:v>
      </x:c>
      <x:c r="U1264" s="10" t="n">
        <x:f>IF(AND(ISNUMBER(X1264),X1264&gt;=0,Y1264&lt;&gt;1),X1264,"")</x:f>
        <x:v>79</x:v>
      </x:c>
      <x:c r="V1264" s="10" t="n">
        <x:v>0</x:v>
      </x:c>
      <x:c r="W1264" s="10" t="n">
        <x:v>89</x:v>
      </x:c>
      <x:c r="X1264" s="10" t="n">
        <x:v>79</x:v>
      </x:c>
      <x:c r="Y1264" s="3" t="n">
        <x:v>0</x:v>
      </x:c>
      <x:c r="Z1264" s="3" t="str">
        <x:v>共同</x:v>
      </x:c>
      <x:c r="AA1264" s="3" t="str">
        <x:v>在售</x:v>
      </x:c>
      <x:c r="AB1264" s="12" t="n">
        <x:f>IF(AND(Z1264="共同",ISNUMBER(G1264),ISNUMBER(AD1264)),G1264-AD1264,"")</x:f>
        <x:v>-1.0528571428571425</x:v>
      </x:c>
      <x:c r="AC1264" s="3" t="str"/>
      <x:c r="AD1264" s="12" t="n">
        <x:v>5.996190476190476</x:v>
      </x:c>
      <x:c r="AE1264" s="3" t="str">
        <x:v>[6574,"S02-BG-39"]</x:v>
      </x:c>
      <x:c r="AF1264" t="n">
        <x:f>IF(ISNUMBER(H1264),1,0)</x:f>
        <x:v>1</x:v>
      </x:c>
      <x:c r="AG1264" t="n">
        <x:f>IF(ISNUMBER(I1264),1,0)</x:f>
        <x:v>1</x:v>
      </x:c>
      <x:c r="AH1264" t="str">
        <x:v>["S02","S02-BG","BG","裸色"]</x:v>
      </x:c>
      <x:c r="AI1264" t="n">
        <x:f>IF(ISNUMBER(G1264),1,0)</x:f>
        <x:v>1</x:v>
      </x:c>
      <x:c r="AJ1264" t="n">
        <x:f>IF(ISNUMBER(AD1264),1,0)</x:f>
        <x:v>1</x:v>
      </x:c>
    </x:row>
    <x:row r="1265" ht="30" customHeight="1">
      <x:c r="A1265" s="3" t="str">
        <x:v>S02-BG-40</x:v>
      </x:c>
      <x:c r="B1265" s="3" t="str">
        <x:v>3店-SANDIEX-US</x:v>
      </x:c>
      <x:c r="C1265" s="3" t="str">
        <x:v>陈晨</x:v>
      </x:c>
      <x:c r="D1265" s="3" t="str">
        <x:v>S02</x:v>
      </x:c>
      <x:c r="E1265" s="3" t="str">
        <x:f>IF(Z1265="移出","已移出",IF(NOT(ISNUMBER(H1265)),"数据待核",IF(H1265=0,"断货",IF(NOT(ISNUMBER(G1265)),"数据待核",IF(G1265=0,"零日销待复核",IF(F1265&lt;60,"补货提醒",IF(F1265&lt;=90,"正常库存",IF(F1265&lt;180,"促销",IF(F1265&lt;=365,"红线促销","考虑清仓")))))))))</x:f>
        <x:v>补货提醒</x:v>
      </x:c>
      <x:c r="F1265" s="11" t="n">
        <x:f>IF(AND(ISNUMBER(H1265),ISNUMBER(G1265),G1265&gt;0),H1265/G1265,"")</x:f>
        <x:v>37.43971942130644</x:v>
      </x:c>
      <x:c r="G1265" s="12" t="n">
        <x:f>IF(AND(COUNT(P1265:R1265)=3,MIN(P1265:R1265)&gt;=0,P1265&lt;=Q1265,Q1265&lt;=R1265),P1265/7*0.5+Q1265/14*0.3+R1265/30*0.2,"")</x:f>
        <x:v>3.258571428571429</x:v>
      </x:c>
      <x:c r="H1265" s="10" t="n">
        <x:f>IF(ISNUMBER(U1265),U1265,"")</x:f>
        <x:v>122</x:v>
      </x:c>
      <x:c r="I1265" s="10" t="n">
        <x:v>160</x:v>
      </x:c>
      <x:c r="J1265" s="11" t="n">
        <x:f>IF(AND(Z1265="共同",ISNUMBER(F1265),ISNUMBER(M1265)),F1265-M1265,"")</x:f>
        <x:v>2.8148224715949723</x:v>
      </x:c>
      <x:c r="K1265" s="13" t="n">
        <x:f>IF(AND(ISNUMBER(J1265),M1265&lt;&gt;0),J1265/M1265,"")</x:f>
        <x:v>0.08129475376296906</x:v>
      </x:c>
      <x:c r="L1265" s="10" t="str">
        <x:v>补货提醒</x:v>
      </x:c>
      <x:c r="M1265" s="11" t="n">
        <x:v>34.62489694971147</x:v>
      </x:c>
      <x:c r="N1265" s="10" t="n">
        <x:f>IF(AND(Z1265="共同",COUNT(H1265:I1265)=2),H1265-I1265,"")</x:f>
        <x:v>-38</x:v>
      </x:c>
      <x:c r="O1265" s="10" t="n">
        <x:v>328</x:v>
      </x:c>
      <x:c r="P1265" s="10" t="n">
        <x:v>20</x:v>
      </x:c>
      <x:c r="Q1265" s="10" t="n">
        <x:v>49</x:v>
      </x:c>
      <x:c r="R1265" s="10" t="n">
        <x:v>117</x:v>
      </x:c>
      <x:c r="S1265" s="10" t="n">
        <x:v>132</x:v>
      </x:c>
      <x:c r="T1265" s="10" t="n">
        <x:v>2</x:v>
      </x:c>
      <x:c r="U1265" s="10" t="n">
        <x:f>IF(AND(ISNUMBER(X1265),X1265&gt;=0,Y1265&lt;&gt;1),X1265,"")</x:f>
        <x:v>122</x:v>
      </x:c>
      <x:c r="V1265" s="10" t="n">
        <x:v>0</x:v>
      </x:c>
      <x:c r="W1265" s="10" t="n">
        <x:v>49</x:v>
      </x:c>
      <x:c r="X1265" s="10" t="n">
        <x:v>122</x:v>
      </x:c>
      <x:c r="Y1265" s="3" t="n">
        <x:v>0</x:v>
      </x:c>
      <x:c r="Z1265" s="3" t="str">
        <x:v>共同</x:v>
      </x:c>
      <x:c r="AA1265" s="3" t="str">
        <x:v>在售</x:v>
      </x:c>
      <x:c r="AB1265" s="12" t="n">
        <x:f>IF(AND(Z1265="共同",ISNUMBER(G1265),ISNUMBER(AD1265)),G1265-AD1265,"")</x:f>
        <x:v>-1.362380952380951</x:v>
      </x:c>
      <x:c r="AC1265" s="3" t="str"/>
      <x:c r="AD1265" s="12" t="n">
        <x:v>4.62095238095238</x:v>
      </x:c>
      <x:c r="AE1265" s="3" t="str">
        <x:v>[6574,"S02-BG-40"]</x:v>
      </x:c>
      <x:c r="AF1265" t="n">
        <x:f>IF(ISNUMBER(H1265),1,0)</x:f>
        <x:v>1</x:v>
      </x:c>
      <x:c r="AG1265" t="n">
        <x:f>IF(ISNUMBER(I1265),1,0)</x:f>
        <x:v>1</x:v>
      </x:c>
      <x:c r="AH1265" t="str">
        <x:v>["S02","S02-BG","BG","裸色"]</x:v>
      </x:c>
      <x:c r="AI1265" t="n">
        <x:f>IF(ISNUMBER(G1265),1,0)</x:f>
        <x:v>1</x:v>
      </x:c>
      <x:c r="AJ1265" t="n">
        <x:f>IF(ISNUMBER(AD1265),1,0)</x:f>
        <x:v>1</x:v>
      </x:c>
    </x:row>
    <x:row r="1266" ht="30" customHeight="1">
      <x:c r="A1266" s="3" t="str">
        <x:v>S02-BG-41</x:v>
      </x:c>
      <x:c r="B1266" s="3" t="str">
        <x:v>3店-SANDIEX-US</x:v>
      </x:c>
      <x:c r="C1266" s="3" t="str">
        <x:v>陈晨</x:v>
      </x:c>
      <x:c r="D1266" s="3" t="str">
        <x:v>S02</x:v>
      </x:c>
      <x:c r="E1266" s="3" t="str">
        <x:f>IF(Z1266="移出","已移出",IF(NOT(ISNUMBER(H1266)),"数据待核",IF(H1266=0,"断货",IF(NOT(ISNUMBER(G1266)),"数据待核",IF(G1266=0,"零日销待复核",IF(F1266&lt;60,"补货提醒",IF(F1266&lt;=90,"正常库存",IF(F1266&lt;180,"促销",IF(F1266&lt;=365,"红线促销","考虑清仓")))))))))</x:f>
        <x:v>补货提醒</x:v>
      </x:c>
      <x:c r="F1266" s="11" t="n">
        <x:f>IF(AND(ISNUMBER(H1266),ISNUMBER(G1266),G1266&gt;0),H1266/G1266,"")</x:f>
        <x:v>0.7984790874524715</x:v>
      </x:c>
      <x:c r="G1266" s="12" t="n">
        <x:f>IF(AND(COUNT(P1266:R1266)=3,MIN(P1266:R1266)&gt;=0,P1266&lt;=Q1266,Q1266&lt;=R1266),P1266/7*0.5+Q1266/14*0.3+R1266/30*0.2,"")</x:f>
        <x:v>1.2523809523809524</x:v>
      </x:c>
      <x:c r="H1266" s="10" t="n">
        <x:f>IF(ISNUMBER(U1266),U1266,"")</x:f>
        <x:v>1</x:v>
      </x:c>
      <x:c r="I1266" s="10" t="n">
        <x:v>16</x:v>
      </x:c>
      <x:c r="J1266" s="11" t="n">
        <x:f>IF(AND(Z1266="共同",ISNUMBER(F1266),ISNUMBER(M1266)),F1266-M1266,"")</x:f>
        <x:v>-10.096462546788773</x:v>
      </x:c>
      <x:c r="K1266" s="13" t="n">
        <x:f>IF(AND(ISNUMBER(J1266),M1266&lt;&gt;0),J1266/M1266,"")</x:f>
        <x:v>-0.9267110266159695</x:v>
      </x:c>
      <x:c r="L1266" s="10" t="str">
        <x:v>补货提醒</x:v>
      </x:c>
      <x:c r="M1266" s="11" t="n">
        <x:v>10.894941634241246</x:v>
      </x:c>
      <x:c r="N1266" s="10" t="n">
        <x:f>IF(AND(Z1266="共同",COUNT(H1266:I1266)=2),H1266-I1266,"")</x:f>
        <x:v>-15</x:v>
      </x:c>
      <x:c r="O1266" s="10" t="n">
        <x:v>97</x:v>
      </x:c>
      <x:c r="P1266" s="10" t="n">
        <x:v>9</x:v>
      </x:c>
      <x:c r="Q1266" s="10" t="n">
        <x:v>16</x:v>
      </x:c>
      <x:c r="R1266" s="10" t="n">
        <x:v>40</x:v>
      </x:c>
      <x:c r="S1266" s="10" t="n">
        <x:v>7</x:v>
      </x:c>
      <x:c r="T1266" s="10" t="n">
        <x:v>0</x:v>
      </x:c>
      <x:c r="U1266" s="10" t="n">
        <x:f>IF(AND(ISNUMBER(X1266),X1266&gt;=0,Y1266&lt;&gt;1),X1266,"")</x:f>
        <x:v>1</x:v>
      </x:c>
      <x:c r="V1266" s="10" t="n">
        <x:v>0</x:v>
      </x:c>
      <x:c r="W1266" s="10" t="n">
        <x:v>60</x:v>
      </x:c>
      <x:c r="X1266" s="10" t="n">
        <x:v>1</x:v>
      </x:c>
      <x:c r="Y1266" s="3" t="n">
        <x:v>0</x:v>
      </x:c>
      <x:c r="Z1266" s="3" t="str">
        <x:v>共同</x:v>
      </x:c>
      <x:c r="AA1266" s="3" t="str">
        <x:v>在售</x:v>
      </x:c>
      <x:c r="AB1266" s="12" t="n">
        <x:f>IF(AND(Z1266="共同",ISNUMBER(G1266),ISNUMBER(AD1266)),G1266-AD1266,"")</x:f>
        <x:v>-0.21619047619047604</x:v>
      </x:c>
      <x:c r="AC1266" s="3" t="str"/>
      <x:c r="AD1266" s="12" t="n">
        <x:v>1.4685714285714284</x:v>
      </x:c>
      <x:c r="AE1266" s="3" t="str">
        <x:v>[6574,"S02-BG-41"]</x:v>
      </x:c>
      <x:c r="AF1266" t="n">
        <x:f>IF(ISNUMBER(H1266),1,0)</x:f>
        <x:v>1</x:v>
      </x:c>
      <x:c r="AG1266" t="n">
        <x:f>IF(ISNUMBER(I1266),1,0)</x:f>
        <x:v>1</x:v>
      </x:c>
      <x:c r="AH1266" t="str">
        <x:v>["S02","S02-BG","BG","裸色"]</x:v>
      </x:c>
      <x:c r="AI1266" t="n">
        <x:f>IF(ISNUMBER(G1266),1,0)</x:f>
        <x:v>1</x:v>
      </x:c>
      <x:c r="AJ1266" t="n">
        <x:f>IF(ISNUMBER(AD1266),1,0)</x:f>
        <x:v>1</x:v>
      </x:c>
    </x:row>
    <x:row r="1267" ht="30" customHeight="1">
      <x:c r="A1267" s="3" t="str">
        <x:v>S02-BK-38</x:v>
      </x:c>
      <x:c r="B1267" s="3" t="str">
        <x:v>3店-SANDIEX-US</x:v>
      </x:c>
      <x:c r="C1267" s="3" t="str">
        <x:v>陈晨</x:v>
      </x:c>
      <x:c r="D1267" s="3" t="str">
        <x:v>S02</x:v>
      </x:c>
      <x:c r="E1267" s="3" t="str">
        <x:f>IF(Z1267="移出","已移出",IF(NOT(ISNUMBER(H1267)),"数据待核",IF(H1267=0,"断货",IF(NOT(ISNUMBER(G1267)),"数据待核",IF(G1267=0,"零日销待复核",IF(F1267&lt;60,"补货提醒",IF(F1267&lt;=90,"正常库存",IF(F1267&lt;180,"促销",IF(F1267&lt;=365,"红线促销","考虑清仓")))))))))</x:f>
        <x:v>补货提醒</x:v>
      </x:c>
      <x:c r="F1267" s="11" t="n">
        <x:f>IF(AND(ISNUMBER(H1267),ISNUMBER(G1267),G1267&gt;0),H1267/G1267,"")</x:f>
        <x:v>20.957430219865895</x:v>
      </x:c>
      <x:c r="G1267" s="12" t="n">
        <x:f>IF(AND(COUNT(P1267:R1267)=3,MIN(P1267:R1267)&gt;=0,P1267&lt;=Q1267,Q1267&lt;=R1267),P1267/7*0.5+Q1267/14*0.3+R1267/30*0.2,"")</x:f>
        <x:v>3.053809523809524</x:v>
      </x:c>
      <x:c r="H1267" s="10" t="n">
        <x:f>IF(ISNUMBER(U1267),U1267,"")</x:f>
        <x:v>64</x:v>
      </x:c>
      <x:c r="I1267" s="10" t="n">
        <x:v>81</x:v>
      </x:c>
      <x:c r="J1267" s="11" t="n">
        <x:f>IF(AND(Z1267="共同",ISNUMBER(F1267),ISNUMBER(M1267)),F1267-M1267,"")</x:f>
        <x:v>7.176339723228125</x:v>
      </x:c>
      <x:c r="K1267" s="13" t="n">
        <x:f>IF(AND(ISNUMBER(J1267),M1267&lt;&gt;0),J1267/M1267,"")</x:f>
        <x:v>0.5207381611040843</x:v>
      </x:c>
      <x:c r="L1267" s="10" t="str">
        <x:v>补货提醒</x:v>
      </x:c>
      <x:c r="M1267" s="11" t="n">
        <x:v>13.78109049663777</x:v>
      </x:c>
      <x:c r="N1267" s="10" t="n">
        <x:f>IF(AND(Z1267="共同",COUNT(H1267:I1267)=2),H1267-I1267,"")</x:f>
        <x:v>-17</x:v>
      </x:c>
      <x:c r="O1267" s="10" t="n">
        <x:v>291</x:v>
      </x:c>
      <x:c r="P1267" s="10" t="n">
        <x:v>18</x:v>
      </x:c>
      <x:c r="Q1267" s="10" t="n">
        <x:v>43</x:v>
      </x:c>
      <x:c r="R1267" s="10" t="n">
        <x:v>127</x:v>
      </x:c>
      <x:c r="S1267" s="10" t="n">
        <x:v>75</x:v>
      </x:c>
      <x:c r="T1267" s="10" t="n">
        <x:v>2</x:v>
      </x:c>
      <x:c r="U1267" s="10" t="n">
        <x:f>IF(AND(ISNUMBER(X1267),X1267&gt;=0,Y1267&lt;&gt;1),X1267,"")</x:f>
        <x:v>64</x:v>
      </x:c>
      <x:c r="V1267" s="10" t="n">
        <x:v>0</x:v>
      </x:c>
      <x:c r="W1267" s="10" t="n">
        <x:v>57</x:v>
      </x:c>
      <x:c r="X1267" s="10" t="n">
        <x:v>64</x:v>
      </x:c>
      <x:c r="Y1267" s="3" t="n">
        <x:v>0</x:v>
      </x:c>
      <x:c r="Z1267" s="3" t="str">
        <x:v>共同</x:v>
      </x:c>
      <x:c r="AA1267" s="3" t="str">
        <x:v>在售</x:v>
      </x:c>
      <x:c r="AB1267" s="12" t="n">
        <x:f>IF(AND(Z1267="共同",ISNUMBER(G1267),ISNUMBER(AD1267)),G1267-AD1267,"")</x:f>
        <x:v>-2.8238095238095235</x:v>
      </x:c>
      <x:c r="AC1267" s="3" t="str"/>
      <x:c r="AD1267" s="12" t="n">
        <x:v>5.8776190476190475</x:v>
      </x:c>
      <x:c r="AE1267" s="3" t="str">
        <x:v>[6574,"S02-BK-38"]</x:v>
      </x:c>
      <x:c r="AF1267" t="n">
        <x:f>IF(ISNUMBER(H1267),1,0)</x:f>
        <x:v>1</x:v>
      </x:c>
      <x:c r="AG1267" t="n">
        <x:f>IF(ISNUMBER(I1267),1,0)</x:f>
        <x:v>1</x:v>
      </x:c>
      <x:c r="AH1267" t="str">
        <x:v>["S02","S02-BK","BK","黑色"]</x:v>
      </x:c>
      <x:c r="AI1267" t="n">
        <x:f>IF(ISNUMBER(G1267),1,0)</x:f>
        <x:v>1</x:v>
      </x:c>
      <x:c r="AJ1267" t="n">
        <x:f>IF(ISNUMBER(AD1267),1,0)</x:f>
        <x:v>1</x:v>
      </x:c>
    </x:row>
    <x:row r="1268" ht="30" customHeight="1">
      <x:c r="A1268" s="3" t="str">
        <x:v>S02-BK-39</x:v>
      </x:c>
      <x:c r="B1268" s="3" t="str">
        <x:v>3店-SANDIEX-US</x:v>
      </x:c>
      <x:c r="C1268" s="3" t="str">
        <x:v>陈晨</x:v>
      </x:c>
      <x:c r="D1268" s="3" t="str">
        <x:v>S02</x:v>
      </x:c>
      <x:c r="E1268" s="3" t="str">
        <x:f>IF(Z1268="移出","已移出",IF(NOT(ISNUMBER(H1268)),"数据待核",IF(H1268=0,"断货",IF(NOT(ISNUMBER(G1268)),"数据待核",IF(G1268=0,"零日销待复核",IF(F1268&lt;60,"补货提醒",IF(F1268&lt;=90,"正常库存",IF(F1268&lt;180,"促销",IF(F1268&lt;=365,"红线促销","考虑清仓")))))))))</x:f>
        <x:v>补货提醒</x:v>
      </x:c>
      <x:c r="F1268" s="11" t="n">
        <x:f>IF(AND(ISNUMBER(H1268),ISNUMBER(G1268),G1268&gt;0),H1268/G1268,"")</x:f>
        <x:v>7.721534501777179</x:v>
      </x:c>
      <x:c r="G1268" s="12" t="n">
        <x:f>IF(AND(COUNT(P1268:R1268)=3,MIN(P1268:R1268)&gt;=0,P1268&lt;=Q1268,Q1268&lt;=R1268),P1268/7*0.5+Q1268/14*0.3+R1268/30*0.2,"")</x:f>
        <x:v>7.77047619047619</x:v>
      </x:c>
      <x:c r="H1268" s="10" t="n">
        <x:f>IF(ISNUMBER(U1268),U1268,"")</x:f>
        <x:v>60</x:v>
      </x:c>
      <x:c r="I1268" s="10" t="n">
        <x:v>119</x:v>
      </x:c>
      <x:c r="J1268" s="11" t="n">
        <x:f>IF(AND(Z1268="共同",ISNUMBER(F1268),ISNUMBER(M1268)),F1268-M1268,"")</x:f>
        <x:v>-2.353047235775736</x:v>
      </x:c>
      <x:c r="K1268" s="13" t="n">
        <x:f>IF(AND(ISNUMBER(J1268),M1268&lt;&gt;0),J1268/M1268,"")</x:f>
        <x:v>-0.23356277184240543</x:v>
      </x:c>
      <x:c r="L1268" s="10" t="str">
        <x:v>补货提醒</x:v>
      </x:c>
      <x:c r="M1268" s="11" t="n">
        <x:v>10.074581737552915</x:v>
      </x:c>
      <x:c r="N1268" s="10" t="n">
        <x:f>IF(AND(Z1268="共同",COUNT(H1268:I1268)=2),H1268-I1268,"")</x:f>
        <x:v>-59</x:v>
      </x:c>
      <x:c r="O1268" s="10" t="n">
        <x:v>833</x:v>
      </x:c>
      <x:c r="P1268" s="10" t="n">
        <x:v>47</x:v>
      </x:c>
      <x:c r="Q1268" s="10" t="n">
        <x:v>112</x:v>
      </x:c>
      <x:c r="R1268" s="10" t="n">
        <x:v>302</x:v>
      </x:c>
      <x:c r="S1268" s="10" t="n">
        <x:v>116</x:v>
      </x:c>
      <x:c r="T1268" s="10" t="n">
        <x:v>5</x:v>
      </x:c>
      <x:c r="U1268" s="10" t="n">
        <x:f>IF(AND(ISNUMBER(X1268),X1268&gt;=0,Y1268&lt;&gt;1),X1268,"")</x:f>
        <x:v>60</x:v>
      </x:c>
      <x:c r="V1268" s="10" t="n">
        <x:v>0</x:v>
      </x:c>
      <x:c r="W1268" s="10" t="n">
        <x:v>453</x:v>
      </x:c>
      <x:c r="X1268" s="10" t="n">
        <x:v>60</x:v>
      </x:c>
      <x:c r="Y1268" s="3" t="n">
        <x:v>0</x:v>
      </x:c>
      <x:c r="Z1268" s="3" t="str">
        <x:v>共同</x:v>
      </x:c>
      <x:c r="AA1268" s="3" t="str">
        <x:v>在售</x:v>
      </x:c>
      <x:c r="AB1268" s="12" t="n">
        <x:f>IF(AND(Z1268="共同",ISNUMBER(G1268),ISNUMBER(AD1268)),G1268-AD1268,"")</x:f>
        <x:v>-4.04142857142857</x:v>
      </x:c>
      <x:c r="AC1268" s="3" t="str"/>
      <x:c r="AD1268" s="12" t="n">
        <x:v>11.81190476190476</x:v>
      </x:c>
      <x:c r="AE1268" s="3" t="str">
        <x:v>[6574,"S02-BK-39"]</x:v>
      </x:c>
      <x:c r="AF1268" t="n">
        <x:f>IF(ISNUMBER(H1268),1,0)</x:f>
        <x:v>1</x:v>
      </x:c>
      <x:c r="AG1268" t="n">
        <x:f>IF(ISNUMBER(I1268),1,0)</x:f>
        <x:v>1</x:v>
      </x:c>
      <x:c r="AH1268" t="str">
        <x:v>["S02","S02-BK","BK","黑色"]</x:v>
      </x:c>
      <x:c r="AI1268" t="n">
        <x:f>IF(ISNUMBER(G1268),1,0)</x:f>
        <x:v>1</x:v>
      </x:c>
      <x:c r="AJ1268" t="n">
        <x:f>IF(ISNUMBER(AD1268),1,0)</x:f>
        <x:v>1</x:v>
      </x:c>
    </x:row>
    <x:row r="1269" ht="30" customHeight="1">
      <x:c r="A1269" s="3" t="str">
        <x:v>S02-BK-40</x:v>
      </x:c>
      <x:c r="B1269" s="3" t="str">
        <x:v>3店-SANDIEX-US</x:v>
      </x:c>
      <x:c r="C1269" s="3" t="str">
        <x:v>陈晨</x:v>
      </x:c>
      <x:c r="D1269" s="3" t="str">
        <x:v>S02</x:v>
      </x:c>
      <x:c r="E1269" s="3" t="str">
        <x:f>IF(Z1269="移出","已移出",IF(NOT(ISNUMBER(H1269)),"数据待核",IF(H1269=0,"断货",IF(NOT(ISNUMBER(G1269)),"数据待核",IF(G1269=0,"零日销待复核",IF(F1269&lt;60,"补货提醒",IF(F1269&lt;=90,"正常库存",IF(F1269&lt;180,"促销",IF(F1269&lt;=365,"红线促销","考虑清仓")))))))))</x:f>
        <x:v>补货提醒</x:v>
      </x:c>
      <x:c r="F1269" s="11" t="n">
        <x:f>IF(AND(ISNUMBER(H1269),ISNUMBER(G1269),G1269&gt;0),H1269/G1269,"")</x:f>
        <x:v>4.794520547945206</x:v>
      </x:c>
      <x:c r="G1269" s="12" t="n">
        <x:f>IF(AND(COUNT(P1269:R1269)=3,MIN(P1269:R1269)&gt;=0,P1269&lt;=Q1269,Q1269&lt;=R1269),P1269/7*0.5+Q1269/14*0.3+R1269/30*0.2,"")</x:f>
        <x:v>5.84</x:v>
      </x:c>
      <x:c r="H1269" s="10" t="n">
        <x:f>IF(ISNUMBER(U1269),U1269,"")</x:f>
        <x:v>28</x:v>
      </x:c>
      <x:c r="I1269" s="10" t="n">
        <x:v>80</x:v>
      </x:c>
      <x:c r="J1269" s="11" t="n">
        <x:f>IF(AND(Z1269="共同",ISNUMBER(F1269),ISNUMBER(M1269)),F1269-M1269,"")</x:f>
        <x:v>-4.238708831557965</x:v>
      </x:c>
      <x:c r="K1269" s="13" t="n">
        <x:f>IF(AND(ISNUMBER(J1269),M1269&lt;&gt;0),J1269/M1269,"")</x:f>
        <x:v>-0.4692351598173514</x:v>
      </x:c>
      <x:c r="L1269" s="10" t="str">
        <x:v>补货提醒</x:v>
      </x:c>
      <x:c r="M1269" s="11" t="n">
        <x:v>9.03322937950317</x:v>
      </x:c>
      <x:c r="N1269" s="10" t="n">
        <x:f>IF(AND(Z1269="共同",COUNT(H1269:I1269)=2),H1269-I1269,"")</x:f>
        <x:v>-52</x:v>
      </x:c>
      <x:c r="O1269" s="10" t="n">
        <x:v>654</x:v>
      </x:c>
      <x:c r="P1269" s="10" t="n">
        <x:v>42</x:v>
      </x:c>
      <x:c r="Q1269" s="10" t="n">
        <x:v>70</x:v>
      </x:c>
      <x:c r="R1269" s="10" t="n">
        <x:v>201</x:v>
      </x:c>
      <x:c r="S1269" s="10" t="n">
        <x:v>52</x:v>
      </x:c>
      <x:c r="T1269" s="10" t="n">
        <x:v>1</x:v>
      </x:c>
      <x:c r="U1269" s="10" t="n">
        <x:f>IF(AND(ISNUMBER(X1269),X1269&gt;=0,Y1269&lt;&gt;1),X1269,"")</x:f>
        <x:v>28</x:v>
      </x:c>
      <x:c r="V1269" s="10" t="n">
        <x:v>0</x:v>
      </x:c>
      <x:c r="W1269" s="10" t="n">
        <x:v>230</x:v>
      </x:c>
      <x:c r="X1269" s="10" t="n">
        <x:v>28</x:v>
      </x:c>
      <x:c r="Y1269" s="3" t="n">
        <x:v>0</x:v>
      </x:c>
      <x:c r="Z1269" s="3" t="str">
        <x:v>共同</x:v>
      </x:c>
      <x:c r="AA1269" s="3" t="str">
        <x:v>在售</x:v>
      </x:c>
      <x:c r="AB1269" s="12" t="n">
        <x:f>IF(AND(Z1269="共同",ISNUMBER(G1269),ISNUMBER(AD1269)),G1269-AD1269,"")</x:f>
        <x:v>-3.016190476190477</x:v>
      </x:c>
      <x:c r="AC1269" s="3" t="str"/>
      <x:c r="AD1269" s="12" t="n">
        <x:v>8.856190476190477</x:v>
      </x:c>
      <x:c r="AE1269" s="3" t="str">
        <x:v>[6574,"S02-BK-40"]</x:v>
      </x:c>
      <x:c r="AF1269" t="n">
        <x:f>IF(ISNUMBER(H1269),1,0)</x:f>
        <x:v>1</x:v>
      </x:c>
      <x:c r="AG1269" t="n">
        <x:f>IF(ISNUMBER(I1269),1,0)</x:f>
        <x:v>1</x:v>
      </x:c>
      <x:c r="AH1269" t="str">
        <x:v>["S02","S02-BK","BK","黑色"]</x:v>
      </x:c>
      <x:c r="AI1269" t="n">
        <x:f>IF(ISNUMBER(G1269),1,0)</x:f>
        <x:v>1</x:v>
      </x:c>
      <x:c r="AJ1269" t="n">
        <x:f>IF(ISNUMBER(AD1269),1,0)</x:f>
        <x:v>1</x:v>
      </x:c>
    </x:row>
    <x:row r="1270" ht="30" customHeight="1">
      <x:c r="A1270" s="3" t="str">
        <x:v>S02-BK-41</x:v>
      </x:c>
      <x:c r="B1270" s="3" t="str">
        <x:v>3店-SANDIEX-US</x:v>
      </x:c>
      <x:c r="C1270" s="3" t="str">
        <x:v>陈晨</x:v>
      </x:c>
      <x:c r="D1270" s="3" t="str">
        <x:v>S02</x:v>
      </x:c>
      <x:c r="E1270" s="3" t="str">
        <x:f>IF(Z1270="移出","已移出",IF(NOT(ISNUMBER(H1270)),"数据待核",IF(H1270=0,"断货",IF(NOT(ISNUMBER(G1270)),"数据待核",IF(G1270=0,"零日销待复核",IF(F1270&lt;60,"补货提醒",IF(F1270&lt;=90,"正常库存",IF(F1270&lt;180,"促销",IF(F1270&lt;=365,"红线促销","考虑清仓")))))))))</x:f>
        <x:v>补货提醒</x:v>
      </x:c>
      <x:c r="F1270" s="11" t="n">
        <x:f>IF(AND(ISNUMBER(H1270),ISNUMBER(G1270),G1270&gt;0),H1270/G1270,"")</x:f>
        <x:v>2.9751062537947783</x:v>
      </x:c>
      <x:c r="G1270" s="12" t="n">
        <x:f>IF(AND(COUNT(P1270:R1270)=3,MIN(P1270:R1270)&gt;=0,P1270&lt;=Q1270,Q1270&lt;=R1270),P1270/7*0.5+Q1270/14*0.3+R1270/30*0.2,"")</x:f>
        <x:v>4.7057142857142855</x:v>
      </x:c>
      <x:c r="H1270" s="10" t="n">
        <x:f>IF(ISNUMBER(U1270),U1270,"")</x:f>
        <x:v>14</x:v>
      </x:c>
      <x:c r="I1270" s="10" t="n">
        <x:v>87</x:v>
      </x:c>
      <x:c r="J1270" s="11" t="n">
        <x:f>IF(AND(Z1270="共同",ISNUMBER(F1270),ISNUMBER(M1270)),F1270-M1270,"")</x:f>
        <x:v>-23.932110241050584</x:v>
      </x:c>
      <x:c r="K1270" s="13" t="n">
        <x:f>IF(AND(ISNUMBER(J1270),M1270&lt;&gt;0),J1270/M1270,"")</x:f>
        <x:v>-0.8894309170045619</x:v>
      </x:c>
      <x:c r="L1270" s="10" t="str">
        <x:v>补货提醒</x:v>
      </x:c>
      <x:c r="M1270" s="11" t="n">
        <x:v>26.90721649484536</x:v>
      </x:c>
      <x:c r="N1270" s="10" t="n">
        <x:f>IF(AND(Z1270="共同",COUNT(H1270:I1270)=2),H1270-I1270,"")</x:f>
        <x:v>-73</x:v>
      </x:c>
      <x:c r="O1270" s="10" t="n">
        <x:v>239</x:v>
      </x:c>
      <x:c r="P1270" s="10" t="n">
        <x:v>33</x:v>
      </x:c>
      <x:c r="Q1270" s="10" t="n">
        <x:v>76</x:v>
      </x:c>
      <x:c r="R1270" s="10" t="n">
        <x:v>108</x:v>
      </x:c>
      <x:c r="S1270" s="10" t="n">
        <x:v>33</x:v>
      </x:c>
      <x:c r="T1270" s="10" t="n">
        <x:v>4</x:v>
      </x:c>
      <x:c r="U1270" s="10" t="n">
        <x:f>IF(AND(ISNUMBER(X1270),X1270&gt;=0,Y1270&lt;&gt;1),X1270,"")</x:f>
        <x:v>14</x:v>
      </x:c>
      <x:c r="V1270" s="10" t="n">
        <x:v>0</x:v>
      </x:c>
      <x:c r="W1270" s="10" t="n">
        <x:v>160</x:v>
      </x:c>
      <x:c r="X1270" s="10" t="n">
        <x:v>14</x:v>
      </x:c>
      <x:c r="Y1270" s="3" t="n">
        <x:v>0</x:v>
      </x:c>
      <x:c r="Z1270" s="3" t="str">
        <x:v>共同</x:v>
      </x:c>
      <x:c r="AA1270" s="3" t="str">
        <x:v>在售</x:v>
      </x:c>
      <x:c r="AB1270" s="12" t="n">
        <x:f>IF(AND(Z1270="共同",ISNUMBER(G1270),ISNUMBER(AD1270)),G1270-AD1270,"")</x:f>
        <x:v>1.4723809523809521</x:v>
      </x:c>
      <x:c r="AC1270" s="3" t="str"/>
      <x:c r="AD1270" s="12" t="n">
        <x:v>3.2333333333333334</x:v>
      </x:c>
      <x:c r="AE1270" s="3" t="str">
        <x:v>[6574,"S02-BK-41"]</x:v>
      </x:c>
      <x:c r="AF1270" t="n">
        <x:f>IF(ISNUMBER(H1270),1,0)</x:f>
        <x:v>1</x:v>
      </x:c>
      <x:c r="AG1270" t="n">
        <x:f>IF(ISNUMBER(I1270),1,0)</x:f>
        <x:v>1</x:v>
      </x:c>
      <x:c r="AH1270" t="str">
        <x:v>["S02","S02-BK","BK","黑色"]</x:v>
      </x:c>
      <x:c r="AI1270" t="n">
        <x:f>IF(ISNUMBER(G1270),1,0)</x:f>
        <x:v>1</x:v>
      </x:c>
      <x:c r="AJ1270" t="n">
        <x:f>IF(ISNUMBER(AD1270),1,0)</x:f>
        <x:v>1</x:v>
      </x:c>
    </x:row>
    <x:row r="1271" ht="30" customHeight="1">
      <x:c r="A1271" s="3" t="str">
        <x:v>S02-BKP-38</x:v>
      </x:c>
      <x:c r="B1271" s="3" t="str">
        <x:v>3店-SANDIEX-US</x:v>
      </x:c>
      <x:c r="C1271" s="3" t="str">
        <x:v>陈晨</x:v>
      </x:c>
      <x:c r="D1271" s="3" t="str">
        <x:v>S02</x:v>
      </x:c>
      <x:c r="E1271" s="3" t="str">
        <x:f>IF(Z1271="移出","已移出",IF(NOT(ISNUMBER(H1271)),"数据待核",IF(H1271=0,"断货",IF(NOT(ISNUMBER(G1271)),"数据待核",IF(G1271=0,"零日销待复核",IF(F1271&lt;60,"补货提醒",IF(F1271&lt;=90,"正常库存",IF(F1271&lt;180,"促销",IF(F1271&lt;=365,"红线促销","考虑清仓")))))))))</x:f>
        <x:v>补货提醒</x:v>
      </x:c>
      <x:c r="F1271" s="11" t="n">
        <x:f>IF(AND(ISNUMBER(H1271),ISNUMBER(G1271),G1271&gt;0),H1271/G1271,"")</x:f>
        <x:v>31.460674157303373</x:v>
      </x:c>
      <x:c r="G1271" s="12" t="n">
        <x:f>IF(AND(COUNT(P1271:R1271)=3,MIN(P1271:R1271)&gt;=0,P1271&lt;=Q1271,Q1271&lt;=R1271),P1271/7*0.5+Q1271/14*0.3+R1271/30*0.2,"")</x:f>
        <x:v>0.7628571428571428</x:v>
      </x:c>
      <x:c r="H1271" s="10" t="n">
        <x:f>IF(ISNUMBER(U1271),U1271,"")</x:f>
        <x:v>24</x:v>
      </x:c>
      <x:c r="I1271" s="10" t="n">
        <x:v>34</x:v>
      </x:c>
      <x:c r="J1271" s="11" t="n">
        <x:f>IF(AND(Z1271="共同",ISNUMBER(F1271),ISNUMBER(M1271)),F1271-M1271,"")</x:f>
        <x:v>-40.73346133309096</x:v>
      </x:c>
      <x:c r="K1271" s="13" t="n">
        <x:f>IF(AND(ISNUMBER(J1271),M1271&lt;&gt;0),J1271/M1271,"")</x:f>
        <x:v>-0.5642211940956157</x:v>
      </x:c>
      <x:c r="L1271" s="10" t="str">
        <x:v>正常库存</x:v>
      </x:c>
      <x:c r="M1271" s="11" t="n">
        <x:v>72.19413549039433</x:v>
      </x:c>
      <x:c r="N1271" s="10" t="n">
        <x:f>IF(AND(Z1271="共同",COUNT(H1271:I1271)=2),H1271-I1271,"")</x:f>
        <x:v>-10</x:v>
      </x:c>
      <x:c r="O1271" s="10" t="n">
        <x:v>57</x:v>
      </x:c>
      <x:c r="P1271" s="10" t="n">
        <x:v>6</x:v>
      </x:c>
      <x:c r="Q1271" s="10" t="n">
        <x:v>10</x:v>
      </x:c>
      <x:c r="R1271" s="10" t="n">
        <x:v>18</x:v>
      </x:c>
      <x:c r="S1271" s="10" t="n">
        <x:v>28</x:v>
      </x:c>
      <x:c r="T1271" s="10" t="n">
        <x:v>2</x:v>
      </x:c>
      <x:c r="U1271" s="10" t="n">
        <x:f>IF(AND(ISNUMBER(X1271),X1271&gt;=0,Y1271&lt;&gt;1),X1271,"")</x:f>
        <x:v>24</x:v>
      </x:c>
      <x:c r="V1271" s="10" t="n">
        <x:v>0</x:v>
      </x:c>
      <x:c r="W1271" s="10" t="n">
        <x:v>20</x:v>
      </x:c>
      <x:c r="X1271" s="10" t="n">
        <x:v>24</x:v>
      </x:c>
      <x:c r="Y1271" s="3" t="n">
        <x:v>0</x:v>
      </x:c>
      <x:c r="Z1271" s="3" t="str">
        <x:v>共同</x:v>
      </x:c>
      <x:c r="AA1271" s="3" t="str">
        <x:v>在售</x:v>
      </x:c>
      <x:c r="AB1271" s="12" t="n">
        <x:f>IF(AND(Z1271="共同",ISNUMBER(G1271),ISNUMBER(AD1271)),G1271-AD1271,"")</x:f>
        <x:v>0.29190476190476183</x:v>
      </x:c>
      <x:c r="AC1271" s="3" t="str"/>
      <x:c r="AD1271" s="12" t="n">
        <x:v>0.47095238095238096</x:v>
      </x:c>
      <x:c r="AE1271" s="3" t="str">
        <x:v>[6574,"S02-BKP-38"]</x:v>
      </x:c>
      <x:c r="AF1271" t="n">
        <x:f>IF(ISNUMBER(H1271),1,0)</x:f>
        <x:v>1</x:v>
      </x:c>
      <x:c r="AG1271" t="n">
        <x:f>IF(ISNUMBER(I1271),1,0)</x:f>
        <x:v>1</x:v>
      </x:c>
      <x:c r="AH1271" t="str">
        <x:v>["S02","S02-BKP","BKP","黑色PU"]</x:v>
      </x:c>
      <x:c r="AI1271" t="n">
        <x:f>IF(ISNUMBER(G1271),1,0)</x:f>
        <x:v>1</x:v>
      </x:c>
      <x:c r="AJ1271" t="n">
        <x:f>IF(ISNUMBER(AD1271),1,0)</x:f>
        <x:v>1</x:v>
      </x:c>
    </x:row>
    <x:row r="1272" ht="30" customHeight="1">
      <x:c r="A1272" s="3" t="str">
        <x:v>S02-BKP-39</x:v>
      </x:c>
      <x:c r="B1272" s="3" t="str">
        <x:v>3店-SANDIEX-US</x:v>
      </x:c>
      <x:c r="C1272" s="3" t="str">
        <x:v>陈晨</x:v>
      </x:c>
      <x:c r="D1272" s="3" t="str">
        <x:v>S02</x:v>
      </x:c>
      <x:c r="E1272" s="3" t="str">
        <x:f>IF(Z1272="移出","已移出",IF(NOT(ISNUMBER(H1272)),"数据待核",IF(H1272=0,"断货",IF(NOT(ISNUMBER(G1272)),"数据待核",IF(G1272=0,"零日销待复核",IF(F1272&lt;60,"补货提醒",IF(F1272&lt;=90,"正常库存",IF(F1272&lt;180,"促销",IF(F1272&lt;=365,"红线促销","考虑清仓")))))))))</x:f>
        <x:v>补货提醒</x:v>
      </x:c>
      <x:c r="F1272" s="11" t="n">
        <x:f>IF(AND(ISNUMBER(H1272),ISNUMBER(G1272),G1272&gt;0),H1272/G1272,"")</x:f>
        <x:v>21.709166092350102</x:v>
      </x:c>
      <x:c r="G1272" s="12" t="n">
        <x:f>IF(AND(COUNT(P1272:R1272)=3,MIN(P1272:R1272)&gt;=0,P1272&lt;=Q1272,Q1272&lt;=R1272),P1272/7*0.5+Q1272/14*0.3+R1272/30*0.2,"")</x:f>
        <x:v>2.072857142857143</x:v>
      </x:c>
      <x:c r="H1272" s="10" t="n">
        <x:f>IF(ISNUMBER(U1272),U1272,"")</x:f>
        <x:v>45</x:v>
      </x:c>
      <x:c r="I1272" s="10" t="n">
        <x:v>42</x:v>
      </x:c>
      <x:c r="J1272" s="11" t="n">
        <x:f>IF(AND(Z1272="共同",ISNUMBER(F1272),ISNUMBER(M1272)),F1272-M1272,"")</x:f>
        <x:v>10.24270743400377</x:v>
      </x:c>
      <x:c r="K1272" s="13" t="n">
        <x:f>IF(AND(ISNUMBER(J1272),M1272&lt;&gt;0),J1272/M1272,"")</x:f>
        <x:v>0.8932755734961111</x:v>
      </x:c>
      <x:c r="L1272" s="10" t="str">
        <x:v>补货提醒</x:v>
      </x:c>
      <x:c r="M1272" s="11" t="n">
        <x:v>11.466458658346333</x:v>
      </x:c>
      <x:c r="N1272" s="10" t="n">
        <x:f>IF(AND(Z1272="共同",COUNT(H1272:I1272)=2),H1272-I1272,"")</x:f>
        <x:v>3</x:v>
      </x:c>
      <x:c r="O1272" s="10" t="n">
        <x:v>10</x:v>
      </x:c>
      <x:c r="P1272" s="10" t="n">
        <x:v>16</x:v>
      </x:c>
      <x:c r="Q1272" s="10" t="n">
        <x:v>21</x:v>
      </x:c>
      <x:c r="R1272" s="10" t="n">
        <x:v>72</x:v>
      </x:c>
      <x:c r="S1272" s="10" t="n">
        <x:v>85</x:v>
      </x:c>
      <x:c r="T1272" s="10" t="n">
        <x:v>2</x:v>
      </x:c>
      <x:c r="U1272" s="10" t="n">
        <x:f>IF(AND(ISNUMBER(X1272),X1272&gt;=0,Y1272&lt;&gt;1),X1272,"")</x:f>
        <x:v>45</x:v>
      </x:c>
      <x:c r="V1272" s="10" t="n">
        <x:v>0</x:v>
      </x:c>
      <x:c r="W1272" s="10" t="n">
        <x:v>26</x:v>
      </x:c>
      <x:c r="X1272" s="10" t="n">
        <x:v>45</x:v>
      </x:c>
      <x:c r="Y1272" s="3" t="n">
        <x:v>0</x:v>
      </x:c>
      <x:c r="Z1272" s="3" t="str">
        <x:v>共同</x:v>
      </x:c>
      <x:c r="AA1272" s="3" t="str">
        <x:v>在售</x:v>
      </x:c>
      <x:c r="AB1272" s="12" t="n">
        <x:f>IF(AND(Z1272="共同",ISNUMBER(G1272),ISNUMBER(AD1272)),G1272-AD1272,"")</x:f>
        <x:v>-1.5900000000000003</x:v>
      </x:c>
      <x:c r="AC1272" s="3" t="str"/>
      <x:c r="AD1272" s="12" t="n">
        <x:v>3.6628571428571433</x:v>
      </x:c>
      <x:c r="AE1272" s="3" t="str">
        <x:v>[6574,"S02-BKP-39"]</x:v>
      </x:c>
      <x:c r="AF1272" t="n">
        <x:f>IF(ISNUMBER(H1272),1,0)</x:f>
        <x:v>1</x:v>
      </x:c>
      <x:c r="AG1272" t="n">
        <x:f>IF(ISNUMBER(I1272),1,0)</x:f>
        <x:v>1</x:v>
      </x:c>
      <x:c r="AH1272" t="str">
        <x:v>["S02","S02-BKP","BKP","黑色PU"]</x:v>
      </x:c>
      <x:c r="AI1272" t="n">
        <x:f>IF(ISNUMBER(G1272),1,0)</x:f>
        <x:v>1</x:v>
      </x:c>
      <x:c r="AJ1272" t="n">
        <x:f>IF(ISNUMBER(AD1272),1,0)</x:f>
        <x:v>1</x:v>
      </x:c>
    </x:row>
    <x:row r="1273" ht="30" customHeight="1">
      <x:c r="A1273" s="3" t="str">
        <x:v>S02-BKP-40</x:v>
      </x:c>
      <x:c r="B1273" s="3" t="str">
        <x:v>3店-SANDIEX-US</x:v>
      </x:c>
      <x:c r="C1273" s="3" t="str">
        <x:v>陈晨</x:v>
      </x:c>
      <x:c r="D1273" s="3" t="str">
        <x:v>S02</x:v>
      </x:c>
      <x:c r="E1273" s="3" t="str">
        <x:f>IF(Z1273="移出","已移出",IF(NOT(ISNUMBER(H1273)),"数据待核",IF(H1273=0,"断货",IF(NOT(ISNUMBER(G1273)),"数据待核",IF(G1273=0,"零日销待复核",IF(F1273&lt;60,"补货提醒",IF(F1273&lt;=90,"正常库存",IF(F1273&lt;180,"促销",IF(F1273&lt;=365,"红线促销","考虑清仓")))))))))</x:f>
        <x:v>补货提醒</x:v>
      </x:c>
      <x:c r="F1273" s="11" t="n">
        <x:f>IF(AND(ISNUMBER(H1273),ISNUMBER(G1273),G1273&gt;0),H1273/G1273,"")</x:f>
        <x:v>15.171898355754857</x:v>
      </x:c>
      <x:c r="G1273" s="12" t="n">
        <x:f>IF(AND(COUNT(P1273:R1273)=3,MIN(P1273:R1273)&gt;=0,P1273&lt;=Q1273,Q1273&lt;=R1273),P1273/7*0.5+Q1273/14*0.3+R1273/30*0.2,"")</x:f>
        <x:v>1.9114285714285715</x:v>
      </x:c>
      <x:c r="H1273" s="10" t="n">
        <x:f>IF(ISNUMBER(U1273),U1273,"")</x:f>
        <x:v>29</x:v>
      </x:c>
      <x:c r="I1273" s="10" t="n">
        <x:v>56</x:v>
      </x:c>
      <x:c r="J1273" s="11" t="n">
        <x:f>IF(AND(Z1273="共同",ISNUMBER(F1273),ISNUMBER(M1273)),F1273-M1273,"")</x:f>
        <x:v>-6.871213171892753</x:v>
      </x:c>
      <x:c r="K1273" s="13" t="n">
        <x:f>IF(AND(ISNUMBER(J1273),M1273&lt;&gt;0),J1273/M1273,"")</x:f>
        <x:v>-0.3117170261228558</x:v>
      </x:c>
      <x:c r="L1273" s="10" t="str">
        <x:v>补货提醒</x:v>
      </x:c>
      <x:c r="M1273" s="11" t="n">
        <x:v>22.04311152764761</x:v>
      </x:c>
      <x:c r="N1273" s="10" t="n">
        <x:f>IF(AND(Z1273="共同",COUNT(H1273:I1273)=2),H1273-I1273,"")</x:f>
        <x:v>-27</x:v>
      </x:c>
      <x:c r="O1273" s="10" t="n">
        <x:v>154</x:v>
      </x:c>
      <x:c r="P1273" s="10" t="n">
        <x:v>11</x:v>
      </x:c>
      <x:c r="Q1273" s="10" t="n">
        <x:v>32</x:v>
      </x:c>
      <x:c r="R1273" s="10" t="n">
        <x:v>66</x:v>
      </x:c>
      <x:c r="S1273" s="10" t="n">
        <x:v>36</x:v>
      </x:c>
      <x:c r="T1273" s="10" t="n">
        <x:v>0</x:v>
      </x:c>
      <x:c r="U1273" s="10" t="n">
        <x:f>IF(AND(ISNUMBER(X1273),X1273&gt;=0,Y1273&lt;&gt;1),X1273,"")</x:f>
        <x:v>29</x:v>
      </x:c>
      <x:c r="V1273" s="10" t="n">
        <x:v>0</x:v>
      </x:c>
      <x:c r="W1273" s="10" t="n">
        <x:v>80</x:v>
      </x:c>
      <x:c r="X1273" s="10" t="n">
        <x:v>29</x:v>
      </x:c>
      <x:c r="Y1273" s="3" t="n">
        <x:v>0</x:v>
      </x:c>
      <x:c r="Z1273" s="3" t="str">
        <x:v>共同</x:v>
      </x:c>
      <x:c r="AA1273" s="3" t="str">
        <x:v>在售</x:v>
      </x:c>
      <x:c r="AB1273" s="12" t="n">
        <x:f>IF(AND(Z1273="共同",ISNUMBER(G1273),ISNUMBER(AD1273)),G1273-AD1273,"")</x:f>
        <x:v>-0.6290476190476189</x:v>
      </x:c>
      <x:c r="AC1273" s="3" t="str"/>
      <x:c r="AD1273" s="12" t="n">
        <x:v>2.5404761904761903</x:v>
      </x:c>
      <x:c r="AE1273" s="3" t="str">
        <x:v>[6574,"S02-BKP-40"]</x:v>
      </x:c>
      <x:c r="AF1273" t="n">
        <x:f>IF(ISNUMBER(H1273),1,0)</x:f>
        <x:v>1</x:v>
      </x:c>
      <x:c r="AG1273" t="n">
        <x:f>IF(ISNUMBER(I1273),1,0)</x:f>
        <x:v>1</x:v>
      </x:c>
      <x:c r="AH1273" t="str">
        <x:v>["S02","S02-BKP","BKP","黑色PU"]</x:v>
      </x:c>
      <x:c r="AI1273" t="n">
        <x:f>IF(ISNUMBER(G1273),1,0)</x:f>
        <x:v>1</x:v>
      </x:c>
      <x:c r="AJ1273" t="n">
        <x:f>IF(ISNUMBER(AD1273),1,0)</x:f>
        <x:v>1</x:v>
      </x:c>
    </x:row>
    <x:row r="1274" ht="30" customHeight="1">
      <x:c r="A1274" s="3" t="str">
        <x:v>S02-BKP-42</x:v>
      </x:c>
      <x:c r="B1274" s="3" t="str">
        <x:v>3店-SANDIEX-US</x:v>
      </x:c>
      <x:c r="C1274" s="3" t="str">
        <x:v>陈晨</x:v>
      </x:c>
      <x:c r="D1274" s="3" t="str">
        <x:v>S02</x:v>
      </x:c>
      <x:c r="E1274" s="3" t="str">
        <x:f>IF(Z1274="移出","已移出",IF(NOT(ISNUMBER(H1274)),"数据待核",IF(H1274=0,"断货",IF(NOT(ISNUMBER(G1274)),"数据待核",IF(G1274=0,"零日销待复核",IF(F1274&lt;60,"补货提醒",IF(F1274&lt;=90,"正常库存",IF(F1274&lt;180,"促销",IF(F1274&lt;=365,"红线促销","考虑清仓")))))))))</x:f>
        <x:v>补货提醒</x:v>
      </x:c>
      <x:c r="F1274" s="11" t="n">
        <x:f>IF(AND(ISNUMBER(H1274),ISNUMBER(G1274),G1274&gt;0),H1274/G1274,"")</x:f>
        <x:v>27.701674277016743</x:v>
      </x:c>
      <x:c r="G1274" s="12" t="n">
        <x:f>IF(AND(COUNT(P1274:R1274)=3,MIN(P1274:R1274)&gt;=0,P1274&lt;=Q1274,Q1274&lt;=R1274),P1274/7*0.5+Q1274/14*0.3+R1274/30*0.2,"")</x:f>
        <x:v>0.9385714285714286</x:v>
      </x:c>
      <x:c r="H1274" s="10" t="n">
        <x:f>IF(ISNUMBER(U1274),U1274,"")</x:f>
        <x:v>26</x:v>
      </x:c>
      <x:c r="I1274" s="10" t="n">
        <x:v>33</x:v>
      </x:c>
      <x:c r="J1274" s="11" t="n">
        <x:f>IF(AND(Z1274="共同",ISNUMBER(F1274),ISNUMBER(M1274)),F1274-M1274,"")</x:f>
        <x:v>-3.528609634655183</x:v>
      </x:c>
      <x:c r="K1274" s="13" t="n">
        <x:f>IF(AND(ISNUMBER(J1274),M1274&lt;&gt;0),J1274/M1274,"")</x:f>
        <x:v>-0.11298679335209019</x:v>
      </x:c>
      <x:c r="L1274" s="10" t="str">
        <x:v>补货提醒</x:v>
      </x:c>
      <x:c r="M1274" s="11" t="n">
        <x:v>31.230283911671926</x:v>
      </x:c>
      <x:c r="N1274" s="10" t="n">
        <x:f>IF(AND(Z1274="共同",COUNT(H1274:I1274)=2),H1274-I1274,"")</x:f>
        <x:v>-7</x:v>
      </x:c>
      <x:c r="O1274" s="10" t="n">
        <x:v>0</x:v>
      </x:c>
      <x:c r="P1274" s="10" t="n">
        <x:v>7</x:v>
      </x:c>
      <x:c r="Q1274" s="10" t="n">
        <x:v>13</x:v>
      </x:c>
      <x:c r="R1274" s="10" t="n">
        <x:v>24</x:v>
      </x:c>
      <x:c r="S1274" s="10" t="n">
        <x:v>29</x:v>
      </x:c>
      <x:c r="T1274" s="10" t="n">
        <x:v>1</x:v>
      </x:c>
      <x:c r="U1274" s="10" t="n">
        <x:f>IF(AND(ISNUMBER(X1274),X1274&gt;=0,Y1274&lt;&gt;1),X1274,"")</x:f>
        <x:v>26</x:v>
      </x:c>
      <x:c r="V1274" s="10" t="n">
        <x:v>0</x:v>
      </x:c>
      <x:c r="W1274" s="10" t="n">
        <x:v>0</x:v>
      </x:c>
      <x:c r="X1274" s="10" t="n">
        <x:v>26</x:v>
      </x:c>
      <x:c r="Y1274" s="3" t="n">
        <x:v>0</x:v>
      </x:c>
      <x:c r="Z1274" s="3" t="str">
        <x:v>共同</x:v>
      </x:c>
      <x:c r="AA1274" s="3" t="str">
        <x:v>在售</x:v>
      </x:c>
      <x:c r="AB1274" s="12" t="n">
        <x:f>IF(AND(Z1274="共同",ISNUMBER(G1274),ISNUMBER(AD1274)),G1274-AD1274,"")</x:f>
        <x:v>-0.11809523809523803</x:v>
      </x:c>
      <x:c r="AC1274" s="3" t="str"/>
      <x:c r="AD1274" s="12" t="n">
        <x:v>1.0566666666666666</x:v>
      </x:c>
      <x:c r="AE1274" s="3" t="str">
        <x:v>[6574,"S02-BKP-42"]</x:v>
      </x:c>
      <x:c r="AF1274" t="n">
        <x:f>IF(ISNUMBER(H1274),1,0)</x:f>
        <x:v>1</x:v>
      </x:c>
      <x:c r="AG1274" t="n">
        <x:f>IF(ISNUMBER(I1274),1,0)</x:f>
        <x:v>1</x:v>
      </x:c>
      <x:c r="AH1274" t="str">
        <x:v>["S02","S02-BKP","BKP","黑色PU"]</x:v>
      </x:c>
      <x:c r="AI1274" t="n">
        <x:f>IF(ISNUMBER(G1274),1,0)</x:f>
        <x:v>1</x:v>
      </x:c>
      <x:c r="AJ1274" t="n">
        <x:f>IF(ISNUMBER(AD1274),1,0)</x:f>
        <x:v>1</x:v>
      </x:c>
    </x:row>
    <x:row r="1275" ht="30" customHeight="1">
      <x:c r="A1275" s="3" t="str">
        <x:v>S02-LP-37</x:v>
      </x:c>
      <x:c r="B1275" s="3" t="str">
        <x:v>3店-SANDIEX-US</x:v>
      </x:c>
      <x:c r="C1275" s="3" t="str">
        <x:v>陈晨</x:v>
      </x:c>
      <x:c r="D1275" s="3" t="str">
        <x:v>S02</x:v>
      </x:c>
      <x:c r="E1275" s="3" t="str">
        <x:f>IF(Z1275="移出","已移出",IF(NOT(ISNUMBER(H1275)),"数据待核",IF(H1275=0,"断货",IF(NOT(ISNUMBER(G1275)),"数据待核",IF(G1275=0,"零日销待复核",IF(F1275&lt;60,"补货提醒",IF(F1275&lt;=90,"正常库存",IF(F1275&lt;180,"促销",IF(F1275&lt;=365,"红线促销","考虑清仓")))))))))</x:f>
        <x:v>补货提醒</x:v>
      </x:c>
      <x:c r="F1275" s="11" t="n">
        <x:f>IF(AND(ISNUMBER(H1275),ISNUMBER(G1275),G1275&gt;0),H1275/G1275,"")</x:f>
        <x:v>39.81042654028436</x:v>
      </x:c>
      <x:c r="G1275" s="12" t="n">
        <x:f>IF(AND(COUNT(P1275:R1275)=3,MIN(P1275:R1275)&gt;=0,P1275&lt;=Q1275,Q1275&lt;=R1275),P1275/7*0.5+Q1275/14*0.3+R1275/30*0.2,"")</x:f>
        <x:v>0.20095238095238094</x:v>
      </x:c>
      <x:c r="H1275" s="10" t="n">
        <x:f>IF(ISNUMBER(U1275),U1275,"")</x:f>
        <x:v>8</x:v>
      </x:c>
      <x:c r="I1275" s="10" t="n">
        <x:v>10</x:v>
      </x:c>
      <x:c r="J1275" s="11" t="n">
        <x:f>IF(AND(Z1275="共同",ISNUMBER(F1275),ISNUMBER(M1275)),F1275-M1275,"")</x:f>
        <x:v>25.9764344454227</x:v>
      </x:c>
      <x:c r="K1275" s="13" t="n">
        <x:f>IF(AND(ISNUMBER(J1275),M1275&lt;&gt;0),J1275/M1275,"")</x:f>
        <x:v>1.8777251184834123</x:v>
      </x:c>
      <x:c r="L1275" s="10" t="str">
        <x:v>补货提醒</x:v>
      </x:c>
      <x:c r="M1275" s="11" t="n">
        <x:v>13.83399209486166</x:v>
      </x:c>
      <x:c r="N1275" s="10" t="n">
        <x:f>IF(AND(Z1275="共同",COUNT(H1275:I1275)=2),H1275-I1275,"")</x:f>
        <x:v>-2</x:v>
      </x:c>
      <x:c r="O1275" s="10" t="n">
        <x:v>49</x:v>
      </x:c>
      <x:c r="P1275" s="10" t="n">
        <x:v>1</x:v>
      </x:c>
      <x:c r="Q1275" s="10" t="n">
        <x:v>2</x:v>
      </x:c>
      <x:c r="R1275" s="10" t="n">
        <x:v>13</x:v>
      </x:c>
      <x:c r="S1275" s="10" t="n">
        <x:v>12</x:v>
      </x:c>
      <x:c r="T1275" s="10" t="n">
        <x:v>0</x:v>
      </x:c>
      <x:c r="U1275" s="10" t="n">
        <x:f>IF(AND(ISNUMBER(X1275),X1275&gt;=0,Y1275&lt;&gt;1),X1275,"")</x:f>
        <x:v>8</x:v>
      </x:c>
      <x:c r="V1275" s="10" t="n">
        <x:v>0</x:v>
      </x:c>
      <x:c r="W1275" s="10" t="n">
        <x:v>0</x:v>
      </x:c>
      <x:c r="X1275" s="10" t="n">
        <x:v>8</x:v>
      </x:c>
      <x:c r="Y1275" s="3" t="n">
        <x:v>0</x:v>
      </x:c>
      <x:c r="Z1275" s="3" t="str">
        <x:v>共同</x:v>
      </x:c>
      <x:c r="AA1275" s="3" t="str">
        <x:v>在售</x:v>
      </x:c>
      <x:c r="AB1275" s="12" t="n">
        <x:f>IF(AND(Z1275="共同",ISNUMBER(G1275),ISNUMBER(AD1275)),G1275-AD1275,"")</x:f>
        <x:v>-0.5219047619047619</x:v>
      </x:c>
      <x:c r="AC1275" s="3" t="str"/>
      <x:c r="AD1275" s="12" t="n">
        <x:v>0.7228571428571429</x:v>
      </x:c>
      <x:c r="AE1275" s="3" t="str">
        <x:v>[6574,"S02-LP-37"]</x:v>
      </x:c>
      <x:c r="AF1275" t="n">
        <x:f>IF(ISNUMBER(H1275),1,0)</x:f>
        <x:v>1</x:v>
      </x:c>
      <x:c r="AG1275" t="n">
        <x:f>IF(ISNUMBER(I1275),1,0)</x:f>
        <x:v>1</x:v>
      </x:c>
      <x:c r="AH1275" t="str">
        <x:v>["S02","S02-LP","LP","豹纹"]</x:v>
      </x:c>
      <x:c r="AI1275" t="n">
        <x:f>IF(ISNUMBER(G1275),1,0)</x:f>
        <x:v>1</x:v>
      </x:c>
      <x:c r="AJ1275" t="n">
        <x:f>IF(ISNUMBER(AD1275),1,0)</x:f>
        <x:v>1</x:v>
      </x:c>
    </x:row>
    <x:row r="1276" ht="30" customHeight="1">
      <x:c r="A1276" s="3" t="str">
        <x:v>S02-LP-38</x:v>
      </x:c>
      <x:c r="B1276" s="3" t="str">
        <x:v>3店-SANDIEX-US</x:v>
      </x:c>
      <x:c r="C1276" s="3" t="str">
        <x:v>陈晨</x:v>
      </x:c>
      <x:c r="D1276" s="3" t="str">
        <x:v>S02</x:v>
      </x:c>
      <x:c r="E1276" s="3" t="str">
        <x:f>IF(Z1276="移出","已移出",IF(NOT(ISNUMBER(H1276)),"数据待核",IF(H1276=0,"断货",IF(NOT(ISNUMBER(G1276)),"数据待核",IF(G1276=0,"零日销待复核",IF(F1276&lt;60,"补货提醒",IF(F1276&lt;=90,"正常库存",IF(F1276&lt;180,"促销",IF(F1276&lt;=365,"红线促销","考虑清仓")))))))))</x:f>
        <x:v>补货提醒</x:v>
      </x:c>
      <x:c r="F1276" s="11" t="n">
        <x:f>IF(AND(ISNUMBER(H1276),ISNUMBER(G1276),G1276&gt;0),H1276/G1276,"")</x:f>
        <x:v>17.154150197628457</x:v>
      </x:c>
      <x:c r="G1276" s="12" t="n">
        <x:f>IF(AND(COUNT(P1276:R1276)=3,MIN(P1276:R1276)&gt;=0,P1276&lt;=Q1276,Q1276&lt;=R1276),P1276/7*0.5+Q1276/14*0.3+R1276/30*0.2,"")</x:f>
        <x:v>1.8071428571428572</x:v>
      </x:c>
      <x:c r="H1276" s="10" t="n">
        <x:f>IF(ISNUMBER(U1276),U1276,"")</x:f>
        <x:v>31</x:v>
      </x:c>
      <x:c r="I1276" s="10" t="n">
        <x:v>54</x:v>
      </x:c>
      <x:c r="J1276" s="11" t="n">
        <x:f>IF(AND(Z1276="共同",ISNUMBER(F1276),ISNUMBER(M1276)),F1276-M1276,"")</x:f>
        <x:v>-23.389289201728</x:v>
      </x:c>
      <x:c r="K1276" s="13" t="n">
        <x:f>IF(AND(ISNUMBER(J1276),M1276&lt;&gt;0),J1276/M1276,"")</x:f>
        <x:v>-0.5768945493583175</x:v>
      </x:c>
      <x:c r="L1276" s="10" t="str">
        <x:v>补货提醒</x:v>
      </x:c>
      <x:c r="M1276" s="11" t="n">
        <x:v>40.54343939935646</x:v>
      </x:c>
      <x:c r="N1276" s="10" t="n">
        <x:f>IF(AND(Z1276="共同",COUNT(H1276:I1276)=2),H1276-I1276,"")</x:f>
        <x:v>-23</x:v>
      </x:c>
      <x:c r="O1276" s="10" t="n">
        <x:v>55</x:v>
      </x:c>
      <x:c r="P1276" s="10" t="n">
        <x:v>13</x:v>
      </x:c>
      <x:c r="Q1276" s="10" t="n">
        <x:v>27</x:v>
      </x:c>
      <x:c r="R1276" s="10" t="n">
        <x:v>45</x:v>
      </x:c>
      <x:c r="S1276" s="10" t="n">
        <x:v>37</x:v>
      </x:c>
      <x:c r="T1276" s="10" t="n">
        <x:v>1</x:v>
      </x:c>
      <x:c r="U1276" s="10" t="n">
        <x:f>IF(AND(ISNUMBER(X1276),X1276&gt;=0,Y1276&lt;&gt;1),X1276,"")</x:f>
        <x:v>31</x:v>
      </x:c>
      <x:c r="V1276" s="10" t="n">
        <x:v>0</x:v>
      </x:c>
      <x:c r="W1276" s="10" t="n">
        <x:v>35</x:v>
      </x:c>
      <x:c r="X1276" s="10" t="n">
        <x:v>31</x:v>
      </x:c>
      <x:c r="Y1276" s="3" t="n">
        <x:v>0</x:v>
      </x:c>
      <x:c r="Z1276" s="3" t="str">
        <x:v>共同</x:v>
      </x:c>
      <x:c r="AA1276" s="3" t="str">
        <x:v>在售</x:v>
      </x:c>
      <x:c r="AB1276" s="12" t="n">
        <x:f>IF(AND(Z1276="共同",ISNUMBER(G1276),ISNUMBER(AD1276)),G1276-AD1276,"")</x:f>
        <x:v>0.47523809523809546</x:v>
      </x:c>
      <x:c r="AC1276" s="3" t="str"/>
      <x:c r="AD1276" s="12" t="n">
        <x:v>1.3319047619047617</x:v>
      </x:c>
      <x:c r="AE1276" s="3" t="str">
        <x:v>[6574,"S02-LP-38"]</x:v>
      </x:c>
      <x:c r="AF1276" t="n">
        <x:f>IF(ISNUMBER(H1276),1,0)</x:f>
        <x:v>1</x:v>
      </x:c>
      <x:c r="AG1276" t="n">
        <x:f>IF(ISNUMBER(I1276),1,0)</x:f>
        <x:v>1</x:v>
      </x:c>
      <x:c r="AH1276" t="str">
        <x:v>["S02","S02-LP","LP","豹纹"]</x:v>
      </x:c>
      <x:c r="AI1276" t="n">
        <x:f>IF(ISNUMBER(G1276),1,0)</x:f>
        <x:v>1</x:v>
      </x:c>
      <x:c r="AJ1276" t="n">
        <x:f>IF(ISNUMBER(AD1276),1,0)</x:f>
        <x:v>1</x:v>
      </x:c>
    </x:row>
    <x:row r="1277" ht="30" customHeight="1">
      <x:c r="A1277" s="3" t="str">
        <x:v>S02-LP-39</x:v>
      </x:c>
      <x:c r="B1277" s="3" t="str">
        <x:v>3店-SANDIEX-US</x:v>
      </x:c>
      <x:c r="C1277" s="3" t="str">
        <x:v>陈晨</x:v>
      </x:c>
      <x:c r="D1277" s="3" t="str">
        <x:v>S02</x:v>
      </x:c>
      <x:c r="E1277" s="3" t="str">
        <x:f>IF(Z1277="移出","已移出",IF(NOT(ISNUMBER(H1277)),"数据待核",IF(H1277=0,"断货",IF(NOT(ISNUMBER(G1277)),"数据待核",IF(G1277=0,"零日销待复核",IF(F1277&lt;60,"补货提醒",IF(F1277&lt;=90,"正常库存",IF(F1277&lt;180,"促销",IF(F1277&lt;=365,"红线促销","考虑清仓")))))))))</x:f>
        <x:v>补货提醒</x:v>
      </x:c>
      <x:c r="F1277" s="11" t="n">
        <x:f>IF(AND(ISNUMBER(H1277),ISNUMBER(G1277),G1277&gt;0),H1277/G1277,"")</x:f>
        <x:v>14.49025357943764</x:v>
      </x:c>
      <x:c r="G1277" s="12" t="n">
        <x:f>IF(AND(COUNT(P1277:R1277)=3,MIN(P1277:R1277)&gt;=0,P1277&lt;=Q1277,Q1277&lt;=R1277),P1277/7*0.5+Q1277/14*0.3+R1277/30*0.2,"")</x:f>
        <x:v>2.7604761904761905</x:v>
      </x:c>
      <x:c r="H1277" s="10" t="n">
        <x:f>IF(ISNUMBER(U1277),U1277,"")</x:f>
        <x:v>40</x:v>
      </x:c>
      <x:c r="I1277" s="10" t="n">
        <x:v>60</x:v>
      </x:c>
      <x:c r="J1277" s="11" t="n">
        <x:f>IF(AND(Z1277="共同",ISNUMBER(F1277),ISNUMBER(M1277)),F1277-M1277,"")</x:f>
        <x:v>-4.11577122859544</x:v>
      </x:c>
      <x:c r="K1277" s="13" t="n">
        <x:f>IF(AND(ISNUMBER(J1277),M1277&lt;&gt;0),J1277/M1277,"")</x:f>
        <x:v>-0.22120637111149458</x:v>
      </x:c>
      <x:c r="L1277" s="10" t="str">
        <x:v>补货提醒</x:v>
      </x:c>
      <x:c r="M1277" s="11" t="n">
        <x:v>18.60602480803308</x:v>
      </x:c>
      <x:c r="N1277" s="10" t="n">
        <x:f>IF(AND(Z1277="共同",COUNT(H1277:I1277)=2),H1277-I1277,"")</x:f>
        <x:v>-20</x:v>
      </x:c>
      <x:c r="O1277" s="10" t="n">
        <x:v>99</x:v>
      </x:c>
      <x:c r="P1277" s="10" t="n">
        <x:v>21</x:v>
      </x:c>
      <x:c r="Q1277" s="10" t="n">
        <x:v>33</x:v>
      </x:c>
      <x:c r="R1277" s="10" t="n">
        <x:v>83</x:v>
      </x:c>
      <x:c r="S1277" s="10" t="n">
        <x:v>57</x:v>
      </x:c>
      <x:c r="T1277" s="10" t="n">
        <x:v>0</x:v>
      </x:c>
      <x:c r="U1277" s="10" t="n">
        <x:f>IF(AND(ISNUMBER(X1277),X1277&gt;=0,Y1277&lt;&gt;1),X1277,"")</x:f>
        <x:v>40</x:v>
      </x:c>
      <x:c r="V1277" s="10" t="n">
        <x:v>0</x:v>
      </x:c>
      <x:c r="W1277" s="10" t="n">
        <x:v>91</x:v>
      </x:c>
      <x:c r="X1277" s="10" t="n">
        <x:v>40</x:v>
      </x:c>
      <x:c r="Y1277" s="3" t="n">
        <x:v>0</x:v>
      </x:c>
      <x:c r="Z1277" s="3" t="str">
        <x:v>共同</x:v>
      </x:c>
      <x:c r="AA1277" s="3" t="str">
        <x:v>在售</x:v>
      </x:c>
      <x:c r="AB1277" s="12" t="n">
        <x:f>IF(AND(Z1277="共同",ISNUMBER(G1277),ISNUMBER(AD1277)),G1277-AD1277,"")</x:f>
        <x:v>-0.46428571428571397</x:v>
      </x:c>
      <x:c r="AC1277" s="3" t="str"/>
      <x:c r="AD1277" s="12" t="n">
        <x:v>3.2247619047619045</x:v>
      </x:c>
      <x:c r="AE1277" s="3" t="str">
        <x:v>[6574,"S02-LP-39"]</x:v>
      </x:c>
      <x:c r="AF1277" t="n">
        <x:f>IF(ISNUMBER(H1277),1,0)</x:f>
        <x:v>1</x:v>
      </x:c>
      <x:c r="AG1277" t="n">
        <x:f>IF(ISNUMBER(I1277),1,0)</x:f>
        <x:v>1</x:v>
      </x:c>
      <x:c r="AH1277" t="str">
        <x:v>["S02","S02-LP","LP","豹纹"]</x:v>
      </x:c>
      <x:c r="AI1277" t="n">
        <x:f>IF(ISNUMBER(G1277),1,0)</x:f>
        <x:v>1</x:v>
      </x:c>
      <x:c r="AJ1277" t="n">
        <x:f>IF(ISNUMBER(AD1277),1,0)</x:f>
        <x:v>1</x:v>
      </x:c>
    </x:row>
    <x:row r="1278" ht="30" customHeight="1">
      <x:c r="A1278" s="3" t="str">
        <x:v>S02-LP-40</x:v>
      </x:c>
      <x:c r="B1278" s="3" t="str">
        <x:v>3店-SANDIEX-US</x:v>
      </x:c>
      <x:c r="C1278" s="3" t="str">
        <x:v>陈晨</x:v>
      </x:c>
      <x:c r="D1278" s="3" t="str">
        <x:v>S02</x:v>
      </x:c>
      <x:c r="E1278" s="3" t="str">
        <x:f>IF(Z1278="移出","已移出",IF(NOT(ISNUMBER(H1278)),"数据待核",IF(H1278=0,"断货",IF(NOT(ISNUMBER(G1278)),"数据待核",IF(G1278=0,"零日销待复核",IF(F1278&lt;60,"补货提醒",IF(F1278&lt;=90,"正常库存",IF(F1278&lt;180,"促销",IF(F1278&lt;=365,"红线促销","考虑清仓")))))))))</x:f>
        <x:v>补货提醒</x:v>
      </x:c>
      <x:c r="F1278" s="11" t="n">
        <x:f>IF(AND(ISNUMBER(H1278),ISNUMBER(G1278),G1278&gt;0),H1278/G1278,"")</x:f>
        <x:v>8.178694158075603</x:v>
      </x:c>
      <x:c r="G1278" s="12" t="n">
        <x:f>IF(AND(COUNT(P1278:R1278)=3,MIN(P1278:R1278)&gt;=0,P1278&lt;=Q1278,Q1278&lt;=R1278),P1278/7*0.5+Q1278/14*0.3+R1278/30*0.2,"")</x:f>
        <x:v>2.0785714285714283</x:v>
      </x:c>
      <x:c r="H1278" s="10" t="n">
        <x:f>IF(ISNUMBER(U1278),U1278,"")</x:f>
        <x:v>17</x:v>
      </x:c>
      <x:c r="I1278" s="10" t="n">
        <x:v>32</x:v>
      </x:c>
      <x:c r="J1278" s="11" t="n">
        <x:f>IF(AND(Z1278="共同",ISNUMBER(F1278),ISNUMBER(M1278)),F1278-M1278,"")</x:f>
        <x:v>-1.851156588193053</x:v>
      </x:c>
      <x:c r="K1278" s="13" t="n">
        <x:f>IF(AND(ISNUMBER(J1278),M1278&lt;&gt;0),J1278/M1278,"")</x:f>
        <x:v>-0.18456471935853358</x:v>
      </x:c>
      <x:c r="L1278" s="10" t="str">
        <x:v>补货提醒</x:v>
      </x:c>
      <x:c r="M1278" s="11" t="n">
        <x:v>10.029850746268655</x:v>
      </x:c>
      <x:c r="N1278" s="10" t="n">
        <x:f>IF(AND(Z1278="共同",COUNT(H1278:I1278)=2),H1278-I1278,"")</x:f>
        <x:v>-15</x:v>
      </x:c>
      <x:c r="O1278" s="10" t="n">
        <x:v>80</x:v>
      </x:c>
      <x:c r="P1278" s="10" t="n">
        <x:v>14</x:v>
      </x:c>
      <x:c r="Q1278" s="10" t="n">
        <x:v>27</x:v>
      </x:c>
      <x:c r="R1278" s="10" t="n">
        <x:v>75</x:v>
      </x:c>
      <x:c r="S1278" s="10" t="n">
        <x:v>29</x:v>
      </x:c>
      <x:c r="T1278" s="10" t="n">
        <x:v>1</x:v>
      </x:c>
      <x:c r="U1278" s="10" t="n">
        <x:f>IF(AND(ISNUMBER(X1278),X1278&gt;=0,Y1278&lt;&gt;1),X1278,"")</x:f>
        <x:v>17</x:v>
      </x:c>
      <x:c r="V1278" s="10" t="n">
        <x:v>0</x:v>
      </x:c>
      <x:c r="W1278" s="10" t="n">
        <x:v>111</x:v>
      </x:c>
      <x:c r="X1278" s="10" t="n">
        <x:v>17</x:v>
      </x:c>
      <x:c r="Y1278" s="3" t="n">
        <x:v>0</x:v>
      </x:c>
      <x:c r="Z1278" s="3" t="str">
        <x:v>共同</x:v>
      </x:c>
      <x:c r="AA1278" s="3" t="str">
        <x:v>在售</x:v>
      </x:c>
      <x:c r="AB1278" s="12" t="n">
        <x:f>IF(AND(Z1278="共同",ISNUMBER(G1278),ISNUMBER(AD1278)),G1278-AD1278,"")</x:f>
        <x:v>-1.1119047619047624</x:v>
      </x:c>
      <x:c r="AC1278" s="3" t="str"/>
      <x:c r="AD1278" s="12" t="n">
        <x:v>3.1904761904761907</x:v>
      </x:c>
      <x:c r="AE1278" s="3" t="str">
        <x:v>[6574,"S02-LP-40"]</x:v>
      </x:c>
      <x:c r="AF1278" t="n">
        <x:f>IF(ISNUMBER(H1278),1,0)</x:f>
        <x:v>1</x:v>
      </x:c>
      <x:c r="AG1278" t="n">
        <x:f>IF(ISNUMBER(I1278),1,0)</x:f>
        <x:v>1</x:v>
      </x:c>
      <x:c r="AH1278" t="str">
        <x:v>["S02","S02-LP","LP","豹纹"]</x:v>
      </x:c>
      <x:c r="AI1278" t="n">
        <x:f>IF(ISNUMBER(G1278),1,0)</x:f>
        <x:v>1</x:v>
      </x:c>
      <x:c r="AJ1278" t="n">
        <x:f>IF(ISNUMBER(AD1278),1,0)</x:f>
        <x:v>1</x:v>
      </x:c>
    </x:row>
    <x:row r="1279" ht="30" customHeight="1">
      <x:c r="A1279" s="3" t="str">
        <x:v>S02-LP-41</x:v>
      </x:c>
      <x:c r="B1279" s="3" t="str">
        <x:v>3店-SANDIEX-US</x:v>
      </x:c>
      <x:c r="C1279" s="3" t="str">
        <x:v>陈晨</x:v>
      </x:c>
      <x:c r="D1279" s="3" t="str">
        <x:v>S02</x:v>
      </x:c>
      <x:c r="E1279" s="3" t="str">
        <x:f>IF(Z1279="移出","已移出",IF(NOT(ISNUMBER(H1279)),"数据待核",IF(H1279=0,"断货",IF(NOT(ISNUMBER(G1279)),"数据待核",IF(G1279=0,"零日销待复核",IF(F1279&lt;60,"补货提醒",IF(F1279&lt;=90,"正常库存",IF(F1279&lt;180,"促销",IF(F1279&lt;=365,"红线促销","考虑清仓")))))))))</x:f>
        <x:v>补货提醒</x:v>
      </x:c>
      <x:c r="F1279" s="11" t="n">
        <x:f>IF(AND(ISNUMBER(H1279),ISNUMBER(G1279),G1279&gt;0),H1279/G1279,"")</x:f>
        <x:v>11.51412905946858</x:v>
      </x:c>
      <x:c r="G1279" s="12" t="n">
        <x:f>IF(AND(COUNT(P1279:R1279)=3,MIN(P1279:R1279)&gt;=0,P1279&lt;=Q1279,Q1279&lt;=R1279),P1279/7*0.5+Q1279/14*0.3+R1279/30*0.2,"")</x:f>
        <x:v>1.1290476190476189</x:v>
      </x:c>
      <x:c r="H1279" s="10" t="n">
        <x:f>IF(ISNUMBER(U1279),U1279,"")</x:f>
        <x:v>13</x:v>
      </x:c>
      <x:c r="I1279" s="10" t="n">
        <x:v>22</x:v>
      </x:c>
      <x:c r="J1279" s="11" t="n">
        <x:f>IF(AND(Z1279="共同",ISNUMBER(F1279),ISNUMBER(M1279)),F1279-M1279,"")</x:f>
        <x:v>-3.5494509861786305</x:v>
      </x:c>
      <x:c r="K1279" s="13" t="n">
        <x:f>IF(AND(ISNUMBER(J1279),M1279&lt;&gt;0),J1279/M1279,"")</x:f>
        <x:v>-0.2356313024807329</x:v>
      </x:c>
      <x:c r="L1279" s="10" t="str">
        <x:v>补货提醒</x:v>
      </x:c>
      <x:c r="M1279" s="11" t="n">
        <x:v>15.06358004564721</x:v>
      </x:c>
      <x:c r="N1279" s="10" t="n">
        <x:f>IF(AND(Z1279="共同",COUNT(H1279:I1279)=2),H1279-I1279,"")</x:f>
        <x:v>-9</x:v>
      </x:c>
      <x:c r="O1279" s="10" t="n">
        <x:v>120</x:v>
      </x:c>
      <x:c r="P1279" s="10" t="n">
        <x:v>6</x:v>
      </x:c>
      <x:c r="Q1279" s="10" t="n">
        <x:v>19</x:v>
      </x:c>
      <x:c r="R1279" s="10" t="n">
        <x:v>44</x:v>
      </x:c>
      <x:c r="S1279" s="10" t="n">
        <x:v>25</x:v>
      </x:c>
      <x:c r="T1279" s="10" t="n">
        <x:v>0</x:v>
      </x:c>
      <x:c r="U1279" s="10" t="n">
        <x:f>IF(AND(ISNUMBER(X1279),X1279&gt;=0,Y1279&lt;&gt;1),X1279,"")</x:f>
        <x:v>13</x:v>
      </x:c>
      <x:c r="V1279" s="10" t="n">
        <x:v>0</x:v>
      </x:c>
      <x:c r="W1279" s="10" t="n">
        <x:v>76</x:v>
      </x:c>
      <x:c r="X1279" s="10" t="n">
        <x:v>13</x:v>
      </x:c>
      <x:c r="Y1279" s="3" t="n">
        <x:v>0</x:v>
      </x:c>
      <x:c r="Z1279" s="3" t="str">
        <x:v>共同</x:v>
      </x:c>
      <x:c r="AA1279" s="3" t="str">
        <x:v>在售</x:v>
      </x:c>
      <x:c r="AB1279" s="12" t="n">
        <x:f>IF(AND(Z1279="共同",ISNUMBER(G1279),ISNUMBER(AD1279)),G1279-AD1279,"")</x:f>
        <x:v>-0.33142857142857185</x:v>
      </x:c>
      <x:c r="AC1279" s="3" t="str"/>
      <x:c r="AD1279" s="12" t="n">
        <x:v>1.4604761904761907</x:v>
      </x:c>
      <x:c r="AE1279" s="3" t="str">
        <x:v>[6574,"S02-LP-41"]</x:v>
      </x:c>
      <x:c r="AF1279" t="n">
        <x:f>IF(ISNUMBER(H1279),1,0)</x:f>
        <x:v>1</x:v>
      </x:c>
      <x:c r="AG1279" t="n">
        <x:f>IF(ISNUMBER(I1279),1,0)</x:f>
        <x:v>1</x:v>
      </x:c>
      <x:c r="AH1279" t="str">
        <x:v>["S02","S02-LP","LP","豹纹"]</x:v>
      </x:c>
      <x:c r="AI1279" t="n">
        <x:f>IF(ISNUMBER(G1279),1,0)</x:f>
        <x:v>1</x:v>
      </x:c>
      <x:c r="AJ1279" t="n">
        <x:f>IF(ISNUMBER(AD1279),1,0)</x:f>
        <x:v>1</x:v>
      </x:c>
    </x:row>
    <x:row r="1280" ht="30" customHeight="1">
      <x:c r="A1280" s="3" t="str">
        <x:v>S02-TN-39</x:v>
      </x:c>
      <x:c r="B1280" s="3" t="str">
        <x:v>3店-SANDIEX-US</x:v>
      </x:c>
      <x:c r="C1280" s="3" t="str">
        <x:v>陈晨</x:v>
      </x:c>
      <x:c r="D1280" s="3" t="str">
        <x:v>S02</x:v>
      </x:c>
      <x:c r="E1280" s="3" t="str">
        <x:f>IF(Z1280="移出","已移出",IF(NOT(ISNUMBER(H1280)),"数据待核",IF(H1280=0,"断货",IF(NOT(ISNUMBER(G1280)),"数据待核",IF(G1280=0,"零日销待复核",IF(F1280&lt;60,"补货提醒",IF(F1280&lt;=90,"正常库存",IF(F1280&lt;180,"促销",IF(F1280&lt;=365,"红线促销","考虑清仓")))))))))</x:f>
        <x:v>补货提醒</x:v>
      </x:c>
      <x:c r="F1280" s="11" t="n">
        <x:f>IF(AND(ISNUMBER(H1280),ISNUMBER(G1280),G1280&gt;0),H1280/G1280,"")</x:f>
        <x:v>17.796610169491526</x:v>
      </x:c>
      <x:c r="G1280" s="12" t="n">
        <x:f>IF(AND(COUNT(P1280:R1280)=3,MIN(P1280:R1280)&gt;=0,P1280&lt;=Q1280,Q1280&lt;=R1280),P1280/7*0.5+Q1280/14*0.3+R1280/30*0.2,"")</x:f>
        <x:v>1.0114285714285713</x:v>
      </x:c>
      <x:c r="H1280" s="10" t="n">
        <x:f>IF(ISNUMBER(U1280),U1280,"")</x:f>
        <x:v>18</x:v>
      </x:c>
      <x:c r="I1280" s="10" t="n">
        <x:v>25</x:v>
      </x:c>
      <x:c r="J1280" s="11" t="n">
        <x:f>IF(AND(Z1280="共同",ISNUMBER(F1280),ISNUMBER(M1280)),F1280-M1280,"")</x:f>
        <x:v>-1.294298921417564</x:v>
      </x:c>
      <x:c r="K1280" s="13" t="n">
        <x:f>IF(AND(ISNUMBER(J1280),M1280&lt;&gt;0),J1280/M1280,"")</x:f>
        <x:v>-0.06779661016949146</x:v>
      </x:c>
      <x:c r="L1280" s="10" t="str">
        <x:v>补货提醒</x:v>
      </x:c>
      <x:c r="M1280" s="11" t="n">
        <x:v>19.09090909090909</x:v>
      </x:c>
      <x:c r="N1280" s="10" t="n">
        <x:f>IF(AND(Z1280="共同",COUNT(H1280:I1280)=2),H1280-I1280,"")</x:f>
        <x:v>-7</x:v>
      </x:c>
      <x:c r="O1280" s="10" t="n">
        <x:v>55</x:v>
      </x:c>
      <x:c r="P1280" s="10" t="n">
        <x:v>6</x:v>
      </x:c>
      <x:c r="Q1280" s="10" t="n">
        <x:v>16</x:v>
      </x:c>
      <x:c r="R1280" s="10" t="n">
        <x:v>36</x:v>
      </x:c>
      <x:c r="S1280" s="10" t="n">
        <x:v>21</x:v>
      </x:c>
      <x:c r="T1280" s="10" t="n">
        <x:v>0</x:v>
      </x:c>
      <x:c r="U1280" s="10" t="n">
        <x:f>IF(AND(ISNUMBER(X1280),X1280&gt;=0,Y1280&lt;&gt;1),X1280,"")</x:f>
        <x:v>18</x:v>
      </x:c>
      <x:c r="V1280" s="10" t="n">
        <x:v>0</x:v>
      </x:c>
      <x:c r="W1280" s="10" t="n">
        <x:v>0</x:v>
      </x:c>
      <x:c r="X1280" s="10" t="n">
        <x:v>18</x:v>
      </x:c>
      <x:c r="Y1280" s="3" t="n">
        <x:v>0</x:v>
      </x:c>
      <x:c r="Z1280" s="3" t="str">
        <x:v>共同</x:v>
      </x:c>
      <x:c r="AA1280" s="3" t="str">
        <x:v>在售</x:v>
      </x:c>
      <x:c r="AB1280" s="12" t="n">
        <x:f>IF(AND(Z1280="共同",ISNUMBER(G1280),ISNUMBER(AD1280)),G1280-AD1280,"")</x:f>
        <x:v>-0.2980952380952382</x:v>
      </x:c>
      <x:c r="AC1280" s="3" t="str"/>
      <x:c r="AD1280" s="12" t="n">
        <x:v>1.3095238095238095</x:v>
      </x:c>
      <x:c r="AE1280" s="3" t="str">
        <x:v>[6574,"S02-TN-39"]</x:v>
      </x:c>
      <x:c r="AF1280" t="n">
        <x:f>IF(ISNUMBER(H1280),1,0)</x:f>
        <x:v>1</x:v>
      </x:c>
      <x:c r="AG1280" t="n">
        <x:f>IF(ISNUMBER(I1280),1,0)</x:f>
        <x:v>1</x:v>
      </x:c>
      <x:c r="AH1280" t="str">
        <x:v>["S02","S02-TN","TN","驼色"]</x:v>
      </x:c>
      <x:c r="AI1280" t="n">
        <x:f>IF(ISNUMBER(G1280),1,0)</x:f>
        <x:v>1</x:v>
      </x:c>
      <x:c r="AJ1280" t="n">
        <x:f>IF(ISNUMBER(AD1280),1,0)</x:f>
        <x:v>1</x:v>
      </x:c>
    </x:row>
    <x:row r="1281" ht="30" customHeight="1">
      <x:c r="A1281" s="3" t="str">
        <x:v>S02-TN1-37</x:v>
      </x:c>
      <x:c r="B1281" s="3" t="str">
        <x:v>3店-SANDIEX-US</x:v>
      </x:c>
      <x:c r="C1281" s="3" t="str">
        <x:v>陈晨</x:v>
      </x:c>
      <x:c r="D1281" s="3" t="str">
        <x:v>S02</x:v>
      </x:c>
      <x:c r="E1281" s="3" t="str">
        <x:f>IF(Z1281="移出","已移出",IF(NOT(ISNUMBER(H1281)),"数据待核",IF(H1281=0,"断货",IF(NOT(ISNUMBER(G1281)),"数据待核",IF(G1281=0,"零日销待复核",IF(F1281&lt;60,"补货提醒",IF(F1281&lt;=90,"正常库存",IF(F1281&lt;180,"促销",IF(F1281&lt;=365,"红线促销","考虑清仓")))))))))</x:f>
        <x:v>补货提醒</x:v>
      </x:c>
      <x:c r="F1281" s="11" t="n">
        <x:f>IF(AND(ISNUMBER(H1281),ISNUMBER(G1281),G1281&gt;0),H1281/G1281,"")</x:f>
        <x:v>20.09569377990431</x:v>
      </x:c>
      <x:c r="G1281" s="12" t="n">
        <x:f>IF(AND(COUNT(P1281:R1281)=3,MIN(P1281:R1281)&gt;=0,P1281&lt;=Q1281,Q1281&lt;=R1281),P1281/7*0.5+Q1281/14*0.3+R1281/30*0.2,"")</x:f>
        <x:v>0.09952380952380951</x:v>
      </x:c>
      <x:c r="H1281" s="10" t="n">
        <x:f>IF(ISNUMBER(U1281),U1281,"")</x:f>
        <x:v>2</x:v>
      </x:c>
      <x:c r="I1281" s="10" t="n">
        <x:v>3</x:v>
      </x:c>
      <x:c r="J1281" s="11" t="n">
        <x:f>IF(AND(Z1281="共同",ISNUMBER(F1281),ISNUMBER(M1281)),F1281-M1281,"")</x:f>
        <x:v>-129.9043062200957</x:v>
      </x:c>
      <x:c r="K1281" s="13" t="n">
        <x:f>IF(AND(ISNUMBER(J1281),M1281&lt;&gt;0),J1281/M1281,"")</x:f>
        <x:v>-0.8660287081339713</x:v>
      </x:c>
      <x:c r="L1281" s="10" t="str">
        <x:v>促销</x:v>
      </x:c>
      <x:c r="M1281" s="11" t="n">
        <x:v>150</x:v>
      </x:c>
      <x:c r="N1281" s="10" t="n">
        <x:f>IF(AND(Z1281="共同",COUNT(H1281:I1281)=2),H1281-I1281,"")</x:f>
        <x:v>-1</x:v>
      </x:c>
      <x:c r="O1281" s="10" t="n">
        <x:v>2</x:v>
      </x:c>
      <x:c r="P1281" s="10" t="n">
        <x:v>1</x:v>
      </x:c>
      <x:c r="Q1281" s="10" t="n">
        <x:v>1</x:v>
      </x:c>
      <x:c r="R1281" s="10" t="n">
        <x:v>1</x:v>
      </x:c>
      <x:c r="S1281" s="10" t="n">
        <x:v>2</x:v>
      </x:c>
      <x:c r="T1281" s="10" t="n">
        <x:v>0</x:v>
      </x:c>
      <x:c r="U1281" s="10" t="n">
        <x:f>IF(AND(ISNUMBER(X1281),X1281&gt;=0,Y1281&lt;&gt;1),X1281,"")</x:f>
        <x:v>2</x:v>
      </x:c>
      <x:c r="V1281" s="10" t="n">
        <x:v>0</x:v>
      </x:c>
      <x:c r="W1281" s="10" t="n">
        <x:v>0</x:v>
      </x:c>
      <x:c r="X1281" s="10" t="n">
        <x:v>2</x:v>
      </x:c>
      <x:c r="Y1281" s="3" t="n">
        <x:v>0</x:v>
      </x:c>
      <x:c r="Z1281" s="3" t="str">
        <x:v>共同</x:v>
      </x:c>
      <x:c r="AA1281" s="3" t="str">
        <x:v>在售</x:v>
      </x:c>
      <x:c r="AB1281" s="12" t="n">
        <x:f>IF(AND(Z1281="共同",ISNUMBER(G1281),ISNUMBER(AD1281)),G1281-AD1281,"")</x:f>
        <x:v>0.07952380952380951</x:v>
      </x:c>
      <x:c r="AC1281" s="3" t="str"/>
      <x:c r="AD1281" s="12" t="n">
        <x:v>0.02</x:v>
      </x:c>
      <x:c r="AE1281" s="3" t="str">
        <x:v>[6574,"S02-TN1-37"]</x:v>
      </x:c>
      <x:c r="AF1281" t="n">
        <x:f>IF(ISNUMBER(H1281),1,0)</x:f>
        <x:v>1</x:v>
      </x:c>
      <x:c r="AG1281" t="n">
        <x:f>IF(ISNUMBER(I1281),1,0)</x:f>
        <x:v>1</x:v>
      </x:c>
      <x:c r="AH1281" t="str">
        <x:v>["S02","S02-TN1","TN1","驼色"]</x:v>
      </x:c>
      <x:c r="AI1281" t="n">
        <x:f>IF(ISNUMBER(G1281),1,0)</x:f>
        <x:v>1</x:v>
      </x:c>
      <x:c r="AJ1281" t="n">
        <x:f>IF(ISNUMBER(AD1281),1,0)</x:f>
        <x:v>1</x:v>
      </x:c>
    </x:row>
    <x:row r="1282" ht="30" customHeight="1">
      <x:c r="A1282" s="3" t="str">
        <x:v>S02-TN1-41</x:v>
      </x:c>
      <x:c r="B1282" s="3" t="str">
        <x:v>3店-SANDIEX-US</x:v>
      </x:c>
      <x:c r="C1282" s="3" t="str">
        <x:v>陈晨</x:v>
      </x:c>
      <x:c r="D1282" s="3" t="str">
        <x:v>S02</x:v>
      </x:c>
      <x:c r="E1282" s="3" t="str">
        <x:f>IF(Z1282="移出","已移出",IF(NOT(ISNUMBER(H1282)),"数据待核",IF(H1282=0,"断货",IF(NOT(ISNUMBER(G1282)),"数据待核",IF(G1282=0,"零日销待复核",IF(F1282&lt;60,"补货提醒",IF(F1282&lt;=90,"正常库存",IF(F1282&lt;180,"促销",IF(F1282&lt;=365,"红线促销","考虑清仓")))))))))</x:f>
        <x:v>补货提醒</x:v>
      </x:c>
      <x:c r="F1282" s="11" t="n">
        <x:f>IF(AND(ISNUMBER(H1282),ISNUMBER(G1282),G1282&gt;0),H1282/G1282,"")</x:f>
        <x:v>4.1916167664670665</x:v>
      </x:c>
      <x:c r="G1282" s="12" t="n">
        <x:f>IF(AND(COUNT(P1282:R1282)=3,MIN(P1282:R1282)&gt;=0,P1282&lt;=Q1282,Q1282&lt;=R1282),P1282/7*0.5+Q1282/14*0.3+R1282/30*0.2,"")</x:f>
        <x:v>0.23857142857142855</x:v>
      </x:c>
      <x:c r="H1282" s="10" t="n">
        <x:f>IF(ISNUMBER(U1282),U1282,"")</x:f>
        <x:v>1</x:v>
      </x:c>
      <x:c r="I1282" s="10" t="n">
        <x:v>6</x:v>
      </x:c>
      <x:c r="J1282" s="11" t="n">
        <x:f>IF(AND(Z1282="共同",ISNUMBER(F1282),ISNUMBER(M1282)),F1282-M1282,"")</x:f>
        <x:v>-15.465169504983795</x:v>
      </x:c>
      <x:c r="K1282" s="13" t="n">
        <x:f>IF(AND(ISNUMBER(J1282),M1282&lt;&gt;0),J1282/M1282,"")</x:f>
        <x:v>-0.7867598137059214</x:v>
      </x:c>
      <x:c r="L1282" s="10" t="str">
        <x:v>补货提醒</x:v>
      </x:c>
      <x:c r="M1282" s="11" t="n">
        <x:v>19.656786271450862</x:v>
      </x:c>
      <x:c r="N1282" s="10" t="n">
        <x:f>IF(AND(Z1282="共同",COUNT(H1282:I1282)=2),H1282-I1282,"")</x:f>
        <x:v>-5</x:v>
      </x:c>
      <x:c r="O1282" s="10" t="n">
        <x:v>0</x:v>
      </x:c>
      <x:c r="P1282" s="10" t="n">
        <x:v>1</x:v>
      </x:c>
      <x:c r="Q1282" s="10" t="n">
        <x:v>5</x:v>
      </x:c>
      <x:c r="R1282" s="10" t="n">
        <x:v>9</x:v>
      </x:c>
      <x:c r="S1282" s="10" t="n">
        <x:v>3</x:v>
      </x:c>
      <x:c r="T1282" s="10" t="n">
        <x:v>0</x:v>
      </x:c>
      <x:c r="U1282" s="10" t="n">
        <x:f>IF(AND(ISNUMBER(X1282),X1282&gt;=0,Y1282&lt;&gt;1),X1282,"")</x:f>
        <x:v>1</x:v>
      </x:c>
      <x:c r="V1282" s="10" t="n">
        <x:v>0</x:v>
      </x:c>
      <x:c r="W1282" s="10" t="n">
        <x:v>0</x:v>
      </x:c>
      <x:c r="X1282" s="10" t="n">
        <x:v>1</x:v>
      </x:c>
      <x:c r="Y1282" s="3" t="n">
        <x:v>0</x:v>
      </x:c>
      <x:c r="Z1282" s="3" t="str">
        <x:v>共同</x:v>
      </x:c>
      <x:c r="AA1282" s="3" t="str">
        <x:v>在售</x:v>
      </x:c>
      <x:c r="AB1282" s="12" t="n">
        <x:f>IF(AND(Z1282="共同",ISNUMBER(G1282),ISNUMBER(AD1282)),G1282-AD1282,"")</x:f>
        <x:v>-0.06666666666666665</x:v>
      </x:c>
      <x:c r="AC1282" s="3" t="str"/>
      <x:c r="AD1282" s="12" t="n">
        <x:v>0.3052380952380952</x:v>
      </x:c>
      <x:c r="AE1282" s="3" t="str">
        <x:v>[6574,"S02-TN1-41"]</x:v>
      </x:c>
      <x:c r="AF1282" t="n">
        <x:f>IF(ISNUMBER(H1282),1,0)</x:f>
        <x:v>1</x:v>
      </x:c>
      <x:c r="AG1282" t="n">
        <x:f>IF(ISNUMBER(I1282),1,0)</x:f>
        <x:v>1</x:v>
      </x:c>
      <x:c r="AH1282" t="str">
        <x:v>["S02","S02-TN1","TN1","驼色"]</x:v>
      </x:c>
      <x:c r="AI1282" t="n">
        <x:f>IF(ISNUMBER(G1282),1,0)</x:f>
        <x:v>1</x:v>
      </x:c>
      <x:c r="AJ1282" t="n">
        <x:f>IF(ISNUMBER(AD1282),1,0)</x:f>
        <x:v>1</x:v>
      </x:c>
    </x:row>
    <x:row r="1283" ht="30" customHeight="1">
      <x:c r="A1283" s="3" t="str">
        <x:v>S02-TNP-38</x:v>
      </x:c>
      <x:c r="B1283" s="3" t="str">
        <x:v>3店-SANDIEX-US</x:v>
      </x:c>
      <x:c r="C1283" s="3" t="str">
        <x:v>陈晨</x:v>
      </x:c>
      <x:c r="D1283" s="3" t="str">
        <x:v>S02</x:v>
      </x:c>
      <x:c r="E1283" s="3" t="str">
        <x:f>IF(Z1283="移出","已移出",IF(NOT(ISNUMBER(H1283)),"数据待核",IF(H1283=0,"断货",IF(NOT(ISNUMBER(G1283)),"数据待核",IF(G1283=0,"零日销待复核",IF(F1283&lt;60,"补货提醒",IF(F1283&lt;=90,"正常库存",IF(F1283&lt;180,"促销",IF(F1283&lt;=365,"红线促销","考虑清仓")))))))))</x:f>
        <x:v>补货提醒</x:v>
      </x:c>
      <x:c r="F1283" s="11" t="n">
        <x:f>IF(AND(ISNUMBER(H1283),ISNUMBER(G1283),G1283&gt;0),H1283/G1283,"")</x:f>
        <x:v>53.98457583547558</x:v>
      </x:c>
      <x:c r="G1283" s="12" t="n">
        <x:f>IF(AND(COUNT(P1283:R1283)=3,MIN(P1283:R1283)&gt;=0,P1283&lt;=Q1283,Q1283&lt;=R1283),P1283/7*0.5+Q1283/14*0.3+R1283/30*0.2,"")</x:f>
        <x:v>0.5557142857142857</x:v>
      </x:c>
      <x:c r="H1283" s="10" t="n">
        <x:f>IF(ISNUMBER(U1283),U1283,"")</x:f>
        <x:v>30</x:v>
      </x:c>
      <x:c r="I1283" s="10" t="n">
        <x:v>36</x:v>
      </x:c>
      <x:c r="J1283" s="11" t="n">
        <x:f>IF(AND(Z1283="共同",ISNUMBER(F1283),ISNUMBER(M1283)),F1283-M1283,"")</x:f>
        <x:v>10.561255904401492</x:v>
      </x:c>
      <x:c r="K1283" s="13" t="n">
        <x:f>IF(AND(ISNUMBER(J1283),M1283&lt;&gt;0),J1283/M1283,"")</x:f>
        <x:v>0.2432162239360185</x:v>
      </x:c>
      <x:c r="L1283" s="10" t="str">
        <x:v>补货提醒</x:v>
      </x:c>
      <x:c r="M1283" s="11" t="n">
        <x:v>43.42331993107409</x:v>
      </x:c>
      <x:c r="N1283" s="10" t="n">
        <x:f>IF(AND(Z1283="共同",COUNT(H1283:I1283)=2),H1283-I1283,"")</x:f>
        <x:v>-6</x:v>
      </x:c>
      <x:c r="O1283" s="10" t="n">
        <x:v>0</x:v>
      </x:c>
      <x:c r="P1283" s="10" t="n">
        <x:v>4</x:v>
      </x:c>
      <x:c r="Q1283" s="10" t="n">
        <x:v>7</x:v>
      </x:c>
      <x:c r="R1283" s="10" t="n">
        <x:v>18</x:v>
      </x:c>
      <x:c r="S1283" s="10" t="n">
        <x:v>31</x:v>
      </x:c>
      <x:c r="T1283" s="10" t="n">
        <x:v>0</x:v>
      </x:c>
      <x:c r="U1283" s="10" t="n">
        <x:f>IF(AND(ISNUMBER(X1283),X1283&gt;=0,Y1283&lt;&gt;1),X1283,"")</x:f>
        <x:v>30</x:v>
      </x:c>
      <x:c r="V1283" s="10" t="n">
        <x:v>0</x:v>
      </x:c>
      <x:c r="W1283" s="10" t="n">
        <x:v>0</x:v>
      </x:c>
      <x:c r="X1283" s="10" t="n">
        <x:v>30</x:v>
      </x:c>
      <x:c r="Y1283" s="3" t="n">
        <x:v>0</x:v>
      </x:c>
      <x:c r="Z1283" s="3" t="str">
        <x:v>共同</x:v>
      </x:c>
      <x:c r="AA1283" s="3" t="str">
        <x:v>在售</x:v>
      </x:c>
      <x:c r="AB1283" s="12" t="n">
        <x:f>IF(AND(Z1283="共同",ISNUMBER(G1283),ISNUMBER(AD1283)),G1283-AD1283,"")</x:f>
        <x:v>-0.27333333333333343</x:v>
      </x:c>
      <x:c r="AC1283" s="3" t="str"/>
      <x:c r="AD1283" s="12" t="n">
        <x:v>0.8290476190476191</x:v>
      </x:c>
      <x:c r="AE1283" s="3" t="str">
        <x:v>[6574,"S02-TNP-38"]</x:v>
      </x:c>
      <x:c r="AF1283" t="n">
        <x:f>IF(ISNUMBER(H1283),1,0)</x:f>
        <x:v>1</x:v>
      </x:c>
      <x:c r="AG1283" t="n">
        <x:f>IF(ISNUMBER(I1283),1,0)</x:f>
        <x:v>1</x:v>
      </x:c>
      <x:c r="AH1283" t="str">
        <x:v>["S02","S02-TNP","TNP","驼色PU"]</x:v>
      </x:c>
      <x:c r="AI1283" t="n">
        <x:f>IF(ISNUMBER(G1283),1,0)</x:f>
        <x:v>1</x:v>
      </x:c>
      <x:c r="AJ1283" t="n">
        <x:f>IF(ISNUMBER(AD1283),1,0)</x:f>
        <x:v>1</x:v>
      </x:c>
    </x:row>
    <x:row r="1284" ht="30" customHeight="1">
      <x:c r="A1284" s="3" t="str">
        <x:v>S02-TNP-39</x:v>
      </x:c>
      <x:c r="B1284" s="3" t="str">
        <x:v>3店-SANDIEX-US</x:v>
      </x:c>
      <x:c r="C1284" s="3" t="str">
        <x:v>陈晨</x:v>
      </x:c>
      <x:c r="D1284" s="3" t="str">
        <x:v>S02</x:v>
      </x:c>
      <x:c r="E1284" s="3" t="str">
        <x:f>IF(Z1284="移出","已移出",IF(NOT(ISNUMBER(H1284)),"数据待核",IF(H1284=0,"断货",IF(NOT(ISNUMBER(G1284)),"数据待核",IF(G1284=0,"零日销待复核",IF(F1284&lt;60,"补货提醒",IF(F1284&lt;=90,"正常库存",IF(F1284&lt;180,"促销",IF(F1284&lt;=365,"红线促销","考虑清仓")))))))))</x:f>
        <x:v>补货提醒</x:v>
      </x:c>
      <x:c r="F1284" s="11" t="n">
        <x:f>IF(AND(ISNUMBER(H1284),ISNUMBER(G1284),G1284&gt;0),H1284/G1284,"")</x:f>
        <x:v>29.37823834196891</x:v>
      </x:c>
      <x:c r="G1284" s="12" t="n">
        <x:f>IF(AND(COUNT(P1284:R1284)=3,MIN(P1284:R1284)&gt;=0,P1284&lt;=Q1284,Q1284&lt;=R1284),P1284/7*0.5+Q1284/14*0.3+R1284/30*0.2,"")</x:f>
        <x:v>0.9190476190476191</x:v>
      </x:c>
      <x:c r="H1284" s="10" t="n">
        <x:f>IF(ISNUMBER(U1284),U1284,"")</x:f>
        <x:v>27</x:v>
      </x:c>
      <x:c r="I1284" s="10" t="n">
        <x:v>38</x:v>
      </x:c>
      <x:c r="J1284" s="11" t="n">
        <x:f>IF(AND(Z1284="共同",ISNUMBER(F1284),ISNUMBER(M1284)),F1284-M1284,"")</x:f>
        <x:v>7.943911186449167</x:v>
      </x:c>
      <x:c r="K1284" s="13" t="n">
        <x:f>IF(AND(ISNUMBER(J1284),M1284&lt;&gt;0),J1284/M1284,"")</x:f>
        <x:v>0.3706163076083991</x:v>
      </x:c>
      <x:c r="L1284" s="10" t="str">
        <x:v>补货提醒</x:v>
      </x:c>
      <x:c r="M1284" s="11" t="n">
        <x:v>21.434327155519743</x:v>
      </x:c>
      <x:c r="N1284" s="10" t="n">
        <x:f>IF(AND(Z1284="共同",COUNT(H1284:I1284)=2),H1284-I1284,"")</x:f>
        <x:v>-11</x:v>
      </x:c>
      <x:c r="O1284" s="10" t="n">
        <x:v>0</x:v>
      </x:c>
      <x:c r="P1284" s="10" t="n">
        <x:v>6</x:v>
      </x:c>
      <x:c r="Q1284" s="10" t="n">
        <x:v>12</x:v>
      </x:c>
      <x:c r="R1284" s="10" t="n">
        <x:v>35</x:v>
      </x:c>
      <x:c r="S1284" s="10" t="n">
        <x:v>34</x:v>
      </x:c>
      <x:c r="T1284" s="10" t="n">
        <x:v>0</x:v>
      </x:c>
      <x:c r="U1284" s="10" t="n">
        <x:f>IF(AND(ISNUMBER(X1284),X1284&gt;=0,Y1284&lt;&gt;1),X1284,"")</x:f>
        <x:v>27</x:v>
      </x:c>
      <x:c r="V1284" s="10" t="n">
        <x:v>0</x:v>
      </x:c>
      <x:c r="W1284" s="10" t="n">
        <x:v>0</x:v>
      </x:c>
      <x:c r="X1284" s="10" t="n">
        <x:v>27</x:v>
      </x:c>
      <x:c r="Y1284" s="3" t="n">
        <x:v>0</x:v>
      </x:c>
      <x:c r="Z1284" s="3" t="str">
        <x:v>共同</x:v>
      </x:c>
      <x:c r="AA1284" s="3" t="str">
        <x:v>在售</x:v>
      </x:c>
      <x:c r="AB1284" s="12" t="n">
        <x:f>IF(AND(Z1284="共同",ISNUMBER(G1284),ISNUMBER(AD1284)),G1284-AD1284,"")</x:f>
        <x:v>-0.8538095238095236</x:v>
      </x:c>
      <x:c r="AC1284" s="3" t="str"/>
      <x:c r="AD1284" s="12" t="n">
        <x:v>1.7728571428571427</x:v>
      </x:c>
      <x:c r="AE1284" s="3" t="str">
        <x:v>[6574,"S02-TNP-39"]</x:v>
      </x:c>
      <x:c r="AF1284" t="n">
        <x:f>IF(ISNUMBER(H1284),1,0)</x:f>
        <x:v>1</x:v>
      </x:c>
      <x:c r="AG1284" t="n">
        <x:f>IF(ISNUMBER(I1284),1,0)</x:f>
        <x:v>1</x:v>
      </x:c>
      <x:c r="AH1284" t="str">
        <x:v>["S02","S02-TNP","TNP","驼色PU"]</x:v>
      </x:c>
      <x:c r="AI1284" t="n">
        <x:f>IF(ISNUMBER(G1284),1,0)</x:f>
        <x:v>1</x:v>
      </x:c>
      <x:c r="AJ1284" t="n">
        <x:f>IF(ISNUMBER(AD1284),1,0)</x:f>
        <x:v>1</x:v>
      </x:c>
    </x:row>
    <x:row r="1285" ht="30" customHeight="1">
      <x:c r="A1285" s="3" t="str">
        <x:v>S02-TNP1-37</x:v>
      </x:c>
      <x:c r="B1285" s="3" t="str">
        <x:v>3店-SANDIEX-US</x:v>
      </x:c>
      <x:c r="C1285" s="3" t="str">
        <x:v>陈晨</x:v>
      </x:c>
      <x:c r="D1285" s="3" t="str">
        <x:v>S02</x:v>
      </x:c>
      <x:c r="E1285" s="3" t="str">
        <x:f>IF(Z1285="移出","已移出",IF(NOT(ISNUMBER(H1285)),"数据待核",IF(H1285=0,"断货",IF(NOT(ISNUMBER(G1285)),"数据待核",IF(G1285=0,"零日销待复核",IF(F1285&lt;60,"补货提醒",IF(F1285&lt;=90,"正常库存",IF(F1285&lt;180,"促销",IF(F1285&lt;=365,"红线促销","考虑清仓")))))))))</x:f>
        <x:v>补货提醒</x:v>
      </x:c>
      <x:c r="F1285" s="11" t="n">
        <x:f>IF(AND(ISNUMBER(H1285),ISNUMBER(G1285),G1285&gt;0),H1285/G1285,"")</x:f>
        <x:v>40.697674418604656</x:v>
      </x:c>
      <x:c r="G1285" s="12" t="n">
        <x:f>IF(AND(COUNT(P1285:R1285)=3,MIN(P1285:R1285)&gt;=0,P1285&lt;=Q1285,Q1285&lt;=R1285),P1285/7*0.5+Q1285/14*0.3+R1285/30*0.2,"")</x:f>
        <x:v>0.2457142857142857</x:v>
      </x:c>
      <x:c r="H1285" s="10" t="n">
        <x:f>IF(ISNUMBER(U1285),U1285,"")</x:f>
        <x:v>10</x:v>
      </x:c>
      <x:c r="I1285" s="10" t="n">
        <x:v>12</x:v>
      </x:c>
      <x:c r="J1285" s="11" t="n">
        <x:f>IF(AND(Z1285="共同",ISNUMBER(F1285),ISNUMBER(M1285)),F1285-M1285,"")</x:f>
        <x:v>19.287309083005674</x:v>
      </x:c>
      <x:c r="K1285" s="13" t="n">
        <x:f>IF(AND(ISNUMBER(J1285),M1285&lt;&gt;0),J1285/M1285,"")</x:f>
        <x:v>0.9008397932816539</x:v>
      </x:c>
      <x:c r="L1285" s="10" t="str">
        <x:v>补货提醒</x:v>
      </x:c>
      <x:c r="M1285" s="11" t="n">
        <x:v>21.410365335598982</x:v>
      </x:c>
      <x:c r="N1285" s="10" t="n">
        <x:f>IF(AND(Z1285="共同",COUNT(H1285:I1285)=2),H1285-I1285,"")</x:f>
        <x:v>-2</x:v>
      </x:c>
      <x:c r="O1285" s="10" t="n">
        <x:v>0</x:v>
      </x:c>
      <x:c r="P1285" s="10" t="n">
        <x:v>2</x:v>
      </x:c>
      <x:c r="Q1285" s="10" t="n">
        <x:v>2</x:v>
      </x:c>
      <x:c r="R1285" s="10" t="n">
        <x:v>9</x:v>
      </x:c>
      <x:c r="S1285" s="10" t="n">
        <x:v>11</x:v>
      </x:c>
      <x:c r="T1285" s="10" t="n">
        <x:v>0</x:v>
      </x:c>
      <x:c r="U1285" s="10" t="n">
        <x:f>IF(AND(ISNUMBER(X1285),X1285&gt;=0,Y1285&lt;&gt;1),X1285,"")</x:f>
        <x:v>10</x:v>
      </x:c>
      <x:c r="V1285" s="10" t="n">
        <x:v>0</x:v>
      </x:c>
      <x:c r="W1285" s="10" t="n">
        <x:v>0</x:v>
      </x:c>
      <x:c r="X1285" s="10" t="n">
        <x:v>10</x:v>
      </x:c>
      <x:c r="Y1285" s="3" t="n">
        <x:v>0</x:v>
      </x:c>
      <x:c r="Z1285" s="3" t="str">
        <x:v>共同</x:v>
      </x:c>
      <x:c r="AA1285" s="3" t="str">
        <x:v>在售</x:v>
      </x:c>
      <x:c r="AB1285" s="12" t="n">
        <x:f>IF(AND(Z1285="共同",ISNUMBER(G1285),ISNUMBER(AD1285)),G1285-AD1285,"")</x:f>
        <x:v>-0.3147619047619048</x:v>
      </x:c>
      <x:c r="AC1285" s="3" t="str"/>
      <x:c r="AD1285" s="12" t="n">
        <x:v>0.5604761904761905</x:v>
      </x:c>
      <x:c r="AE1285" s="3" t="str">
        <x:v>[6574,"S02-TNP1-37"]</x:v>
      </x:c>
      <x:c r="AF1285" t="n">
        <x:f>IF(ISNUMBER(H1285),1,0)</x:f>
        <x:v>1</x:v>
      </x:c>
      <x:c r="AG1285" t="n">
        <x:f>IF(ISNUMBER(I1285),1,0)</x:f>
        <x:v>1</x:v>
      </x:c>
      <x:c r="AH1285" t="str">
        <x:v>["S02","S02-TNP1","TNP1","驼色PU"]</x:v>
      </x:c>
      <x:c r="AI1285" t="n">
        <x:f>IF(ISNUMBER(G1285),1,0)</x:f>
        <x:v>1</x:v>
      </x:c>
      <x:c r="AJ1285" t="n">
        <x:f>IF(ISNUMBER(AD1285),1,0)</x:f>
        <x:v>1</x:v>
      </x:c>
    </x:row>
    <x:row r="1286" ht="30" customHeight="1">
      <x:c r="A1286" s="3" t="str">
        <x:v>S02a-BKP-42</x:v>
      </x:c>
      <x:c r="B1286" s="3" t="str">
        <x:v>3店-SANDIEX-US</x:v>
      </x:c>
      <x:c r="C1286" s="3" t="str">
        <x:v>陈晨</x:v>
      </x:c>
      <x:c r="D1286" s="3" t="str">
        <x:v>S02a</x:v>
      </x:c>
      <x:c r="E1286" s="3" t="str">
        <x:f>IF(Z1286="移出","已移出",IF(NOT(ISNUMBER(H1286)),"数据待核",IF(H1286=0,"断货",IF(NOT(ISNUMBER(G1286)),"数据待核",IF(G1286=0,"零日销待复核",IF(F1286&lt;60,"补货提醒",IF(F1286&lt;=90,"正常库存",IF(F1286&lt;180,"促销",IF(F1286&lt;=365,"红线促销","考虑清仓")))))))))</x:f>
        <x:v>补货提醒</x:v>
      </x:c>
      <x:c r="F1286" s="11" t="n">
        <x:f>IF(AND(ISNUMBER(H1286),ISNUMBER(G1286),G1286&gt;0),H1286/G1286,"")</x:f>
        <x:v>33.77010125074449</x:v>
      </x:c>
      <x:c r="G1286" s="12" t="n">
        <x:f>IF(AND(COUNT(P1286:R1286)=3,MIN(P1286:R1286)&gt;=0,P1286&lt;=Q1286,Q1286&lt;=R1286),P1286/7*0.5+Q1286/14*0.3+R1286/30*0.2,"")</x:f>
        <x:v>0.7995238095238095</x:v>
      </x:c>
      <x:c r="H1286" s="10" t="n">
        <x:f>IF(ISNUMBER(U1286),U1286,"")</x:f>
        <x:v>27</x:v>
      </x:c>
      <x:c r="I1286" s="10" t="n">
        <x:v>36</x:v>
      </x:c>
      <x:c r="J1286" s="11" t="n">
        <x:f>IF(AND(Z1286="共同",ISNUMBER(F1286),ISNUMBER(M1286)),F1286-M1286,"")</x:f>
        <x:v>-52.432863401479</x:v>
      </x:c>
      <x:c r="K1286" s="13" t="n">
        <x:f>IF(AND(ISNUMBER(J1286),M1286&lt;&gt;0),J1286/M1286,"")</x:f>
        <x:v>-0.6082489577129244</x:v>
      </x:c>
      <x:c r="L1286" s="10" t="str">
        <x:v>正常库存</x:v>
      </x:c>
      <x:c r="M1286" s="11" t="n">
        <x:v>86.20296465222349</x:v>
      </x:c>
      <x:c r="N1286" s="10" t="n">
        <x:f>IF(AND(Z1286="共同",COUNT(H1286:I1286)=2),H1286-I1286,"")</x:f>
        <x:v>-9</x:v>
      </x:c>
      <x:c r="O1286" s="10" t="n">
        <x:v>0</x:v>
      </x:c>
      <x:c r="P1286" s="10" t="n">
        <x:v>7</x:v>
      </x:c>
      <x:c r="Q1286" s="10" t="n">
        <x:v>9</x:v>
      </x:c>
      <x:c r="R1286" s="10" t="n">
        <x:v>16</x:v>
      </x:c>
      <x:c r="S1286" s="10" t="n">
        <x:v>28</x:v>
      </x:c>
      <x:c r="T1286" s="10" t="n">
        <x:v>0</x:v>
      </x:c>
      <x:c r="U1286" s="10" t="n">
        <x:f>IF(AND(ISNUMBER(X1286),X1286&gt;=0,Y1286&lt;&gt;1),X1286,"")</x:f>
        <x:v>27</x:v>
      </x:c>
      <x:c r="V1286" s="10" t="n">
        <x:v>0</x:v>
      </x:c>
      <x:c r="W1286" s="10" t="n">
        <x:v>0</x:v>
      </x:c>
      <x:c r="X1286" s="10" t="n">
        <x:v>27</x:v>
      </x:c>
      <x:c r="Y1286" s="3" t="n">
        <x:v>0</x:v>
      </x:c>
      <x:c r="Z1286" s="3" t="str">
        <x:v>共同</x:v>
      </x:c>
      <x:c r="AA1286" s="3" t="str">
        <x:v>在售</x:v>
      </x:c>
      <x:c r="AB1286" s="12" t="n">
        <x:f>IF(AND(Z1286="共同",ISNUMBER(G1286),ISNUMBER(AD1286)),G1286-AD1286,"")</x:f>
        <x:v>0.38190476190476186</x:v>
      </x:c>
      <x:c r="AC1286" s="3" t="str"/>
      <x:c r="AD1286" s="12" t="n">
        <x:v>0.41761904761904767</x:v>
      </x:c>
      <x:c r="AE1286" s="3" t="str">
        <x:v>[6574,"S02a-BKP-42"]</x:v>
      </x:c>
      <x:c r="AF1286" t="n">
        <x:f>IF(ISNUMBER(H1286),1,0)</x:f>
        <x:v>1</x:v>
      </x:c>
      <x:c r="AG1286" t="n">
        <x:f>IF(ISNUMBER(I1286),1,0)</x:f>
        <x:v>1</x:v>
      </x:c>
      <x:c r="AH1286" t="str">
        <x:v>["S02a","S02a-BKP","BKP","黑色PU"]</x:v>
      </x:c>
      <x:c r="AI1286" t="n">
        <x:f>IF(ISNUMBER(G1286),1,0)</x:f>
        <x:v>1</x:v>
      </x:c>
      <x:c r="AJ1286" t="n">
        <x:f>IF(ISNUMBER(AD1286),1,0)</x:f>
        <x:v>1</x:v>
      </x:c>
    </x:row>
    <x:row r="1287" ht="30" customHeight="1">
      <x:c r="A1287" s="3" t="str">
        <x:v>S02a-ND-40</x:v>
      </x:c>
      <x:c r="B1287" s="3" t="str">
        <x:v>3店-SANDIEX-US</x:v>
      </x:c>
      <x:c r="C1287" s="3" t="str">
        <x:v>陈晨</x:v>
      </x:c>
      <x:c r="D1287" s="3" t="str">
        <x:v>S02a</x:v>
      </x:c>
      <x:c r="E1287" s="3" t="str">
        <x:f>IF(Z1287="移出","已移出",IF(NOT(ISNUMBER(H1287)),"数据待核",IF(H1287=0,"断货",IF(NOT(ISNUMBER(G1287)),"数据待核",IF(G1287=0,"零日销待复核",IF(F1287&lt;60,"补货提醒",IF(F1287&lt;=90,"正常库存",IF(F1287&lt;180,"促销",IF(F1287&lt;=365,"红线促销","考虑清仓")))))))))</x:f>
        <x:v>补货提醒</x:v>
      </x:c>
      <x:c r="F1287" s="11" t="n">
        <x:f>IF(AND(ISNUMBER(H1287),ISNUMBER(G1287),G1287&gt;0),H1287/G1287,"")</x:f>
        <x:v>51.98019801980198</x:v>
      </x:c>
      <x:c r="G1287" s="12" t="n">
        <x:f>IF(AND(COUNT(P1287:R1287)=3,MIN(P1287:R1287)&gt;=0,P1287&lt;=Q1287,Q1287&lt;=R1287),P1287/7*0.5+Q1287/14*0.3+R1287/30*0.2,"")</x:f>
        <x:v>0.6733333333333333</x:v>
      </x:c>
      <x:c r="H1287" s="10" t="n">
        <x:f>IF(ISNUMBER(U1287),U1287,"")</x:f>
        <x:v>35</x:v>
      </x:c>
      <x:c r="I1287" s="10" t="n">
        <x:v>42</x:v>
      </x:c>
      <x:c r="J1287" s="11" t="n">
        <x:f>IF(AND(Z1287="共同",ISNUMBER(F1287),ISNUMBER(M1287)),F1287-M1287,"")</x:f>
        <x:v>-260.7857594270065</x:v>
      </x:c>
      <x:c r="K1287" s="13" t="n">
        <x:f>IF(AND(ISNUMBER(J1287),M1287&lt;&gt;0),J1287/M1287,"")</x:f>
        <x:v>-0.8338048090523337</x:v>
      </x:c>
      <x:c r="L1287" s="10" t="str">
        <x:v>红线促销</x:v>
      </x:c>
      <x:c r="M1287" s="11" t="n">
        <x:v>312.7659574468085</x:v>
      </x:c>
      <x:c r="N1287" s="10" t="n">
        <x:f>IF(AND(Z1287="共同",COUNT(H1287:I1287)=2),H1287-I1287,"")</x:f>
        <x:v>-7</x:v>
      </x:c>
      <x:c r="O1287" s="10" t="n">
        <x:v>105</x:v>
      </x:c>
      <x:c r="P1287" s="10" t="n">
        <x:v>6</x:v>
      </x:c>
      <x:c r="Q1287" s="10" t="n">
        <x:v>8</x:v>
      </x:c>
      <x:c r="R1287" s="10" t="n">
        <x:v>11</x:v>
      </x:c>
      <x:c r="S1287" s="10" t="n">
        <x:v>37</x:v>
      </x:c>
      <x:c r="T1287" s="10" t="n">
        <x:v>1</x:v>
      </x:c>
      <x:c r="U1287" s="10" t="n">
        <x:f>IF(AND(ISNUMBER(X1287),X1287&gt;=0,Y1287&lt;&gt;1),X1287,"")</x:f>
        <x:v>35</x:v>
      </x:c>
      <x:c r="V1287" s="10" t="n">
        <x:v>0</x:v>
      </x:c>
      <x:c r="W1287" s="10" t="n">
        <x:v>0</x:v>
      </x:c>
      <x:c r="X1287" s="10" t="n">
        <x:v>35</x:v>
      </x:c>
      <x:c r="Y1287" s="3" t="n">
        <x:v>0</x:v>
      </x:c>
      <x:c r="Z1287" s="3" t="str">
        <x:v>共同</x:v>
      </x:c>
      <x:c r="AA1287" s="3" t="str">
        <x:v>在售</x:v>
      </x:c>
      <x:c r="AB1287" s="12" t="n">
        <x:f>IF(AND(Z1287="共同",ISNUMBER(G1287),ISNUMBER(AD1287)),G1287-AD1287,"")</x:f>
        <x:v>0.539047619047619</x:v>
      </x:c>
      <x:c r="AC1287" s="3" t="str"/>
      <x:c r="AD1287" s="12" t="n">
        <x:v>0.13428571428571429</x:v>
      </x:c>
      <x:c r="AE1287" s="3" t="str">
        <x:v>[6574,"S02a-ND-40"]</x:v>
      </x:c>
      <x:c r="AF1287" t="n">
        <x:f>IF(ISNUMBER(H1287),1,0)</x:f>
        <x:v>1</x:v>
      </x:c>
      <x:c r="AG1287" t="n">
        <x:f>IF(ISNUMBER(I1287),1,0)</x:f>
        <x:v>1</x:v>
      </x:c>
      <x:c r="AH1287" t="str">
        <x:v>["S02a","S02a-ND","ND","裸色"]</x:v>
      </x:c>
      <x:c r="AI1287" t="n">
        <x:f>IF(ISNUMBER(G1287),1,0)</x:f>
        <x:v>1</x:v>
      </x:c>
      <x:c r="AJ1287" t="n">
        <x:f>IF(ISNUMBER(AD1287),1,0)</x:f>
        <x:v>1</x:v>
      </x:c>
    </x:row>
    <x:row r="1288" ht="30" customHeight="1">
      <x:c r="A1288" s="3" t="str">
        <x:v>S02a-ND-42</x:v>
      </x:c>
      <x:c r="B1288" s="3" t="str">
        <x:v>3店-SANDIEX-US</x:v>
      </x:c>
      <x:c r="C1288" s="3" t="str">
        <x:v>陈晨</x:v>
      </x:c>
      <x:c r="D1288" s="3" t="str">
        <x:v>S02a</x:v>
      </x:c>
      <x:c r="E1288" s="3" t="str">
        <x:f>IF(Z1288="移出","已移出",IF(NOT(ISNUMBER(H1288)),"数据待核",IF(H1288=0,"断货",IF(NOT(ISNUMBER(G1288)),"数据待核",IF(G1288=0,"零日销待复核",IF(F1288&lt;60,"补货提醒",IF(F1288&lt;=90,"正常库存",IF(F1288&lt;180,"促销",IF(F1288&lt;=365,"红线促销","考虑清仓")))))))))</x:f>
        <x:v>补货提醒</x:v>
      </x:c>
      <x:c r="F1288" s="11" t="n">
        <x:f>IF(AND(ISNUMBER(H1288),ISNUMBER(G1288),G1288&gt;0),H1288/G1288,"")</x:f>
        <x:v>40.64516129032259</x:v>
      </x:c>
      <x:c r="G1288" s="12" t="n">
        <x:f>IF(AND(COUNT(P1288:R1288)=3,MIN(P1288:R1288)&gt;=0,P1288&lt;=Q1288,Q1288&lt;=R1288),P1288/7*0.5+Q1288/14*0.3+R1288/30*0.2,"")</x:f>
        <x:v>0.1476190476190476</x:v>
      </x:c>
      <x:c r="H1288" s="10" t="n">
        <x:f>IF(ISNUMBER(U1288),U1288,"")</x:f>
        <x:v>6</x:v>
      </x:c>
      <x:c r="I1288" s="10" t="n">
        <x:v>8</x:v>
      </x:c>
      <x:c r="J1288" s="11" t="n">
        <x:f>IF(AND(Z1288="共同",ISNUMBER(F1288),ISNUMBER(M1288)),F1288-M1288,"")</x:f>
        <x:v>-64.35483870967742</x:v>
      </x:c>
      <x:c r="K1288" s="13" t="n">
        <x:f>IF(AND(ISNUMBER(J1288),M1288&lt;&gt;0),J1288/M1288,"")</x:f>
        <x:v>-0.6129032258064516</x:v>
      </x:c>
      <x:c r="L1288" s="10" t="str">
        <x:v>促销</x:v>
      </x:c>
      <x:c r="M1288" s="11" t="n">
        <x:v>105.00000000000001</x:v>
      </x:c>
      <x:c r="N1288" s="10" t="n">
        <x:f>IF(AND(Z1288="共同",COUNT(H1288:I1288)=2),H1288-I1288,"")</x:f>
        <x:v>-2</x:v>
      </x:c>
      <x:c r="O1288" s="10" t="n">
        <x:v>0</x:v>
      </x:c>
      <x:c r="P1288" s="10" t="n">
        <x:v>1</x:v>
      </x:c>
      <x:c r="Q1288" s="10" t="n">
        <x:v>2</x:v>
      </x:c>
      <x:c r="R1288" s="10" t="n">
        <x:v>5</x:v>
      </x:c>
      <x:c r="S1288" s="10" t="n">
        <x:v>7</x:v>
      </x:c>
      <x:c r="T1288" s="10" t="n">
        <x:v>1</x:v>
      </x:c>
      <x:c r="U1288" s="10" t="n">
        <x:f>IF(AND(ISNUMBER(X1288),X1288&gt;=0,Y1288&lt;&gt;1),X1288,"")</x:f>
        <x:v>6</x:v>
      </x:c>
      <x:c r="V1288" s="10" t="n">
        <x:v>0</x:v>
      </x:c>
      <x:c r="W1288" s="10" t="n">
        <x:v>0</x:v>
      </x:c>
      <x:c r="X1288" s="10" t="n">
        <x:v>6</x:v>
      </x:c>
      <x:c r="Y1288" s="3" t="n">
        <x:v>0</x:v>
      </x:c>
      <x:c r="Z1288" s="3" t="str">
        <x:v>共同</x:v>
      </x:c>
      <x:c r="AA1288" s="3" t="str">
        <x:v>在售</x:v>
      </x:c>
      <x:c r="AB1288" s="12" t="n">
        <x:f>IF(AND(Z1288="共同",ISNUMBER(G1288),ISNUMBER(AD1288)),G1288-AD1288,"")</x:f>
        <x:v>0.07142857142857141</x:v>
      </x:c>
      <x:c r="AC1288" s="3" t="str"/>
      <x:c r="AD1288" s="12" t="n">
        <x:v>0.07619047619047618</x:v>
      </x:c>
      <x:c r="AE1288" s="3" t="str">
        <x:v>[6574,"S02a-ND-42"]</x:v>
      </x:c>
      <x:c r="AF1288" t="n">
        <x:f>IF(ISNUMBER(H1288),1,0)</x:f>
        <x:v>1</x:v>
      </x:c>
      <x:c r="AG1288" t="n">
        <x:f>IF(ISNUMBER(I1288),1,0)</x:f>
        <x:v>1</x:v>
      </x:c>
      <x:c r="AH1288" t="str">
        <x:v>["S02a","S02a-ND","ND","裸色"]</x:v>
      </x:c>
      <x:c r="AI1288" t="n">
        <x:f>IF(ISNUMBER(G1288),1,0)</x:f>
        <x:v>1</x:v>
      </x:c>
      <x:c r="AJ1288" t="n">
        <x:f>IF(ISNUMBER(AD1288),1,0)</x:f>
        <x:v>1</x:v>
      </x:c>
    </x:row>
    <x:row r="1289" ht="30" customHeight="1">
      <x:c r="A1289" s="3" t="str">
        <x:v>S02a-TN-38</x:v>
      </x:c>
      <x:c r="B1289" s="3" t="str">
        <x:v>3店-SANDIEX-US</x:v>
      </x:c>
      <x:c r="C1289" s="3" t="str">
        <x:v>陈晨</x:v>
      </x:c>
      <x:c r="D1289" s="3" t="str">
        <x:v>S02a</x:v>
      </x:c>
      <x:c r="E1289" s="3" t="str">
        <x:f>IF(Z1289="移出","已移出",IF(NOT(ISNUMBER(H1289)),"数据待核",IF(H1289=0,"断货",IF(NOT(ISNUMBER(G1289)),"数据待核",IF(G1289=0,"零日销待复核",IF(F1289&lt;60,"补货提醒",IF(F1289&lt;=90,"正常库存",IF(F1289&lt;180,"促销",IF(F1289&lt;=365,"红线促销","考虑清仓")))))))))</x:f>
        <x:v>补货提醒</x:v>
      </x:c>
      <x:c r="F1289" s="11" t="n">
        <x:f>IF(AND(ISNUMBER(H1289),ISNUMBER(G1289),G1289&gt;0),H1289/G1289,"")</x:f>
        <x:v>21.733505821474775</x:v>
      </x:c>
      <x:c r="G1289" s="12" t="n">
        <x:f>IF(AND(COUNT(P1289:R1289)=3,MIN(P1289:R1289)&gt;=0,P1289&lt;=Q1289,Q1289&lt;=R1289),P1289/7*0.5+Q1289/14*0.3+R1289/30*0.2,"")</x:f>
        <x:v>0.3680952380952381</x:v>
      </x:c>
      <x:c r="H1289" s="10" t="n">
        <x:f>IF(ISNUMBER(U1289),U1289,"")</x:f>
        <x:v>8</x:v>
      </x:c>
      <x:c r="I1289" s="10" t="n">
        <x:v>11</x:v>
      </x:c>
      <x:c r="J1289" s="11" t="n">
        <x:f>IF(AND(Z1289="共同",ISNUMBER(F1289),ISNUMBER(M1289)),F1289-M1289,"")</x:f>
        <x:v>-27.0006713937151</x:v>
      </x:c>
      <x:c r="K1289" s="13" t="n">
        <x:f>IF(AND(ISNUMBER(J1289),M1289&lt;&gt;0),J1289/M1289,"")</x:f>
        <x:v>-0.5540397506762319</x:v>
      </x:c>
      <x:c r="L1289" s="10" t="str">
        <x:v>补货提醒</x:v>
      </x:c>
      <x:c r="M1289" s="11" t="n">
        <x:v>48.734177215189874</x:v>
      </x:c>
      <x:c r="N1289" s="10" t="n">
        <x:f>IF(AND(Z1289="共同",COUNT(H1289:I1289)=2),H1289-I1289,"")</x:f>
        <x:v>-3</x:v>
      </x:c>
      <x:c r="O1289" s="10" t="n">
        <x:v>0</x:v>
      </x:c>
      <x:c r="P1289" s="10" t="n">
        <x:v>3</x:v>
      </x:c>
      <x:c r="Q1289" s="10" t="n">
        <x:v>5</x:v>
      </x:c>
      <x:c r="R1289" s="10" t="n">
        <x:v>7</x:v>
      </x:c>
      <x:c r="S1289" s="10" t="n">
        <x:v>8</x:v>
      </x:c>
      <x:c r="T1289" s="10" t="n">
        <x:v>0</x:v>
      </x:c>
      <x:c r="U1289" s="10" t="n">
        <x:f>IF(AND(ISNUMBER(X1289),X1289&gt;=0,Y1289&lt;&gt;1),X1289,"")</x:f>
        <x:v>8</x:v>
      </x:c>
      <x:c r="V1289" s="10" t="n">
        <x:v>0</x:v>
      </x:c>
      <x:c r="W1289" s="10" t="n">
        <x:v>16</x:v>
      </x:c>
      <x:c r="X1289" s="10" t="n">
        <x:v>8</x:v>
      </x:c>
      <x:c r="Y1289" s="3" t="n">
        <x:v>0</x:v>
      </x:c>
      <x:c r="Z1289" s="3" t="str">
        <x:v>共同</x:v>
      </x:c>
      <x:c r="AA1289" s="3" t="str">
        <x:v>在售</x:v>
      </x:c>
      <x:c r="AB1289" s="12" t="n">
        <x:f>IF(AND(Z1289="共同",ISNUMBER(G1289),ISNUMBER(AD1289)),G1289-AD1289,"")</x:f>
        <x:v>0.14238095238095239</x:v>
      </x:c>
      <x:c r="AC1289" s="3" t="str"/>
      <x:c r="AD1289" s="12" t="n">
        <x:v>0.2257142857142857</x:v>
      </x:c>
      <x:c r="AE1289" s="3" t="str">
        <x:v>[6574,"S02a-TN-38"]</x:v>
      </x:c>
      <x:c r="AF1289" t="n">
        <x:f>IF(ISNUMBER(H1289),1,0)</x:f>
        <x:v>1</x:v>
      </x:c>
      <x:c r="AG1289" t="n">
        <x:f>IF(ISNUMBER(I1289),1,0)</x:f>
        <x:v>1</x:v>
      </x:c>
      <x:c r="AH1289" t="str">
        <x:v>["S02a","S02a-TN","TN","驼色"]</x:v>
      </x:c>
      <x:c r="AI1289" t="n">
        <x:f>IF(ISNUMBER(G1289),1,0)</x:f>
        <x:v>1</x:v>
      </x:c>
      <x:c r="AJ1289" t="n">
        <x:f>IF(ISNUMBER(AD1289),1,0)</x:f>
        <x:v>1</x:v>
      </x:c>
    </x:row>
    <x:row r="1290" ht="30" customHeight="1">
      <x:c r="A1290" s="3" t="str">
        <x:v>S02a-TN-39</x:v>
      </x:c>
      <x:c r="B1290" s="3" t="str">
        <x:v>3店-SANDIEX-US</x:v>
      </x:c>
      <x:c r="C1290" s="3" t="str">
        <x:v>陈晨</x:v>
      </x:c>
      <x:c r="D1290" s="3" t="str">
        <x:v>S02a</x:v>
      </x:c>
      <x:c r="E1290" s="3" t="str">
        <x:f>IF(Z1290="移出","已移出",IF(NOT(ISNUMBER(H1290)),"数据待核",IF(H1290=0,"断货",IF(NOT(ISNUMBER(G1290)),"数据待核",IF(G1290=0,"零日销待复核",IF(F1290&lt;60,"补货提醒",IF(F1290&lt;=90,"正常库存",IF(F1290&lt;180,"促销",IF(F1290&lt;=365,"红线促销","考虑清仓")))))))))</x:f>
        <x:v>补货提醒</x:v>
      </x:c>
      <x:c r="F1290" s="11" t="n">
        <x:f>IF(AND(ISNUMBER(H1290),ISNUMBER(G1290),G1290&gt;0),H1290/G1290,"")</x:f>
        <x:v>33.7439742903053</x:v>
      </x:c>
      <x:c r="G1290" s="12" t="n">
        <x:f>IF(AND(COUNT(P1290:R1290)=3,MIN(P1290:R1290)&gt;=0,P1290&lt;=Q1290,Q1290&lt;=R1290),P1290/7*0.5+Q1290/14*0.3+R1290/30*0.2,"")</x:f>
        <x:v>0.8890476190476191</x:v>
      </x:c>
      <x:c r="H1290" s="10" t="n">
        <x:f>IF(ISNUMBER(U1290),U1290,"")</x:f>
        <x:v>30</x:v>
      </x:c>
      <x:c r="I1290" s="10" t="n">
        <x:v>36</x:v>
      </x:c>
      <x:c r="J1290" s="11" t="n">
        <x:f>IF(AND(Z1290="共同",ISNUMBER(F1290),ISNUMBER(M1290)),F1290-M1290,"")</x:f>
        <x:v>-14.842143961622718</x:v>
      </x:c>
      <x:c r="K1290" s="13" t="n">
        <x:f>IF(AND(ISNUMBER(J1290),M1290&lt;&gt;0),J1290/M1290,"")</x:f>
        <x:v>-0.30548116407784326</x:v>
      </x:c>
      <x:c r="L1290" s="10" t="str">
        <x:v>补货提醒</x:v>
      </x:c>
      <x:c r="M1290" s="11" t="n">
        <x:v>48.58611825192802</x:v>
      </x:c>
      <x:c r="N1290" s="10" t="n">
        <x:f>IF(AND(Z1290="共同",COUNT(H1290:I1290)=2),H1290-I1290,"")</x:f>
        <x:v>-6</x:v>
      </x:c>
      <x:c r="O1290" s="10" t="n">
        <x:v>99</x:v>
      </x:c>
      <x:c r="P1290" s="10" t="n">
        <x:v>7</x:v>
      </x:c>
      <x:c r="Q1290" s="10" t="n">
        <x:v>11</x:v>
      </x:c>
      <x:c r="R1290" s="10" t="n">
        <x:v>23</x:v>
      </x:c>
      <x:c r="S1290" s="10" t="n">
        <x:v>34</x:v>
      </x:c>
      <x:c r="T1290" s="10" t="n">
        <x:v>1</x:v>
      </x:c>
      <x:c r="U1290" s="10" t="n">
        <x:f>IF(AND(ISNUMBER(X1290),X1290&gt;=0,Y1290&lt;&gt;1),X1290,"")</x:f>
        <x:v>30</x:v>
      </x:c>
      <x:c r="V1290" s="10" t="n">
        <x:v>0</x:v>
      </x:c>
      <x:c r="W1290" s="10" t="n">
        <x:v>40</x:v>
      </x:c>
      <x:c r="X1290" s="10" t="n">
        <x:v>30</x:v>
      </x:c>
      <x:c r="Y1290" s="3" t="n">
        <x:v>0</x:v>
      </x:c>
      <x:c r="Z1290" s="3" t="str">
        <x:v>共同</x:v>
      </x:c>
      <x:c r="AA1290" s="3" t="str">
        <x:v>在售</x:v>
      </x:c>
      <x:c r="AB1290" s="12" t="n">
        <x:f>IF(AND(Z1290="共同",ISNUMBER(G1290),ISNUMBER(AD1290)),G1290-AD1290,"")</x:f>
        <x:v>0.14809523809523817</x:v>
      </x:c>
      <x:c r="AC1290" s="3" t="str"/>
      <x:c r="AD1290" s="12" t="n">
        <x:v>0.7409523809523809</x:v>
      </x:c>
      <x:c r="AE1290" s="3" t="str">
        <x:v>[6574,"S02a-TN-39"]</x:v>
      </x:c>
      <x:c r="AF1290" t="n">
        <x:f>IF(ISNUMBER(H1290),1,0)</x:f>
        <x:v>1</x:v>
      </x:c>
      <x:c r="AG1290" t="n">
        <x:f>IF(ISNUMBER(I1290),1,0)</x:f>
        <x:v>1</x:v>
      </x:c>
      <x:c r="AH1290" t="str">
        <x:v>["S02a","S02a-TN","TN","驼色"]</x:v>
      </x:c>
      <x:c r="AI1290" t="n">
        <x:f>IF(ISNUMBER(G1290),1,0)</x:f>
        <x:v>1</x:v>
      </x:c>
      <x:c r="AJ1290" t="n">
        <x:f>IF(ISNUMBER(AD1290),1,0)</x:f>
        <x:v>1</x:v>
      </x:c>
    </x:row>
    <x:row r="1291" ht="30" customHeight="1">
      <x:c r="A1291" s="3" t="str">
        <x:v>S02a-TN-40</x:v>
      </x:c>
      <x:c r="B1291" s="3" t="str">
        <x:v>3店-SANDIEX-US</x:v>
      </x:c>
      <x:c r="C1291" s="3" t="str">
        <x:v>陈晨</x:v>
      </x:c>
      <x:c r="D1291" s="3" t="str">
        <x:v>S02a</x:v>
      </x:c>
      <x:c r="E1291" s="3" t="str">
        <x:f>IF(Z1291="移出","已移出",IF(NOT(ISNUMBER(H1291)),"数据待核",IF(H1291=0,"断货",IF(NOT(ISNUMBER(G1291)),"数据待核",IF(G1291=0,"零日销待复核",IF(F1291&lt;60,"补货提醒",IF(F1291&lt;=90,"正常库存",IF(F1291&lt;180,"促销",IF(F1291&lt;=365,"红线促销","考虑清仓")))))))))</x:f>
        <x:v>补货提醒</x:v>
      </x:c>
      <x:c r="F1291" s="11" t="n">
        <x:f>IF(AND(ISNUMBER(H1291),ISNUMBER(G1291),G1291&gt;0),H1291/G1291,"")</x:f>
        <x:v>37.90613718411552</x:v>
      </x:c>
      <x:c r="G1291" s="12" t="n">
        <x:f>IF(AND(COUNT(P1291:R1291)=3,MIN(P1291:R1291)&gt;=0,P1291&lt;=Q1291,Q1291&lt;=R1291),P1291/7*0.5+Q1291/14*0.3+R1291/30*0.2,"")</x:f>
        <x:v>0.39571428571428574</x:v>
      </x:c>
      <x:c r="H1291" s="10" t="n">
        <x:f>IF(ISNUMBER(U1291),U1291,"")</x:f>
        <x:v>15</x:v>
      </x:c>
      <x:c r="I1291" s="10" t="n">
        <x:v>21</x:v>
      </x:c>
      <x:c r="J1291" s="11" t="str">
        <x:f>IF(AND(Z1291="共同",ISNUMBER(F1291),ISNUMBER(M1291)),F1291-M1291,"")</x:f>
      </x:c>
      <x:c r="K1291" s="13" t="str">
        <x:f>IF(AND(ISNUMBER(J1291),M1291&lt;&gt;0),J1291/M1291,"")</x:f>
      </x:c>
      <x:c r="L1291" s="10" t="str">
        <x:v>零日销待复核</x:v>
      </x:c>
      <x:c r="M1291" s="11"/>
      <x:c r="N1291" s="10" t="n">
        <x:f>IF(AND(Z1291="共同",COUNT(H1291:I1291)=2),H1291-I1291,"")</x:f>
        <x:v>-6</x:v>
      </x:c>
      <x:c r="O1291" s="10" t="n">
        <x:v>48</x:v>
      </x:c>
      <x:c r="P1291" s="10" t="n">
        <x:v>2</x:v>
      </x:c>
      <x:c r="Q1291" s="10" t="n">
        <x:v>9</x:v>
      </x:c>
      <x:c r="R1291" s="10" t="n">
        <x:v>9</x:v>
      </x:c>
      <x:c r="S1291" s="10" t="n">
        <x:v>17</x:v>
      </x:c>
      <x:c r="T1291" s="10" t="n">
        <x:v>0</x:v>
      </x:c>
      <x:c r="U1291" s="10" t="n">
        <x:f>IF(AND(ISNUMBER(X1291),X1291&gt;=0,Y1291&lt;&gt;1),X1291,"")</x:f>
        <x:v>15</x:v>
      </x:c>
      <x:c r="V1291" s="10" t="n">
        <x:v>0</x:v>
      </x:c>
      <x:c r="W1291" s="10" t="n">
        <x:v>28</x:v>
      </x:c>
      <x:c r="X1291" s="10" t="n">
        <x:v>15</x:v>
      </x:c>
      <x:c r="Y1291" s="3" t="n">
        <x:v>0</x:v>
      </x:c>
      <x:c r="Z1291" s="3" t="str">
        <x:v>共同</x:v>
      </x:c>
      <x:c r="AA1291" s="3" t="str">
        <x:v>在售</x:v>
      </x:c>
      <x:c r="AB1291" s="12" t="n">
        <x:f>IF(AND(Z1291="共同",ISNUMBER(G1291),ISNUMBER(AD1291)),G1291-AD1291,"")</x:f>
        <x:v>0.39571428571428574</x:v>
      </x:c>
      <x:c r="AC1291" s="3" t="str"/>
      <x:c r="AD1291" s="12" t="n">
        <x:v>0</x:v>
      </x:c>
      <x:c r="AE1291" s="3" t="str">
        <x:v>[6574,"S02a-TN-40"]</x:v>
      </x:c>
      <x:c r="AF1291" t="n">
        <x:f>IF(ISNUMBER(H1291),1,0)</x:f>
        <x:v>1</x:v>
      </x:c>
      <x:c r="AG1291" t="n">
        <x:f>IF(ISNUMBER(I1291),1,0)</x:f>
        <x:v>1</x:v>
      </x:c>
      <x:c r="AH1291" t="str">
        <x:v>["S02a","S02a-TN","TN","驼色"]</x:v>
      </x:c>
      <x:c r="AI1291" t="n">
        <x:f>IF(ISNUMBER(G1291),1,0)</x:f>
        <x:v>1</x:v>
      </x:c>
      <x:c r="AJ1291" t="n">
        <x:f>IF(ISNUMBER(AD1291),1,0)</x:f>
        <x:v>1</x:v>
      </x:c>
    </x:row>
    <x:row r="1292" ht="30" customHeight="1">
      <x:c r="A1292" s="3" t="str">
        <x:v>S02a-TN-41</x:v>
      </x:c>
      <x:c r="B1292" s="3" t="str">
        <x:v>3店-SANDIEX-US</x:v>
      </x:c>
      <x:c r="C1292" s="3" t="str">
        <x:v>陈晨</x:v>
      </x:c>
      <x:c r="D1292" s="3" t="str">
        <x:v>S02a</x:v>
      </x:c>
      <x:c r="E1292" s="3" t="str">
        <x:f>IF(Z1292="移出","已移出",IF(NOT(ISNUMBER(H1292)),"数据待核",IF(H1292=0,"断货",IF(NOT(ISNUMBER(G1292)),"数据待核",IF(G1292=0,"零日销待复核",IF(F1292&lt;60,"补货提醒",IF(F1292&lt;=90,"正常库存",IF(F1292&lt;180,"促销",IF(F1292&lt;=365,"红线促销","考虑清仓")))))))))</x:f>
        <x:v>补货提醒</x:v>
      </x:c>
      <x:c r="F1292" s="11" t="n">
        <x:f>IF(AND(ISNUMBER(H1292),ISNUMBER(G1292),G1292&gt;0),H1292/G1292,"")</x:f>
        <x:v>37.048917401764236</x:v>
      </x:c>
      <x:c r="G1292" s="12" t="n">
        <x:f>IF(AND(COUNT(P1292:R1292)=3,MIN(P1292:R1292)&gt;=0,P1292&lt;=Q1292,Q1292&lt;=R1292),P1292/7*0.5+Q1292/14*0.3+R1292/30*0.2,"")</x:f>
        <x:v>0.5938095238095238</x:v>
      </x:c>
      <x:c r="H1292" s="10" t="n">
        <x:f>IF(ISNUMBER(U1292),U1292,"")</x:f>
        <x:v>22</x:v>
      </x:c>
      <x:c r="I1292" s="10" t="n">
        <x:v>23</x:v>
      </x:c>
      <x:c r="J1292" s="11" t="n">
        <x:f>IF(AND(Z1292="共同",ISNUMBER(F1292),ISNUMBER(M1292)),F1292-M1292,"")</x:f>
        <x:v>-37.14463098533253</x:v>
      </x:c>
      <x:c r="K1292" s="13" t="n">
        <x:f>IF(AND(ISNUMBER(J1292),M1292&lt;&gt;0),J1292/M1292,"")</x:f>
        <x:v>-0.5006450263240472</x:v>
      </x:c>
      <x:c r="L1292" s="10" t="str">
        <x:v>正常库存</x:v>
      </x:c>
      <x:c r="M1292" s="11" t="n">
        <x:v>74.19354838709677</x:v>
      </x:c>
      <x:c r="N1292" s="10" t="n">
        <x:f>IF(AND(Z1292="共同",COUNT(H1292:I1292)=2),H1292-I1292,"")</x:f>
        <x:v>-1</x:v>
      </x:c>
      <x:c r="O1292" s="10" t="n">
        <x:v>30</x:v>
      </x:c>
      <x:c r="P1292" s="10" t="n">
        <x:v>5</x:v>
      </x:c>
      <x:c r="Q1292" s="10" t="n">
        <x:v>7</x:v>
      </x:c>
      <x:c r="R1292" s="10" t="n">
        <x:v>13</x:v>
      </x:c>
      <x:c r="S1292" s="10" t="n">
        <x:v>23</x:v>
      </x:c>
      <x:c r="T1292" s="10" t="n">
        <x:v>0</x:v>
      </x:c>
      <x:c r="U1292" s="10" t="n">
        <x:f>IF(AND(ISNUMBER(X1292),X1292&gt;=0,Y1292&lt;&gt;1),X1292,"")</x:f>
        <x:v>22</x:v>
      </x:c>
      <x:c r="V1292" s="10" t="n">
        <x:v>0</x:v>
      </x:c>
      <x:c r="W1292" s="10" t="n">
        <x:v>27</x:v>
      </x:c>
      <x:c r="X1292" s="10" t="n">
        <x:v>22</x:v>
      </x:c>
      <x:c r="Y1292" s="3" t="n">
        <x:v>0</x:v>
      </x:c>
      <x:c r="Z1292" s="3" t="str">
        <x:v>共同</x:v>
      </x:c>
      <x:c r="AA1292" s="3" t="str">
        <x:v>在售</x:v>
      </x:c>
      <x:c r="AB1292" s="12" t="n">
        <x:f>IF(AND(Z1292="共同",ISNUMBER(G1292),ISNUMBER(AD1292)),G1292-AD1292,"")</x:f>
        <x:v>0.2838095238095238</x:v>
      </x:c>
      <x:c r="AC1292" s="3" t="str"/>
      <x:c r="AD1292" s="12" t="n">
        <x:v>0.31</x:v>
      </x:c>
      <x:c r="AE1292" s="3" t="str">
        <x:v>[6574,"S02a-TN-41"]</x:v>
      </x:c>
      <x:c r="AF1292" t="n">
        <x:f>IF(ISNUMBER(H1292),1,0)</x:f>
        <x:v>1</x:v>
      </x:c>
      <x:c r="AG1292" t="n">
        <x:f>IF(ISNUMBER(I1292),1,0)</x:f>
        <x:v>1</x:v>
      </x:c>
      <x:c r="AH1292" t="str">
        <x:v>["S02a","S02a-TN","TN","驼色"]</x:v>
      </x:c>
      <x:c r="AI1292" t="n">
        <x:f>IF(ISNUMBER(G1292),1,0)</x:f>
        <x:v>1</x:v>
      </x:c>
      <x:c r="AJ1292" t="n">
        <x:f>IF(ISNUMBER(AD1292),1,0)</x:f>
        <x:v>1</x:v>
      </x:c>
    </x:row>
    <x:row r="1293" ht="30" customHeight="1">
      <x:c r="A1293" s="3" t="str">
        <x:v>S02a-TN-42</x:v>
      </x:c>
      <x:c r="B1293" s="3" t="str">
        <x:v>3店-SANDIEX-US</x:v>
      </x:c>
      <x:c r="C1293" s="3" t="str">
        <x:v>陈晨</x:v>
      </x:c>
      <x:c r="D1293" s="3" t="str">
        <x:v>S02a</x:v>
      </x:c>
      <x:c r="E1293" s="3" t="str">
        <x:f>IF(Z1293="移出","已移出",IF(NOT(ISNUMBER(H1293)),"数据待核",IF(H1293=0,"断货",IF(NOT(ISNUMBER(G1293)),"数据待核",IF(G1293=0,"零日销待复核",IF(F1293&lt;60,"补货提醒",IF(F1293&lt;=90,"正常库存",IF(F1293&lt;180,"促销",IF(F1293&lt;=365,"红线促销","考虑清仓")))))))))</x:f>
        <x:v>补货提醒</x:v>
      </x:c>
      <x:c r="F1293" s="11" t="n">
        <x:f>IF(AND(ISNUMBER(H1293),ISNUMBER(G1293),G1293&gt;0),H1293/G1293,"")</x:f>
        <x:v>2.2175290390707496</x:v>
      </x:c>
      <x:c r="G1293" s="12" t="n">
        <x:f>IF(AND(COUNT(P1293:R1293)=3,MIN(P1293:R1293)&gt;=0,P1293&lt;=Q1293,Q1293&lt;=R1293),P1293/7*0.5+Q1293/14*0.3+R1293/30*0.2,"")</x:f>
        <x:v>0.45095238095238094</x:v>
      </x:c>
      <x:c r="H1293" s="10" t="n">
        <x:f>IF(ISNUMBER(U1293),U1293,"")</x:f>
        <x:v>1</x:v>
      </x:c>
      <x:c r="I1293" s="10" t="n">
        <x:v>7</x:v>
      </x:c>
      <x:c r="J1293" s="11" t="n">
        <x:f>IF(AND(Z1293="共同",ISNUMBER(F1293),ISNUMBER(M1293)),F1293-M1293,"")</x:f>
        <x:v>-14.336525014983303</x:v>
      </x:c>
      <x:c r="K1293" s="13" t="n">
        <x:f>IF(AND(ISNUMBER(J1293),M1293&lt;&gt;0),J1293/M1293,"")</x:f>
        <x:v>-0.8660431437622568</x:v>
      </x:c>
      <x:c r="L1293" s="10" t="str">
        <x:v>补货提醒</x:v>
      </x:c>
      <x:c r="M1293" s="11" t="n">
        <x:v>16.554054054054053</x:v>
      </x:c>
      <x:c r="N1293" s="10" t="n">
        <x:f>IF(AND(Z1293="共同",COUNT(H1293:I1293)=2),H1293-I1293,"")</x:f>
        <x:v>-6</x:v>
      </x:c>
      <x:c r="O1293" s="10" t="n">
        <x:v>0</x:v>
      </x:c>
      <x:c r="P1293" s="10" t="n">
        <x:v>3</x:v>
      </x:c>
      <x:c r="Q1293" s="10" t="n">
        <x:v>7</x:v>
      </x:c>
      <x:c r="R1293" s="10" t="n">
        <x:v>13</x:v>
      </x:c>
      <x:c r="S1293" s="10" t="n">
        <x:v>3</x:v>
      </x:c>
      <x:c r="T1293" s="10" t="n">
        <x:v>0</x:v>
      </x:c>
      <x:c r="U1293" s="10" t="n">
        <x:f>IF(AND(ISNUMBER(X1293),X1293&gt;=0,Y1293&lt;&gt;1),X1293,"")</x:f>
        <x:v>1</x:v>
      </x:c>
      <x:c r="V1293" s="10" t="n">
        <x:v>0</x:v>
      </x:c>
      <x:c r="W1293" s="10" t="n">
        <x:v>17</x:v>
      </x:c>
      <x:c r="X1293" s="10" t="n">
        <x:v>1</x:v>
      </x:c>
      <x:c r="Y1293" s="3" t="n">
        <x:v>0</x:v>
      </x:c>
      <x:c r="Z1293" s="3" t="str">
        <x:v>共同</x:v>
      </x:c>
      <x:c r="AA1293" s="3" t="str">
        <x:v>在售</x:v>
      </x:c>
      <x:c r="AB1293" s="12" t="n">
        <x:f>IF(AND(Z1293="共同",ISNUMBER(G1293),ISNUMBER(AD1293)),G1293-AD1293,"")</x:f>
        <x:v>0.028095238095238062</x:v>
      </x:c>
      <x:c r="AC1293" s="3" t="str"/>
      <x:c r="AD1293" s="12" t="n">
        <x:v>0.4228571428571429</x:v>
      </x:c>
      <x:c r="AE1293" s="3" t="str">
        <x:v>[6574,"S02a-TN-42"]</x:v>
      </x:c>
      <x:c r="AF1293" t="n">
        <x:f>IF(ISNUMBER(H1293),1,0)</x:f>
        <x:v>1</x:v>
      </x:c>
      <x:c r="AG1293" t="n">
        <x:f>IF(ISNUMBER(I1293),1,0)</x:f>
        <x:v>1</x:v>
      </x:c>
      <x:c r="AH1293" t="str">
        <x:v>["S02a","S02a-TN","TN","驼色"]</x:v>
      </x:c>
      <x:c r="AI1293" t="n">
        <x:f>IF(ISNUMBER(G1293),1,0)</x:f>
        <x:v>1</x:v>
      </x:c>
      <x:c r="AJ1293" t="n">
        <x:f>IF(ISNUMBER(AD1293),1,0)</x:f>
        <x:v>1</x:v>
      </x:c>
    </x:row>
    <x:row r="1294" ht="30" customHeight="1">
      <x:c r="A1294" s="3" t="str">
        <x:v>S02a-TN1-40</x:v>
      </x:c>
      <x:c r="B1294" s="3" t="str">
        <x:v>3店-SANDIEX-US</x:v>
      </x:c>
      <x:c r="C1294" s="3" t="str">
        <x:v>陈晨</x:v>
      </x:c>
      <x:c r="D1294" s="3" t="str">
        <x:v>S02a</x:v>
      </x:c>
      <x:c r="E1294" s="3" t="str">
        <x:f>IF(Z1294="移出","已移出",IF(NOT(ISNUMBER(H1294)),"数据待核",IF(H1294=0,"断货",IF(NOT(ISNUMBER(G1294)),"数据待核",IF(G1294=0,"零日销待复核",IF(F1294&lt;60,"补货提醒",IF(F1294&lt;=90,"正常库存",IF(F1294&lt;180,"促销",IF(F1294&lt;=365,"红线促销","考虑清仓")))))))))</x:f>
        <x:v>补货提醒</x:v>
      </x:c>
      <x:c r="F1294" s="11" t="n">
        <x:f>IF(AND(ISNUMBER(H1294),ISNUMBER(G1294),G1294&gt;0),H1294/G1294,"")</x:f>
        <x:v>8.920985556499575</x:v>
      </x:c>
      <x:c r="G1294" s="12" t="n">
        <x:f>IF(AND(COUNT(P1294:R1294)=3,MIN(P1294:R1294)&gt;=0,P1294&lt;=Q1294,Q1294&lt;=R1294),P1294/7*0.5+Q1294/14*0.3+R1294/30*0.2,"")</x:f>
        <x:v>0.5604761904761905</x:v>
      </x:c>
      <x:c r="H1294" s="10" t="n">
        <x:f>IF(ISNUMBER(U1294),U1294,"")</x:f>
        <x:v>5</x:v>
      </x:c>
      <x:c r="I1294" s="10"/>
      <x:c r="J1294" s="11" t="str">
        <x:f>IF(AND(Z1294="共同",ISNUMBER(F1294),ISNUMBER(M1294)),F1294-M1294,"")</x:f>
      </x:c>
      <x:c r="K1294" s="13" t="str">
        <x:f>IF(AND(ISNUMBER(J1294),M1294&lt;&gt;0),J1294/M1294,"")</x:f>
      </x:c>
      <x:c r="L1294" s="10"/>
      <x:c r="M1294" s="11"/>
      <x:c r="N1294" s="10" t="str">
        <x:f>IF(AND(Z1294="共同",COUNT(H1294:I1294)=2),H1294-I1294,"")</x:f>
      </x:c>
      <x:c r="O1294" s="10" t="n">
        <x:v>72</x:v>
      </x:c>
      <x:c r="P1294" s="10" t="n">
        <x:v>5</x:v>
      </x:c>
      <x:c r="Q1294" s="10" t="n">
        <x:v>7</x:v>
      </x:c>
      <x:c r="R1294" s="10" t="n">
        <x:v>8</x:v>
      </x:c>
      <x:c r="S1294" s="10" t="n">
        <x:v>7</x:v>
      </x:c>
      <x:c r="T1294" s="10" t="n">
        <x:v>1</x:v>
      </x:c>
      <x:c r="U1294" s="10" t="n">
        <x:f>IF(AND(ISNUMBER(X1294),X1294&gt;=0,Y1294&lt;&gt;1),X1294,"")</x:f>
        <x:v>5</x:v>
      </x:c>
      <x:c r="V1294" s="10" t="n">
        <x:v>0</x:v>
      </x:c>
      <x:c r="W1294" s="10" t="n">
        <x:v>0</x:v>
      </x:c>
      <x:c r="X1294" s="10" t="n">
        <x:v>5</x:v>
      </x:c>
      <x:c r="Y1294" s="3" t="n">
        <x:v>0</x:v>
      </x:c>
      <x:c r="Z1294" s="3" t="str">
        <x:v>新增</x:v>
      </x:c>
      <x:c r="AA1294" s="3" t="str">
        <x:v>在售</x:v>
      </x:c>
      <x:c r="AB1294" s="12" t="str">
        <x:f>IF(AND(Z1294="共同",ISNUMBER(G1294),ISNUMBER(AD1294)),G1294-AD1294,"")</x:f>
      </x:c>
      <x:c r="AC1294" s="3" t="str"/>
      <x:c r="AD1294" s="12"/>
      <x:c r="AE1294" s="3" t="str">
        <x:v>[6574,"S02a-TN1-40"]</x:v>
      </x:c>
      <x:c r="AF1294" t="n">
        <x:f>IF(ISNUMBER(H1294),1,0)</x:f>
        <x:v>1</x:v>
      </x:c>
      <x:c r="AG1294" t="n">
        <x:f>IF(ISNUMBER(I1294),1,0)</x:f>
        <x:v>0</x:v>
      </x:c>
      <x:c r="AH1294" t="str">
        <x:v>["S02a","S02a-TN1","TN1","驼色"]</x:v>
      </x:c>
      <x:c r="AI1294" t="n">
        <x:f>IF(ISNUMBER(G1294),1,0)</x:f>
        <x:v>1</x:v>
      </x:c>
      <x:c r="AJ1294" t="n">
        <x:f>IF(ISNUMBER(AD1294),1,0)</x:f>
        <x:v>0</x:v>
      </x:c>
    </x:row>
    <x:row r="1295" ht="30" customHeight="1">
      <x:c r="A1295" s="3" t="str">
        <x:v>S02a-TN1-41</x:v>
      </x:c>
      <x:c r="B1295" s="3" t="str">
        <x:v>3店-SANDIEX-US</x:v>
      </x:c>
      <x:c r="C1295" s="3" t="str">
        <x:v>陈晨</x:v>
      </x:c>
      <x:c r="D1295" s="3" t="str">
        <x:v>S02a</x:v>
      </x:c>
      <x:c r="E1295" s="3" t="str">
        <x:f>IF(Z1295="移出","已移出",IF(NOT(ISNUMBER(H1295)),"数据待核",IF(H1295=0,"断货",IF(NOT(ISNUMBER(G1295)),"数据待核",IF(G1295=0,"零日销待复核",IF(F1295&lt;60,"补货提醒",IF(F1295&lt;=90,"正常库存",IF(F1295&lt;180,"促销",IF(F1295&lt;=365,"红线促销","考虑清仓")))))))))</x:f>
        <x:v>补货提醒</x:v>
      </x:c>
      <x:c r="F1295" s="11" t="n">
        <x:f>IF(AND(ISNUMBER(H1295),ISNUMBER(G1295),G1295&gt;0),H1295/G1295,"")</x:f>
        <x:v>47.87564766839378</x:v>
      </x:c>
      <x:c r="G1295" s="12" t="n">
        <x:f>IF(AND(COUNT(P1295:R1295)=3,MIN(P1295:R1295)&gt;=0,P1295&lt;=Q1295,Q1295&lt;=R1295),P1295/7*0.5+Q1295/14*0.3+R1295/30*0.2,"")</x:f>
        <x:v>0.4595238095238095</x:v>
      </x:c>
      <x:c r="H1295" s="10" t="n">
        <x:f>IF(ISNUMBER(U1295),U1295,"")</x:f>
        <x:v>22</x:v>
      </x:c>
      <x:c r="I1295" s="10"/>
      <x:c r="J1295" s="11" t="str">
        <x:f>IF(AND(Z1295="共同",ISNUMBER(F1295),ISNUMBER(M1295)),F1295-M1295,"")</x:f>
      </x:c>
      <x:c r="K1295" s="13" t="str">
        <x:f>IF(AND(ISNUMBER(J1295),M1295&lt;&gt;0),J1295/M1295,"")</x:f>
      </x:c>
      <x:c r="L1295" s="10"/>
      <x:c r="M1295" s="11"/>
      <x:c r="N1295" s="10" t="str">
        <x:f>IF(AND(Z1295="共同",COUNT(H1295:I1295)=2),H1295-I1295,"")</x:f>
      </x:c>
      <x:c r="O1295" s="10" t="n">
        <x:v>13</x:v>
      </x:c>
      <x:c r="P1295" s="10" t="n">
        <x:v>4</x:v>
      </x:c>
      <x:c r="Q1295" s="10" t="n">
        <x:v>5</x:v>
      </x:c>
      <x:c r="R1295" s="10" t="n">
        <x:v>10</x:v>
      </x:c>
      <x:c r="S1295" s="10" t="n">
        <x:v>25</x:v>
      </x:c>
      <x:c r="T1295" s="10" t="n">
        <x:v>0</x:v>
      </x:c>
      <x:c r="U1295" s="10" t="n">
        <x:f>IF(AND(ISNUMBER(X1295),X1295&gt;=0,Y1295&lt;&gt;1),X1295,"")</x:f>
        <x:v>22</x:v>
      </x:c>
      <x:c r="V1295" s="10" t="n">
        <x:v>0</x:v>
      </x:c>
      <x:c r="W1295" s="10" t="n">
        <x:v>0</x:v>
      </x:c>
      <x:c r="X1295" s="10" t="n">
        <x:v>22</x:v>
      </x:c>
      <x:c r="Y1295" s="3" t="n">
        <x:v>0</x:v>
      </x:c>
      <x:c r="Z1295" s="3" t="str">
        <x:v>新增</x:v>
      </x:c>
      <x:c r="AA1295" s="3" t="str">
        <x:v>在售</x:v>
      </x:c>
      <x:c r="AB1295" s="12" t="str">
        <x:f>IF(AND(Z1295="共同",ISNUMBER(G1295),ISNUMBER(AD1295)),G1295-AD1295,"")</x:f>
      </x:c>
      <x:c r="AC1295" s="3" t="str"/>
      <x:c r="AD1295" s="12"/>
      <x:c r="AE1295" s="3" t="str">
        <x:v>[6574,"S02a-TN1-41"]</x:v>
      </x:c>
      <x:c r="AF1295" t="n">
        <x:f>IF(ISNUMBER(H1295),1,0)</x:f>
        <x:v>1</x:v>
      </x:c>
      <x:c r="AG1295" t="n">
        <x:f>IF(ISNUMBER(I1295),1,0)</x:f>
        <x:v>0</x:v>
      </x:c>
      <x:c r="AH1295" t="str">
        <x:v>["S02a","S02a-TN1","TN1","驼色"]</x:v>
      </x:c>
      <x:c r="AI1295" t="n">
        <x:f>IF(ISNUMBER(G1295),1,0)</x:f>
        <x:v>1</x:v>
      </x:c>
      <x:c r="AJ1295" t="n">
        <x:f>IF(ISNUMBER(AD1295),1,0)</x:f>
        <x:v>0</x:v>
      </x:c>
    </x:row>
    <x:row r="1296" ht="30" customHeight="1">
      <x:c r="A1296" s="3" t="str">
        <x:v>S02b-BK-38</x:v>
      </x:c>
      <x:c r="B1296" s="3" t="str">
        <x:v>3店-SANDIEX-US</x:v>
      </x:c>
      <x:c r="C1296" s="3" t="str">
        <x:v>陈晨</x:v>
      </x:c>
      <x:c r="D1296" s="3" t="str">
        <x:v>S02b</x:v>
      </x:c>
      <x:c r="E1296" s="3" t="str">
        <x:f>IF(Z1296="移出","已移出",IF(NOT(ISNUMBER(H1296)),"数据待核",IF(H1296=0,"断货",IF(NOT(ISNUMBER(G1296)),"数据待核",IF(G1296=0,"零日销待复核",IF(F1296&lt;60,"补货提醒",IF(F1296&lt;=90,"正常库存",IF(F1296&lt;180,"促销",IF(F1296&lt;=365,"红线促销","考虑清仓")))))))))</x:f>
        <x:v>补货提醒</x:v>
      </x:c>
      <x:c r="F1296" s="11" t="n">
        <x:f>IF(AND(ISNUMBER(H1296),ISNUMBER(G1296),G1296&gt;0),H1296/G1296,"")</x:f>
        <x:v>7.692307692307692</x:v>
      </x:c>
      <x:c r="G1296" s="12" t="n">
        <x:f>IF(AND(COUNT(P1296:R1296)=3,MIN(P1296:R1296)&gt;=0,P1296&lt;=Q1296,Q1296&lt;=R1296),P1296/7*0.5+Q1296/14*0.3+R1296/30*0.2,"")</x:f>
        <x:v>0.26</x:v>
      </x:c>
      <x:c r="H1296" s="10" t="n">
        <x:f>IF(ISNUMBER(U1296),U1296,"")</x:f>
        <x:v>2</x:v>
      </x:c>
      <x:c r="I1296" s="10" t="n">
        <x:v>6</x:v>
      </x:c>
      <x:c r="J1296" s="11" t="n">
        <x:f>IF(AND(Z1296="共同",ISNUMBER(F1296),ISNUMBER(M1296)),F1296-M1296,"")</x:f>
        <x:v>-14.767585355820652</x:v>
      </x:c>
      <x:c r="K1296" s="13" t="n">
        <x:f>IF(AND(ISNUMBER(J1296),M1296&lt;&gt;0),J1296/M1296,"")</x:f>
        <x:v>-0.6575091575091575</x:v>
      </x:c>
      <x:c r="L1296" s="10" t="str">
        <x:v>补货提醒</x:v>
      </x:c>
      <x:c r="M1296" s="11" t="n">
        <x:v>22.459893048128343</x:v>
      </x:c>
      <x:c r="N1296" s="10" t="n">
        <x:f>IF(AND(Z1296="共同",COUNT(H1296:I1296)=2),H1296-I1296,"")</x:f>
        <x:v>-4</x:v>
      </x:c>
      <x:c r="O1296" s="10" t="n">
        <x:v>149</x:v>
      </x:c>
      <x:c r="P1296" s="10" t="n">
        <x:v>1</x:v>
      </x:c>
      <x:c r="Q1296" s="10" t="n">
        <x:v>6</x:v>
      </x:c>
      <x:c r="R1296" s="10" t="n">
        <x:v>9</x:v>
      </x:c>
      <x:c r="S1296" s="10" t="n">
        <x:v>42</x:v>
      </x:c>
      <x:c r="T1296" s="10" t="n">
        <x:v>0</x:v>
      </x:c>
      <x:c r="U1296" s="10" t="n">
        <x:f>IF(AND(ISNUMBER(X1296),X1296&gt;=0,Y1296&lt;&gt;1),X1296,"")</x:f>
        <x:v>2</x:v>
      </x:c>
      <x:c r="V1296" s="10" t="n">
        <x:v>0</x:v>
      </x:c>
      <x:c r="W1296" s="10" t="n">
        <x:v>0</x:v>
      </x:c>
      <x:c r="X1296" s="10" t="n">
        <x:v>2</x:v>
      </x:c>
      <x:c r="Y1296" s="3" t="n">
        <x:v>0</x:v>
      </x:c>
      <x:c r="Z1296" s="3" t="str">
        <x:v>共同</x:v>
      </x:c>
      <x:c r="AA1296" s="3" t="str">
        <x:v>在售</x:v>
      </x:c>
      <x:c r="AB1296" s="12" t="n">
        <x:f>IF(AND(Z1296="共同",ISNUMBER(G1296),ISNUMBER(AD1296)),G1296-AD1296,"")</x:f>
        <x:v>-0.0071428571428571175</x:v>
      </x:c>
      <x:c r="AC1296" s="3" t="str"/>
      <x:c r="AD1296" s="12" t="n">
        <x:v>0.2671428571428571</x:v>
      </x:c>
      <x:c r="AE1296" s="3" t="str">
        <x:v>[6574,"S02b-BK-38"]</x:v>
      </x:c>
      <x:c r="AF1296" t="n">
        <x:f>IF(ISNUMBER(H1296),1,0)</x:f>
        <x:v>1</x:v>
      </x:c>
      <x:c r="AG1296" t="n">
        <x:f>IF(ISNUMBER(I1296),1,0)</x:f>
        <x:v>1</x:v>
      </x:c>
      <x:c r="AH1296" t="str">
        <x:v>["S02b","S02b-BK","BK","黑色"]</x:v>
      </x:c>
      <x:c r="AI1296" t="n">
        <x:f>IF(ISNUMBER(G1296),1,0)</x:f>
        <x:v>1</x:v>
      </x:c>
      <x:c r="AJ1296" t="n">
        <x:f>IF(ISNUMBER(AD1296),1,0)</x:f>
        <x:v>1</x:v>
      </x:c>
    </x:row>
    <x:row r="1297" ht="30" customHeight="1">
      <x:c r="A1297" s="3" t="str">
        <x:v>S02b-LP-37</x:v>
      </x:c>
      <x:c r="B1297" s="3" t="str">
        <x:v>3店-SANDIEX-US</x:v>
      </x:c>
      <x:c r="C1297" s="3" t="str">
        <x:v>陈晨</x:v>
      </x:c>
      <x:c r="D1297" s="3" t="str">
        <x:v>S02b</x:v>
      </x:c>
      <x:c r="E1297" s="3" t="str">
        <x:f>IF(Z1297="移出","已移出",IF(NOT(ISNUMBER(H1297)),"数据待核",IF(H1297=0,"断货",IF(NOT(ISNUMBER(G1297)),"数据待核",IF(G1297=0,"零日销待复核",IF(F1297&lt;60,"补货提醒",IF(F1297&lt;=90,"正常库存",IF(F1297&lt;180,"促销",IF(F1297&lt;=365,"红线促销","考虑清仓")))))))))</x:f>
        <x:v>补货提醒</x:v>
      </x:c>
      <x:c r="F1297" s="11" t="n">
        <x:f>IF(AND(ISNUMBER(H1297),ISNUMBER(G1297),G1297&gt;0),H1297/G1297,"")</x:f>
        <x:v>47.19101123595506</x:v>
      </x:c>
      <x:c r="G1297" s="12" t="n">
        <x:f>IF(AND(COUNT(P1297:R1297)=3,MIN(P1297:R1297)&gt;=0,P1297&lt;=Q1297,Q1297&lt;=R1297),P1297/7*0.5+Q1297/14*0.3+R1297/30*0.2,"")</x:f>
        <x:v>0.46619047619047616</x:v>
      </x:c>
      <x:c r="H1297" s="10" t="n">
        <x:f>IF(ISNUMBER(U1297),U1297,"")</x:f>
        <x:v>22</x:v>
      </x:c>
      <x:c r="I1297" s="10" t="n">
        <x:v>23</x:v>
      </x:c>
      <x:c r="J1297" s="11" t="n">
        <x:f>IF(AND(Z1297="共同",ISNUMBER(F1297),ISNUMBER(M1297)),F1297-M1297,"")</x:f>
        <x:v>-9.901187345605223</x:v>
      </x:c>
      <x:c r="K1297" s="13" t="n">
        <x:f>IF(AND(ISNUMBER(J1297),M1297&lt;&gt;0),J1297/M1297,"")</x:f>
        <x:v>-0.1734245236932095</x:v>
      </x:c>
      <x:c r="L1297" s="10" t="str">
        <x:v>补货提醒</x:v>
      </x:c>
      <x:c r="M1297" s="11" t="n">
        <x:v>57.09219858156028</x:v>
      </x:c>
      <x:c r="N1297" s="10" t="n">
        <x:f>IF(AND(Z1297="共同",COUNT(H1297:I1297)=2),H1297-I1297,"")</x:f>
        <x:v>-1</x:v>
      </x:c>
      <x:c r="O1297" s="10" t="n">
        <x:v>56</x:v>
      </x:c>
      <x:c r="P1297" s="10" t="n">
        <x:v>4</x:v>
      </x:c>
      <x:c r="Q1297" s="10" t="n">
        <x:v>5</x:v>
      </x:c>
      <x:c r="R1297" s="10" t="n">
        <x:v>11</x:v>
      </x:c>
      <x:c r="S1297" s="10" t="n">
        <x:v>25</x:v>
      </x:c>
      <x:c r="T1297" s="10" t="n">
        <x:v>0</x:v>
      </x:c>
      <x:c r="U1297" s="10" t="n">
        <x:f>IF(AND(ISNUMBER(X1297),X1297&gt;=0,Y1297&lt;&gt;1),X1297,"")</x:f>
        <x:v>22</x:v>
      </x:c>
      <x:c r="V1297" s="10" t="n">
        <x:v>0</x:v>
      </x:c>
      <x:c r="W1297" s="10" t="n">
        <x:v>40</x:v>
      </x:c>
      <x:c r="X1297" s="10" t="n">
        <x:v>22</x:v>
      </x:c>
      <x:c r="Y1297" s="3" t="n">
        <x:v>0</x:v>
      </x:c>
      <x:c r="Z1297" s="3" t="str">
        <x:v>共同</x:v>
      </x:c>
      <x:c r="AA1297" s="3" t="str">
        <x:v>在售</x:v>
      </x:c>
      <x:c r="AB1297" s="12" t="n">
        <x:f>IF(AND(Z1297="共同",ISNUMBER(G1297),ISNUMBER(AD1297)),G1297-AD1297,"")</x:f>
        <x:v>0.0633333333333333</x:v>
      </x:c>
      <x:c r="AC1297" s="3" t="str"/>
      <x:c r="AD1297" s="12" t="n">
        <x:v>0.40285714285714286</x:v>
      </x:c>
      <x:c r="AE1297" s="3" t="str">
        <x:v>[6574,"S02b-LP-37"]</x:v>
      </x:c>
      <x:c r="AF1297" t="n">
        <x:f>IF(ISNUMBER(H1297),1,0)</x:f>
        <x:v>1</x:v>
      </x:c>
      <x:c r="AG1297" t="n">
        <x:f>IF(ISNUMBER(I1297),1,0)</x:f>
        <x:v>1</x:v>
      </x:c>
      <x:c r="AH1297" t="str">
        <x:v>["S02b","S02b-LP","LP","豹纹"]</x:v>
      </x:c>
      <x:c r="AI1297" t="n">
        <x:f>IF(ISNUMBER(G1297),1,0)</x:f>
        <x:v>1</x:v>
      </x:c>
      <x:c r="AJ1297" t="n">
        <x:f>IF(ISNUMBER(AD1297),1,0)</x:f>
        <x:v>1</x:v>
      </x:c>
    </x:row>
    <x:row r="1298" ht="30" customHeight="1">
      <x:c r="A1298" s="3" t="str">
        <x:v>S02b-LP-38</x:v>
      </x:c>
      <x:c r="B1298" s="3" t="str">
        <x:v>3店-SANDIEX-US</x:v>
      </x:c>
      <x:c r="C1298" s="3" t="str">
        <x:v>陈晨</x:v>
      </x:c>
      <x:c r="D1298" s="3" t="str">
        <x:v>S02b</x:v>
      </x:c>
      <x:c r="E1298" s="3" t="str">
        <x:f>IF(Z1298="移出","已移出",IF(NOT(ISNUMBER(H1298)),"数据待核",IF(H1298=0,"断货",IF(NOT(ISNUMBER(G1298)),"数据待核",IF(G1298=0,"零日销待复核",IF(F1298&lt;60,"补货提醒",IF(F1298&lt;=90,"正常库存",IF(F1298&lt;180,"促销",IF(F1298&lt;=365,"红线促销","考虑清仓")))))))))</x:f>
        <x:v>补货提醒</x:v>
      </x:c>
      <x:c r="F1298" s="11" t="n">
        <x:f>IF(AND(ISNUMBER(H1298),ISNUMBER(G1298),G1298&gt;0),H1298/G1298,"")</x:f>
        <x:v>11.363636363636363</x:v>
      </x:c>
      <x:c r="G1298" s="12" t="n">
        <x:f>IF(AND(COUNT(P1298:R1298)=3,MIN(P1298:R1298)&gt;=0,P1298&lt;=Q1298,Q1298&lt;=R1298),P1298/7*0.5+Q1298/14*0.3+R1298/30*0.2,"")</x:f>
        <x:v>1.32</x:v>
      </x:c>
      <x:c r="H1298" s="10" t="n">
        <x:f>IF(ISNUMBER(U1298),U1298,"")</x:f>
        <x:v>15</x:v>
      </x:c>
      <x:c r="I1298" s="10" t="n">
        <x:v>31</x:v>
      </x:c>
      <x:c r="J1298" s="11" t="n">
        <x:f>IF(AND(Z1298="共同",ISNUMBER(F1298),ISNUMBER(M1298)),F1298-M1298,"")</x:f>
        <x:v>-24.38595177474914</x:v>
      </x:c>
      <x:c r="K1298" s="13" t="n">
        <x:f>IF(AND(ISNUMBER(J1298),M1298&lt;&gt;0),J1298/M1298,"")</x:f>
        <x:v>-0.682132383745287</x:v>
      </x:c>
      <x:c r="L1298" s="10" t="str">
        <x:v>补货提醒</x:v>
      </x:c>
      <x:c r="M1298" s="11" t="n">
        <x:v>35.749588138385505</x:v>
      </x:c>
      <x:c r="N1298" s="10" t="n">
        <x:f>IF(AND(Z1298="共同",COUNT(H1298:I1298)=2),H1298-I1298,"")</x:f>
        <x:v>-16</x:v>
      </x:c>
      <x:c r="O1298" s="10" t="n">
        <x:v>25</x:v>
      </x:c>
      <x:c r="P1298" s="10" t="n">
        <x:v>10</x:v>
      </x:c>
      <x:c r="Q1298" s="10" t="n">
        <x:v>18</x:v>
      </x:c>
      <x:c r="R1298" s="10" t="n">
        <x:v>33</x:v>
      </x:c>
      <x:c r="S1298" s="10" t="n">
        <x:v>18</x:v>
      </x:c>
      <x:c r="T1298" s="10" t="n">
        <x:v>0</x:v>
      </x:c>
      <x:c r="U1298" s="10" t="n">
        <x:f>IF(AND(ISNUMBER(X1298),X1298&gt;=0,Y1298&lt;&gt;1),X1298,"")</x:f>
        <x:v>15</x:v>
      </x:c>
      <x:c r="V1298" s="10" t="n">
        <x:v>0</x:v>
      </x:c>
      <x:c r="W1298" s="10" t="n">
        <x:v>40</x:v>
      </x:c>
      <x:c r="X1298" s="10" t="n">
        <x:v>15</x:v>
      </x:c>
      <x:c r="Y1298" s="3" t="n">
        <x:v>0</x:v>
      </x:c>
      <x:c r="Z1298" s="3" t="str">
        <x:v>共同</x:v>
      </x:c>
      <x:c r="AA1298" s="3" t="str">
        <x:v>在售</x:v>
      </x:c>
      <x:c r="AB1298" s="12" t="n">
        <x:f>IF(AND(Z1298="共同",ISNUMBER(G1298),ISNUMBER(AD1298)),G1298-AD1298,"")</x:f>
        <x:v>0.45285714285714296</x:v>
      </x:c>
      <x:c r="AC1298" s="3" t="str"/>
      <x:c r="AD1298" s="12" t="n">
        <x:v>0.8671428571428571</x:v>
      </x:c>
      <x:c r="AE1298" s="3" t="str">
        <x:v>[6574,"S02b-LP-38"]</x:v>
      </x:c>
      <x:c r="AF1298" t="n">
        <x:f>IF(ISNUMBER(H1298),1,0)</x:f>
        <x:v>1</x:v>
      </x:c>
      <x:c r="AG1298" t="n">
        <x:f>IF(ISNUMBER(I1298),1,0)</x:f>
        <x:v>1</x:v>
      </x:c>
      <x:c r="AH1298" t="str">
        <x:v>["S02b","S02b-LP","LP","豹纹"]</x:v>
      </x:c>
      <x:c r="AI1298" t="n">
        <x:f>IF(ISNUMBER(G1298),1,0)</x:f>
        <x:v>1</x:v>
      </x:c>
      <x:c r="AJ1298" t="n">
        <x:f>IF(ISNUMBER(AD1298),1,0)</x:f>
        <x:v>1</x:v>
      </x:c>
    </x:row>
    <x:row r="1299" ht="30" customHeight="1">
      <x:c r="A1299" s="3" t="str">
        <x:v>S02b-LP-39</x:v>
      </x:c>
      <x:c r="B1299" s="3" t="str">
        <x:v>3店-SANDIEX-US</x:v>
      </x:c>
      <x:c r="C1299" s="3" t="str">
        <x:v>陈晨</x:v>
      </x:c>
      <x:c r="D1299" s="3" t="str">
        <x:v>S02b</x:v>
      </x:c>
      <x:c r="E1299" s="3" t="str">
        <x:f>IF(Z1299="移出","已移出",IF(NOT(ISNUMBER(H1299)),"数据待核",IF(H1299=0,"断货",IF(NOT(ISNUMBER(G1299)),"数据待核",IF(G1299=0,"零日销待复核",IF(F1299&lt;60,"补货提醒",IF(F1299&lt;=90,"正常库存",IF(F1299&lt;180,"促销",IF(F1299&lt;=365,"红线促销","考虑清仓")))))))))</x:f>
        <x:v>补货提醒</x:v>
      </x:c>
      <x:c r="F1299" s="11" t="n">
        <x:f>IF(AND(ISNUMBER(H1299),ISNUMBER(G1299),G1299&gt;0),H1299/G1299,"")</x:f>
        <x:v>7.963163596966414</x:v>
      </x:c>
      <x:c r="G1299" s="12" t="n">
        <x:f>IF(AND(COUNT(P1299:R1299)=3,MIN(P1299:R1299)&gt;=0,P1299&lt;=Q1299,Q1299&lt;=R1299),P1299/7*0.5+Q1299/14*0.3+R1299/30*0.2,"")</x:f>
        <x:v>1.7580952380952382</x:v>
      </x:c>
      <x:c r="H1299" s="10" t="n">
        <x:f>IF(ISNUMBER(U1299),U1299,"")</x:f>
        <x:v>14</x:v>
      </x:c>
      <x:c r="I1299" s="10" t="n">
        <x:v>24</x:v>
      </x:c>
      <x:c r="J1299" s="11" t="n">
        <x:f>IF(AND(Z1299="共同",ISNUMBER(F1299),ISNUMBER(M1299)),F1299-M1299,"")</x:f>
        <x:v>-2.6809757905731857</x:v>
      </x:c>
      <x:c r="K1299" s="13" t="n">
        <x:f>IF(AND(ISNUMBER(J1299),M1299&lt;&gt;0),J1299/M1299,"")</x:f>
        <x:v>-0.2518734200072229</x:v>
      </x:c>
      <x:c r="L1299" s="10" t="str">
        <x:v>补货提醒</x:v>
      </x:c>
      <x:c r="M1299" s="11" t="n">
        <x:v>10.6441393875396</x:v>
      </x:c>
      <x:c r="N1299" s="10" t="n">
        <x:f>IF(AND(Z1299="共同",COUNT(H1299:I1299)=2),H1299-I1299,"")</x:f>
        <x:v>-10</x:v>
      </x:c>
      <x:c r="O1299" s="10" t="n">
        <x:v>10</x:v>
      </x:c>
      <x:c r="P1299" s="10" t="n">
        <x:v>12</x:v>
      </x:c>
      <x:c r="Q1299" s="10" t="n">
        <x:v>24</x:v>
      </x:c>
      <x:c r="R1299" s="10" t="n">
        <x:v>58</x:v>
      </x:c>
      <x:c r="S1299" s="10" t="n">
        <x:v>48</x:v>
      </x:c>
      <x:c r="T1299" s="10" t="n">
        <x:v>1</x:v>
      </x:c>
      <x:c r="U1299" s="10" t="n">
        <x:f>IF(AND(ISNUMBER(X1299),X1299&gt;=0,Y1299&lt;&gt;1),X1299,"")</x:f>
        <x:v>14</x:v>
      </x:c>
      <x:c r="V1299" s="10" t="n">
        <x:v>1</x:v>
      </x:c>
      <x:c r="W1299" s="10" t="n">
        <x:v>26</x:v>
      </x:c>
      <x:c r="X1299" s="10" t="n">
        <x:v>14</x:v>
      </x:c>
      <x:c r="Y1299" s="3" t="n">
        <x:v>0</x:v>
      </x:c>
      <x:c r="Z1299" s="3" t="str">
        <x:v>共同</x:v>
      </x:c>
      <x:c r="AA1299" s="3" t="str">
        <x:v>在售</x:v>
      </x:c>
      <x:c r="AB1299" s="12" t="n">
        <x:f>IF(AND(Z1299="共同",ISNUMBER(G1299),ISNUMBER(AD1299)),G1299-AD1299,"")</x:f>
        <x:v>-0.4966666666666666</x:v>
      </x:c>
      <x:c r="AC1299" s="3" t="str"/>
      <x:c r="AD1299" s="12" t="n">
        <x:v>2.2547619047619047</x:v>
      </x:c>
      <x:c r="AE1299" s="3" t="str">
        <x:v>[6574,"S02b-LP-39"]</x:v>
      </x:c>
      <x:c r="AF1299" t="n">
        <x:f>IF(ISNUMBER(H1299),1,0)</x:f>
        <x:v>1</x:v>
      </x:c>
      <x:c r="AG1299" t="n">
        <x:f>IF(ISNUMBER(I1299),1,0)</x:f>
        <x:v>1</x:v>
      </x:c>
      <x:c r="AH1299" t="str">
        <x:v>["S02b","S02b-LP","LP","豹纹"]</x:v>
      </x:c>
      <x:c r="AI1299" t="n">
        <x:f>IF(ISNUMBER(G1299),1,0)</x:f>
        <x:v>1</x:v>
      </x:c>
      <x:c r="AJ1299" t="n">
        <x:f>IF(ISNUMBER(AD1299),1,0)</x:f>
        <x:v>1</x:v>
      </x:c>
    </x:row>
    <x:row r="1300" ht="30" customHeight="1">
      <x:c r="A1300" s="3" t="str">
        <x:v>S02b-LP-40</x:v>
      </x:c>
      <x:c r="B1300" s="3" t="str">
        <x:v>3店-SANDIEX-US</x:v>
      </x:c>
      <x:c r="C1300" s="3" t="str">
        <x:v>陈晨</x:v>
      </x:c>
      <x:c r="D1300" s="3" t="str">
        <x:v>S02b</x:v>
      </x:c>
      <x:c r="E1300" s="3" t="str">
        <x:f>IF(Z1300="移出","已移出",IF(NOT(ISNUMBER(H1300)),"数据待核",IF(H1300=0,"断货",IF(NOT(ISNUMBER(G1300)),"数据待核",IF(G1300=0,"零日销待复核",IF(F1300&lt;60,"补货提醒",IF(F1300&lt;=90,"正常库存",IF(F1300&lt;180,"促销",IF(F1300&lt;=365,"红线促销","考虑清仓")))))))))</x:f>
        <x:v>补货提醒</x:v>
      </x:c>
      <x:c r="F1300" s="11" t="n">
        <x:f>IF(AND(ISNUMBER(H1300),ISNUMBER(G1300),G1300&gt;0),H1300/G1300,"")</x:f>
        <x:v>17.532070861331704</x:v>
      </x:c>
      <x:c r="G1300" s="12" t="n">
        <x:f>IF(AND(COUNT(P1300:R1300)=3,MIN(P1300:R1300)&gt;=0,P1300&lt;=Q1300,Q1300&lt;=R1300),P1300/7*0.5+Q1300/14*0.3+R1300/30*0.2,"")</x:f>
        <x:v>2.3385714285714285</x:v>
      </x:c>
      <x:c r="H1300" s="10" t="n">
        <x:f>IF(ISNUMBER(U1300),U1300,"")</x:f>
        <x:v>41</x:v>
      </x:c>
      <x:c r="I1300" s="10" t="n">
        <x:v>33</x:v>
      </x:c>
      <x:c r="J1300" s="11" t="n">
        <x:f>IF(AND(Z1300="共同",ISNUMBER(F1300),ISNUMBER(M1300)),F1300-M1300,"")</x:f>
        <x:v>-1.6752462118390241</x:v>
      </x:c>
      <x:c r="K1300" s="13" t="n">
        <x:f>IF(AND(ISNUMBER(J1300),M1300&lt;&gt;0),J1300/M1300,"")</x:f>
        <x:v>-0.0872191678544762</x:v>
      </x:c>
      <x:c r="L1300" s="10" t="str">
        <x:v>补货提醒</x:v>
      </x:c>
      <x:c r="M1300" s="11" t="n">
        <x:v>19.207317073170728</x:v>
      </x:c>
      <x:c r="N1300" s="10" t="n">
        <x:f>IF(AND(Z1300="共同",COUNT(H1300:I1300)=2),H1300-I1300,"")</x:f>
        <x:v>8</x:v>
      </x:c>
      <x:c r="O1300" s="10" t="n">
        <x:v>117</x:v>
      </x:c>
      <x:c r="P1300" s="10" t="n">
        <x:v>19</x:v>
      </x:c>
      <x:c r="Q1300" s="10" t="n">
        <x:v>29</x:v>
      </x:c>
      <x:c r="R1300" s="10" t="n">
        <x:v>54</x:v>
      </x:c>
      <x:c r="S1300" s="10" t="n">
        <x:v>105</x:v>
      </x:c>
      <x:c r="T1300" s="10" t="n">
        <x:v>0</x:v>
      </x:c>
      <x:c r="U1300" s="10" t="n">
        <x:f>IF(AND(ISNUMBER(X1300),X1300&gt;=0,Y1300&lt;&gt;1),X1300,"")</x:f>
        <x:v>41</x:v>
      </x:c>
      <x:c r="V1300" s="10" t="n">
        <x:v>0</x:v>
      </x:c>
      <x:c r="W1300" s="10" t="n">
        <x:v>100</x:v>
      </x:c>
      <x:c r="X1300" s="10" t="n">
        <x:v>41</x:v>
      </x:c>
      <x:c r="Y1300" s="3" t="n">
        <x:v>0</x:v>
      </x:c>
      <x:c r="Z1300" s="3" t="str">
        <x:v>共同</x:v>
      </x:c>
      <x:c r="AA1300" s="3" t="str">
        <x:v>在售</x:v>
      </x:c>
      <x:c r="AB1300" s="12" t="n">
        <x:f>IF(AND(Z1300="共同",ISNUMBER(G1300),ISNUMBER(AD1300)),G1300-AD1300,"")</x:f>
        <x:v>0.6204761904761902</x:v>
      </x:c>
      <x:c r="AC1300" s="3" t="str"/>
      <x:c r="AD1300" s="12" t="n">
        <x:v>1.7180952380952383</x:v>
      </x:c>
      <x:c r="AE1300" s="3" t="str">
        <x:v>[6574,"S02b-LP-40"]</x:v>
      </x:c>
      <x:c r="AF1300" t="n">
        <x:f>IF(ISNUMBER(H1300),1,0)</x:f>
        <x:v>1</x:v>
      </x:c>
      <x:c r="AG1300" t="n">
        <x:f>IF(ISNUMBER(I1300),1,0)</x:f>
        <x:v>1</x:v>
      </x:c>
      <x:c r="AH1300" t="str">
        <x:v>["S02b","S02b-LP","LP","豹纹"]</x:v>
      </x:c>
      <x:c r="AI1300" t="n">
        <x:f>IF(ISNUMBER(G1300),1,0)</x:f>
        <x:v>1</x:v>
      </x:c>
      <x:c r="AJ1300" t="n">
        <x:f>IF(ISNUMBER(AD1300),1,0)</x:f>
        <x:v>1</x:v>
      </x:c>
    </x:row>
    <x:row r="1301" ht="30" customHeight="1">
      <x:c r="A1301" s="3" t="str">
        <x:v>S02b-LP-41</x:v>
      </x:c>
      <x:c r="B1301" s="3" t="str">
        <x:v>3店-SANDIEX-US</x:v>
      </x:c>
      <x:c r="C1301" s="3" t="str">
        <x:v>陈晨</x:v>
      </x:c>
      <x:c r="D1301" s="3" t="str">
        <x:v>S02b</x:v>
      </x:c>
      <x:c r="E1301" s="3" t="str">
        <x:f>IF(Z1301="移出","已移出",IF(NOT(ISNUMBER(H1301)),"数据待核",IF(H1301=0,"断货",IF(NOT(ISNUMBER(G1301)),"数据待核",IF(G1301=0,"零日销待复核",IF(F1301&lt;60,"补货提醒",IF(F1301&lt;=90,"正常库存",IF(F1301&lt;180,"促销",IF(F1301&lt;=365,"红线促销","考虑清仓")))))))))</x:f>
        <x:v>补货提醒</x:v>
      </x:c>
      <x:c r="F1301" s="11" t="n">
        <x:f>IF(AND(ISNUMBER(H1301),ISNUMBER(G1301),G1301&gt;0),H1301/G1301,"")</x:f>
        <x:v>21.397379912663755</x:v>
      </x:c>
      <x:c r="G1301" s="12" t="n">
        <x:f>IF(AND(COUNT(P1301:R1301)=3,MIN(P1301:R1301)&gt;=0,P1301&lt;=Q1301,Q1301&lt;=R1301),P1301/7*0.5+Q1301/14*0.3+R1301/30*0.2,"")</x:f>
        <x:v>0.9814285714285714</x:v>
      </x:c>
      <x:c r="H1301" s="10" t="n">
        <x:f>IF(ISNUMBER(U1301),U1301,"")</x:f>
        <x:v>21</x:v>
      </x:c>
      <x:c r="I1301" s="10" t="n">
        <x:v>8</x:v>
      </x:c>
      <x:c r="J1301" s="11" t="n">
        <x:f>IF(AND(Z1301="共同",ISNUMBER(F1301),ISNUMBER(M1301)),F1301-M1301,"")</x:f>
        <x:v>9.062578150549218</x:v>
      </x:c>
      <x:c r="K1301" s="13" t="n">
        <x:f>IF(AND(ISNUMBER(J1301),M1301&lt;&gt;0),J1301/M1301,"")</x:f>
        <x:v>0.7347161572052402</x:v>
      </x:c>
      <x:c r="L1301" s="10" t="str">
        <x:v>补货提醒</x:v>
      </x:c>
      <x:c r="M1301" s="11" t="n">
        <x:v>12.334801762114537</x:v>
      </x:c>
      <x:c r="N1301" s="10" t="n">
        <x:f>IF(AND(Z1301="共同",COUNT(H1301:I1301)=2),H1301-I1301,"")</x:f>
        <x:v>13</x:v>
      </x:c>
      <x:c r="O1301" s="10" t="n">
        <x:v>0</x:v>
      </x:c>
      <x:c r="P1301" s="10" t="n">
        <x:v>7</x:v>
      </x:c>
      <x:c r="Q1301" s="10" t="n">
        <x:v>15</x:v>
      </x:c>
      <x:c r="R1301" s="10" t="n">
        <x:v>24</x:v>
      </x:c>
      <x:c r="S1301" s="10" t="n">
        <x:v>43</x:v>
      </x:c>
      <x:c r="T1301" s="10" t="n">
        <x:v>1</x:v>
      </x:c>
      <x:c r="U1301" s="10" t="n">
        <x:f>IF(AND(ISNUMBER(X1301),X1301&gt;=0,Y1301&lt;&gt;1),X1301,"")</x:f>
        <x:v>21</x:v>
      </x:c>
      <x:c r="V1301" s="10" t="n">
        <x:v>2</x:v>
      </x:c>
      <x:c r="W1301" s="10" t="n">
        <x:v>21</x:v>
      </x:c>
      <x:c r="X1301" s="10" t="n">
        <x:v>21</x:v>
      </x:c>
      <x:c r="Y1301" s="3" t="n">
        <x:v>0</x:v>
      </x:c>
      <x:c r="Z1301" s="3" t="str">
        <x:v>共同</x:v>
      </x:c>
      <x:c r="AA1301" s="3" t="str">
        <x:v>在售</x:v>
      </x:c>
      <x:c r="AB1301" s="12" t="n">
        <x:f>IF(AND(Z1301="共同",ISNUMBER(G1301),ISNUMBER(AD1301)),G1301-AD1301,"")</x:f>
        <x:v>0.33285714285714285</x:v>
      </x:c>
      <x:c r="AC1301" s="3" t="str"/>
      <x:c r="AD1301" s="12" t="n">
        <x:v>0.6485714285714286</x:v>
      </x:c>
      <x:c r="AE1301" s="3" t="str">
        <x:v>[6574,"S02b-LP-41"]</x:v>
      </x:c>
      <x:c r="AF1301" t="n">
        <x:f>IF(ISNUMBER(H1301),1,0)</x:f>
        <x:v>1</x:v>
      </x:c>
      <x:c r="AG1301" t="n">
        <x:f>IF(ISNUMBER(I1301),1,0)</x:f>
        <x:v>1</x:v>
      </x:c>
      <x:c r="AH1301" t="str">
        <x:v>["S02b","S02b-LP","LP","豹纹"]</x:v>
      </x:c>
      <x:c r="AI1301" t="n">
        <x:f>IF(ISNUMBER(G1301),1,0)</x:f>
        <x:v>1</x:v>
      </x:c>
      <x:c r="AJ1301" t="n">
        <x:f>IF(ISNUMBER(AD1301),1,0)</x:f>
        <x:v>1</x:v>
      </x:c>
    </x:row>
    <x:row r="1302" ht="30" customHeight="1">
      <x:c r="A1302" s="3" t="str">
        <x:v>S02b-LP-42</x:v>
      </x:c>
      <x:c r="B1302" s="3" t="str">
        <x:v>3店-SANDIEX-US</x:v>
      </x:c>
      <x:c r="C1302" s="3" t="str">
        <x:v>陈晨</x:v>
      </x:c>
      <x:c r="D1302" s="3" t="str">
        <x:v>S02b</x:v>
      </x:c>
      <x:c r="E1302" s="3" t="str">
        <x:f>IF(Z1302="移出","已移出",IF(NOT(ISNUMBER(H1302)),"数据待核",IF(H1302=0,"断货",IF(NOT(ISNUMBER(G1302)),"数据待核",IF(G1302=0,"零日销待复核",IF(F1302&lt;60,"补货提醒",IF(F1302&lt;=90,"正常库存",IF(F1302&lt;180,"促销",IF(F1302&lt;=365,"红线促销","考虑清仓")))))))))</x:f>
        <x:v>补货提醒</x:v>
      </x:c>
      <x:c r="F1302" s="11" t="n">
        <x:f>IF(AND(ISNUMBER(H1302),ISNUMBER(G1302),G1302&gt;0),H1302/G1302,"")</x:f>
        <x:v>8.944628490298156</x:v>
      </x:c>
      <x:c r="G1302" s="12" t="n">
        <x:f>IF(AND(COUNT(P1302:R1302)=3,MIN(P1302:R1302)&gt;=0,P1302&lt;=Q1302,Q1302&lt;=R1302),P1302/7*0.5+Q1302/14*0.3+R1302/30*0.2,"")</x:f>
        <x:v>1.006190476190476</x:v>
      </x:c>
      <x:c r="H1302" s="10" t="n">
        <x:f>IF(ISNUMBER(U1302),U1302,"")</x:f>
        <x:v>9</x:v>
      </x:c>
      <x:c r="I1302" s="10" t="n">
        <x:v>17</x:v>
      </x:c>
      <x:c r="J1302" s="11" t="n">
        <x:f>IF(AND(Z1302="共同",ISNUMBER(F1302),ISNUMBER(M1302)),F1302-M1302,"")</x:f>
        <x:v>-62.170909358307426</x:v>
      </x:c>
      <x:c r="K1302" s="13" t="n">
        <x:f>IF(AND(ISNUMBER(J1302),M1302&lt;&gt;0),J1302/M1302,"")</x:f>
        <x:v>-0.8742239915369839</x:v>
      </x:c>
      <x:c r="L1302" s="10" t="str">
        <x:v>正常库存</x:v>
      </x:c>
      <x:c r="M1302" s="11" t="n">
        <x:v>71.11553784860558</x:v>
      </x:c>
      <x:c r="N1302" s="10" t="n">
        <x:f>IF(AND(Z1302="共同",COUNT(H1302:I1302)=2),H1302-I1302,"")</x:f>
        <x:v>-8</x:v>
      </x:c>
      <x:c r="O1302" s="10" t="n">
        <x:v>16</x:v>
      </x:c>
      <x:c r="P1302" s="10" t="n">
        <x:v>8</x:v>
      </x:c>
      <x:c r="Q1302" s="10" t="n">
        <x:v>15</x:v>
      </x:c>
      <x:c r="R1302" s="10" t="n">
        <x:v>17</x:v>
      </x:c>
      <x:c r="S1302" s="10" t="n">
        <x:v>20</x:v>
      </x:c>
      <x:c r="T1302" s="10" t="n">
        <x:v>0</x:v>
      </x:c>
      <x:c r="U1302" s="10" t="n">
        <x:f>IF(AND(ISNUMBER(X1302),X1302&gt;=0,Y1302&lt;&gt;1),X1302,"")</x:f>
        <x:v>9</x:v>
      </x:c>
      <x:c r="V1302" s="10" t="n">
        <x:v>0</x:v>
      </x:c>
      <x:c r="W1302" s="10" t="n">
        <x:v>20</x:v>
      </x:c>
      <x:c r="X1302" s="10" t="n">
        <x:v>9</x:v>
      </x:c>
      <x:c r="Y1302" s="3" t="n">
        <x:v>0</x:v>
      </x:c>
      <x:c r="Z1302" s="3" t="str">
        <x:v>共同</x:v>
      </x:c>
      <x:c r="AA1302" s="3" t="str">
        <x:v>在售</x:v>
      </x:c>
      <x:c r="AB1302" s="12" t="n">
        <x:f>IF(AND(Z1302="共同",ISNUMBER(G1302),ISNUMBER(AD1302)),G1302-AD1302,"")</x:f>
        <x:v>0.767142857142857</x:v>
      </x:c>
      <x:c r="AC1302" s="3" t="str"/>
      <x:c r="AD1302" s="12" t="n">
        <x:v>0.23904761904761904</x:v>
      </x:c>
      <x:c r="AE1302" s="3" t="str">
        <x:v>[6574,"S02b-LP-42"]</x:v>
      </x:c>
      <x:c r="AF1302" t="n">
        <x:f>IF(ISNUMBER(H1302),1,0)</x:f>
        <x:v>1</x:v>
      </x:c>
      <x:c r="AG1302" t="n">
        <x:f>IF(ISNUMBER(I1302),1,0)</x:f>
        <x:v>1</x:v>
      </x:c>
      <x:c r="AH1302" t="str">
        <x:v>["S02b","S02b-LP","LP","豹纹"]</x:v>
      </x:c>
      <x:c r="AI1302" t="n">
        <x:f>IF(ISNUMBER(G1302),1,0)</x:f>
        <x:v>1</x:v>
      </x:c>
      <x:c r="AJ1302" t="n">
        <x:f>IF(ISNUMBER(AD1302),1,0)</x:f>
        <x:v>1</x:v>
      </x:c>
    </x:row>
    <x:row r="1303" ht="30" customHeight="1">
      <x:c r="A1303" s="3" t="str">
        <x:v>S02b-ND-40</x:v>
      </x:c>
      <x:c r="B1303" s="3" t="str">
        <x:v>3店-SANDIEX-US</x:v>
      </x:c>
      <x:c r="C1303" s="3" t="str">
        <x:v>陈晨</x:v>
      </x:c>
      <x:c r="D1303" s="3" t="str">
        <x:v>S02b</x:v>
      </x:c>
      <x:c r="E1303" s="3" t="str">
        <x:f>IF(Z1303="移出","已移出",IF(NOT(ISNUMBER(H1303)),"数据待核",IF(H1303=0,"断货",IF(NOT(ISNUMBER(G1303)),"数据待核",IF(G1303=0,"零日销待复核",IF(F1303&lt;60,"补货提醒",IF(F1303&lt;=90,"正常库存",IF(F1303&lt;180,"促销",IF(F1303&lt;=365,"红线促销","考虑清仓")))))))))</x:f>
        <x:v>补货提醒</x:v>
      </x:c>
      <x:c r="F1303" s="11" t="n">
        <x:f>IF(AND(ISNUMBER(H1303),ISNUMBER(G1303),G1303&gt;0),H1303/G1303,"")</x:f>
        <x:v>43.04538799414348</x:v>
      </x:c>
      <x:c r="G1303" s="12" t="n">
        <x:f>IF(AND(COUNT(P1303:R1303)=3,MIN(P1303:R1303)&gt;=0,P1303&lt;=Q1303,Q1303&lt;=R1303),P1303/7*0.5+Q1303/14*0.3+R1303/30*0.2,"")</x:f>
        <x:v>0.32523809523809527</x:v>
      </x:c>
      <x:c r="H1303" s="10" t="n">
        <x:f>IF(ISNUMBER(U1303),U1303,"")</x:f>
        <x:v>14</x:v>
      </x:c>
      <x:c r="I1303" s="10" t="n">
        <x:v>17</x:v>
      </x:c>
      <x:c r="J1303" s="11" t="n">
        <x:f>IF(AND(Z1303="共同",ISNUMBER(F1303),ISNUMBER(M1303)),F1303-M1303,"")</x:f>
        <x:v>-34.56330765803044</x:v>
      </x:c>
      <x:c r="K1303" s="13" t="n">
        <x:f>IF(AND(ISNUMBER(J1303),M1303&lt;&gt;0),J1303/M1303,"")</x:f>
        <x:v>-0.4453535440530532</x:v>
      </x:c>
      <x:c r="L1303" s="10" t="str">
        <x:v>正常库存</x:v>
      </x:c>
      <x:c r="M1303" s="11" t="n">
        <x:v>77.60869565217392</x:v>
      </x:c>
      <x:c r="N1303" s="10" t="n">
        <x:f>IF(AND(Z1303="共同",COUNT(H1303:I1303)=2),H1303-I1303,"")</x:f>
        <x:v>-3</x:v>
      </x:c>
      <x:c r="O1303" s="10" t="n">
        <x:v>114</x:v>
      </x:c>
      <x:c r="P1303" s="10" t="n">
        <x:v>3</x:v>
      </x:c>
      <x:c r="Q1303" s="10" t="n">
        <x:v>3</x:v>
      </x:c>
      <x:c r="R1303" s="10" t="n">
        <x:v>7</x:v>
      </x:c>
      <x:c r="S1303" s="10" t="n">
        <x:v>76</x:v>
      </x:c>
      <x:c r="T1303" s="10" t="n">
        <x:v>0</x:v>
      </x:c>
      <x:c r="U1303" s="10" t="n">
        <x:f>IF(AND(ISNUMBER(X1303),X1303&gt;=0,Y1303&lt;&gt;1),X1303,"")</x:f>
        <x:v>14</x:v>
      </x:c>
      <x:c r="V1303" s="10" t="n">
        <x:v>0</x:v>
      </x:c>
      <x:c r="W1303" s="10" t="n">
        <x:v>0</x:v>
      </x:c>
      <x:c r="X1303" s="10" t="n">
        <x:v>14</x:v>
      </x:c>
      <x:c r="Y1303" s="3" t="n">
        <x:v>0</x:v>
      </x:c>
      <x:c r="Z1303" s="3" t="str">
        <x:v>共同</x:v>
      </x:c>
      <x:c r="AA1303" s="3" t="str">
        <x:v>在售</x:v>
      </x:c>
      <x:c r="AB1303" s="12" t="n">
        <x:f>IF(AND(Z1303="共同",ISNUMBER(G1303),ISNUMBER(AD1303)),G1303-AD1303,"")</x:f>
        <x:v>0.10619047619047625</x:v>
      </x:c>
      <x:c r="AC1303" s="3" t="str"/>
      <x:c r="AD1303" s="12" t="n">
        <x:v>0.21904761904761902</x:v>
      </x:c>
      <x:c r="AE1303" s="3" t="str">
        <x:v>[6574,"S02b-ND-40"]</x:v>
      </x:c>
      <x:c r="AF1303" t="n">
        <x:f>IF(ISNUMBER(H1303),1,0)</x:f>
        <x:v>1</x:v>
      </x:c>
      <x:c r="AG1303" t="n">
        <x:f>IF(ISNUMBER(I1303),1,0)</x:f>
        <x:v>1</x:v>
      </x:c>
      <x:c r="AH1303" t="str">
        <x:v>["S02b","S02b-ND","ND","裸色"]</x:v>
      </x:c>
      <x:c r="AI1303" t="n">
        <x:f>IF(ISNUMBER(G1303),1,0)</x:f>
        <x:v>1</x:v>
      </x:c>
      <x:c r="AJ1303" t="n">
        <x:f>IF(ISNUMBER(AD1303),1,0)</x:f>
        <x:v>1</x:v>
      </x:c>
    </x:row>
    <x:row r="1304" ht="30" customHeight="1">
      <x:c r="A1304" s="3" t="str">
        <x:v>S02b-ND1-37</x:v>
      </x:c>
      <x:c r="B1304" s="3" t="str">
        <x:v>3店-SANDIEX-US</x:v>
      </x:c>
      <x:c r="C1304" s="3" t="str">
        <x:v>陈晨</x:v>
      </x:c>
      <x:c r="D1304" s="3" t="str">
        <x:v>S02b</x:v>
      </x:c>
      <x:c r="E1304" s="3" t="str">
        <x:f>IF(Z1304="移出","已移出",IF(NOT(ISNUMBER(H1304)),"数据待核",IF(H1304=0,"断货",IF(NOT(ISNUMBER(G1304)),"数据待核",IF(G1304=0,"零日销待复核",IF(F1304&lt;60,"补货提醒",IF(F1304&lt;=90,"正常库存",IF(F1304&lt;180,"促销",IF(F1304&lt;=365,"红线促销","考虑清仓")))))))))</x:f>
        <x:v>补货提醒</x:v>
      </x:c>
      <x:c r="F1304" s="11" t="n">
        <x:f>IF(AND(ISNUMBER(H1304),ISNUMBER(G1304),G1304&gt;0),H1304/G1304,"")</x:f>
        <x:v>14.583333333333336</x:v>
      </x:c>
      <x:c r="G1304" s="12" t="n">
        <x:f>IF(AND(COUNT(P1304:R1304)=3,MIN(P1304:R1304)&gt;=0,P1304&lt;=Q1304,Q1304&lt;=R1304),P1304/7*0.5+Q1304/14*0.3+R1304/30*0.2,"")</x:f>
        <x:v>0.20571428571428568</x:v>
      </x:c>
      <x:c r="H1304" s="10" t="n">
        <x:f>IF(ISNUMBER(U1304),U1304,"")</x:f>
        <x:v>3</x:v>
      </x:c>
      <x:c r="I1304" s="10"/>
      <x:c r="J1304" s="11" t="str">
        <x:f>IF(AND(Z1304="共同",ISNUMBER(F1304),ISNUMBER(M1304)),F1304-M1304,"")</x:f>
      </x:c>
      <x:c r="K1304" s="13" t="str">
        <x:f>IF(AND(ISNUMBER(J1304),M1304&lt;&gt;0),J1304/M1304,"")</x:f>
      </x:c>
      <x:c r="L1304" s="10"/>
      <x:c r="M1304" s="11"/>
      <x:c r="N1304" s="10" t="str">
        <x:f>IF(AND(Z1304="共同",COUNT(H1304:I1304)=2),H1304-I1304,"")</x:f>
      </x:c>
      <x:c r="O1304" s="10" t="n">
        <x:v>0</x:v>
      </x:c>
      <x:c r="P1304" s="10" t="n">
        <x:v>2</x:v>
      </x:c>
      <x:c r="Q1304" s="10" t="n">
        <x:v>2</x:v>
      </x:c>
      <x:c r="R1304" s="10" t="n">
        <x:v>3</x:v>
      </x:c>
      <x:c r="S1304" s="10" t="n">
        <x:v>3</x:v>
      </x:c>
      <x:c r="T1304" s="10" t="n">
        <x:v>0</x:v>
      </x:c>
      <x:c r="U1304" s="10" t="n">
        <x:f>IF(AND(ISNUMBER(X1304),X1304&gt;=0,Y1304&lt;&gt;1),X1304,"")</x:f>
        <x:v>3</x:v>
      </x:c>
      <x:c r="V1304" s="10" t="n">
        <x:v>0</x:v>
      </x:c>
      <x:c r="W1304" s="10" t="n">
        <x:v>0</x:v>
      </x:c>
      <x:c r="X1304" s="10" t="n">
        <x:v>3</x:v>
      </x:c>
      <x:c r="Y1304" s="3" t="n">
        <x:v>0</x:v>
      </x:c>
      <x:c r="Z1304" s="3" t="str">
        <x:v>新增</x:v>
      </x:c>
      <x:c r="AA1304" s="3" t="str">
        <x:v>在售</x:v>
      </x:c>
      <x:c r="AB1304" s="12" t="str">
        <x:f>IF(AND(Z1304="共同",ISNUMBER(G1304),ISNUMBER(AD1304)),G1304-AD1304,"")</x:f>
      </x:c>
      <x:c r="AC1304" s="3" t="str"/>
      <x:c r="AD1304" s="12"/>
      <x:c r="AE1304" s="3" t="str">
        <x:v>[6574,"S02b-ND1-37"]</x:v>
      </x:c>
      <x:c r="AF1304" t="n">
        <x:f>IF(ISNUMBER(H1304),1,0)</x:f>
        <x:v>1</x:v>
      </x:c>
      <x:c r="AG1304" t="n">
        <x:f>IF(ISNUMBER(I1304),1,0)</x:f>
        <x:v>0</x:v>
      </x:c>
      <x:c r="AH1304" t="str">
        <x:v>["S02b","S02b-ND1","ND1","裸色"]</x:v>
      </x:c>
      <x:c r="AI1304" t="n">
        <x:f>IF(ISNUMBER(G1304),1,0)</x:f>
        <x:v>1</x:v>
      </x:c>
      <x:c r="AJ1304" t="n">
        <x:f>IF(ISNUMBER(AD1304),1,0)</x:f>
        <x:v>0</x:v>
      </x:c>
    </x:row>
    <x:row r="1305" ht="30" customHeight="1">
      <x:c r="A1305" s="3" t="str">
        <x:v>S02b-NY-37</x:v>
      </x:c>
      <x:c r="B1305" s="3" t="str">
        <x:v>3店-SANDIEX-US</x:v>
      </x:c>
      <x:c r="C1305" s="3" t="str">
        <x:v>陈晨</x:v>
      </x:c>
      <x:c r="D1305" s="3" t="str">
        <x:v>S02b</x:v>
      </x:c>
      <x:c r="E1305" s="3" t="str">
        <x:f>IF(Z1305="移出","已移出",IF(NOT(ISNUMBER(H1305)),"数据待核",IF(H1305=0,"断货",IF(NOT(ISNUMBER(G1305)),"数据待核",IF(G1305=0,"零日销待复核",IF(F1305&lt;60,"补货提醒",IF(F1305&lt;=90,"正常库存",IF(F1305&lt;180,"促销",IF(F1305&lt;=365,"红线促销","考虑清仓")))))))))</x:f>
        <x:v>补货提醒</x:v>
      </x:c>
      <x:c r="F1305" s="11" t="n">
        <x:f>IF(AND(ISNUMBER(H1305),ISNUMBER(G1305),G1305&gt;0),H1305/G1305,"")</x:f>
        <x:v>20.792079207920793</x:v>
      </x:c>
      <x:c r="G1305" s="12" t="n">
        <x:f>IF(AND(COUNT(P1305:R1305)=3,MIN(P1305:R1305)&gt;=0,P1305&lt;=Q1305,Q1305&lt;=R1305),P1305/7*0.5+Q1305/14*0.3+R1305/30*0.2,"")</x:f>
        <x:v>0.24047619047619045</x:v>
      </x:c>
      <x:c r="H1305" s="10" t="n">
        <x:f>IF(ISNUMBER(U1305),U1305,"")</x:f>
        <x:v>5</x:v>
      </x:c>
      <x:c r="I1305" s="10" t="n">
        <x:v>8</x:v>
      </x:c>
      <x:c r="J1305" s="11" t="n">
        <x:f>IF(AND(Z1305="共同",ISNUMBER(F1305),ISNUMBER(M1305)),F1305-M1305,"")</x:f>
        <x:v>-31.059772643931062</x:v>
      </x:c>
      <x:c r="K1305" s="13" t="n">
        <x:f>IF(AND(ISNUMBER(J1305),M1305&lt;&gt;0),J1305/M1305,"")</x:f>
        <x:v>-0.599009900990099</x:v>
      </x:c>
      <x:c r="L1305" s="10" t="str">
        <x:v>补货提醒</x:v>
      </x:c>
      <x:c r="M1305" s="11" t="n">
        <x:v>51.851851851851855</x:v>
      </x:c>
      <x:c r="N1305" s="10" t="n">
        <x:f>IF(AND(Z1305="共同",COUNT(H1305:I1305)=2),H1305-I1305,"")</x:f>
        <x:v>-3</x:v>
      </x:c>
      <x:c r="O1305" s="10" t="n">
        <x:v>37</x:v>
      </x:c>
      <x:c r="P1305" s="10" t="n">
        <x:v>2</x:v>
      </x:c>
      <x:c r="Q1305" s="10" t="n">
        <x:v>3</x:v>
      </x:c>
      <x:c r="R1305" s="10" t="n">
        <x:v>5</x:v>
      </x:c>
      <x:c r="S1305" s="10" t="n">
        <x:v>25</x:v>
      </x:c>
      <x:c r="T1305" s="10" t="n">
        <x:v>0</x:v>
      </x:c>
      <x:c r="U1305" s="10" t="n">
        <x:f>IF(AND(ISNUMBER(X1305),X1305&gt;=0,Y1305&lt;&gt;1),X1305,"")</x:f>
        <x:v>5</x:v>
      </x:c>
      <x:c r="V1305" s="10" t="n">
        <x:v>0</x:v>
      </x:c>
      <x:c r="W1305" s="10" t="n">
        <x:v>0</x:v>
      </x:c>
      <x:c r="X1305" s="10" t="n">
        <x:v>5</x:v>
      </x:c>
      <x:c r="Y1305" s="3" t="n">
        <x:v>0</x:v>
      </x:c>
      <x:c r="Z1305" s="3" t="str">
        <x:v>共同</x:v>
      </x:c>
      <x:c r="AA1305" s="3" t="str">
        <x:v>在售</x:v>
      </x:c>
      <x:c r="AB1305" s="12" t="n">
        <x:f>IF(AND(Z1305="共同",ISNUMBER(G1305),ISNUMBER(AD1305)),G1305-AD1305,"")</x:f>
        <x:v>0.08619047619047618</x:v>
      </x:c>
      <x:c r="AC1305" s="3" t="str"/>
      <x:c r="AD1305" s="12" t="n">
        <x:v>0.15428571428571428</x:v>
      </x:c>
      <x:c r="AE1305" s="3" t="str">
        <x:v>[6574,"S02b-NY-37"]</x:v>
      </x:c>
      <x:c r="AF1305" t="n">
        <x:f>IF(ISNUMBER(H1305),1,0)</x:f>
        <x:v>1</x:v>
      </x:c>
      <x:c r="AG1305" t="n">
        <x:f>IF(ISNUMBER(I1305),1,0)</x:f>
        <x:v>1</x:v>
      </x:c>
      <x:c r="AH1305" t="str">
        <x:v>["S02b","S02b-NY","NY","藏青色"]</x:v>
      </x:c>
      <x:c r="AI1305" t="n">
        <x:f>IF(ISNUMBER(G1305),1,0)</x:f>
        <x:v>1</x:v>
      </x:c>
      <x:c r="AJ1305" t="n">
        <x:f>IF(ISNUMBER(AD1305),1,0)</x:f>
        <x:v>1</x:v>
      </x:c>
    </x:row>
    <x:row r="1306" ht="30" customHeight="1">
      <x:c r="A1306" s="3" t="str">
        <x:v>S02b-NY-38</x:v>
      </x:c>
      <x:c r="B1306" s="3" t="str">
        <x:v>3店-SANDIEX-US</x:v>
      </x:c>
      <x:c r="C1306" s="3" t="str">
        <x:v>陈晨</x:v>
      </x:c>
      <x:c r="D1306" s="3" t="str">
        <x:v>S02b</x:v>
      </x:c>
      <x:c r="E1306" s="3" t="str">
        <x:f>IF(Z1306="移出","已移出",IF(NOT(ISNUMBER(H1306)),"数据待核",IF(H1306=0,"断货",IF(NOT(ISNUMBER(G1306)),"数据待核",IF(G1306=0,"零日销待复核",IF(F1306&lt;60,"补货提醒",IF(F1306&lt;=90,"正常库存",IF(F1306&lt;180,"促销",IF(F1306&lt;=365,"红线促销","考虑清仓")))))))))</x:f>
        <x:v>补货提醒</x:v>
      </x:c>
      <x:c r="F1306" s="11" t="n">
        <x:f>IF(AND(ISNUMBER(H1306),ISNUMBER(G1306),G1306&gt;0),H1306/G1306,"")</x:f>
        <x:v>21.608980355472404</x:v>
      </x:c>
      <x:c r="G1306" s="12" t="n">
        <x:f>IF(AND(COUNT(P1306:R1306)=3,MIN(P1306:R1306)&gt;=0,P1306&lt;=Q1306,Q1306&lt;=R1306),P1306/7*0.5+Q1306/14*0.3+R1306/30*0.2,"")</x:f>
        <x:v>0.5090476190476191</x:v>
      </x:c>
      <x:c r="H1306" s="10" t="n">
        <x:f>IF(ISNUMBER(U1306),U1306,"")</x:f>
        <x:v>11</x:v>
      </x:c>
      <x:c r="I1306" s="10" t="n">
        <x:v>3</x:v>
      </x:c>
      <x:c r="J1306" s="11" t="n">
        <x:f>IF(AND(Z1306="共同",ISNUMBER(F1306),ISNUMBER(M1306)),F1306-M1306,"")</x:f>
        <x:v>11.672071838122246</x:v>
      </x:c>
      <x:c r="K1306" s="13" t="n">
        <x:f>IF(AND(ISNUMBER(J1306),M1306&lt;&gt;0),J1306/M1306,"")</x:f>
        <x:v>1.1746180230745245</x:v>
      </x:c>
      <x:c r="L1306" s="10" t="str">
        <x:v>补货提醒</x:v>
      </x:c>
      <x:c r="M1306" s="11" t="n">
        <x:v>9.936908517350158</x:v>
      </x:c>
      <x:c r="N1306" s="10" t="n">
        <x:f>IF(AND(Z1306="共同",COUNT(H1306:I1306)=2),H1306-I1306,"")</x:f>
        <x:v>8</x:v>
      </x:c>
      <x:c r="O1306" s="10" t="n">
        <x:v>46</x:v>
      </x:c>
      <x:c r="P1306" s="10" t="n">
        <x:v>4</x:v>
      </x:c>
      <x:c r="Q1306" s="10" t="n">
        <x:v>7</x:v>
      </x:c>
      <x:c r="R1306" s="10" t="n">
        <x:v>11</x:v>
      </x:c>
      <x:c r="S1306" s="10" t="n">
        <x:v>38</x:v>
      </x:c>
      <x:c r="T1306" s="10" t="n">
        <x:v>0</x:v>
      </x:c>
      <x:c r="U1306" s="10" t="n">
        <x:f>IF(AND(ISNUMBER(X1306),X1306&gt;=0,Y1306&lt;&gt;1),X1306,"")</x:f>
        <x:v>11</x:v>
      </x:c>
      <x:c r="V1306" s="10" t="n">
        <x:v>1</x:v>
      </x:c>
      <x:c r="W1306" s="10" t="n">
        <x:v>21</x:v>
      </x:c>
      <x:c r="X1306" s="10" t="n">
        <x:v>11</x:v>
      </x:c>
      <x:c r="Y1306" s="3" t="n">
        <x:v>0</x:v>
      </x:c>
      <x:c r="Z1306" s="3" t="str">
        <x:v>共同</x:v>
      </x:c>
      <x:c r="AA1306" s="3" t="str">
        <x:v>在售</x:v>
      </x:c>
      <x:c r="AB1306" s="12" t="n">
        <x:f>IF(AND(Z1306="共同",ISNUMBER(G1306),ISNUMBER(AD1306)),G1306-AD1306,"")</x:f>
        <x:v>0.20714285714285718</x:v>
      </x:c>
      <x:c r="AC1306" s="3" t="str"/>
      <x:c r="AD1306" s="12" t="n">
        <x:v>0.3019047619047619</x:v>
      </x:c>
      <x:c r="AE1306" s="3" t="str">
        <x:v>[6574,"S02b-NY-38"]</x:v>
      </x:c>
      <x:c r="AF1306" t="n">
        <x:f>IF(ISNUMBER(H1306),1,0)</x:f>
        <x:v>1</x:v>
      </x:c>
      <x:c r="AG1306" t="n">
        <x:f>IF(ISNUMBER(I1306),1,0)</x:f>
        <x:v>1</x:v>
      </x:c>
      <x:c r="AH1306" t="str">
        <x:v>["S02b","S02b-NY","NY","藏青色"]</x:v>
      </x:c>
      <x:c r="AI1306" t="n">
        <x:f>IF(ISNUMBER(G1306),1,0)</x:f>
        <x:v>1</x:v>
      </x:c>
      <x:c r="AJ1306" t="n">
        <x:f>IF(ISNUMBER(AD1306),1,0)</x:f>
        <x:v>1</x:v>
      </x:c>
    </x:row>
    <x:row r="1307" ht="30" customHeight="1">
      <x:c r="A1307" s="3" t="str">
        <x:v>S02b-NY-39</x:v>
      </x:c>
      <x:c r="B1307" s="3" t="str">
        <x:v>3店-SANDIEX-US</x:v>
      </x:c>
      <x:c r="C1307" s="3" t="str">
        <x:v>陈晨</x:v>
      </x:c>
      <x:c r="D1307" s="3" t="str">
        <x:v>S02b</x:v>
      </x:c>
      <x:c r="E1307" s="3" t="str">
        <x:f>IF(Z1307="移出","已移出",IF(NOT(ISNUMBER(H1307)),"数据待核",IF(H1307=0,"断货",IF(NOT(ISNUMBER(G1307)),"数据待核",IF(G1307=0,"零日销待复核",IF(F1307&lt;60,"补货提醒",IF(F1307&lt;=90,"正常库存",IF(F1307&lt;180,"促销",IF(F1307&lt;=365,"红线促销","考虑清仓")))))))))</x:f>
        <x:v>补货提醒</x:v>
      </x:c>
      <x:c r="F1307" s="11" t="n">
        <x:f>IF(AND(ISNUMBER(H1307),ISNUMBER(G1307),G1307&gt;0),H1307/G1307,"")</x:f>
        <x:v>23.924807747080603</x:v>
      </x:c>
      <x:c r="G1307" s="12" t="n">
        <x:f>IF(AND(COUNT(P1307:R1307)=3,MIN(P1307:R1307)&gt;=0,P1307&lt;=Q1307,Q1307&lt;=R1307),P1307/7*0.5+Q1307/14*0.3+R1307/30*0.2,"")</x:f>
        <x:v>1.671904761904762</x:v>
      </x:c>
      <x:c r="H1307" s="10" t="n">
        <x:f>IF(ISNUMBER(U1307),U1307,"")</x:f>
        <x:v>40</x:v>
      </x:c>
      <x:c r="I1307" s="10" t="n">
        <x:v>52</x:v>
      </x:c>
      <x:c r="J1307" s="11" t="n">
        <x:f>IF(AND(Z1307="共同",ISNUMBER(F1307),ISNUMBER(M1307)),F1307-M1307,"")</x:f>
        <x:v>-48.82669125358561</x:v>
      </x:c>
      <x:c r="K1307" s="13" t="n">
        <x:f>IF(AND(ISNUMBER(J1307),M1307&lt;&gt;0),J1307/M1307,"")</x:f>
        <x:v>-0.6711434393006593</x:v>
      </x:c>
      <x:c r="L1307" s="10" t="str">
        <x:v>正常库存</x:v>
      </x:c>
      <x:c r="M1307" s="11" t="n">
        <x:v>72.75149900066621</x:v>
      </x:c>
      <x:c r="N1307" s="10" t="n">
        <x:f>IF(AND(Z1307="共同",COUNT(H1307:I1307)=2),H1307-I1307,"")</x:f>
        <x:v>-12</x:v>
      </x:c>
      <x:c r="O1307" s="10" t="n">
        <x:v>67</x:v>
      </x:c>
      <x:c r="P1307" s="10" t="n">
        <x:v>15</x:v>
      </x:c>
      <x:c r="Q1307" s="10" t="n">
        <x:v>19</x:v>
      </x:c>
      <x:c r="R1307" s="10" t="n">
        <x:v>29</x:v>
      </x:c>
      <x:c r="S1307" s="10" t="n">
        <x:v>41</x:v>
      </x:c>
      <x:c r="T1307" s="10" t="n">
        <x:v>0</x:v>
      </x:c>
      <x:c r="U1307" s="10" t="n">
        <x:f>IF(AND(ISNUMBER(X1307),X1307&gt;=0,Y1307&lt;&gt;1),X1307,"")</x:f>
        <x:v>40</x:v>
      </x:c>
      <x:c r="V1307" s="10" t="n">
        <x:v>0</x:v>
      </x:c>
      <x:c r="W1307" s="10" t="n">
        <x:v>20</x:v>
      </x:c>
      <x:c r="X1307" s="10" t="n">
        <x:v>40</x:v>
      </x:c>
      <x:c r="Y1307" s="3" t="n">
        <x:v>0</x:v>
      </x:c>
      <x:c r="Z1307" s="3" t="str">
        <x:v>共同</x:v>
      </x:c>
      <x:c r="AA1307" s="3" t="str">
        <x:v>在售</x:v>
      </x:c>
      <x:c r="AB1307" s="12" t="n">
        <x:f>IF(AND(Z1307="共同",ISNUMBER(G1307),ISNUMBER(AD1307)),G1307-AD1307,"")</x:f>
        <x:v>0.9571428571428572</x:v>
      </x:c>
      <x:c r="AC1307" s="3" t="str"/>
      <x:c r="AD1307" s="12" t="n">
        <x:v>0.7147619047619048</x:v>
      </x:c>
      <x:c r="AE1307" s="3" t="str">
        <x:v>[6574,"S02b-NY-39"]</x:v>
      </x:c>
      <x:c r="AF1307" t="n">
        <x:f>IF(ISNUMBER(H1307),1,0)</x:f>
        <x:v>1</x:v>
      </x:c>
      <x:c r="AG1307" t="n">
        <x:f>IF(ISNUMBER(I1307),1,0)</x:f>
        <x:v>1</x:v>
      </x:c>
      <x:c r="AH1307" t="str">
        <x:v>["S02b","S02b-NY","NY","藏青色"]</x:v>
      </x:c>
      <x:c r="AI1307" t="n">
        <x:f>IF(ISNUMBER(G1307),1,0)</x:f>
        <x:v>1</x:v>
      </x:c>
      <x:c r="AJ1307" t="n">
        <x:f>IF(ISNUMBER(AD1307),1,0)</x:f>
        <x:v>1</x:v>
      </x:c>
    </x:row>
    <x:row r="1308" ht="30" customHeight="1">
      <x:c r="A1308" s="3" t="str">
        <x:v>2302153-CC-P-Z-10.5</x:v>
      </x:c>
      <x:c r="B1308" s="3" t="str">
        <x:v>3店-SANDIEX-US</x:v>
      </x:c>
      <x:c r="C1308" s="3" t="str">
        <x:v>徐新怡</x:v>
      </x:c>
      <x:c r="D1308" s="3" t="str">
        <x:v>2302153</x:v>
      </x:c>
      <x:c r="E1308" s="3" t="str">
        <x:f>IF(Z1308="移出","已移出",IF(NOT(ISNUMBER(H1308)),"数据待核",IF(H1308=0,"断货",IF(NOT(ISNUMBER(G1308)),"数据待核",IF(G1308=0,"零日销待复核",IF(F1308&lt;60,"补货提醒",IF(F1308&lt;=90,"正常库存",IF(F1308&lt;180,"促销",IF(F1308&lt;=365,"红线促销","考虑清仓")))))))))</x:f>
        <x:v>已移出</x:v>
      </x:c>
      <x:c r="F1308" s="11" t="str">
        <x:f>IF(AND(ISNUMBER(H1308),ISNUMBER(G1308),G1308&gt;0),H1308/G1308,"")</x:f>
      </x:c>
      <x:c r="G1308" s="12" t="str">
        <x:f>IF(AND(COUNT(P1308:R1308)=3,MIN(P1308:R1308)&gt;=0,P1308&lt;=Q1308,Q1308&lt;=R1308),P1308/7*0.5+Q1308/14*0.3+R1308/30*0.2,"")</x:f>
      </x:c>
      <x:c r="H1308" s="10" t="str">
        <x:f>IF(ISNUMBER(U1308),U1308,"")</x:f>
      </x:c>
      <x:c r="I1308" s="10" t="n">
        <x:v>0</x:v>
      </x:c>
      <x:c r="J1308" s="11" t="str">
        <x:f>IF(AND(Z1308="共同",ISNUMBER(F1308),ISNUMBER(M1308)),F1308-M1308,"")</x:f>
      </x:c>
      <x:c r="K1308" s="13" t="str">
        <x:f>IF(AND(ISNUMBER(J1308),M1308&lt;&gt;0),J1308/M1308,"")</x:f>
      </x:c>
      <x:c r="L1308" s="10" t="str">
        <x:v>断货</x:v>
      </x:c>
      <x:c r="M1308" s="11"/>
      <x:c r="N1308" s="10" t="str">
        <x:f>IF(AND(Z1308="共同",COUNT(H1308:I1308)=2),H1308-I1308,"")</x:f>
      </x:c>
      <x:c r="O1308" s="10"/>
      <x:c r="P1308" s="10"/>
      <x:c r="Q1308" s="10"/>
      <x:c r="R1308" s="10"/>
      <x:c r="S1308" s="10"/>
      <x:c r="T1308" s="10"/>
      <x:c r="U1308" s="10" t="str">
        <x:f>IF(AND(ISNUMBER(X1308),X1308&gt;=0,Y1308&lt;&gt;1),X1308,"")</x:f>
      </x:c>
      <x:c r="V1308" s="10"/>
      <x:c r="W1308" s="10"/>
      <x:c r="X1308" s="10"/>
      <x:c r="Y1308" s="3"/>
      <x:c r="Z1308" s="3" t="str">
        <x:v>移出</x:v>
      </x:c>
      <x:c r="AA1308" s="3" t="str">
        <x:v>已移出</x:v>
      </x:c>
      <x:c r="AB1308" s="12" t="str">
        <x:f>IF(AND(Z1308="共同",ISNUMBER(G1308),ISNUMBER(AD1308)),G1308-AD1308,"")</x:f>
      </x:c>
      <x:c r="AC1308" s="3" t="str">
        <x:v>基准清单已移出</x:v>
      </x:c>
      <x:c r="AD1308" s="12"/>
      <x:c r="AE1308" s="3" t="str">
        <x:v>[6574,"2302153-CC-P-Z-10.5"]</x:v>
      </x:c>
      <x:c r="AF1308" t="n">
        <x:f>IF(ISNUMBER(H1308),1,0)</x:f>
        <x:v>0</x:v>
      </x:c>
      <x:c r="AG1308" t="n">
        <x:f>IF(ISNUMBER(I1308),1,0)</x:f>
        <x:v>1</x:v>
      </x:c>
      <x:c r="AH1308"/>
      <x:c r="AI1308" t="n">
        <x:f>IF(ISNUMBER(G1308),1,0)</x:f>
        <x:v>0</x:v>
      </x:c>
      <x:c r="AJ1308" t="n">
        <x:f>IF(ISNUMBER(AD1308),1,0)</x:f>
        <x:v>0</x:v>
      </x:c>
    </x:row>
    <x:row r="1309" ht="30" customHeight="1">
      <x:c r="A1309" s="3" t="str">
        <x:v>2302153-ND-S-Z-10.5</x:v>
      </x:c>
      <x:c r="B1309" s="3" t="str">
        <x:v>3店-SANDIEX-US</x:v>
      </x:c>
      <x:c r="C1309" s="3" t="str">
        <x:v>徐新怡</x:v>
      </x:c>
      <x:c r="D1309" s="3" t="str">
        <x:v>2302153</x:v>
      </x:c>
      <x:c r="E1309" s="3" t="str">
        <x:f>IF(Z1309="移出","已移出",IF(NOT(ISNUMBER(H1309)),"数据待核",IF(H1309=0,"断货",IF(NOT(ISNUMBER(G1309)),"数据待核",IF(G1309=0,"零日销待复核",IF(F1309&lt;60,"补货提醒",IF(F1309&lt;=90,"正常库存",IF(F1309&lt;180,"促销",IF(F1309&lt;=365,"红线促销","考虑清仓")))))))))</x:f>
        <x:v>已移出</x:v>
      </x:c>
      <x:c r="F1309" s="11" t="str">
        <x:f>IF(AND(ISNUMBER(H1309),ISNUMBER(G1309),G1309&gt;0),H1309/G1309,"")</x:f>
      </x:c>
      <x:c r="G1309" s="12" t="str">
        <x:f>IF(AND(COUNT(P1309:R1309)=3,MIN(P1309:R1309)&gt;=0,P1309&lt;=Q1309,Q1309&lt;=R1309),P1309/7*0.5+Q1309/14*0.3+R1309/30*0.2,"")</x:f>
      </x:c>
      <x:c r="H1309" s="10" t="str">
        <x:f>IF(ISNUMBER(U1309),U1309,"")</x:f>
      </x:c>
      <x:c r="I1309" s="10" t="n">
        <x:v>0</x:v>
      </x:c>
      <x:c r="J1309" s="11" t="str">
        <x:f>IF(AND(Z1309="共同",ISNUMBER(F1309),ISNUMBER(M1309)),F1309-M1309,"")</x:f>
      </x:c>
      <x:c r="K1309" s="13" t="str">
        <x:f>IF(AND(ISNUMBER(J1309),M1309&lt;&gt;0),J1309/M1309,"")</x:f>
      </x:c>
      <x:c r="L1309" s="10" t="str">
        <x:v>断货</x:v>
      </x:c>
      <x:c r="M1309" s="11"/>
      <x:c r="N1309" s="10" t="str">
        <x:f>IF(AND(Z1309="共同",COUNT(H1309:I1309)=2),H1309-I1309,"")</x:f>
      </x:c>
      <x:c r="O1309" s="10"/>
      <x:c r="P1309" s="10"/>
      <x:c r="Q1309" s="10"/>
      <x:c r="R1309" s="10"/>
      <x:c r="S1309" s="10"/>
      <x:c r="T1309" s="10"/>
      <x:c r="U1309" s="10" t="str">
        <x:f>IF(AND(ISNUMBER(X1309),X1309&gt;=0,Y1309&lt;&gt;1),X1309,"")</x:f>
      </x:c>
      <x:c r="V1309" s="10"/>
      <x:c r="W1309" s="10"/>
      <x:c r="X1309" s="10"/>
      <x:c r="Y1309" s="3"/>
      <x:c r="Z1309" s="3" t="str">
        <x:v>移出</x:v>
      </x:c>
      <x:c r="AA1309" s="3" t="str">
        <x:v>已移出</x:v>
      </x:c>
      <x:c r="AB1309" s="12" t="str">
        <x:f>IF(AND(Z1309="共同",ISNUMBER(G1309),ISNUMBER(AD1309)),G1309-AD1309,"")</x:f>
      </x:c>
      <x:c r="AC1309" s="3" t="str">
        <x:v>基准清单已移出</x:v>
      </x:c>
      <x:c r="AD1309" s="12"/>
      <x:c r="AE1309" s="3" t="str">
        <x:v>[6574,"2302153-ND-S-Z-10.5"]</x:v>
      </x:c>
      <x:c r="AF1309" t="n">
        <x:f>IF(ISNUMBER(H1309),1,0)</x:f>
        <x:v>0</x:v>
      </x:c>
      <x:c r="AG1309" t="n">
        <x:f>IF(ISNUMBER(I1309),1,0)</x:f>
        <x:v>1</x:v>
      </x:c>
      <x:c r="AH1309"/>
      <x:c r="AI1309" t="n">
        <x:f>IF(ISNUMBER(G1309),1,0)</x:f>
        <x:v>0</x:v>
      </x:c>
      <x:c r="AJ1309" t="n">
        <x:f>IF(ISNUMBER(AD1309),1,0)</x:f>
        <x:v>0</x:v>
      </x:c>
    </x:row>
    <x:row r="1310" ht="30" customHeight="1">
      <x:c r="A1310" s="3" t="str">
        <x:v>2302153-RD-S-Z-10</x:v>
      </x:c>
      <x:c r="B1310" s="3" t="str">
        <x:v>3店-SANDIEX-US</x:v>
      </x:c>
      <x:c r="C1310" s="3" t="str">
        <x:v>徐新怡</x:v>
      </x:c>
      <x:c r="D1310" s="3" t="str">
        <x:v>2302153</x:v>
      </x:c>
      <x:c r="E1310" s="3" t="str">
        <x:f>IF(Z1310="移出","已移出",IF(NOT(ISNUMBER(H1310)),"数据待核",IF(H1310=0,"断货",IF(NOT(ISNUMBER(G1310)),"数据待核",IF(G1310=0,"零日销待复核",IF(F1310&lt;60,"补货提醒",IF(F1310&lt;=90,"正常库存",IF(F1310&lt;180,"促销",IF(F1310&lt;=365,"红线促销","考虑清仓")))))))))</x:f>
        <x:v>已移出</x:v>
      </x:c>
      <x:c r="F1310" s="11" t="str">
        <x:f>IF(AND(ISNUMBER(H1310),ISNUMBER(G1310),G1310&gt;0),H1310/G1310,"")</x:f>
      </x:c>
      <x:c r="G1310" s="12" t="str">
        <x:f>IF(AND(COUNT(P1310:R1310)=3,MIN(P1310:R1310)&gt;=0,P1310&lt;=Q1310,Q1310&lt;=R1310),P1310/7*0.5+Q1310/14*0.3+R1310/30*0.2,"")</x:f>
      </x:c>
      <x:c r="H1310" s="10" t="str">
        <x:f>IF(ISNUMBER(U1310),U1310,"")</x:f>
      </x:c>
      <x:c r="I1310" s="10" t="n">
        <x:v>0</x:v>
      </x:c>
      <x:c r="J1310" s="11" t="str">
        <x:f>IF(AND(Z1310="共同",ISNUMBER(F1310),ISNUMBER(M1310)),F1310-M1310,"")</x:f>
      </x:c>
      <x:c r="K1310" s="13" t="str">
        <x:f>IF(AND(ISNUMBER(J1310),M1310&lt;&gt;0),J1310/M1310,"")</x:f>
      </x:c>
      <x:c r="L1310" s="10" t="str">
        <x:v>断货</x:v>
      </x:c>
      <x:c r="M1310" s="11"/>
      <x:c r="N1310" s="10" t="str">
        <x:f>IF(AND(Z1310="共同",COUNT(H1310:I1310)=2),H1310-I1310,"")</x:f>
      </x:c>
      <x:c r="O1310" s="10"/>
      <x:c r="P1310" s="10"/>
      <x:c r="Q1310" s="10"/>
      <x:c r="R1310" s="10"/>
      <x:c r="S1310" s="10"/>
      <x:c r="T1310" s="10"/>
      <x:c r="U1310" s="10" t="str">
        <x:f>IF(AND(ISNUMBER(X1310),X1310&gt;=0,Y1310&lt;&gt;1),X1310,"")</x:f>
      </x:c>
      <x:c r="V1310" s="10"/>
      <x:c r="W1310" s="10"/>
      <x:c r="X1310" s="10"/>
      <x:c r="Y1310" s="3"/>
      <x:c r="Z1310" s="3" t="str">
        <x:v>移出</x:v>
      </x:c>
      <x:c r="AA1310" s="3" t="str">
        <x:v>已移出</x:v>
      </x:c>
      <x:c r="AB1310" s="12" t="str">
        <x:f>IF(AND(Z1310="共同",ISNUMBER(G1310),ISNUMBER(AD1310)),G1310-AD1310,"")</x:f>
      </x:c>
      <x:c r="AC1310" s="3" t="str">
        <x:v>基准清单已移出</x:v>
      </x:c>
      <x:c r="AD1310" s="12"/>
      <x:c r="AE1310" s="3" t="str">
        <x:v>[6574,"2302153-RD-S-Z-10"]</x:v>
      </x:c>
      <x:c r="AF1310" t="n">
        <x:f>IF(ISNUMBER(H1310),1,0)</x:f>
        <x:v>0</x:v>
      </x:c>
      <x:c r="AG1310" t="n">
        <x:f>IF(ISNUMBER(I1310),1,0)</x:f>
        <x:v>1</x:v>
      </x:c>
      <x:c r="AH1310"/>
      <x:c r="AI1310" t="n">
        <x:f>IF(ISNUMBER(G1310),1,0)</x:f>
        <x:v>0</x:v>
      </x:c>
      <x:c r="AJ1310" t="n">
        <x:f>IF(ISNUMBER(AD1310),1,0)</x:f>
        <x:v>0</x:v>
      </x:c>
    </x:row>
    <x:row r="1311" ht="30" customHeight="1">
      <x:c r="A1311" s="3" t="str">
        <x:v>2302153-RD-S-Z-8</x:v>
      </x:c>
      <x:c r="B1311" s="3" t="str">
        <x:v>3店-SANDIEX-US</x:v>
      </x:c>
      <x:c r="C1311" s="3" t="str">
        <x:v>徐新怡</x:v>
      </x:c>
      <x:c r="D1311" s="3" t="str">
        <x:v>2302153</x:v>
      </x:c>
      <x:c r="E1311" s="3" t="str">
        <x:f>IF(Z1311="移出","已移出",IF(NOT(ISNUMBER(H1311)),"数据待核",IF(H1311=0,"断货",IF(NOT(ISNUMBER(G1311)),"数据待核",IF(G1311=0,"零日销待复核",IF(F1311&lt;60,"补货提醒",IF(F1311&lt;=90,"正常库存",IF(F1311&lt;180,"促销",IF(F1311&lt;=365,"红线促销","考虑清仓")))))))))</x:f>
        <x:v>已移出</x:v>
      </x:c>
      <x:c r="F1311" s="11" t="str">
        <x:f>IF(AND(ISNUMBER(H1311),ISNUMBER(G1311),G1311&gt;0),H1311/G1311,"")</x:f>
      </x:c>
      <x:c r="G1311" s="12" t="str">
        <x:f>IF(AND(COUNT(P1311:R1311)=3,MIN(P1311:R1311)&gt;=0,P1311&lt;=Q1311,Q1311&lt;=R1311),P1311/7*0.5+Q1311/14*0.3+R1311/30*0.2,"")</x:f>
      </x:c>
      <x:c r="H1311" s="10" t="str">
        <x:f>IF(ISNUMBER(U1311),U1311,"")</x:f>
      </x:c>
      <x:c r="I1311" s="10" t="n">
        <x:v>0</x:v>
      </x:c>
      <x:c r="J1311" s="11" t="str">
        <x:f>IF(AND(Z1311="共同",ISNUMBER(F1311),ISNUMBER(M1311)),F1311-M1311,"")</x:f>
      </x:c>
      <x:c r="K1311" s="13" t="str">
        <x:f>IF(AND(ISNUMBER(J1311),M1311&lt;&gt;0),J1311/M1311,"")</x:f>
      </x:c>
      <x:c r="L1311" s="10" t="str">
        <x:v>断货</x:v>
      </x:c>
      <x:c r="M1311" s="11"/>
      <x:c r="N1311" s="10" t="str">
        <x:f>IF(AND(Z1311="共同",COUNT(H1311:I1311)=2),H1311-I1311,"")</x:f>
      </x:c>
      <x:c r="O1311" s="10"/>
      <x:c r="P1311" s="10"/>
      <x:c r="Q1311" s="10"/>
      <x:c r="R1311" s="10"/>
      <x:c r="S1311" s="10"/>
      <x:c r="T1311" s="10"/>
      <x:c r="U1311" s="10" t="str">
        <x:f>IF(AND(ISNUMBER(X1311),X1311&gt;=0,Y1311&lt;&gt;1),X1311,"")</x:f>
      </x:c>
      <x:c r="V1311" s="10"/>
      <x:c r="W1311" s="10"/>
      <x:c r="X1311" s="10"/>
      <x:c r="Y1311" s="3"/>
      <x:c r="Z1311" s="3" t="str">
        <x:v>移出</x:v>
      </x:c>
      <x:c r="AA1311" s="3" t="str">
        <x:v>已移出</x:v>
      </x:c>
      <x:c r="AB1311" s="12" t="str">
        <x:f>IF(AND(Z1311="共同",ISNUMBER(G1311),ISNUMBER(AD1311)),G1311-AD1311,"")</x:f>
      </x:c>
      <x:c r="AC1311" s="3" t="str">
        <x:v>基准清单已移出</x:v>
      </x:c>
      <x:c r="AD1311" s="12"/>
      <x:c r="AE1311" s="3" t="str">
        <x:v>[6574,"2302153-RD-S-Z-8"]</x:v>
      </x:c>
      <x:c r="AF1311" t="n">
        <x:f>IF(ISNUMBER(H1311),1,0)</x:f>
        <x:v>0</x:v>
      </x:c>
      <x:c r="AG1311" t="n">
        <x:f>IF(ISNUMBER(I1311),1,0)</x:f>
        <x:v>1</x:v>
      </x:c>
      <x:c r="AH1311"/>
      <x:c r="AI1311" t="n">
        <x:f>IF(ISNUMBER(G1311),1,0)</x:f>
        <x:v>0</x:v>
      </x:c>
      <x:c r="AJ1311" t="n">
        <x:f>IF(ISNUMBER(AD1311),1,0)</x:f>
        <x:v>0</x:v>
      </x:c>
    </x:row>
    <x:row r="1312" ht="30" customHeight="1">
      <x:c r="A1312" s="3" t="str">
        <x:v>2302153-RD-S-Z-8.5</x:v>
      </x:c>
      <x:c r="B1312" s="3" t="str">
        <x:v>3店-SANDIEX-US</x:v>
      </x:c>
      <x:c r="C1312" s="3" t="str">
        <x:v>徐新怡</x:v>
      </x:c>
      <x:c r="D1312" s="3" t="str">
        <x:v>2302153</x:v>
      </x:c>
      <x:c r="E1312" s="3" t="str">
        <x:f>IF(Z1312="移出","已移出",IF(NOT(ISNUMBER(H1312)),"数据待核",IF(H1312=0,"断货",IF(NOT(ISNUMBER(G1312)),"数据待核",IF(G1312=0,"零日销待复核",IF(F1312&lt;60,"补货提醒",IF(F1312&lt;=90,"正常库存",IF(F1312&lt;180,"促销",IF(F1312&lt;=365,"红线促销","考虑清仓")))))))))</x:f>
        <x:v>已移出</x:v>
      </x:c>
      <x:c r="F1312" s="11" t="str">
        <x:f>IF(AND(ISNUMBER(H1312),ISNUMBER(G1312),G1312&gt;0),H1312/G1312,"")</x:f>
      </x:c>
      <x:c r="G1312" s="12" t="str">
        <x:f>IF(AND(COUNT(P1312:R1312)=3,MIN(P1312:R1312)&gt;=0,P1312&lt;=Q1312,Q1312&lt;=R1312),P1312/7*0.5+Q1312/14*0.3+R1312/30*0.2,"")</x:f>
      </x:c>
      <x:c r="H1312" s="10" t="str">
        <x:f>IF(ISNUMBER(U1312),U1312,"")</x:f>
      </x:c>
      <x:c r="I1312" s="10" t="n">
        <x:v>0</x:v>
      </x:c>
      <x:c r="J1312" s="11" t="str">
        <x:f>IF(AND(Z1312="共同",ISNUMBER(F1312),ISNUMBER(M1312)),F1312-M1312,"")</x:f>
      </x:c>
      <x:c r="K1312" s="13" t="str">
        <x:f>IF(AND(ISNUMBER(J1312),M1312&lt;&gt;0),J1312/M1312,"")</x:f>
      </x:c>
      <x:c r="L1312" s="10" t="str">
        <x:v>断货</x:v>
      </x:c>
      <x:c r="M1312" s="11"/>
      <x:c r="N1312" s="10" t="str">
        <x:f>IF(AND(Z1312="共同",COUNT(H1312:I1312)=2),H1312-I1312,"")</x:f>
      </x:c>
      <x:c r="O1312" s="10"/>
      <x:c r="P1312" s="10"/>
      <x:c r="Q1312" s="10"/>
      <x:c r="R1312" s="10"/>
      <x:c r="S1312" s="10"/>
      <x:c r="T1312" s="10"/>
      <x:c r="U1312" s="10" t="str">
        <x:f>IF(AND(ISNUMBER(X1312),X1312&gt;=0,Y1312&lt;&gt;1),X1312,"")</x:f>
      </x:c>
      <x:c r="V1312" s="10"/>
      <x:c r="W1312" s="10"/>
      <x:c r="X1312" s="10"/>
      <x:c r="Y1312" s="3"/>
      <x:c r="Z1312" s="3" t="str">
        <x:v>移出</x:v>
      </x:c>
      <x:c r="AA1312" s="3" t="str">
        <x:v>已移出</x:v>
      </x:c>
      <x:c r="AB1312" s="12" t="str">
        <x:f>IF(AND(Z1312="共同",ISNUMBER(G1312),ISNUMBER(AD1312)),G1312-AD1312,"")</x:f>
      </x:c>
      <x:c r="AC1312" s="3" t="str">
        <x:v>基准清单已移出</x:v>
      </x:c>
      <x:c r="AD1312" s="12"/>
      <x:c r="AE1312" s="3" t="str">
        <x:v>[6574,"2302153-RD-S-Z-8.5"]</x:v>
      </x:c>
      <x:c r="AF1312" t="n">
        <x:f>IF(ISNUMBER(H1312),1,0)</x:f>
        <x:v>0</x:v>
      </x:c>
      <x:c r="AG1312" t="n">
        <x:f>IF(ISNUMBER(I1312),1,0)</x:f>
        <x:v>1</x:v>
      </x:c>
      <x:c r="AH1312"/>
      <x:c r="AI1312" t="n">
        <x:f>IF(ISNUMBER(G1312),1,0)</x:f>
        <x:v>0</x:v>
      </x:c>
      <x:c r="AJ1312" t="n">
        <x:f>IF(ISNUMBER(AD1312),1,0)</x:f>
        <x:v>0</x:v>
      </x:c>
    </x:row>
    <x:row r="1313" ht="30" customHeight="1">
      <x:c r="A1313" s="3" t="str">
        <x:v>2302153-RD-S-Z-9</x:v>
      </x:c>
      <x:c r="B1313" s="3" t="str">
        <x:v>3店-SANDIEX-US</x:v>
      </x:c>
      <x:c r="C1313" s="3" t="str">
        <x:v>徐新怡</x:v>
      </x:c>
      <x:c r="D1313" s="3" t="str">
        <x:v>2302153</x:v>
      </x:c>
      <x:c r="E1313" s="3" t="str">
        <x:f>IF(Z1313="移出","已移出",IF(NOT(ISNUMBER(H1313)),"数据待核",IF(H1313=0,"断货",IF(NOT(ISNUMBER(G1313)),"数据待核",IF(G1313=0,"零日销待复核",IF(F1313&lt;60,"补货提醒",IF(F1313&lt;=90,"正常库存",IF(F1313&lt;180,"促销",IF(F1313&lt;=365,"红线促销","考虑清仓")))))))))</x:f>
        <x:v>已移出</x:v>
      </x:c>
      <x:c r="F1313" s="11" t="str">
        <x:f>IF(AND(ISNUMBER(H1313),ISNUMBER(G1313),G1313&gt;0),H1313/G1313,"")</x:f>
      </x:c>
      <x:c r="G1313" s="12" t="str">
        <x:f>IF(AND(COUNT(P1313:R1313)=3,MIN(P1313:R1313)&gt;=0,P1313&lt;=Q1313,Q1313&lt;=R1313),P1313/7*0.5+Q1313/14*0.3+R1313/30*0.2,"")</x:f>
      </x:c>
      <x:c r="H1313" s="10" t="str">
        <x:f>IF(ISNUMBER(U1313),U1313,"")</x:f>
      </x:c>
      <x:c r="I1313" s="10" t="n">
        <x:v>0</x:v>
      </x:c>
      <x:c r="J1313" s="11" t="str">
        <x:f>IF(AND(Z1313="共同",ISNUMBER(F1313),ISNUMBER(M1313)),F1313-M1313,"")</x:f>
      </x:c>
      <x:c r="K1313" s="13" t="str">
        <x:f>IF(AND(ISNUMBER(J1313),M1313&lt;&gt;0),J1313/M1313,"")</x:f>
      </x:c>
      <x:c r="L1313" s="10" t="str">
        <x:v>断货</x:v>
      </x:c>
      <x:c r="M1313" s="11"/>
      <x:c r="N1313" s="10" t="str">
        <x:f>IF(AND(Z1313="共同",COUNT(H1313:I1313)=2),H1313-I1313,"")</x:f>
      </x:c>
      <x:c r="O1313" s="10"/>
      <x:c r="P1313" s="10"/>
      <x:c r="Q1313" s="10"/>
      <x:c r="R1313" s="10"/>
      <x:c r="S1313" s="10"/>
      <x:c r="T1313" s="10"/>
      <x:c r="U1313" s="10" t="str">
        <x:f>IF(AND(ISNUMBER(X1313),X1313&gt;=0,Y1313&lt;&gt;1),X1313,"")</x:f>
      </x:c>
      <x:c r="V1313" s="10"/>
      <x:c r="W1313" s="10"/>
      <x:c r="X1313" s="10"/>
      <x:c r="Y1313" s="3"/>
      <x:c r="Z1313" s="3" t="str">
        <x:v>移出</x:v>
      </x:c>
      <x:c r="AA1313" s="3" t="str">
        <x:v>已移出</x:v>
      </x:c>
      <x:c r="AB1313" s="12" t="str">
        <x:f>IF(AND(Z1313="共同",ISNUMBER(G1313),ISNUMBER(AD1313)),G1313-AD1313,"")</x:f>
      </x:c>
      <x:c r="AC1313" s="3" t="str">
        <x:v>基准清单已移出</x:v>
      </x:c>
      <x:c r="AD1313" s="12"/>
      <x:c r="AE1313" s="3" t="str">
        <x:v>[6574,"2302153-RD-S-Z-9"]</x:v>
      </x:c>
      <x:c r="AF1313" t="n">
        <x:f>IF(ISNUMBER(H1313),1,0)</x:f>
        <x:v>0</x:v>
      </x:c>
      <x:c r="AG1313" t="n">
        <x:f>IF(ISNUMBER(I1313),1,0)</x:f>
        <x:v>1</x:v>
      </x:c>
      <x:c r="AH1313"/>
      <x:c r="AI1313" t="n">
        <x:f>IF(ISNUMBER(G1313),1,0)</x:f>
        <x:v>0</x:v>
      </x:c>
      <x:c r="AJ1313" t="n">
        <x:f>IF(ISNUMBER(AD1313),1,0)</x:f>
        <x:v>0</x:v>
      </x:c>
    </x:row>
    <x:row r="1314" ht="30" customHeight="1">
      <x:c r="A1314" s="3" t="str">
        <x:v>1S01-DPB-38</x:v>
      </x:c>
      <x:c r="B1314" s="3" t="str">
        <x:v>3店-SANDIEX-US</x:v>
      </x:c>
      <x:c r="C1314" s="3" t="str">
        <x:v>徐新怡</x:v>
      </x:c>
      <x:c r="D1314" s="3" t="str">
        <x:v>1S01</x:v>
      </x:c>
      <x:c r="E1314" s="3" t="str">
        <x:f>IF(Z1314="移出","已移出",IF(NOT(ISNUMBER(H1314)),"数据待核",IF(H1314=0,"断货",IF(NOT(ISNUMBER(G1314)),"数据待核",IF(G1314=0,"零日销待复核",IF(F1314&lt;60,"补货提醒",IF(F1314&lt;=90,"正常库存",IF(F1314&lt;180,"促销",IF(F1314&lt;=365,"红线促销","考虑清仓")))))))))</x:f>
        <x:v>已移出</x:v>
      </x:c>
      <x:c r="F1314" s="11" t="str">
        <x:f>IF(AND(ISNUMBER(H1314),ISNUMBER(G1314),G1314&gt;0),H1314/G1314,"")</x:f>
      </x:c>
      <x:c r="G1314" s="12" t="str">
        <x:f>IF(AND(COUNT(P1314:R1314)=3,MIN(P1314:R1314)&gt;=0,P1314&lt;=Q1314,Q1314&lt;=R1314),P1314/7*0.5+Q1314/14*0.3+R1314/30*0.2,"")</x:f>
      </x:c>
      <x:c r="H1314" s="10" t="str">
        <x:f>IF(ISNUMBER(U1314),U1314,"")</x:f>
      </x:c>
      <x:c r="I1314" s="10"/>
      <x:c r="J1314" s="11" t="str">
        <x:f>IF(AND(Z1314="共同",ISNUMBER(F1314),ISNUMBER(M1314)),F1314-M1314,"")</x:f>
      </x:c>
      <x:c r="K1314" s="13" t="str">
        <x:f>IF(AND(ISNUMBER(J1314),M1314&lt;&gt;0),J1314/M1314,"")</x:f>
      </x:c>
      <x:c r="L1314" s="10" t="str">
        <x:v>数据待核</x:v>
      </x:c>
      <x:c r="M1314" s="11"/>
      <x:c r="N1314" s="10" t="str">
        <x:f>IF(AND(Z1314="共同",COUNT(H1314:I1314)=2),H1314-I1314,"")</x:f>
      </x:c>
      <x:c r="O1314" s="10"/>
      <x:c r="P1314" s="10"/>
      <x:c r="Q1314" s="10"/>
      <x:c r="R1314" s="10"/>
      <x:c r="S1314" s="10"/>
      <x:c r="T1314" s="10"/>
      <x:c r="U1314" s="10" t="str">
        <x:f>IF(AND(ISNUMBER(X1314),X1314&gt;=0,Y1314&lt;&gt;1),X1314,"")</x:f>
      </x:c>
      <x:c r="V1314" s="10"/>
      <x:c r="W1314" s="10"/>
      <x:c r="X1314" s="10"/>
      <x:c r="Y1314" s="3"/>
      <x:c r="Z1314" s="3" t="str">
        <x:v>移出</x:v>
      </x:c>
      <x:c r="AA1314" s="3" t="str">
        <x:v>已移出</x:v>
      </x:c>
      <x:c r="AB1314" s="12" t="str">
        <x:f>IF(AND(Z1314="共同",ISNUMBER(G1314),ISNUMBER(AD1314)),G1314-AD1314,"")</x:f>
      </x:c>
      <x:c r="AC1314" s="3" t="str">
        <x:v>基准清单已移出</x:v>
      </x:c>
      <x:c r="AD1314" s="12"/>
      <x:c r="AE1314" s="3" t="str">
        <x:v>[6574,"1S01-DPB-38"]</x:v>
      </x:c>
      <x:c r="AF1314" t="n">
        <x:f>IF(ISNUMBER(H1314),1,0)</x:f>
        <x:v>0</x:v>
      </x:c>
      <x:c r="AG1314" t="n">
        <x:f>IF(ISNUMBER(I1314),1,0)</x:f>
        <x:v>0</x:v>
      </x:c>
      <x:c r="AH1314"/>
      <x:c r="AI1314" t="n">
        <x:f>IF(ISNUMBER(G1314),1,0)</x:f>
        <x:v>0</x:v>
      </x:c>
      <x:c r="AJ1314" t="n">
        <x:f>IF(ISNUMBER(AD1314),1,0)</x:f>
        <x:v>0</x:v>
      </x:c>
    </x:row>
    <x:row r="1315" ht="30" customHeight="1">
      <x:c r="A1315" s="3" t="str">
        <x:v>1S01-DPB-39</x:v>
      </x:c>
      <x:c r="B1315" s="3" t="str">
        <x:v>3店-SANDIEX-US</x:v>
      </x:c>
      <x:c r="C1315" s="3" t="str">
        <x:v>徐新怡</x:v>
      </x:c>
      <x:c r="D1315" s="3" t="str">
        <x:v>1S01</x:v>
      </x:c>
      <x:c r="E1315" s="3" t="str">
        <x:f>IF(Z1315="移出","已移出",IF(NOT(ISNUMBER(H1315)),"数据待核",IF(H1315=0,"断货",IF(NOT(ISNUMBER(G1315)),"数据待核",IF(G1315=0,"零日销待复核",IF(F1315&lt;60,"补货提醒",IF(F1315&lt;=90,"正常库存",IF(F1315&lt;180,"促销",IF(F1315&lt;=365,"红线促销","考虑清仓")))))))))</x:f>
        <x:v>已移出</x:v>
      </x:c>
      <x:c r="F1315" s="11" t="str">
        <x:f>IF(AND(ISNUMBER(H1315),ISNUMBER(G1315),G1315&gt;0),H1315/G1315,"")</x:f>
      </x:c>
      <x:c r="G1315" s="12" t="str">
        <x:f>IF(AND(COUNT(P1315:R1315)=3,MIN(P1315:R1315)&gt;=0,P1315&lt;=Q1315,Q1315&lt;=R1315),P1315/7*0.5+Q1315/14*0.3+R1315/30*0.2,"")</x:f>
      </x:c>
      <x:c r="H1315" s="10" t="str">
        <x:f>IF(ISNUMBER(U1315),U1315,"")</x:f>
      </x:c>
      <x:c r="I1315" s="10"/>
      <x:c r="J1315" s="11" t="str">
        <x:f>IF(AND(Z1315="共同",ISNUMBER(F1315),ISNUMBER(M1315)),F1315-M1315,"")</x:f>
      </x:c>
      <x:c r="K1315" s="13" t="str">
        <x:f>IF(AND(ISNUMBER(J1315),M1315&lt;&gt;0),J1315/M1315,"")</x:f>
      </x:c>
      <x:c r="L1315" s="10" t="str">
        <x:v>数据待核</x:v>
      </x:c>
      <x:c r="M1315" s="11"/>
      <x:c r="N1315" s="10" t="str">
        <x:f>IF(AND(Z1315="共同",COUNT(H1315:I1315)=2),H1315-I1315,"")</x:f>
      </x:c>
      <x:c r="O1315" s="10"/>
      <x:c r="P1315" s="10"/>
      <x:c r="Q1315" s="10"/>
      <x:c r="R1315" s="10"/>
      <x:c r="S1315" s="10"/>
      <x:c r="T1315" s="10"/>
      <x:c r="U1315" s="10" t="str">
        <x:f>IF(AND(ISNUMBER(X1315),X1315&gt;=0,Y1315&lt;&gt;1),X1315,"")</x:f>
      </x:c>
      <x:c r="V1315" s="10"/>
      <x:c r="W1315" s="10"/>
      <x:c r="X1315" s="10"/>
      <x:c r="Y1315" s="3"/>
      <x:c r="Z1315" s="3" t="str">
        <x:v>移出</x:v>
      </x:c>
      <x:c r="AA1315" s="3" t="str">
        <x:v>已移出</x:v>
      </x:c>
      <x:c r="AB1315" s="12" t="str">
        <x:f>IF(AND(Z1315="共同",ISNUMBER(G1315),ISNUMBER(AD1315)),G1315-AD1315,"")</x:f>
      </x:c>
      <x:c r="AC1315" s="3" t="str">
        <x:v>基准清单已移出</x:v>
      </x:c>
      <x:c r="AD1315" s="12"/>
      <x:c r="AE1315" s="3" t="str">
        <x:v>[6574,"1S01-DPB-39"]</x:v>
      </x:c>
      <x:c r="AF1315" t="n">
        <x:f>IF(ISNUMBER(H1315),1,0)</x:f>
        <x:v>0</x:v>
      </x:c>
      <x:c r="AG1315" t="n">
        <x:f>IF(ISNUMBER(I1315),1,0)</x:f>
        <x:v>0</x:v>
      </x:c>
      <x:c r="AH1315"/>
      <x:c r="AI1315" t="n">
        <x:f>IF(ISNUMBER(G1315),1,0)</x:f>
        <x:v>0</x:v>
      </x:c>
      <x:c r="AJ1315" t="n">
        <x:f>IF(ISNUMBER(AD1315),1,0)</x:f>
        <x:v>0</x:v>
      </x:c>
    </x:row>
    <x:row r="1316" ht="30" customHeight="1">
      <x:c r="A1316" s="3" t="str">
        <x:v>1S01-YL-37</x:v>
      </x:c>
      <x:c r="B1316" s="3" t="str">
        <x:v>3店-SANDIEX-US</x:v>
      </x:c>
      <x:c r="C1316" s="3" t="str">
        <x:v>徐新怡</x:v>
      </x:c>
      <x:c r="D1316" s="3" t="str">
        <x:v>1S01</x:v>
      </x:c>
      <x:c r="E1316" s="3" t="str">
        <x:f>IF(Z1316="移出","已移出",IF(NOT(ISNUMBER(H1316)),"数据待核",IF(H1316=0,"断货",IF(NOT(ISNUMBER(G1316)),"数据待核",IF(G1316=0,"零日销待复核",IF(F1316&lt;60,"补货提醒",IF(F1316&lt;=90,"正常库存",IF(F1316&lt;180,"促销",IF(F1316&lt;=365,"红线促销","考虑清仓")))))))))</x:f>
        <x:v>已移出</x:v>
      </x:c>
      <x:c r="F1316" s="11" t="str">
        <x:f>IF(AND(ISNUMBER(H1316),ISNUMBER(G1316),G1316&gt;0),H1316/G1316,"")</x:f>
      </x:c>
      <x:c r="G1316" s="12" t="str">
        <x:f>IF(AND(COUNT(P1316:R1316)=3,MIN(P1316:R1316)&gt;=0,P1316&lt;=Q1316,Q1316&lt;=R1316),P1316/7*0.5+Q1316/14*0.3+R1316/30*0.2,"")</x:f>
      </x:c>
      <x:c r="H1316" s="10" t="str">
        <x:f>IF(ISNUMBER(U1316),U1316,"")</x:f>
      </x:c>
      <x:c r="I1316" s="10" t="n">
        <x:v>0</x:v>
      </x:c>
      <x:c r="J1316" s="11" t="str">
        <x:f>IF(AND(Z1316="共同",ISNUMBER(F1316),ISNUMBER(M1316)),F1316-M1316,"")</x:f>
      </x:c>
      <x:c r="K1316" s="13" t="str">
        <x:f>IF(AND(ISNUMBER(J1316),M1316&lt;&gt;0),J1316/M1316,"")</x:f>
      </x:c>
      <x:c r="L1316" s="10" t="str">
        <x:v>断货</x:v>
      </x:c>
      <x:c r="M1316" s="11"/>
      <x:c r="N1316" s="10" t="str">
        <x:f>IF(AND(Z1316="共同",COUNT(H1316:I1316)=2),H1316-I1316,"")</x:f>
      </x:c>
      <x:c r="O1316" s="10"/>
      <x:c r="P1316" s="10"/>
      <x:c r="Q1316" s="10"/>
      <x:c r="R1316" s="10"/>
      <x:c r="S1316" s="10"/>
      <x:c r="T1316" s="10"/>
      <x:c r="U1316" s="10" t="str">
        <x:f>IF(AND(ISNUMBER(X1316),X1316&gt;=0,Y1316&lt;&gt;1),X1316,"")</x:f>
      </x:c>
      <x:c r="V1316" s="10"/>
      <x:c r="W1316" s="10"/>
      <x:c r="X1316" s="10"/>
      <x:c r="Y1316" s="3"/>
      <x:c r="Z1316" s="3" t="str">
        <x:v>移出</x:v>
      </x:c>
      <x:c r="AA1316" s="3" t="str">
        <x:v>已移出</x:v>
      </x:c>
      <x:c r="AB1316" s="12" t="str">
        <x:f>IF(AND(Z1316="共同",ISNUMBER(G1316),ISNUMBER(AD1316)),G1316-AD1316,"")</x:f>
      </x:c>
      <x:c r="AC1316" s="3" t="str">
        <x:v>基准清单已移出</x:v>
      </x:c>
      <x:c r="AD1316" s="12"/>
      <x:c r="AE1316" s="3" t="str">
        <x:v>[6574,"1S01-YL-37"]</x:v>
      </x:c>
      <x:c r="AF1316" t="n">
        <x:f>IF(ISNUMBER(H1316),1,0)</x:f>
        <x:v>0</x:v>
      </x:c>
      <x:c r="AG1316" t="n">
        <x:f>IF(ISNUMBER(I1316),1,0)</x:f>
        <x:v>1</x:v>
      </x:c>
      <x:c r="AH1316"/>
      <x:c r="AI1316" t="n">
        <x:f>IF(ISNUMBER(G1316),1,0)</x:f>
        <x:v>0</x:v>
      </x:c>
      <x:c r="AJ1316" t="n">
        <x:f>IF(ISNUMBER(AD1316),1,0)</x:f>
        <x:v>0</x:v>
      </x:c>
    </x:row>
    <x:row r="1317" ht="30" customHeight="1">
      <x:c r="A1317" s="3" t="str">
        <x:v>1S01-YL-38</x:v>
      </x:c>
      <x:c r="B1317" s="3" t="str">
        <x:v>3店-SANDIEX-US</x:v>
      </x:c>
      <x:c r="C1317" s="3" t="str">
        <x:v>徐新怡</x:v>
      </x:c>
      <x:c r="D1317" s="3" t="str">
        <x:v>1S01</x:v>
      </x:c>
      <x:c r="E1317" s="3" t="str">
        <x:f>IF(Z1317="移出","已移出",IF(NOT(ISNUMBER(H1317)),"数据待核",IF(H1317=0,"断货",IF(NOT(ISNUMBER(G1317)),"数据待核",IF(G1317=0,"零日销待复核",IF(F1317&lt;60,"补货提醒",IF(F1317&lt;=90,"正常库存",IF(F1317&lt;180,"促销",IF(F1317&lt;=365,"红线促销","考虑清仓")))))))))</x:f>
        <x:v>已移出</x:v>
      </x:c>
      <x:c r="F1317" s="11" t="str">
        <x:f>IF(AND(ISNUMBER(H1317),ISNUMBER(G1317),G1317&gt;0),H1317/G1317,"")</x:f>
      </x:c>
      <x:c r="G1317" s="12" t="str">
        <x:f>IF(AND(COUNT(P1317:R1317)=3,MIN(P1317:R1317)&gt;=0,P1317&lt;=Q1317,Q1317&lt;=R1317),P1317/7*0.5+Q1317/14*0.3+R1317/30*0.2,"")</x:f>
      </x:c>
      <x:c r="H1317" s="10" t="str">
        <x:f>IF(ISNUMBER(U1317),U1317,"")</x:f>
      </x:c>
      <x:c r="I1317" s="10" t="n">
        <x:v>0</x:v>
      </x:c>
      <x:c r="J1317" s="11" t="str">
        <x:f>IF(AND(Z1317="共同",ISNUMBER(F1317),ISNUMBER(M1317)),F1317-M1317,"")</x:f>
      </x:c>
      <x:c r="K1317" s="13" t="str">
        <x:f>IF(AND(ISNUMBER(J1317),M1317&lt;&gt;0),J1317/M1317,"")</x:f>
      </x:c>
      <x:c r="L1317" s="10" t="str">
        <x:v>断货</x:v>
      </x:c>
      <x:c r="M1317" s="11"/>
      <x:c r="N1317" s="10" t="str">
        <x:f>IF(AND(Z1317="共同",COUNT(H1317:I1317)=2),H1317-I1317,"")</x:f>
      </x:c>
      <x:c r="O1317" s="10"/>
      <x:c r="P1317" s="10"/>
      <x:c r="Q1317" s="10"/>
      <x:c r="R1317" s="10"/>
      <x:c r="S1317" s="10"/>
      <x:c r="T1317" s="10"/>
      <x:c r="U1317" s="10" t="str">
        <x:f>IF(AND(ISNUMBER(X1317),X1317&gt;=0,Y1317&lt;&gt;1),X1317,"")</x:f>
      </x:c>
      <x:c r="V1317" s="10"/>
      <x:c r="W1317" s="10"/>
      <x:c r="X1317" s="10"/>
      <x:c r="Y1317" s="3"/>
      <x:c r="Z1317" s="3" t="str">
        <x:v>移出</x:v>
      </x:c>
      <x:c r="AA1317" s="3" t="str">
        <x:v>已移出</x:v>
      </x:c>
      <x:c r="AB1317" s="12" t="str">
        <x:f>IF(AND(Z1317="共同",ISNUMBER(G1317),ISNUMBER(AD1317)),G1317-AD1317,"")</x:f>
      </x:c>
      <x:c r="AC1317" s="3" t="str">
        <x:v>基准清单已移出</x:v>
      </x:c>
      <x:c r="AD1317" s="12"/>
      <x:c r="AE1317" s="3" t="str">
        <x:v>[6574,"1S01-YL-38"]</x:v>
      </x:c>
      <x:c r="AF1317" t="n">
        <x:f>IF(ISNUMBER(H1317),1,0)</x:f>
        <x:v>0</x:v>
      </x:c>
      <x:c r="AG1317" t="n">
        <x:f>IF(ISNUMBER(I1317),1,0)</x:f>
        <x:v>1</x:v>
      </x:c>
      <x:c r="AH1317"/>
      <x:c r="AI1317" t="n">
        <x:f>IF(ISNUMBER(G1317),1,0)</x:f>
        <x:v>0</x:v>
      </x:c>
      <x:c r="AJ1317" t="n">
        <x:f>IF(ISNUMBER(AD1317),1,0)</x:f>
        <x:v>0</x:v>
      </x:c>
    </x:row>
    <x:row r="1318" ht="30" customHeight="1">
      <x:c r="A1318" s="3" t="str">
        <x:v>1S01-YL-39</x:v>
      </x:c>
      <x:c r="B1318" s="3" t="str">
        <x:v>3店-SANDIEX-US</x:v>
      </x:c>
      <x:c r="C1318" s="3" t="str">
        <x:v>徐新怡</x:v>
      </x:c>
      <x:c r="D1318" s="3" t="str">
        <x:v>1S01</x:v>
      </x:c>
      <x:c r="E1318" s="3" t="str">
        <x:f>IF(Z1318="移出","已移出",IF(NOT(ISNUMBER(H1318)),"数据待核",IF(H1318=0,"断货",IF(NOT(ISNUMBER(G1318)),"数据待核",IF(G1318=0,"零日销待复核",IF(F1318&lt;60,"补货提醒",IF(F1318&lt;=90,"正常库存",IF(F1318&lt;180,"促销",IF(F1318&lt;=365,"红线促销","考虑清仓")))))))))</x:f>
        <x:v>已移出</x:v>
      </x:c>
      <x:c r="F1318" s="11" t="str">
        <x:f>IF(AND(ISNUMBER(H1318),ISNUMBER(G1318),G1318&gt;0),H1318/G1318,"")</x:f>
      </x:c>
      <x:c r="G1318" s="12" t="str">
        <x:f>IF(AND(COUNT(P1318:R1318)=3,MIN(P1318:R1318)&gt;=0,P1318&lt;=Q1318,Q1318&lt;=R1318),P1318/7*0.5+Q1318/14*0.3+R1318/30*0.2,"")</x:f>
      </x:c>
      <x:c r="H1318" s="10" t="str">
        <x:f>IF(ISNUMBER(U1318),U1318,"")</x:f>
      </x:c>
      <x:c r="I1318" s="10" t="n">
        <x:v>0</x:v>
      </x:c>
      <x:c r="J1318" s="11" t="str">
        <x:f>IF(AND(Z1318="共同",ISNUMBER(F1318),ISNUMBER(M1318)),F1318-M1318,"")</x:f>
      </x:c>
      <x:c r="K1318" s="13" t="str">
        <x:f>IF(AND(ISNUMBER(J1318),M1318&lt;&gt;0),J1318/M1318,"")</x:f>
      </x:c>
      <x:c r="L1318" s="10" t="str">
        <x:v>断货</x:v>
      </x:c>
      <x:c r="M1318" s="11"/>
      <x:c r="N1318" s="10" t="str">
        <x:f>IF(AND(Z1318="共同",COUNT(H1318:I1318)=2),H1318-I1318,"")</x:f>
      </x:c>
      <x:c r="O1318" s="10"/>
      <x:c r="P1318" s="10"/>
      <x:c r="Q1318" s="10"/>
      <x:c r="R1318" s="10"/>
      <x:c r="S1318" s="10"/>
      <x:c r="T1318" s="10"/>
      <x:c r="U1318" s="10" t="str">
        <x:f>IF(AND(ISNUMBER(X1318),X1318&gt;=0,Y1318&lt;&gt;1),X1318,"")</x:f>
      </x:c>
      <x:c r="V1318" s="10"/>
      <x:c r="W1318" s="10"/>
      <x:c r="X1318" s="10"/>
      <x:c r="Y1318" s="3"/>
      <x:c r="Z1318" s="3" t="str">
        <x:v>移出</x:v>
      </x:c>
      <x:c r="AA1318" s="3" t="str">
        <x:v>已移出</x:v>
      </x:c>
      <x:c r="AB1318" s="12" t="str">
        <x:f>IF(AND(Z1318="共同",ISNUMBER(G1318),ISNUMBER(AD1318)),G1318-AD1318,"")</x:f>
      </x:c>
      <x:c r="AC1318" s="3" t="str">
        <x:v>基准清单已移出</x:v>
      </x:c>
      <x:c r="AD1318" s="12"/>
      <x:c r="AE1318" s="3" t="str">
        <x:v>[6574,"1S01-YL-39"]</x:v>
      </x:c>
      <x:c r="AF1318" t="n">
        <x:f>IF(ISNUMBER(H1318),1,0)</x:f>
        <x:v>0</x:v>
      </x:c>
      <x:c r="AG1318" t="n">
        <x:f>IF(ISNUMBER(I1318),1,0)</x:f>
        <x:v>1</x:v>
      </x:c>
      <x:c r="AH1318"/>
      <x:c r="AI1318" t="n">
        <x:f>IF(ISNUMBER(G1318),1,0)</x:f>
        <x:v>0</x:v>
      </x:c>
      <x:c r="AJ1318" t="n">
        <x:f>IF(ISNUMBER(AD1318),1,0)</x:f>
        <x:v>0</x:v>
      </x:c>
    </x:row>
    <x:row r="1319" ht="30" customHeight="1">
      <x:c r="A1319" s="3" t="str">
        <x:v>1S01-YL-40</x:v>
      </x:c>
      <x:c r="B1319" s="3" t="str">
        <x:v>3店-SANDIEX-US</x:v>
      </x:c>
      <x:c r="C1319" s="3" t="str">
        <x:v>徐新怡</x:v>
      </x:c>
      <x:c r="D1319" s="3" t="str">
        <x:v>1S01</x:v>
      </x:c>
      <x:c r="E1319" s="3" t="str">
        <x:f>IF(Z1319="移出","已移出",IF(NOT(ISNUMBER(H1319)),"数据待核",IF(H1319=0,"断货",IF(NOT(ISNUMBER(G1319)),"数据待核",IF(G1319=0,"零日销待复核",IF(F1319&lt;60,"补货提醒",IF(F1319&lt;=90,"正常库存",IF(F1319&lt;180,"促销",IF(F1319&lt;=365,"红线促销","考虑清仓")))))))))</x:f>
        <x:v>已移出</x:v>
      </x:c>
      <x:c r="F1319" s="11" t="str">
        <x:f>IF(AND(ISNUMBER(H1319),ISNUMBER(G1319),G1319&gt;0),H1319/G1319,"")</x:f>
      </x:c>
      <x:c r="G1319" s="12" t="str">
        <x:f>IF(AND(COUNT(P1319:R1319)=3,MIN(P1319:R1319)&gt;=0,P1319&lt;=Q1319,Q1319&lt;=R1319),P1319/7*0.5+Q1319/14*0.3+R1319/30*0.2,"")</x:f>
      </x:c>
      <x:c r="H1319" s="10" t="str">
        <x:f>IF(ISNUMBER(U1319),U1319,"")</x:f>
      </x:c>
      <x:c r="I1319" s="10" t="n">
        <x:v>0</x:v>
      </x:c>
      <x:c r="J1319" s="11" t="str">
        <x:f>IF(AND(Z1319="共同",ISNUMBER(F1319),ISNUMBER(M1319)),F1319-M1319,"")</x:f>
      </x:c>
      <x:c r="K1319" s="13" t="str">
        <x:f>IF(AND(ISNUMBER(J1319),M1319&lt;&gt;0),J1319/M1319,"")</x:f>
      </x:c>
      <x:c r="L1319" s="10" t="str">
        <x:v>断货</x:v>
      </x:c>
      <x:c r="M1319" s="11"/>
      <x:c r="N1319" s="10" t="str">
        <x:f>IF(AND(Z1319="共同",COUNT(H1319:I1319)=2),H1319-I1319,"")</x:f>
      </x:c>
      <x:c r="O1319" s="10"/>
      <x:c r="P1319" s="10"/>
      <x:c r="Q1319" s="10"/>
      <x:c r="R1319" s="10"/>
      <x:c r="S1319" s="10"/>
      <x:c r="T1319" s="10"/>
      <x:c r="U1319" s="10" t="str">
        <x:f>IF(AND(ISNUMBER(X1319),X1319&gt;=0,Y1319&lt;&gt;1),X1319,"")</x:f>
      </x:c>
      <x:c r="V1319" s="10"/>
      <x:c r="W1319" s="10"/>
      <x:c r="X1319" s="10"/>
      <x:c r="Y1319" s="3"/>
      <x:c r="Z1319" s="3" t="str">
        <x:v>移出</x:v>
      </x:c>
      <x:c r="AA1319" s="3" t="str">
        <x:v>已移出</x:v>
      </x:c>
      <x:c r="AB1319" s="12" t="str">
        <x:f>IF(AND(Z1319="共同",ISNUMBER(G1319),ISNUMBER(AD1319)),G1319-AD1319,"")</x:f>
      </x:c>
      <x:c r="AC1319" s="3" t="str">
        <x:v>基准清单已移出</x:v>
      </x:c>
      <x:c r="AD1319" s="12"/>
      <x:c r="AE1319" s="3" t="str">
        <x:v>[6574,"1S01-YL-40"]</x:v>
      </x:c>
      <x:c r="AF1319" t="n">
        <x:f>IF(ISNUMBER(H1319),1,0)</x:f>
        <x:v>0</x:v>
      </x:c>
      <x:c r="AG1319" t="n">
        <x:f>IF(ISNUMBER(I1319),1,0)</x:f>
        <x:v>1</x:v>
      </x:c>
      <x:c r="AH1319"/>
      <x:c r="AI1319" t="n">
        <x:f>IF(ISNUMBER(G1319),1,0)</x:f>
        <x:v>0</x:v>
      </x:c>
      <x:c r="AJ1319" t="n">
        <x:f>IF(ISNUMBER(AD1319),1,0)</x:f>
        <x:v>0</x:v>
      </x:c>
    </x:row>
    <x:row r="1320" ht="30" customHeight="1">
      <x:c r="A1320" s="3" t="str">
        <x:v>1S01-YL-41</x:v>
      </x:c>
      <x:c r="B1320" s="3" t="str">
        <x:v>3店-SANDIEX-US</x:v>
      </x:c>
      <x:c r="C1320" s="3" t="str">
        <x:v>徐新怡</x:v>
      </x:c>
      <x:c r="D1320" s="3" t="str">
        <x:v>1S01</x:v>
      </x:c>
      <x:c r="E1320" s="3" t="str">
        <x:f>IF(Z1320="移出","已移出",IF(NOT(ISNUMBER(H1320)),"数据待核",IF(H1320=0,"断货",IF(NOT(ISNUMBER(G1320)),"数据待核",IF(G1320=0,"零日销待复核",IF(F1320&lt;60,"补货提醒",IF(F1320&lt;=90,"正常库存",IF(F1320&lt;180,"促销",IF(F1320&lt;=365,"红线促销","考虑清仓")))))))))</x:f>
        <x:v>已移出</x:v>
      </x:c>
      <x:c r="F1320" s="11" t="str">
        <x:f>IF(AND(ISNUMBER(H1320),ISNUMBER(G1320),G1320&gt;0),H1320/G1320,"")</x:f>
      </x:c>
      <x:c r="G1320" s="12" t="str">
        <x:f>IF(AND(COUNT(P1320:R1320)=3,MIN(P1320:R1320)&gt;=0,P1320&lt;=Q1320,Q1320&lt;=R1320),P1320/7*0.5+Q1320/14*0.3+R1320/30*0.2,"")</x:f>
      </x:c>
      <x:c r="H1320" s="10" t="str">
        <x:f>IF(ISNUMBER(U1320),U1320,"")</x:f>
      </x:c>
      <x:c r="I1320" s="10" t="n">
        <x:v>0</x:v>
      </x:c>
      <x:c r="J1320" s="11" t="str">
        <x:f>IF(AND(Z1320="共同",ISNUMBER(F1320),ISNUMBER(M1320)),F1320-M1320,"")</x:f>
      </x:c>
      <x:c r="K1320" s="13" t="str">
        <x:f>IF(AND(ISNUMBER(J1320),M1320&lt;&gt;0),J1320/M1320,"")</x:f>
      </x:c>
      <x:c r="L1320" s="10" t="str">
        <x:v>断货</x:v>
      </x:c>
      <x:c r="M1320" s="11"/>
      <x:c r="N1320" s="10" t="str">
        <x:f>IF(AND(Z1320="共同",COUNT(H1320:I1320)=2),H1320-I1320,"")</x:f>
      </x:c>
      <x:c r="O1320" s="10"/>
      <x:c r="P1320" s="10"/>
      <x:c r="Q1320" s="10"/>
      <x:c r="R1320" s="10"/>
      <x:c r="S1320" s="10"/>
      <x:c r="T1320" s="10"/>
      <x:c r="U1320" s="10" t="str">
        <x:f>IF(AND(ISNUMBER(X1320),X1320&gt;=0,Y1320&lt;&gt;1),X1320,"")</x:f>
      </x:c>
      <x:c r="V1320" s="10"/>
      <x:c r="W1320" s="10"/>
      <x:c r="X1320" s="10"/>
      <x:c r="Y1320" s="3"/>
      <x:c r="Z1320" s="3" t="str">
        <x:v>移出</x:v>
      </x:c>
      <x:c r="AA1320" s="3" t="str">
        <x:v>已移出</x:v>
      </x:c>
      <x:c r="AB1320" s="12" t="str">
        <x:f>IF(AND(Z1320="共同",ISNUMBER(G1320),ISNUMBER(AD1320)),G1320-AD1320,"")</x:f>
      </x:c>
      <x:c r="AC1320" s="3" t="str">
        <x:v>基准清单已移出</x:v>
      </x:c>
      <x:c r="AD1320" s="12"/>
      <x:c r="AE1320" s="3" t="str">
        <x:v>[6574,"1S01-YL-41"]</x:v>
      </x:c>
      <x:c r="AF1320" t="n">
        <x:f>IF(ISNUMBER(H1320),1,0)</x:f>
        <x:v>0</x:v>
      </x:c>
      <x:c r="AG1320" t="n">
        <x:f>IF(ISNUMBER(I1320),1,0)</x:f>
        <x:v>1</x:v>
      </x:c>
      <x:c r="AH1320"/>
      <x:c r="AI1320" t="n">
        <x:f>IF(ISNUMBER(G1320),1,0)</x:f>
        <x:v>0</x:v>
      </x:c>
      <x:c r="AJ1320" t="n">
        <x:f>IF(ISNUMBER(AD1320),1,0)</x:f>
        <x:v>0</x:v>
      </x:c>
    </x:row>
    <x:row r="1321" ht="30" customHeight="1">
      <x:c r="A1321" s="3" t="str">
        <x:v>1S01-YL-42</x:v>
      </x:c>
      <x:c r="B1321" s="3" t="str">
        <x:v>3店-SANDIEX-US</x:v>
      </x:c>
      <x:c r="C1321" s="3" t="str">
        <x:v>徐新怡</x:v>
      </x:c>
      <x:c r="D1321" s="3" t="str">
        <x:v>1S01</x:v>
      </x:c>
      <x:c r="E1321" s="3" t="str">
        <x:f>IF(Z1321="移出","已移出",IF(NOT(ISNUMBER(H1321)),"数据待核",IF(H1321=0,"断货",IF(NOT(ISNUMBER(G1321)),"数据待核",IF(G1321=0,"零日销待复核",IF(F1321&lt;60,"补货提醒",IF(F1321&lt;=90,"正常库存",IF(F1321&lt;180,"促销",IF(F1321&lt;=365,"红线促销","考虑清仓")))))))))</x:f>
        <x:v>已移出</x:v>
      </x:c>
      <x:c r="F1321" s="11" t="str">
        <x:f>IF(AND(ISNUMBER(H1321),ISNUMBER(G1321),G1321&gt;0),H1321/G1321,"")</x:f>
      </x:c>
      <x:c r="G1321" s="12" t="str">
        <x:f>IF(AND(COUNT(P1321:R1321)=3,MIN(P1321:R1321)&gt;=0,P1321&lt;=Q1321,Q1321&lt;=R1321),P1321/7*0.5+Q1321/14*0.3+R1321/30*0.2,"")</x:f>
      </x:c>
      <x:c r="H1321" s="10" t="str">
        <x:f>IF(ISNUMBER(U1321),U1321,"")</x:f>
      </x:c>
      <x:c r="I1321" s="10" t="n">
        <x:v>0</x:v>
      </x:c>
      <x:c r="J1321" s="11" t="str">
        <x:f>IF(AND(Z1321="共同",ISNUMBER(F1321),ISNUMBER(M1321)),F1321-M1321,"")</x:f>
      </x:c>
      <x:c r="K1321" s="13" t="str">
        <x:f>IF(AND(ISNUMBER(J1321),M1321&lt;&gt;0),J1321/M1321,"")</x:f>
      </x:c>
      <x:c r="L1321" s="10" t="str">
        <x:v>断货</x:v>
      </x:c>
      <x:c r="M1321" s="11"/>
      <x:c r="N1321" s="10" t="str">
        <x:f>IF(AND(Z1321="共同",COUNT(H1321:I1321)=2),H1321-I1321,"")</x:f>
      </x:c>
      <x:c r="O1321" s="10"/>
      <x:c r="P1321" s="10"/>
      <x:c r="Q1321" s="10"/>
      <x:c r="R1321" s="10"/>
      <x:c r="S1321" s="10"/>
      <x:c r="T1321" s="10"/>
      <x:c r="U1321" s="10" t="str">
        <x:f>IF(AND(ISNUMBER(X1321),X1321&gt;=0,Y1321&lt;&gt;1),X1321,"")</x:f>
      </x:c>
      <x:c r="V1321" s="10"/>
      <x:c r="W1321" s="10"/>
      <x:c r="X1321" s="10"/>
      <x:c r="Y1321" s="3"/>
      <x:c r="Z1321" s="3" t="str">
        <x:v>移出</x:v>
      </x:c>
      <x:c r="AA1321" s="3" t="str">
        <x:v>已移出</x:v>
      </x:c>
      <x:c r="AB1321" s="12" t="str">
        <x:f>IF(AND(Z1321="共同",ISNUMBER(G1321),ISNUMBER(AD1321)),G1321-AD1321,"")</x:f>
      </x:c>
      <x:c r="AC1321" s="3" t="str">
        <x:v>基准清单已移出</x:v>
      </x:c>
      <x:c r="AD1321" s="12"/>
      <x:c r="AE1321" s="3" t="str">
        <x:v>[6574,"1S01-YL-42"]</x:v>
      </x:c>
      <x:c r="AF1321" t="n">
        <x:f>IF(ISNUMBER(H1321),1,0)</x:f>
        <x:v>0</x:v>
      </x:c>
      <x:c r="AG1321" t="n">
        <x:f>IF(ISNUMBER(I1321),1,0)</x:f>
        <x:v>1</x:v>
      </x:c>
      <x:c r="AH1321"/>
      <x:c r="AI1321" t="n">
        <x:f>IF(ISNUMBER(G1321),1,0)</x:f>
        <x:v>0</x:v>
      </x:c>
      <x:c r="AJ1321" t="n">
        <x:f>IF(ISNUMBER(AD1321),1,0)</x:f>
        <x:v>0</x:v>
      </x:c>
    </x:row>
    <x:row r="1322" ht="30" customHeight="1">
      <x:c r="A1322" s="3" t="str">
        <x:v>B06b-BK-41.5</x:v>
      </x:c>
      <x:c r="B1322" s="3" t="str">
        <x:v>1店-MUSSHOE-US</x:v>
      </x:c>
      <x:c r="C1322" s="3" t="str">
        <x:v>艾年</x:v>
      </x:c>
      <x:c r="D1322" s="3" t="str">
        <x:v>B06b</x:v>
      </x:c>
      <x:c r="E1322" s="3" t="str">
        <x:f>IF(Z1322="移出","已移出",IF(NOT(ISNUMBER(H1322)),"数据待核",IF(H1322=0,"断货",IF(NOT(ISNUMBER(G1322)),"数据待核",IF(G1322=0,"零日销待复核",IF(F1322&lt;60,"补货提醒",IF(F1322&lt;=90,"正常库存",IF(F1322&lt;180,"促销",IF(F1322&lt;=365,"红线促销","考虑清仓")))))))))</x:f>
        <x:v>已移出</x:v>
      </x:c>
      <x:c r="F1322" s="11" t="str">
        <x:f>IF(AND(ISNUMBER(H1322),ISNUMBER(G1322),G1322&gt;0),H1322/G1322,"")</x:f>
      </x:c>
      <x:c r="G1322" s="12" t="str">
        <x:f>IF(AND(COUNT(P1322:R1322)=3,MIN(P1322:R1322)&gt;=0,P1322&lt;=Q1322,Q1322&lt;=R1322),P1322/7*0.5+Q1322/14*0.3+R1322/30*0.2,"")</x:f>
      </x:c>
      <x:c r="H1322" s="10" t="str">
        <x:f>IF(ISNUMBER(U1322),U1322,"")</x:f>
      </x:c>
      <x:c r="I1322" s="10" t="n">
        <x:v>0</x:v>
      </x:c>
      <x:c r="J1322" s="11" t="str">
        <x:f>IF(AND(Z1322="共同",ISNUMBER(F1322),ISNUMBER(M1322)),F1322-M1322,"")</x:f>
      </x:c>
      <x:c r="K1322" s="13" t="str">
        <x:f>IF(AND(ISNUMBER(J1322),M1322&lt;&gt;0),J1322/M1322,"")</x:f>
      </x:c>
      <x:c r="L1322" s="10" t="str">
        <x:v>断货</x:v>
      </x:c>
      <x:c r="M1322" s="11"/>
      <x:c r="N1322" s="10" t="str">
        <x:f>IF(AND(Z1322="共同",COUNT(H1322:I1322)=2),H1322-I1322,"")</x:f>
      </x:c>
      <x:c r="O1322" s="10"/>
      <x:c r="P1322" s="10"/>
      <x:c r="Q1322" s="10"/>
      <x:c r="R1322" s="10"/>
      <x:c r="S1322" s="10"/>
      <x:c r="T1322" s="10"/>
      <x:c r="U1322" s="10" t="str">
        <x:f>IF(AND(ISNUMBER(X1322),X1322&gt;=0,Y1322&lt;&gt;1),X1322,"")</x:f>
      </x:c>
      <x:c r="V1322" s="10"/>
      <x:c r="W1322" s="10"/>
      <x:c r="X1322" s="10"/>
      <x:c r="Y1322" s="3"/>
      <x:c r="Z1322" s="3" t="str">
        <x:v>移出</x:v>
      </x:c>
      <x:c r="AA1322" s="3" t="str">
        <x:v>已移出</x:v>
      </x:c>
      <x:c r="AB1322" s="12" t="str">
        <x:f>IF(AND(Z1322="共同",ISNUMBER(G1322),ISNUMBER(AD1322)),G1322-AD1322,"")</x:f>
      </x:c>
      <x:c r="AC1322" s="3" t="str">
        <x:v>基准清单已移出</x:v>
      </x:c>
      <x:c r="AD1322" s="12"/>
      <x:c r="AE1322" s="3" t="str">
        <x:v>[13120,"B06b-BK-41.5"]</x:v>
      </x:c>
      <x:c r="AF1322" t="n">
        <x:f>IF(ISNUMBER(H1322),1,0)</x:f>
        <x:v>0</x:v>
      </x:c>
      <x:c r="AG1322" t="n">
        <x:f>IF(ISNUMBER(I1322),1,0)</x:f>
        <x:v>1</x:v>
      </x:c>
      <x:c r="AH1322"/>
      <x:c r="AI1322" t="n">
        <x:f>IF(ISNUMBER(G1322),1,0)</x:f>
        <x:v>0</x:v>
      </x:c>
      <x:c r="AJ1322" t="n">
        <x:f>IF(ISNUMBER(AD1322),1,0)</x:f>
        <x:v>0</x:v>
      </x:c>
    </x:row>
    <x:row r="1323" ht="30" customHeight="1">
      <x:c r="A1323" s="3" t="str">
        <x:v>B06b-CCP0-6</x:v>
      </x:c>
      <x:c r="B1323" s="3" t="str">
        <x:v>1店-MUSSHOE-US</x:v>
      </x:c>
      <x:c r="C1323" s="3" t="str">
        <x:v>艾年</x:v>
      </x:c>
      <x:c r="D1323" s="3" t="str">
        <x:v>B06b</x:v>
      </x:c>
      <x:c r="E1323" s="3" t="str">
        <x:f>IF(Z1323="移出","已移出",IF(NOT(ISNUMBER(H1323)),"数据待核",IF(H1323=0,"断货",IF(NOT(ISNUMBER(G1323)),"数据待核",IF(G1323=0,"零日销待复核",IF(F1323&lt;60,"补货提醒",IF(F1323&lt;=90,"正常库存",IF(F1323&lt;180,"促销",IF(F1323&lt;=365,"红线促销","考虑清仓")))))))))</x:f>
        <x:v>已移出</x:v>
      </x:c>
      <x:c r="F1323" s="11" t="str">
        <x:f>IF(AND(ISNUMBER(H1323),ISNUMBER(G1323),G1323&gt;0),H1323/G1323,"")</x:f>
      </x:c>
      <x:c r="G1323" s="12" t="str">
        <x:f>IF(AND(COUNT(P1323:R1323)=3,MIN(P1323:R1323)&gt;=0,P1323&lt;=Q1323,Q1323&lt;=R1323),P1323/7*0.5+Q1323/14*0.3+R1323/30*0.2,"")</x:f>
      </x:c>
      <x:c r="H1323" s="10" t="str">
        <x:f>IF(ISNUMBER(U1323),U1323,"")</x:f>
      </x:c>
      <x:c r="I1323" s="10" t="n">
        <x:v>0</x:v>
      </x:c>
      <x:c r="J1323" s="11" t="str">
        <x:f>IF(AND(Z1323="共同",ISNUMBER(F1323),ISNUMBER(M1323)),F1323-M1323,"")</x:f>
      </x:c>
      <x:c r="K1323" s="13" t="str">
        <x:f>IF(AND(ISNUMBER(J1323),M1323&lt;&gt;0),J1323/M1323,"")</x:f>
      </x:c>
      <x:c r="L1323" s="10" t="str">
        <x:v>断货</x:v>
      </x:c>
      <x:c r="M1323" s="11"/>
      <x:c r="N1323" s="10" t="str">
        <x:f>IF(AND(Z1323="共同",COUNT(H1323:I1323)=2),H1323-I1323,"")</x:f>
      </x:c>
      <x:c r="O1323" s="10"/>
      <x:c r="P1323" s="10"/>
      <x:c r="Q1323" s="10"/>
      <x:c r="R1323" s="10"/>
      <x:c r="S1323" s="10"/>
      <x:c r="T1323" s="10"/>
      <x:c r="U1323" s="10" t="str">
        <x:f>IF(AND(ISNUMBER(X1323),X1323&gt;=0,Y1323&lt;&gt;1),X1323,"")</x:f>
      </x:c>
      <x:c r="V1323" s="10"/>
      <x:c r="W1323" s="10"/>
      <x:c r="X1323" s="10"/>
      <x:c r="Y1323" s="3"/>
      <x:c r="Z1323" s="3" t="str">
        <x:v>移出</x:v>
      </x:c>
      <x:c r="AA1323" s="3" t="str">
        <x:v>已移出</x:v>
      </x:c>
      <x:c r="AB1323" s="12" t="str">
        <x:f>IF(AND(Z1323="共同",ISNUMBER(G1323),ISNUMBER(AD1323)),G1323-AD1323,"")</x:f>
      </x:c>
      <x:c r="AC1323" s="3" t="str">
        <x:v>基准清单已移出</x:v>
      </x:c>
      <x:c r="AD1323" s="12"/>
      <x:c r="AE1323" s="3" t="str">
        <x:v>[13120,"B06b-CCP0-6"]</x:v>
      </x:c>
      <x:c r="AF1323" t="n">
        <x:f>IF(ISNUMBER(H1323),1,0)</x:f>
        <x:v>0</x:v>
      </x:c>
      <x:c r="AG1323" t="n">
        <x:f>IF(ISNUMBER(I1323),1,0)</x:f>
        <x:v>1</x:v>
      </x:c>
      <x:c r="AH1323"/>
      <x:c r="AI1323" t="n">
        <x:f>IF(ISNUMBER(G1323),1,0)</x:f>
        <x:v>0</x:v>
      </x:c>
      <x:c r="AJ1323" t="n">
        <x:f>IF(ISNUMBER(AD1323),1,0)</x:f>
        <x:v>0</x:v>
      </x:c>
    </x:row>
    <x:row r="1324" ht="30" customHeight="1">
      <x:c r="A1324" s="3" t="str">
        <x:v>B06b-CCP0-8.5</x:v>
      </x:c>
      <x:c r="B1324" s="3" t="str">
        <x:v>1店-MUSSHOE-US</x:v>
      </x:c>
      <x:c r="C1324" s="3" t="str">
        <x:v>艾年</x:v>
      </x:c>
      <x:c r="D1324" s="3" t="str">
        <x:v>B06b</x:v>
      </x:c>
      <x:c r="E1324" s="3" t="str">
        <x:f>IF(Z1324="移出","已移出",IF(NOT(ISNUMBER(H1324)),"数据待核",IF(H1324=0,"断货",IF(NOT(ISNUMBER(G1324)),"数据待核",IF(G1324=0,"零日销待复核",IF(F1324&lt;60,"补货提醒",IF(F1324&lt;=90,"正常库存",IF(F1324&lt;180,"促销",IF(F1324&lt;=365,"红线促销","考虑清仓")))))))))</x:f>
        <x:v>已移出</x:v>
      </x:c>
      <x:c r="F1324" s="11" t="str">
        <x:f>IF(AND(ISNUMBER(H1324),ISNUMBER(G1324),G1324&gt;0),H1324/G1324,"")</x:f>
      </x:c>
      <x:c r="G1324" s="12" t="str">
        <x:f>IF(AND(COUNT(P1324:R1324)=3,MIN(P1324:R1324)&gt;=0,P1324&lt;=Q1324,Q1324&lt;=R1324),P1324/7*0.5+Q1324/14*0.3+R1324/30*0.2,"")</x:f>
      </x:c>
      <x:c r="H1324" s="10" t="str">
        <x:f>IF(ISNUMBER(U1324),U1324,"")</x:f>
      </x:c>
      <x:c r="I1324" s="10" t="n">
        <x:v>0</x:v>
      </x:c>
      <x:c r="J1324" s="11" t="str">
        <x:f>IF(AND(Z1324="共同",ISNUMBER(F1324),ISNUMBER(M1324)),F1324-M1324,"")</x:f>
      </x:c>
      <x:c r="K1324" s="13" t="str">
        <x:f>IF(AND(ISNUMBER(J1324),M1324&lt;&gt;0),J1324/M1324,"")</x:f>
      </x:c>
      <x:c r="L1324" s="10" t="str">
        <x:v>断货</x:v>
      </x:c>
      <x:c r="M1324" s="11"/>
      <x:c r="N1324" s="10" t="str">
        <x:f>IF(AND(Z1324="共同",COUNT(H1324:I1324)=2),H1324-I1324,"")</x:f>
      </x:c>
      <x:c r="O1324" s="10"/>
      <x:c r="P1324" s="10"/>
      <x:c r="Q1324" s="10"/>
      <x:c r="R1324" s="10"/>
      <x:c r="S1324" s="10"/>
      <x:c r="T1324" s="10"/>
      <x:c r="U1324" s="10" t="str">
        <x:f>IF(AND(ISNUMBER(X1324),X1324&gt;=0,Y1324&lt;&gt;1),X1324,"")</x:f>
      </x:c>
      <x:c r="V1324" s="10"/>
      <x:c r="W1324" s="10"/>
      <x:c r="X1324" s="10"/>
      <x:c r="Y1324" s="3"/>
      <x:c r="Z1324" s="3" t="str">
        <x:v>移出</x:v>
      </x:c>
      <x:c r="AA1324" s="3" t="str">
        <x:v>已移出</x:v>
      </x:c>
      <x:c r="AB1324" s="12" t="str">
        <x:f>IF(AND(Z1324="共同",ISNUMBER(G1324),ISNUMBER(AD1324)),G1324-AD1324,"")</x:f>
      </x:c>
      <x:c r="AC1324" s="3" t="str">
        <x:v>基准清单已移出</x:v>
      </x:c>
      <x:c r="AD1324" s="12"/>
      <x:c r="AE1324" s="3" t="str">
        <x:v>[13120,"B06b-CCP0-8.5"]</x:v>
      </x:c>
      <x:c r="AF1324" t="n">
        <x:f>IF(ISNUMBER(H1324),1,0)</x:f>
        <x:v>0</x:v>
      </x:c>
      <x:c r="AG1324" t="n">
        <x:f>IF(ISNUMBER(I1324),1,0)</x:f>
        <x:v>1</x:v>
      </x:c>
      <x:c r="AH1324"/>
      <x:c r="AI1324" t="n">
        <x:f>IF(ISNUMBER(G1324),1,0)</x:f>
        <x:v>0</x:v>
      </x:c>
      <x:c r="AJ1324" t="n">
        <x:f>IF(ISNUMBER(AD1324),1,0)</x:f>
        <x:v>0</x:v>
      </x:c>
    </x:row>
    <x:row r="1325" ht="30" customHeight="1">
      <x:c r="A1325" s="3" t="str">
        <x:v>B06b-CCP0-9.5</x:v>
      </x:c>
      <x:c r="B1325" s="3" t="str">
        <x:v>1店-MUSSHOE-US</x:v>
      </x:c>
      <x:c r="C1325" s="3" t="str">
        <x:v>艾年</x:v>
      </x:c>
      <x:c r="D1325" s="3" t="str">
        <x:v>B06b</x:v>
      </x:c>
      <x:c r="E1325" s="3" t="str">
        <x:f>IF(Z1325="移出","已移出",IF(NOT(ISNUMBER(H1325)),"数据待核",IF(H1325=0,"断货",IF(NOT(ISNUMBER(G1325)),"数据待核",IF(G1325=0,"零日销待复核",IF(F1325&lt;60,"补货提醒",IF(F1325&lt;=90,"正常库存",IF(F1325&lt;180,"促销",IF(F1325&lt;=365,"红线促销","考虑清仓")))))))))</x:f>
        <x:v>已移出</x:v>
      </x:c>
      <x:c r="F1325" s="11" t="str">
        <x:f>IF(AND(ISNUMBER(H1325),ISNUMBER(G1325),G1325&gt;0),H1325/G1325,"")</x:f>
      </x:c>
      <x:c r="G1325" s="12" t="str">
        <x:f>IF(AND(COUNT(P1325:R1325)=3,MIN(P1325:R1325)&gt;=0,P1325&lt;=Q1325,Q1325&lt;=R1325),P1325/7*0.5+Q1325/14*0.3+R1325/30*0.2,"")</x:f>
      </x:c>
      <x:c r="H1325" s="10" t="str">
        <x:f>IF(ISNUMBER(U1325),U1325,"")</x:f>
      </x:c>
      <x:c r="I1325" s="10" t="n">
        <x:v>0</x:v>
      </x:c>
      <x:c r="J1325" s="11" t="str">
        <x:f>IF(AND(Z1325="共同",ISNUMBER(F1325),ISNUMBER(M1325)),F1325-M1325,"")</x:f>
      </x:c>
      <x:c r="K1325" s="13" t="str">
        <x:f>IF(AND(ISNUMBER(J1325),M1325&lt;&gt;0),J1325/M1325,"")</x:f>
      </x:c>
      <x:c r="L1325" s="10" t="str">
        <x:v>断货</x:v>
      </x:c>
      <x:c r="M1325" s="11"/>
      <x:c r="N1325" s="10" t="str">
        <x:f>IF(AND(Z1325="共同",COUNT(H1325:I1325)=2),H1325-I1325,"")</x:f>
      </x:c>
      <x:c r="O1325" s="10"/>
      <x:c r="P1325" s="10"/>
      <x:c r="Q1325" s="10"/>
      <x:c r="R1325" s="10"/>
      <x:c r="S1325" s="10"/>
      <x:c r="T1325" s="10"/>
      <x:c r="U1325" s="10" t="str">
        <x:f>IF(AND(ISNUMBER(X1325),X1325&gt;=0,Y1325&lt;&gt;1),X1325,"")</x:f>
      </x:c>
      <x:c r="V1325" s="10"/>
      <x:c r="W1325" s="10"/>
      <x:c r="X1325" s="10"/>
      <x:c r="Y1325" s="3"/>
      <x:c r="Z1325" s="3" t="str">
        <x:v>移出</x:v>
      </x:c>
      <x:c r="AA1325" s="3" t="str">
        <x:v>已移出</x:v>
      </x:c>
      <x:c r="AB1325" s="12" t="str">
        <x:f>IF(AND(Z1325="共同",ISNUMBER(G1325),ISNUMBER(AD1325)),G1325-AD1325,"")</x:f>
      </x:c>
      <x:c r="AC1325" s="3" t="str">
        <x:v>基准清单已移出</x:v>
      </x:c>
      <x:c r="AD1325" s="12"/>
      <x:c r="AE1325" s="3" t="str">
        <x:v>[13120,"B06b-CCP0-9.5"]</x:v>
      </x:c>
      <x:c r="AF1325" t="n">
        <x:f>IF(ISNUMBER(H1325),1,0)</x:f>
        <x:v>0</x:v>
      </x:c>
      <x:c r="AG1325" t="n">
        <x:f>IF(ISNUMBER(I1325),1,0)</x:f>
        <x:v>1</x:v>
      </x:c>
      <x:c r="AH1325"/>
      <x:c r="AI1325" t="n">
        <x:f>IF(ISNUMBER(G1325),1,0)</x:f>
        <x:v>0</x:v>
      </x:c>
      <x:c r="AJ1325" t="n">
        <x:f>IF(ISNUMBER(AD1325),1,0)</x:f>
        <x:v>0</x:v>
      </x:c>
    </x:row>
    <x:row r="1326" ht="30" customHeight="1">
      <x:c r="A1326" s="3" t="str">
        <x:v>B06-BK-39</x:v>
      </x:c>
      <x:c r="B1326" s="3" t="str">
        <x:v>1店-MUSSHOE-US</x:v>
      </x:c>
      <x:c r="C1326" s="3" t="str">
        <x:v>艾年</x:v>
      </x:c>
      <x:c r="D1326" s="3" t="str">
        <x:v>B06</x:v>
      </x:c>
      <x:c r="E1326" s="3" t="str">
        <x:f>IF(Z1326="移出","已移出",IF(NOT(ISNUMBER(H1326)),"数据待核",IF(H1326=0,"断货",IF(NOT(ISNUMBER(G1326)),"数据待核",IF(G1326=0,"零日销待复核",IF(F1326&lt;60,"补货提醒",IF(F1326&lt;=90,"正常库存",IF(F1326&lt;180,"促销",IF(F1326&lt;=365,"红线促销","考虑清仓")))))))))</x:f>
        <x:v>已移出</x:v>
      </x:c>
      <x:c r="F1326" s="11" t="str">
        <x:f>IF(AND(ISNUMBER(H1326),ISNUMBER(G1326),G1326&gt;0),H1326/G1326,"")</x:f>
      </x:c>
      <x:c r="G1326" s="12" t="str">
        <x:f>IF(AND(COUNT(P1326:R1326)=3,MIN(P1326:R1326)&gt;=0,P1326&lt;=Q1326,Q1326&lt;=R1326),P1326/7*0.5+Q1326/14*0.3+R1326/30*0.2,"")</x:f>
      </x:c>
      <x:c r="H1326" s="10" t="str">
        <x:f>IF(ISNUMBER(U1326),U1326,"")</x:f>
      </x:c>
      <x:c r="I1326" s="10" t="n">
        <x:v>0</x:v>
      </x:c>
      <x:c r="J1326" s="11" t="str">
        <x:f>IF(AND(Z1326="共同",ISNUMBER(F1326),ISNUMBER(M1326)),F1326-M1326,"")</x:f>
      </x:c>
      <x:c r="K1326" s="13" t="str">
        <x:f>IF(AND(ISNUMBER(J1326),M1326&lt;&gt;0),J1326/M1326,"")</x:f>
      </x:c>
      <x:c r="L1326" s="10" t="str">
        <x:v>断货</x:v>
      </x:c>
      <x:c r="M1326" s="11"/>
      <x:c r="N1326" s="10" t="str">
        <x:f>IF(AND(Z1326="共同",COUNT(H1326:I1326)=2),H1326-I1326,"")</x:f>
      </x:c>
      <x:c r="O1326" s="10"/>
      <x:c r="P1326" s="10"/>
      <x:c r="Q1326" s="10"/>
      <x:c r="R1326" s="10"/>
      <x:c r="S1326" s="10"/>
      <x:c r="T1326" s="10"/>
      <x:c r="U1326" s="10" t="str">
        <x:f>IF(AND(ISNUMBER(X1326),X1326&gt;=0,Y1326&lt;&gt;1),X1326,"")</x:f>
      </x:c>
      <x:c r="V1326" s="10"/>
      <x:c r="W1326" s="10"/>
      <x:c r="X1326" s="10"/>
      <x:c r="Y1326" s="3"/>
      <x:c r="Z1326" s="3" t="str">
        <x:v>移出</x:v>
      </x:c>
      <x:c r="AA1326" s="3" t="str">
        <x:v>已移出</x:v>
      </x:c>
      <x:c r="AB1326" s="12" t="str">
        <x:f>IF(AND(Z1326="共同",ISNUMBER(G1326),ISNUMBER(AD1326)),G1326-AD1326,"")</x:f>
      </x:c>
      <x:c r="AC1326" s="3" t="str">
        <x:v>基准清单已移出</x:v>
      </x:c>
      <x:c r="AD1326" s="12"/>
      <x:c r="AE1326" s="3" t="str">
        <x:v>[13120,"B06-BK-39"]</x:v>
      </x:c>
      <x:c r="AF1326" t="n">
        <x:f>IF(ISNUMBER(H1326),1,0)</x:f>
        <x:v>0</x:v>
      </x:c>
      <x:c r="AG1326" t="n">
        <x:f>IF(ISNUMBER(I1326),1,0)</x:f>
        <x:v>1</x:v>
      </x:c>
      <x:c r="AH1326"/>
      <x:c r="AI1326" t="n">
        <x:f>IF(ISNUMBER(G1326),1,0)</x:f>
        <x:v>0</x:v>
      </x:c>
      <x:c r="AJ1326" t="n">
        <x:f>IF(ISNUMBER(AD1326),1,0)</x:f>
        <x:v>0</x:v>
      </x:c>
    </x:row>
    <x:row r="1327" ht="30" customHeight="1">
      <x:c r="A1327" s="3" t="str">
        <x:v>B06-BK-42</x:v>
      </x:c>
      <x:c r="B1327" s="3" t="str">
        <x:v>1店-MUSSHOE-US</x:v>
      </x:c>
      <x:c r="C1327" s="3" t="str">
        <x:v>艾年</x:v>
      </x:c>
      <x:c r="D1327" s="3" t="str">
        <x:v>B06</x:v>
      </x:c>
      <x:c r="E1327" s="3" t="str">
        <x:f>IF(Z1327="移出","已移出",IF(NOT(ISNUMBER(H1327)),"数据待核",IF(H1327=0,"断货",IF(NOT(ISNUMBER(G1327)),"数据待核",IF(G1327=0,"零日销待复核",IF(F1327&lt;60,"补货提醒",IF(F1327&lt;=90,"正常库存",IF(F1327&lt;180,"促销",IF(F1327&lt;=365,"红线促销","考虑清仓")))))))))</x:f>
        <x:v>已移出</x:v>
      </x:c>
      <x:c r="F1327" s="11" t="str">
        <x:f>IF(AND(ISNUMBER(H1327),ISNUMBER(G1327),G1327&gt;0),H1327/G1327,"")</x:f>
      </x:c>
      <x:c r="G1327" s="12" t="str">
        <x:f>IF(AND(COUNT(P1327:R1327)=3,MIN(P1327:R1327)&gt;=0,P1327&lt;=Q1327,Q1327&lt;=R1327),P1327/7*0.5+Q1327/14*0.3+R1327/30*0.2,"")</x:f>
      </x:c>
      <x:c r="H1327" s="10" t="str">
        <x:f>IF(ISNUMBER(U1327),U1327,"")</x:f>
      </x:c>
      <x:c r="I1327" s="10" t="n">
        <x:v>0</x:v>
      </x:c>
      <x:c r="J1327" s="11" t="str">
        <x:f>IF(AND(Z1327="共同",ISNUMBER(F1327),ISNUMBER(M1327)),F1327-M1327,"")</x:f>
      </x:c>
      <x:c r="K1327" s="13" t="str">
        <x:f>IF(AND(ISNUMBER(J1327),M1327&lt;&gt;0),J1327/M1327,"")</x:f>
      </x:c>
      <x:c r="L1327" s="10" t="str">
        <x:v>断货</x:v>
      </x:c>
      <x:c r="M1327" s="11"/>
      <x:c r="N1327" s="10" t="str">
        <x:f>IF(AND(Z1327="共同",COUNT(H1327:I1327)=2),H1327-I1327,"")</x:f>
      </x:c>
      <x:c r="O1327" s="10"/>
      <x:c r="P1327" s="10"/>
      <x:c r="Q1327" s="10"/>
      <x:c r="R1327" s="10"/>
      <x:c r="S1327" s="10"/>
      <x:c r="T1327" s="10"/>
      <x:c r="U1327" s="10" t="str">
        <x:f>IF(AND(ISNUMBER(X1327),X1327&gt;=0,Y1327&lt;&gt;1),X1327,"")</x:f>
      </x:c>
      <x:c r="V1327" s="10"/>
      <x:c r="W1327" s="10"/>
      <x:c r="X1327" s="10"/>
      <x:c r="Y1327" s="3"/>
      <x:c r="Z1327" s="3" t="str">
        <x:v>移出</x:v>
      </x:c>
      <x:c r="AA1327" s="3" t="str">
        <x:v>已移出</x:v>
      </x:c>
      <x:c r="AB1327" s="12" t="str">
        <x:f>IF(AND(Z1327="共同",ISNUMBER(G1327),ISNUMBER(AD1327)),G1327-AD1327,"")</x:f>
      </x:c>
      <x:c r="AC1327" s="3" t="str">
        <x:v>基准清单已移出</x:v>
      </x:c>
      <x:c r="AD1327" s="12"/>
      <x:c r="AE1327" s="3" t="str">
        <x:v>[13120,"B06-BK-42"]</x:v>
      </x:c>
      <x:c r="AF1327" t="n">
        <x:f>IF(ISNUMBER(H1327),1,0)</x:f>
        <x:v>0</x:v>
      </x:c>
      <x:c r="AG1327" t="n">
        <x:f>IF(ISNUMBER(I1327),1,0)</x:f>
        <x:v>1</x:v>
      </x:c>
      <x:c r="AH1327"/>
      <x:c r="AI1327" t="n">
        <x:f>IF(ISNUMBER(G1327),1,0)</x:f>
        <x:v>0</x:v>
      </x:c>
      <x:c r="AJ1327" t="n">
        <x:f>IF(ISNUMBER(AD1327),1,0)</x:f>
        <x:v>0</x:v>
      </x:c>
    </x:row>
    <x:row r="1328" ht="30" customHeight="1">
      <x:c r="A1328" s="3" t="str">
        <x:v>B06-BK-V-0-37</x:v>
      </x:c>
      <x:c r="B1328" s="3" t="str">
        <x:v>1店-MUSSHOE-US</x:v>
      </x:c>
      <x:c r="C1328" s="3" t="str">
        <x:v>艾年</x:v>
      </x:c>
      <x:c r="D1328" s="3" t="str">
        <x:v>B06</x:v>
      </x:c>
      <x:c r="E1328" s="3" t="str">
        <x:f>IF(Z1328="移出","已移出",IF(NOT(ISNUMBER(H1328)),"数据待核",IF(H1328=0,"断货",IF(NOT(ISNUMBER(G1328)),"数据待核",IF(G1328=0,"零日销待复核",IF(F1328&lt;60,"补货提醒",IF(F1328&lt;=90,"正常库存",IF(F1328&lt;180,"促销",IF(F1328&lt;=365,"红线促销","考虑清仓")))))))))</x:f>
        <x:v>已移出</x:v>
      </x:c>
      <x:c r="F1328" s="11" t="str">
        <x:f>IF(AND(ISNUMBER(H1328),ISNUMBER(G1328),G1328&gt;0),H1328/G1328,"")</x:f>
      </x:c>
      <x:c r="G1328" s="12" t="str">
        <x:f>IF(AND(COUNT(P1328:R1328)=3,MIN(P1328:R1328)&gt;=0,P1328&lt;=Q1328,Q1328&lt;=R1328),P1328/7*0.5+Q1328/14*0.3+R1328/30*0.2,"")</x:f>
      </x:c>
      <x:c r="H1328" s="10" t="str">
        <x:f>IF(ISNUMBER(U1328),U1328,"")</x:f>
      </x:c>
      <x:c r="I1328" s="10" t="n">
        <x:v>0</x:v>
      </x:c>
      <x:c r="J1328" s="11" t="str">
        <x:f>IF(AND(Z1328="共同",ISNUMBER(F1328),ISNUMBER(M1328)),F1328-M1328,"")</x:f>
      </x:c>
      <x:c r="K1328" s="13" t="str">
        <x:f>IF(AND(ISNUMBER(J1328),M1328&lt;&gt;0),J1328/M1328,"")</x:f>
      </x:c>
      <x:c r="L1328" s="10" t="str">
        <x:v>断货</x:v>
      </x:c>
      <x:c r="M1328" s="11"/>
      <x:c r="N1328" s="10" t="str">
        <x:f>IF(AND(Z1328="共同",COUNT(H1328:I1328)=2),H1328-I1328,"")</x:f>
      </x:c>
      <x:c r="O1328" s="10"/>
      <x:c r="P1328" s="10"/>
      <x:c r="Q1328" s="10"/>
      <x:c r="R1328" s="10"/>
      <x:c r="S1328" s="10"/>
      <x:c r="T1328" s="10"/>
      <x:c r="U1328" s="10" t="str">
        <x:f>IF(AND(ISNUMBER(X1328),X1328&gt;=0,Y1328&lt;&gt;1),X1328,"")</x:f>
      </x:c>
      <x:c r="V1328" s="10"/>
      <x:c r="W1328" s="10"/>
      <x:c r="X1328" s="10"/>
      <x:c r="Y1328" s="3"/>
      <x:c r="Z1328" s="3" t="str">
        <x:v>移出</x:v>
      </x:c>
      <x:c r="AA1328" s="3" t="str">
        <x:v>已移出</x:v>
      </x:c>
      <x:c r="AB1328" s="12" t="str">
        <x:f>IF(AND(Z1328="共同",ISNUMBER(G1328),ISNUMBER(AD1328)),G1328-AD1328,"")</x:f>
      </x:c>
      <x:c r="AC1328" s="3" t="str">
        <x:v>基准清单已移出</x:v>
      </x:c>
      <x:c r="AD1328" s="12"/>
      <x:c r="AE1328" s="3" t="str">
        <x:v>[13120,"B06-BK-V-0-37"]</x:v>
      </x:c>
      <x:c r="AF1328" t="n">
        <x:f>IF(ISNUMBER(H1328),1,0)</x:f>
        <x:v>0</x:v>
      </x:c>
      <x:c r="AG1328" t="n">
        <x:f>IF(ISNUMBER(I1328),1,0)</x:f>
        <x:v>1</x:v>
      </x:c>
      <x:c r="AH1328"/>
      <x:c r="AI1328" t="n">
        <x:f>IF(ISNUMBER(G1328),1,0)</x:f>
        <x:v>0</x:v>
      </x:c>
      <x:c r="AJ1328" t="n">
        <x:f>IF(ISNUMBER(AD1328),1,0)</x:f>
        <x:v>0</x:v>
      </x:c>
    </x:row>
    <x:row r="1329" ht="30" customHeight="1">
      <x:c r="A1329" s="3" t="str">
        <x:v>B06-BK-V-0-37.5</x:v>
      </x:c>
      <x:c r="B1329" s="3" t="str">
        <x:v>1店-MUSSHOE-US</x:v>
      </x:c>
      <x:c r="C1329" s="3" t="str">
        <x:v>艾年</x:v>
      </x:c>
      <x:c r="D1329" s="3" t="str">
        <x:v>B06</x:v>
      </x:c>
      <x:c r="E1329" s="3" t="str">
        <x:f>IF(Z1329="移出","已移出",IF(NOT(ISNUMBER(H1329)),"数据待核",IF(H1329=0,"断货",IF(NOT(ISNUMBER(G1329)),"数据待核",IF(G1329=0,"零日销待复核",IF(F1329&lt;60,"补货提醒",IF(F1329&lt;=90,"正常库存",IF(F1329&lt;180,"促销",IF(F1329&lt;=365,"红线促销","考虑清仓")))))))))</x:f>
        <x:v>已移出</x:v>
      </x:c>
      <x:c r="F1329" s="11" t="str">
        <x:f>IF(AND(ISNUMBER(H1329),ISNUMBER(G1329),G1329&gt;0),H1329/G1329,"")</x:f>
      </x:c>
      <x:c r="G1329" s="12" t="str">
        <x:f>IF(AND(COUNT(P1329:R1329)=3,MIN(P1329:R1329)&gt;=0,P1329&lt;=Q1329,Q1329&lt;=R1329),P1329/7*0.5+Q1329/14*0.3+R1329/30*0.2,"")</x:f>
      </x:c>
      <x:c r="H1329" s="10" t="str">
        <x:f>IF(ISNUMBER(U1329),U1329,"")</x:f>
      </x:c>
      <x:c r="I1329" s="10" t="n">
        <x:v>0</x:v>
      </x:c>
      <x:c r="J1329" s="11" t="str">
        <x:f>IF(AND(Z1329="共同",ISNUMBER(F1329),ISNUMBER(M1329)),F1329-M1329,"")</x:f>
      </x:c>
      <x:c r="K1329" s="13" t="str">
        <x:f>IF(AND(ISNUMBER(J1329),M1329&lt;&gt;0),J1329/M1329,"")</x:f>
      </x:c>
      <x:c r="L1329" s="10" t="str">
        <x:v>断货</x:v>
      </x:c>
      <x:c r="M1329" s="11"/>
      <x:c r="N1329" s="10" t="str">
        <x:f>IF(AND(Z1329="共同",COUNT(H1329:I1329)=2),H1329-I1329,"")</x:f>
      </x:c>
      <x:c r="O1329" s="10"/>
      <x:c r="P1329" s="10"/>
      <x:c r="Q1329" s="10"/>
      <x:c r="R1329" s="10"/>
      <x:c r="S1329" s="10"/>
      <x:c r="T1329" s="10"/>
      <x:c r="U1329" s="10" t="str">
        <x:f>IF(AND(ISNUMBER(X1329),X1329&gt;=0,Y1329&lt;&gt;1),X1329,"")</x:f>
      </x:c>
      <x:c r="V1329" s="10"/>
      <x:c r="W1329" s="10"/>
      <x:c r="X1329" s="10"/>
      <x:c r="Y1329" s="3"/>
      <x:c r="Z1329" s="3" t="str">
        <x:v>移出</x:v>
      </x:c>
      <x:c r="AA1329" s="3" t="str">
        <x:v>已移出</x:v>
      </x:c>
      <x:c r="AB1329" s="12" t="str">
        <x:f>IF(AND(Z1329="共同",ISNUMBER(G1329),ISNUMBER(AD1329)),G1329-AD1329,"")</x:f>
      </x:c>
      <x:c r="AC1329" s="3" t="str">
        <x:v>基准清单已移出</x:v>
      </x:c>
      <x:c r="AD1329" s="12"/>
      <x:c r="AE1329" s="3" t="str">
        <x:v>[13120,"B06-BK-V-0-37.5"]</x:v>
      </x:c>
      <x:c r="AF1329" t="n">
        <x:f>IF(ISNUMBER(H1329),1,0)</x:f>
        <x:v>0</x:v>
      </x:c>
      <x:c r="AG1329" t="n">
        <x:f>IF(ISNUMBER(I1329),1,0)</x:f>
        <x:v>1</x:v>
      </x:c>
      <x:c r="AH1329"/>
      <x:c r="AI1329" t="n">
        <x:f>IF(ISNUMBER(G1329),1,0)</x:f>
        <x:v>0</x:v>
      </x:c>
      <x:c r="AJ1329" t="n">
        <x:f>IF(ISNUMBER(AD1329),1,0)</x:f>
        <x:v>0</x:v>
      </x:c>
    </x:row>
    <x:row r="1330" ht="30" customHeight="1">
      <x:c r="A1330" s="3" t="str">
        <x:v>B06-BK-V-0-39</x:v>
      </x:c>
      <x:c r="B1330" s="3" t="str">
        <x:v>1店-MUSSHOE-US</x:v>
      </x:c>
      <x:c r="C1330" s="3" t="str">
        <x:v>艾年</x:v>
      </x:c>
      <x:c r="D1330" s="3" t="str">
        <x:v>B06</x:v>
      </x:c>
      <x:c r="E1330" s="3" t="str">
        <x:f>IF(Z1330="移出","已移出",IF(NOT(ISNUMBER(H1330)),"数据待核",IF(H1330=0,"断货",IF(NOT(ISNUMBER(G1330)),"数据待核",IF(G1330=0,"零日销待复核",IF(F1330&lt;60,"补货提醒",IF(F1330&lt;=90,"正常库存",IF(F1330&lt;180,"促销",IF(F1330&lt;=365,"红线促销","考虑清仓")))))))))</x:f>
        <x:v>已移出</x:v>
      </x:c>
      <x:c r="F1330" s="11" t="str">
        <x:f>IF(AND(ISNUMBER(H1330),ISNUMBER(G1330),G1330&gt;0),H1330/G1330,"")</x:f>
      </x:c>
      <x:c r="G1330" s="12" t="str">
        <x:f>IF(AND(COUNT(P1330:R1330)=3,MIN(P1330:R1330)&gt;=0,P1330&lt;=Q1330,Q1330&lt;=R1330),P1330/7*0.5+Q1330/14*0.3+R1330/30*0.2,"")</x:f>
      </x:c>
      <x:c r="H1330" s="10" t="str">
        <x:f>IF(ISNUMBER(U1330),U1330,"")</x:f>
      </x:c>
      <x:c r="I1330" s="10" t="n">
        <x:v>0</x:v>
      </x:c>
      <x:c r="J1330" s="11" t="str">
        <x:f>IF(AND(Z1330="共同",ISNUMBER(F1330),ISNUMBER(M1330)),F1330-M1330,"")</x:f>
      </x:c>
      <x:c r="K1330" s="13" t="str">
        <x:f>IF(AND(ISNUMBER(J1330),M1330&lt;&gt;0),J1330/M1330,"")</x:f>
      </x:c>
      <x:c r="L1330" s="10" t="str">
        <x:v>断货</x:v>
      </x:c>
      <x:c r="M1330" s="11"/>
      <x:c r="N1330" s="10" t="str">
        <x:f>IF(AND(Z1330="共同",COUNT(H1330:I1330)=2),H1330-I1330,"")</x:f>
      </x:c>
      <x:c r="O1330" s="10"/>
      <x:c r="P1330" s="10"/>
      <x:c r="Q1330" s="10"/>
      <x:c r="R1330" s="10"/>
      <x:c r="S1330" s="10"/>
      <x:c r="T1330" s="10"/>
      <x:c r="U1330" s="10" t="str">
        <x:f>IF(AND(ISNUMBER(X1330),X1330&gt;=0,Y1330&lt;&gt;1),X1330,"")</x:f>
      </x:c>
      <x:c r="V1330" s="10"/>
      <x:c r="W1330" s="10"/>
      <x:c r="X1330" s="10"/>
      <x:c r="Y1330" s="3"/>
      <x:c r="Z1330" s="3" t="str">
        <x:v>移出</x:v>
      </x:c>
      <x:c r="AA1330" s="3" t="str">
        <x:v>已移出</x:v>
      </x:c>
      <x:c r="AB1330" s="12" t="str">
        <x:f>IF(AND(Z1330="共同",ISNUMBER(G1330),ISNUMBER(AD1330)),G1330-AD1330,"")</x:f>
      </x:c>
      <x:c r="AC1330" s="3" t="str">
        <x:v>基准清单已移出</x:v>
      </x:c>
      <x:c r="AD1330" s="12"/>
      <x:c r="AE1330" s="3" t="str">
        <x:v>[13120,"B06-BK-V-0-39"]</x:v>
      </x:c>
      <x:c r="AF1330" t="n">
        <x:f>IF(ISNUMBER(H1330),1,0)</x:f>
        <x:v>0</x:v>
      </x:c>
      <x:c r="AG1330" t="n">
        <x:f>IF(ISNUMBER(I1330),1,0)</x:f>
        <x:v>1</x:v>
      </x:c>
      <x:c r="AH1330"/>
      <x:c r="AI1330" t="n">
        <x:f>IF(ISNUMBER(G1330),1,0)</x:f>
        <x:v>0</x:v>
      </x:c>
      <x:c r="AJ1330" t="n">
        <x:f>IF(ISNUMBER(AD1330),1,0)</x:f>
        <x:v>0</x:v>
      </x:c>
    </x:row>
    <x:row r="1331" ht="30" customHeight="1">
      <x:c r="A1331" s="3" t="str">
        <x:v>B06-BK-V-0-40.5</x:v>
      </x:c>
      <x:c r="B1331" s="3" t="str">
        <x:v>1店-MUSSHOE-US</x:v>
      </x:c>
      <x:c r="C1331" s="3" t="str">
        <x:v>艾年</x:v>
      </x:c>
      <x:c r="D1331" s="3" t="str">
        <x:v>B06</x:v>
      </x:c>
      <x:c r="E1331" s="3" t="str">
        <x:f>IF(Z1331="移出","已移出",IF(NOT(ISNUMBER(H1331)),"数据待核",IF(H1331=0,"断货",IF(NOT(ISNUMBER(G1331)),"数据待核",IF(G1331=0,"零日销待复核",IF(F1331&lt;60,"补货提醒",IF(F1331&lt;=90,"正常库存",IF(F1331&lt;180,"促销",IF(F1331&lt;=365,"红线促销","考虑清仓")))))))))</x:f>
        <x:v>已移出</x:v>
      </x:c>
      <x:c r="F1331" s="11" t="str">
        <x:f>IF(AND(ISNUMBER(H1331),ISNUMBER(G1331),G1331&gt;0),H1331/G1331,"")</x:f>
      </x:c>
      <x:c r="G1331" s="12" t="str">
        <x:f>IF(AND(COUNT(P1331:R1331)=3,MIN(P1331:R1331)&gt;=0,P1331&lt;=Q1331,Q1331&lt;=R1331),P1331/7*0.5+Q1331/14*0.3+R1331/30*0.2,"")</x:f>
      </x:c>
      <x:c r="H1331" s="10" t="str">
        <x:f>IF(ISNUMBER(U1331),U1331,"")</x:f>
      </x:c>
      <x:c r="I1331" s="10" t="n">
        <x:v>0</x:v>
      </x:c>
      <x:c r="J1331" s="11" t="str">
        <x:f>IF(AND(Z1331="共同",ISNUMBER(F1331),ISNUMBER(M1331)),F1331-M1331,"")</x:f>
      </x:c>
      <x:c r="K1331" s="13" t="str">
        <x:f>IF(AND(ISNUMBER(J1331),M1331&lt;&gt;0),J1331/M1331,"")</x:f>
      </x:c>
      <x:c r="L1331" s="10" t="str">
        <x:v>断货</x:v>
      </x:c>
      <x:c r="M1331" s="11"/>
      <x:c r="N1331" s="10" t="str">
        <x:f>IF(AND(Z1331="共同",COUNT(H1331:I1331)=2),H1331-I1331,"")</x:f>
      </x:c>
      <x:c r="O1331" s="10"/>
      <x:c r="P1331" s="10"/>
      <x:c r="Q1331" s="10"/>
      <x:c r="R1331" s="10"/>
      <x:c r="S1331" s="10"/>
      <x:c r="T1331" s="10"/>
      <x:c r="U1331" s="10" t="str">
        <x:f>IF(AND(ISNUMBER(X1331),X1331&gt;=0,Y1331&lt;&gt;1),X1331,"")</x:f>
      </x:c>
      <x:c r="V1331" s="10"/>
      <x:c r="W1331" s="10"/>
      <x:c r="X1331" s="10"/>
      <x:c r="Y1331" s="3"/>
      <x:c r="Z1331" s="3" t="str">
        <x:v>移出</x:v>
      </x:c>
      <x:c r="AA1331" s="3" t="str">
        <x:v>已移出</x:v>
      </x:c>
      <x:c r="AB1331" s="12" t="str">
        <x:f>IF(AND(Z1331="共同",ISNUMBER(G1331),ISNUMBER(AD1331)),G1331-AD1331,"")</x:f>
      </x:c>
      <x:c r="AC1331" s="3" t="str">
        <x:v>基准清单已移出</x:v>
      </x:c>
      <x:c r="AD1331" s="12"/>
      <x:c r="AE1331" s="3" t="str">
        <x:v>[13120,"B06-BK-V-0-40.5"]</x:v>
      </x:c>
      <x:c r="AF1331" t="n">
        <x:f>IF(ISNUMBER(H1331),1,0)</x:f>
        <x:v>0</x:v>
      </x:c>
      <x:c r="AG1331" t="n">
        <x:f>IF(ISNUMBER(I1331),1,0)</x:f>
        <x:v>1</x:v>
      </x:c>
      <x:c r="AH1331"/>
      <x:c r="AI1331" t="n">
        <x:f>IF(ISNUMBER(G1331),1,0)</x:f>
        <x:v>0</x:v>
      </x:c>
      <x:c r="AJ1331" t="n">
        <x:f>IF(ISNUMBER(AD1331),1,0)</x:f>
        <x:v>0</x:v>
      </x:c>
    </x:row>
    <x:row r="1332" ht="30" customHeight="1">
      <x:c r="A1332" s="3" t="str">
        <x:v>B06-BK-V-0-41.5</x:v>
      </x:c>
      <x:c r="B1332" s="3" t="str">
        <x:v>1店-MUSSHOE-US</x:v>
      </x:c>
      <x:c r="C1332" s="3" t="str">
        <x:v>艾年</x:v>
      </x:c>
      <x:c r="D1332" s="3" t="str">
        <x:v>B06</x:v>
      </x:c>
      <x:c r="E1332" s="3" t="str">
        <x:f>IF(Z1332="移出","已移出",IF(NOT(ISNUMBER(H1332)),"数据待核",IF(H1332=0,"断货",IF(NOT(ISNUMBER(G1332)),"数据待核",IF(G1332=0,"零日销待复核",IF(F1332&lt;60,"补货提醒",IF(F1332&lt;=90,"正常库存",IF(F1332&lt;180,"促销",IF(F1332&lt;=365,"红线促销","考虑清仓")))))))))</x:f>
        <x:v>已移出</x:v>
      </x:c>
      <x:c r="F1332" s="11" t="str">
        <x:f>IF(AND(ISNUMBER(H1332),ISNUMBER(G1332),G1332&gt;0),H1332/G1332,"")</x:f>
      </x:c>
      <x:c r="G1332" s="12" t="str">
        <x:f>IF(AND(COUNT(P1332:R1332)=3,MIN(P1332:R1332)&gt;=0,P1332&lt;=Q1332,Q1332&lt;=R1332),P1332/7*0.5+Q1332/14*0.3+R1332/30*0.2,"")</x:f>
      </x:c>
      <x:c r="H1332" s="10" t="str">
        <x:f>IF(ISNUMBER(U1332),U1332,"")</x:f>
      </x:c>
      <x:c r="I1332" s="10" t="n">
        <x:v>0</x:v>
      </x:c>
      <x:c r="J1332" s="11" t="str">
        <x:f>IF(AND(Z1332="共同",ISNUMBER(F1332),ISNUMBER(M1332)),F1332-M1332,"")</x:f>
      </x:c>
      <x:c r="K1332" s="13" t="str">
        <x:f>IF(AND(ISNUMBER(J1332),M1332&lt;&gt;0),J1332/M1332,"")</x:f>
      </x:c>
      <x:c r="L1332" s="10" t="str">
        <x:v>断货</x:v>
      </x:c>
      <x:c r="M1332" s="11"/>
      <x:c r="N1332" s="10" t="str">
        <x:f>IF(AND(Z1332="共同",COUNT(H1332:I1332)=2),H1332-I1332,"")</x:f>
      </x:c>
      <x:c r="O1332" s="10"/>
      <x:c r="P1332" s="10"/>
      <x:c r="Q1332" s="10"/>
      <x:c r="R1332" s="10"/>
      <x:c r="S1332" s="10"/>
      <x:c r="T1332" s="10"/>
      <x:c r="U1332" s="10" t="str">
        <x:f>IF(AND(ISNUMBER(X1332),X1332&gt;=0,Y1332&lt;&gt;1),X1332,"")</x:f>
      </x:c>
      <x:c r="V1332" s="10"/>
      <x:c r="W1332" s="10"/>
      <x:c r="X1332" s="10"/>
      <x:c r="Y1332" s="3"/>
      <x:c r="Z1332" s="3" t="str">
        <x:v>移出</x:v>
      </x:c>
      <x:c r="AA1332" s="3" t="str">
        <x:v>已移出</x:v>
      </x:c>
      <x:c r="AB1332" s="12" t="str">
        <x:f>IF(AND(Z1332="共同",ISNUMBER(G1332),ISNUMBER(AD1332)),G1332-AD1332,"")</x:f>
      </x:c>
      <x:c r="AC1332" s="3" t="str">
        <x:v>基准清单已移出</x:v>
      </x:c>
      <x:c r="AD1332" s="12"/>
      <x:c r="AE1332" s="3" t="str">
        <x:v>[13120,"B06-BK-V-0-41.5"]</x:v>
      </x:c>
      <x:c r="AF1332" t="n">
        <x:f>IF(ISNUMBER(H1332),1,0)</x:f>
        <x:v>0</x:v>
      </x:c>
      <x:c r="AG1332" t="n">
        <x:f>IF(ISNUMBER(I1332),1,0)</x:f>
        <x:v>1</x:v>
      </x:c>
      <x:c r="AH1332"/>
      <x:c r="AI1332" t="n">
        <x:f>IF(ISNUMBER(G1332),1,0)</x:f>
        <x:v>0</x:v>
      </x:c>
      <x:c r="AJ1332" t="n">
        <x:f>IF(ISNUMBER(AD1332),1,0)</x:f>
        <x:v>0</x:v>
      </x:c>
    </x:row>
    <x:row r="1333" ht="30" customHeight="1">
      <x:c r="A1333" s="3" t="str">
        <x:v>B06b-NDP0-10</x:v>
      </x:c>
      <x:c r="B1333" s="3" t="str">
        <x:v>1店-MUSSHOE-US</x:v>
      </x:c>
      <x:c r="C1333" s="3" t="str">
        <x:v>艾年</x:v>
      </x:c>
      <x:c r="D1333" s="3" t="str">
        <x:v>B06b</x:v>
      </x:c>
      <x:c r="E1333" s="3" t="str">
        <x:f>IF(Z1333="移出","已移出",IF(NOT(ISNUMBER(H1333)),"数据待核",IF(H1333=0,"断货",IF(NOT(ISNUMBER(G1333)),"数据待核",IF(G1333=0,"零日销待复核",IF(F1333&lt;60,"补货提醒",IF(F1333&lt;=90,"正常库存",IF(F1333&lt;180,"促销",IF(F1333&lt;=365,"红线促销","考虑清仓")))))))))</x:f>
        <x:v>已移出</x:v>
      </x:c>
      <x:c r="F1333" s="11" t="str">
        <x:f>IF(AND(ISNUMBER(H1333),ISNUMBER(G1333),G1333&gt;0),H1333/G1333,"")</x:f>
      </x:c>
      <x:c r="G1333" s="12" t="str">
        <x:f>IF(AND(COUNT(P1333:R1333)=3,MIN(P1333:R1333)&gt;=0,P1333&lt;=Q1333,Q1333&lt;=R1333),P1333/7*0.5+Q1333/14*0.3+R1333/30*0.2,"")</x:f>
      </x:c>
      <x:c r="H1333" s="10" t="str">
        <x:f>IF(ISNUMBER(U1333),U1333,"")</x:f>
      </x:c>
      <x:c r="I1333" s="10" t="n">
        <x:v>0</x:v>
      </x:c>
      <x:c r="J1333" s="11" t="str">
        <x:f>IF(AND(Z1333="共同",ISNUMBER(F1333),ISNUMBER(M1333)),F1333-M1333,"")</x:f>
      </x:c>
      <x:c r="K1333" s="13" t="str">
        <x:f>IF(AND(ISNUMBER(J1333),M1333&lt;&gt;0),J1333/M1333,"")</x:f>
      </x:c>
      <x:c r="L1333" s="10" t="str">
        <x:v>断货</x:v>
      </x:c>
      <x:c r="M1333" s="11"/>
      <x:c r="N1333" s="10" t="str">
        <x:f>IF(AND(Z1333="共同",COUNT(H1333:I1333)=2),H1333-I1333,"")</x:f>
      </x:c>
      <x:c r="O1333" s="10"/>
      <x:c r="P1333" s="10"/>
      <x:c r="Q1333" s="10"/>
      <x:c r="R1333" s="10"/>
      <x:c r="S1333" s="10"/>
      <x:c r="T1333" s="10"/>
      <x:c r="U1333" s="10" t="str">
        <x:f>IF(AND(ISNUMBER(X1333),X1333&gt;=0,Y1333&lt;&gt;1),X1333,"")</x:f>
      </x:c>
      <x:c r="V1333" s="10"/>
      <x:c r="W1333" s="10"/>
      <x:c r="X1333" s="10"/>
      <x:c r="Y1333" s="3"/>
      <x:c r="Z1333" s="3" t="str">
        <x:v>移出</x:v>
      </x:c>
      <x:c r="AA1333" s="3" t="str">
        <x:v>已移出</x:v>
      </x:c>
      <x:c r="AB1333" s="12" t="str">
        <x:f>IF(AND(Z1333="共同",ISNUMBER(G1333),ISNUMBER(AD1333)),G1333-AD1333,"")</x:f>
      </x:c>
      <x:c r="AC1333" s="3" t="str">
        <x:v>基准清单已移出</x:v>
      </x:c>
      <x:c r="AD1333" s="12"/>
      <x:c r="AE1333" s="3" t="str">
        <x:v>[13120,"B06b-NDP0-10"]</x:v>
      </x:c>
      <x:c r="AF1333" t="n">
        <x:f>IF(ISNUMBER(H1333),1,0)</x:f>
        <x:v>0</x:v>
      </x:c>
      <x:c r="AG1333" t="n">
        <x:f>IF(ISNUMBER(I1333),1,0)</x:f>
        <x:v>1</x:v>
      </x:c>
      <x:c r="AH1333"/>
      <x:c r="AI1333" t="n">
        <x:f>IF(ISNUMBER(G1333),1,0)</x:f>
        <x:v>0</x:v>
      </x:c>
      <x:c r="AJ1333" t="n">
        <x:f>IF(ISNUMBER(AD1333),1,0)</x:f>
        <x:v>0</x:v>
      </x:c>
    </x:row>
    <x:row r="1334" ht="30" customHeight="1">
      <x:c r="A1334" s="3" t="str">
        <x:v>B06b-NDP0-10.5</x:v>
      </x:c>
      <x:c r="B1334" s="3" t="str">
        <x:v>1店-MUSSHOE-US</x:v>
      </x:c>
      <x:c r="C1334" s="3" t="str">
        <x:v>艾年</x:v>
      </x:c>
      <x:c r="D1334" s="3" t="str">
        <x:v>B06b</x:v>
      </x:c>
      <x:c r="E1334" s="3" t="str">
        <x:f>IF(Z1334="移出","已移出",IF(NOT(ISNUMBER(H1334)),"数据待核",IF(H1334=0,"断货",IF(NOT(ISNUMBER(G1334)),"数据待核",IF(G1334=0,"零日销待复核",IF(F1334&lt;60,"补货提醒",IF(F1334&lt;=90,"正常库存",IF(F1334&lt;180,"促销",IF(F1334&lt;=365,"红线促销","考虑清仓")))))))))</x:f>
        <x:v>已移出</x:v>
      </x:c>
      <x:c r="F1334" s="11" t="str">
        <x:f>IF(AND(ISNUMBER(H1334),ISNUMBER(G1334),G1334&gt;0),H1334/G1334,"")</x:f>
      </x:c>
      <x:c r="G1334" s="12" t="str">
        <x:f>IF(AND(COUNT(P1334:R1334)=3,MIN(P1334:R1334)&gt;=0,P1334&lt;=Q1334,Q1334&lt;=R1334),P1334/7*0.5+Q1334/14*0.3+R1334/30*0.2,"")</x:f>
      </x:c>
      <x:c r="H1334" s="10" t="str">
        <x:f>IF(ISNUMBER(U1334),U1334,"")</x:f>
      </x:c>
      <x:c r="I1334" s="10" t="n">
        <x:v>0</x:v>
      </x:c>
      <x:c r="J1334" s="11" t="str">
        <x:f>IF(AND(Z1334="共同",ISNUMBER(F1334),ISNUMBER(M1334)),F1334-M1334,"")</x:f>
      </x:c>
      <x:c r="K1334" s="13" t="str">
        <x:f>IF(AND(ISNUMBER(J1334),M1334&lt;&gt;0),J1334/M1334,"")</x:f>
      </x:c>
      <x:c r="L1334" s="10" t="str">
        <x:v>断货</x:v>
      </x:c>
      <x:c r="M1334" s="11"/>
      <x:c r="N1334" s="10" t="str">
        <x:f>IF(AND(Z1334="共同",COUNT(H1334:I1334)=2),H1334-I1334,"")</x:f>
      </x:c>
      <x:c r="O1334" s="10"/>
      <x:c r="P1334" s="10"/>
      <x:c r="Q1334" s="10"/>
      <x:c r="R1334" s="10"/>
      <x:c r="S1334" s="10"/>
      <x:c r="T1334" s="10"/>
      <x:c r="U1334" s="10" t="str">
        <x:f>IF(AND(ISNUMBER(X1334),X1334&gt;=0,Y1334&lt;&gt;1),X1334,"")</x:f>
      </x:c>
      <x:c r="V1334" s="10"/>
      <x:c r="W1334" s="10"/>
      <x:c r="X1334" s="10"/>
      <x:c r="Y1334" s="3"/>
      <x:c r="Z1334" s="3" t="str">
        <x:v>移出</x:v>
      </x:c>
      <x:c r="AA1334" s="3" t="str">
        <x:v>已移出</x:v>
      </x:c>
      <x:c r="AB1334" s="12" t="str">
        <x:f>IF(AND(Z1334="共同",ISNUMBER(G1334),ISNUMBER(AD1334)),G1334-AD1334,"")</x:f>
      </x:c>
      <x:c r="AC1334" s="3" t="str">
        <x:v>基准清单已移出</x:v>
      </x:c>
      <x:c r="AD1334" s="12"/>
      <x:c r="AE1334" s="3" t="str">
        <x:v>[13120,"B06b-NDP0-10.5"]</x:v>
      </x:c>
      <x:c r="AF1334" t="n">
        <x:f>IF(ISNUMBER(H1334),1,0)</x:f>
        <x:v>0</x:v>
      </x:c>
      <x:c r="AG1334" t="n">
        <x:f>IF(ISNUMBER(I1334),1,0)</x:f>
        <x:v>1</x:v>
      </x:c>
      <x:c r="AH1334"/>
      <x:c r="AI1334" t="n">
        <x:f>IF(ISNUMBER(G1334),1,0)</x:f>
        <x:v>0</x:v>
      </x:c>
      <x:c r="AJ1334" t="n">
        <x:f>IF(ISNUMBER(AD1334),1,0)</x:f>
        <x:v>0</x:v>
      </x:c>
    </x:row>
    <x:row r="1335" ht="30" customHeight="1">
      <x:c r="A1335" s="3" t="str">
        <x:v>B06b-NDP0-6.5</x:v>
      </x:c>
      <x:c r="B1335" s="3" t="str">
        <x:v>1店-MUSSHOE-US</x:v>
      </x:c>
      <x:c r="C1335" s="3" t="str">
        <x:v>艾年</x:v>
      </x:c>
      <x:c r="D1335" s="3" t="str">
        <x:v>B06b</x:v>
      </x:c>
      <x:c r="E1335" s="3" t="str">
        <x:f>IF(Z1335="移出","已移出",IF(NOT(ISNUMBER(H1335)),"数据待核",IF(H1335=0,"断货",IF(NOT(ISNUMBER(G1335)),"数据待核",IF(G1335=0,"零日销待复核",IF(F1335&lt;60,"补货提醒",IF(F1335&lt;=90,"正常库存",IF(F1335&lt;180,"促销",IF(F1335&lt;=365,"红线促销","考虑清仓")))))))))</x:f>
        <x:v>已移出</x:v>
      </x:c>
      <x:c r="F1335" s="11" t="str">
        <x:f>IF(AND(ISNUMBER(H1335),ISNUMBER(G1335),G1335&gt;0),H1335/G1335,"")</x:f>
      </x:c>
      <x:c r="G1335" s="12" t="str">
        <x:f>IF(AND(COUNT(P1335:R1335)=3,MIN(P1335:R1335)&gt;=0,P1335&lt;=Q1335,Q1335&lt;=R1335),P1335/7*0.5+Q1335/14*0.3+R1335/30*0.2,"")</x:f>
      </x:c>
      <x:c r="H1335" s="10" t="str">
        <x:f>IF(ISNUMBER(U1335),U1335,"")</x:f>
      </x:c>
      <x:c r="I1335" s="10" t="n">
        <x:v>0</x:v>
      </x:c>
      <x:c r="J1335" s="11" t="str">
        <x:f>IF(AND(Z1335="共同",ISNUMBER(F1335),ISNUMBER(M1335)),F1335-M1335,"")</x:f>
      </x:c>
      <x:c r="K1335" s="13" t="str">
        <x:f>IF(AND(ISNUMBER(J1335),M1335&lt;&gt;0),J1335/M1335,"")</x:f>
      </x:c>
      <x:c r="L1335" s="10" t="str">
        <x:v>断货</x:v>
      </x:c>
      <x:c r="M1335" s="11"/>
      <x:c r="N1335" s="10" t="str">
        <x:f>IF(AND(Z1335="共同",COUNT(H1335:I1335)=2),H1335-I1335,"")</x:f>
      </x:c>
      <x:c r="O1335" s="10"/>
      <x:c r="P1335" s="10"/>
      <x:c r="Q1335" s="10"/>
      <x:c r="R1335" s="10"/>
      <x:c r="S1335" s="10"/>
      <x:c r="T1335" s="10"/>
      <x:c r="U1335" s="10" t="str">
        <x:f>IF(AND(ISNUMBER(X1335),X1335&gt;=0,Y1335&lt;&gt;1),X1335,"")</x:f>
      </x:c>
      <x:c r="V1335" s="10"/>
      <x:c r="W1335" s="10"/>
      <x:c r="X1335" s="10"/>
      <x:c r="Y1335" s="3"/>
      <x:c r="Z1335" s="3" t="str">
        <x:v>移出</x:v>
      </x:c>
      <x:c r="AA1335" s="3" t="str">
        <x:v>已移出</x:v>
      </x:c>
      <x:c r="AB1335" s="12" t="str">
        <x:f>IF(AND(Z1335="共同",ISNUMBER(G1335),ISNUMBER(AD1335)),G1335-AD1335,"")</x:f>
      </x:c>
      <x:c r="AC1335" s="3" t="str">
        <x:v>基准清单已移出</x:v>
      </x:c>
      <x:c r="AD1335" s="12"/>
      <x:c r="AE1335" s="3" t="str">
        <x:v>[13120,"B06b-NDP0-6.5"]</x:v>
      </x:c>
      <x:c r="AF1335" t="n">
        <x:f>IF(ISNUMBER(H1335),1,0)</x:f>
        <x:v>0</x:v>
      </x:c>
      <x:c r="AG1335" t="n">
        <x:f>IF(ISNUMBER(I1335),1,0)</x:f>
        <x:v>1</x:v>
      </x:c>
      <x:c r="AH1335"/>
      <x:c r="AI1335" t="n">
        <x:f>IF(ISNUMBER(G1335),1,0)</x:f>
        <x:v>0</x:v>
      </x:c>
      <x:c r="AJ1335" t="n">
        <x:f>IF(ISNUMBER(AD1335),1,0)</x:f>
        <x:v>0</x:v>
      </x:c>
    </x:row>
    <x:row r="1336" ht="30" customHeight="1">
      <x:c r="A1336" s="3" t="str">
        <x:v>B06b-NDP0-7.5</x:v>
      </x:c>
      <x:c r="B1336" s="3" t="str">
        <x:v>1店-MUSSHOE-US</x:v>
      </x:c>
      <x:c r="C1336" s="3" t="str">
        <x:v>艾年</x:v>
      </x:c>
      <x:c r="D1336" s="3" t="str">
        <x:v>B06b</x:v>
      </x:c>
      <x:c r="E1336" s="3" t="str">
        <x:f>IF(Z1336="移出","已移出",IF(NOT(ISNUMBER(H1336)),"数据待核",IF(H1336=0,"断货",IF(NOT(ISNUMBER(G1336)),"数据待核",IF(G1336=0,"零日销待复核",IF(F1336&lt;60,"补货提醒",IF(F1336&lt;=90,"正常库存",IF(F1336&lt;180,"促销",IF(F1336&lt;=365,"红线促销","考虑清仓")))))))))</x:f>
        <x:v>已移出</x:v>
      </x:c>
      <x:c r="F1336" s="11" t="str">
        <x:f>IF(AND(ISNUMBER(H1336),ISNUMBER(G1336),G1336&gt;0),H1336/G1336,"")</x:f>
      </x:c>
      <x:c r="G1336" s="12" t="str">
        <x:f>IF(AND(COUNT(P1336:R1336)=3,MIN(P1336:R1336)&gt;=0,P1336&lt;=Q1336,Q1336&lt;=R1336),P1336/7*0.5+Q1336/14*0.3+R1336/30*0.2,"")</x:f>
      </x:c>
      <x:c r="H1336" s="10" t="str">
        <x:f>IF(ISNUMBER(U1336),U1336,"")</x:f>
      </x:c>
      <x:c r="I1336" s="10" t="n">
        <x:v>0</x:v>
      </x:c>
      <x:c r="J1336" s="11" t="str">
        <x:f>IF(AND(Z1336="共同",ISNUMBER(F1336),ISNUMBER(M1336)),F1336-M1336,"")</x:f>
      </x:c>
      <x:c r="K1336" s="13" t="str">
        <x:f>IF(AND(ISNUMBER(J1336),M1336&lt;&gt;0),J1336/M1336,"")</x:f>
      </x:c>
      <x:c r="L1336" s="10" t="str">
        <x:v>断货</x:v>
      </x:c>
      <x:c r="M1336" s="11"/>
      <x:c r="N1336" s="10" t="str">
        <x:f>IF(AND(Z1336="共同",COUNT(H1336:I1336)=2),H1336-I1336,"")</x:f>
      </x:c>
      <x:c r="O1336" s="10"/>
      <x:c r="P1336" s="10"/>
      <x:c r="Q1336" s="10"/>
      <x:c r="R1336" s="10"/>
      <x:c r="S1336" s="10"/>
      <x:c r="T1336" s="10"/>
      <x:c r="U1336" s="10" t="str">
        <x:f>IF(AND(ISNUMBER(X1336),X1336&gt;=0,Y1336&lt;&gt;1),X1336,"")</x:f>
      </x:c>
      <x:c r="V1336" s="10"/>
      <x:c r="W1336" s="10"/>
      <x:c r="X1336" s="10"/>
      <x:c r="Y1336" s="3"/>
      <x:c r="Z1336" s="3" t="str">
        <x:v>移出</x:v>
      </x:c>
      <x:c r="AA1336" s="3" t="str">
        <x:v>已移出</x:v>
      </x:c>
      <x:c r="AB1336" s="12" t="str">
        <x:f>IF(AND(Z1336="共同",ISNUMBER(G1336),ISNUMBER(AD1336)),G1336-AD1336,"")</x:f>
      </x:c>
      <x:c r="AC1336" s="3" t="str">
        <x:v>基准清单已移出</x:v>
      </x:c>
      <x:c r="AD1336" s="12"/>
      <x:c r="AE1336" s="3" t="str">
        <x:v>[13120,"B06b-NDP0-7.5"]</x:v>
      </x:c>
      <x:c r="AF1336" t="n">
        <x:f>IF(ISNUMBER(H1336),1,0)</x:f>
        <x:v>0</x:v>
      </x:c>
      <x:c r="AG1336" t="n">
        <x:f>IF(ISNUMBER(I1336),1,0)</x:f>
        <x:v>1</x:v>
      </x:c>
      <x:c r="AH1336"/>
      <x:c r="AI1336" t="n">
        <x:f>IF(ISNUMBER(G1336),1,0)</x:f>
        <x:v>0</x:v>
      </x:c>
      <x:c r="AJ1336" t="n">
        <x:f>IF(ISNUMBER(AD1336),1,0)</x:f>
        <x:v>0</x:v>
      </x:c>
    </x:row>
    <x:row r="1337" ht="30" customHeight="1">
      <x:c r="A1337" s="3" t="str">
        <x:v>B06b-NY-41.5</x:v>
      </x:c>
      <x:c r="B1337" s="3" t="str">
        <x:v>1店-MUSSHOE-US</x:v>
      </x:c>
      <x:c r="C1337" s="3" t="str">
        <x:v>艾年</x:v>
      </x:c>
      <x:c r="D1337" s="3" t="str">
        <x:v>B06b</x:v>
      </x:c>
      <x:c r="E1337" s="3" t="str">
        <x:f>IF(Z1337="移出","已移出",IF(NOT(ISNUMBER(H1337)),"数据待核",IF(H1337=0,"断货",IF(NOT(ISNUMBER(G1337)),"数据待核",IF(G1337=0,"零日销待复核",IF(F1337&lt;60,"补货提醒",IF(F1337&lt;=90,"正常库存",IF(F1337&lt;180,"促销",IF(F1337&lt;=365,"红线促销","考虑清仓")))))))))</x:f>
        <x:v>已移出</x:v>
      </x:c>
      <x:c r="F1337" s="11" t="str">
        <x:f>IF(AND(ISNUMBER(H1337),ISNUMBER(G1337),G1337&gt;0),H1337/G1337,"")</x:f>
      </x:c>
      <x:c r="G1337" s="12" t="str">
        <x:f>IF(AND(COUNT(P1337:R1337)=3,MIN(P1337:R1337)&gt;=0,P1337&lt;=Q1337,Q1337&lt;=R1337),P1337/7*0.5+Q1337/14*0.3+R1337/30*0.2,"")</x:f>
      </x:c>
      <x:c r="H1337" s="10" t="str">
        <x:f>IF(ISNUMBER(U1337),U1337,"")</x:f>
      </x:c>
      <x:c r="I1337" s="10" t="n">
        <x:v>0</x:v>
      </x:c>
      <x:c r="J1337" s="11" t="str">
        <x:f>IF(AND(Z1337="共同",ISNUMBER(F1337),ISNUMBER(M1337)),F1337-M1337,"")</x:f>
      </x:c>
      <x:c r="K1337" s="13" t="str">
        <x:f>IF(AND(ISNUMBER(J1337),M1337&lt;&gt;0),J1337/M1337,"")</x:f>
      </x:c>
      <x:c r="L1337" s="10" t="str">
        <x:v>断货</x:v>
      </x:c>
      <x:c r="M1337" s="11"/>
      <x:c r="N1337" s="10" t="str">
        <x:f>IF(AND(Z1337="共同",COUNT(H1337:I1337)=2),H1337-I1337,"")</x:f>
      </x:c>
      <x:c r="O1337" s="10"/>
      <x:c r="P1337" s="10"/>
      <x:c r="Q1337" s="10"/>
      <x:c r="R1337" s="10"/>
      <x:c r="S1337" s="10"/>
      <x:c r="T1337" s="10"/>
      <x:c r="U1337" s="10" t="str">
        <x:f>IF(AND(ISNUMBER(X1337),X1337&gt;=0,Y1337&lt;&gt;1),X1337,"")</x:f>
      </x:c>
      <x:c r="V1337" s="10"/>
      <x:c r="W1337" s="10"/>
      <x:c r="X1337" s="10"/>
      <x:c r="Y1337" s="3"/>
      <x:c r="Z1337" s="3" t="str">
        <x:v>移出</x:v>
      </x:c>
      <x:c r="AA1337" s="3" t="str">
        <x:v>已移出</x:v>
      </x:c>
      <x:c r="AB1337" s="12" t="str">
        <x:f>IF(AND(Z1337="共同",ISNUMBER(G1337),ISNUMBER(AD1337)),G1337-AD1337,"")</x:f>
      </x:c>
      <x:c r="AC1337" s="3" t="str">
        <x:v>基准清单已移出</x:v>
      </x:c>
      <x:c r="AD1337" s="12"/>
      <x:c r="AE1337" s="3" t="str">
        <x:v>[13120,"B06b-NY-41.5"]</x:v>
      </x:c>
      <x:c r="AF1337" t="n">
        <x:f>IF(ISNUMBER(H1337),1,0)</x:f>
        <x:v>0</x:v>
      </x:c>
      <x:c r="AG1337" t="n">
        <x:f>IF(ISNUMBER(I1337),1,0)</x:f>
        <x:v>1</x:v>
      </x:c>
      <x:c r="AH1337"/>
      <x:c r="AI1337" t="n">
        <x:f>IF(ISNUMBER(G1337),1,0)</x:f>
        <x:v>0</x:v>
      </x:c>
      <x:c r="AJ1337" t="n">
        <x:f>IF(ISNUMBER(AD1337),1,0)</x:f>
        <x:v>0</x:v>
      </x:c>
    </x:row>
    <x:row r="1338" ht="30" customHeight="1">
      <x:c r="A1338" s="3" t="str">
        <x:v>B06-BP-40.5</x:v>
      </x:c>
      <x:c r="B1338" s="3" t="str">
        <x:v>1店-MUSSHOE-US</x:v>
      </x:c>
      <x:c r="C1338" s="3" t="str">
        <x:v>艾年</x:v>
      </x:c>
      <x:c r="D1338" s="3" t="str">
        <x:v>B06</x:v>
      </x:c>
      <x:c r="E1338" s="3" t="str">
        <x:f>IF(Z1338="移出","已移出",IF(NOT(ISNUMBER(H1338)),"数据待核",IF(H1338=0,"断货",IF(NOT(ISNUMBER(G1338)),"数据待核",IF(G1338=0,"零日销待复核",IF(F1338&lt;60,"补货提醒",IF(F1338&lt;=90,"正常库存",IF(F1338&lt;180,"促销",IF(F1338&lt;=365,"红线促销","考虑清仓")))))))))</x:f>
        <x:v>已移出</x:v>
      </x:c>
      <x:c r="F1338" s="11" t="str">
        <x:f>IF(AND(ISNUMBER(H1338),ISNUMBER(G1338),G1338&gt;0),H1338/G1338,"")</x:f>
      </x:c>
      <x:c r="G1338" s="12" t="str">
        <x:f>IF(AND(COUNT(P1338:R1338)=3,MIN(P1338:R1338)&gt;=0,P1338&lt;=Q1338,Q1338&lt;=R1338),P1338/7*0.5+Q1338/14*0.3+R1338/30*0.2,"")</x:f>
      </x:c>
      <x:c r="H1338" s="10" t="str">
        <x:f>IF(ISNUMBER(U1338),U1338,"")</x:f>
      </x:c>
      <x:c r="I1338" s="10" t="n">
        <x:v>0</x:v>
      </x:c>
      <x:c r="J1338" s="11" t="str">
        <x:f>IF(AND(Z1338="共同",ISNUMBER(F1338),ISNUMBER(M1338)),F1338-M1338,"")</x:f>
      </x:c>
      <x:c r="K1338" s="13" t="str">
        <x:f>IF(AND(ISNUMBER(J1338),M1338&lt;&gt;0),J1338/M1338,"")</x:f>
      </x:c>
      <x:c r="L1338" s="10" t="str">
        <x:v>断货</x:v>
      </x:c>
      <x:c r="M1338" s="11"/>
      <x:c r="N1338" s="10" t="str">
        <x:f>IF(AND(Z1338="共同",COUNT(H1338:I1338)=2),H1338-I1338,"")</x:f>
      </x:c>
      <x:c r="O1338" s="10"/>
      <x:c r="P1338" s="10"/>
      <x:c r="Q1338" s="10"/>
      <x:c r="R1338" s="10"/>
      <x:c r="S1338" s="10"/>
      <x:c r="T1338" s="10"/>
      <x:c r="U1338" s="10" t="str">
        <x:f>IF(AND(ISNUMBER(X1338),X1338&gt;=0,Y1338&lt;&gt;1),X1338,"")</x:f>
      </x:c>
      <x:c r="V1338" s="10"/>
      <x:c r="W1338" s="10"/>
      <x:c r="X1338" s="10"/>
      <x:c r="Y1338" s="3"/>
      <x:c r="Z1338" s="3" t="str">
        <x:v>移出</x:v>
      </x:c>
      <x:c r="AA1338" s="3" t="str">
        <x:v>已移出</x:v>
      </x:c>
      <x:c r="AB1338" s="12" t="str">
        <x:f>IF(AND(Z1338="共同",ISNUMBER(G1338),ISNUMBER(AD1338)),G1338-AD1338,"")</x:f>
      </x:c>
      <x:c r="AC1338" s="3" t="str">
        <x:v>基准清单已移出</x:v>
      </x:c>
      <x:c r="AD1338" s="12"/>
      <x:c r="AE1338" s="3" t="str">
        <x:v>[13120,"B06-BP-40.5"]</x:v>
      </x:c>
      <x:c r="AF1338" t="n">
        <x:f>IF(ISNUMBER(H1338),1,0)</x:f>
        <x:v>0</x:v>
      </x:c>
      <x:c r="AG1338" t="n">
        <x:f>IF(ISNUMBER(I1338),1,0)</x:f>
        <x:v>1</x:v>
      </x:c>
      <x:c r="AH1338"/>
      <x:c r="AI1338" t="n">
        <x:f>IF(ISNUMBER(G1338),1,0)</x:f>
        <x:v>0</x:v>
      </x:c>
      <x:c r="AJ1338" t="n">
        <x:f>IF(ISNUMBER(AD1338),1,0)</x:f>
        <x:v>0</x:v>
      </x:c>
    </x:row>
    <x:row r="1339" ht="30" customHeight="1">
      <x:c r="A1339" s="3" t="str">
        <x:v>B06-BP-41.5</x:v>
      </x:c>
      <x:c r="B1339" s="3" t="str">
        <x:v>1店-MUSSHOE-US</x:v>
      </x:c>
      <x:c r="C1339" s="3" t="str">
        <x:v>艾年</x:v>
      </x:c>
      <x:c r="D1339" s="3" t="str">
        <x:v>B06</x:v>
      </x:c>
      <x:c r="E1339" s="3" t="str">
        <x:f>IF(Z1339="移出","已移出",IF(NOT(ISNUMBER(H1339)),"数据待核",IF(H1339=0,"断货",IF(NOT(ISNUMBER(G1339)),"数据待核",IF(G1339=0,"零日销待复核",IF(F1339&lt;60,"补货提醒",IF(F1339&lt;=90,"正常库存",IF(F1339&lt;180,"促销",IF(F1339&lt;=365,"红线促销","考虑清仓")))))))))</x:f>
        <x:v>已移出</x:v>
      </x:c>
      <x:c r="F1339" s="11" t="str">
        <x:f>IF(AND(ISNUMBER(H1339),ISNUMBER(G1339),G1339&gt;0),H1339/G1339,"")</x:f>
      </x:c>
      <x:c r="G1339" s="12" t="str">
        <x:f>IF(AND(COUNT(P1339:R1339)=3,MIN(P1339:R1339)&gt;=0,P1339&lt;=Q1339,Q1339&lt;=R1339),P1339/7*0.5+Q1339/14*0.3+R1339/30*0.2,"")</x:f>
      </x:c>
      <x:c r="H1339" s="10" t="str">
        <x:f>IF(ISNUMBER(U1339),U1339,"")</x:f>
      </x:c>
      <x:c r="I1339" s="10" t="n">
        <x:v>0</x:v>
      </x:c>
      <x:c r="J1339" s="11" t="str">
        <x:f>IF(AND(Z1339="共同",ISNUMBER(F1339),ISNUMBER(M1339)),F1339-M1339,"")</x:f>
      </x:c>
      <x:c r="K1339" s="13" t="str">
        <x:f>IF(AND(ISNUMBER(J1339),M1339&lt;&gt;0),J1339/M1339,"")</x:f>
      </x:c>
      <x:c r="L1339" s="10" t="str">
        <x:v>断货</x:v>
      </x:c>
      <x:c r="M1339" s="11"/>
      <x:c r="N1339" s="10" t="str">
        <x:f>IF(AND(Z1339="共同",COUNT(H1339:I1339)=2),H1339-I1339,"")</x:f>
      </x:c>
      <x:c r="O1339" s="10"/>
      <x:c r="P1339" s="10"/>
      <x:c r="Q1339" s="10"/>
      <x:c r="R1339" s="10"/>
      <x:c r="S1339" s="10"/>
      <x:c r="T1339" s="10"/>
      <x:c r="U1339" s="10" t="str">
        <x:f>IF(AND(ISNUMBER(X1339),X1339&gt;=0,Y1339&lt;&gt;1),X1339,"")</x:f>
      </x:c>
      <x:c r="V1339" s="10"/>
      <x:c r="W1339" s="10"/>
      <x:c r="X1339" s="10"/>
      <x:c r="Y1339" s="3"/>
      <x:c r="Z1339" s="3" t="str">
        <x:v>移出</x:v>
      </x:c>
      <x:c r="AA1339" s="3" t="str">
        <x:v>已移出</x:v>
      </x:c>
      <x:c r="AB1339" s="12" t="str">
        <x:f>IF(AND(Z1339="共同",ISNUMBER(G1339),ISNUMBER(AD1339)),G1339-AD1339,"")</x:f>
      </x:c>
      <x:c r="AC1339" s="3" t="str">
        <x:v>基准清单已移出</x:v>
      </x:c>
      <x:c r="AD1339" s="12"/>
      <x:c r="AE1339" s="3" t="str">
        <x:v>[13120,"B06-BP-41.5"]</x:v>
      </x:c>
      <x:c r="AF1339" t="n">
        <x:f>IF(ISNUMBER(H1339),1,0)</x:f>
        <x:v>0</x:v>
      </x:c>
      <x:c r="AG1339" t="n">
        <x:f>IF(ISNUMBER(I1339),1,0)</x:f>
        <x:v>1</x:v>
      </x:c>
      <x:c r="AH1339"/>
      <x:c r="AI1339" t="n">
        <x:f>IF(ISNUMBER(G1339),1,0)</x:f>
        <x:v>0</x:v>
      </x:c>
      <x:c r="AJ1339" t="n">
        <x:f>IF(ISNUMBER(AD1339),1,0)</x:f>
        <x:v>0</x:v>
      </x:c>
    </x:row>
    <x:row r="1340" ht="30" customHeight="1">
      <x:c r="A1340" s="3" t="str">
        <x:v>B06b-RD-37.5</x:v>
      </x:c>
      <x:c r="B1340" s="3" t="str">
        <x:v>1店-MUSSHOE-US</x:v>
      </x:c>
      <x:c r="C1340" s="3" t="str">
        <x:v>艾年</x:v>
      </x:c>
      <x:c r="D1340" s="3" t="str">
        <x:v>B06b</x:v>
      </x:c>
      <x:c r="E1340" s="3" t="str">
        <x:f>IF(Z1340="移出","已移出",IF(NOT(ISNUMBER(H1340)),"数据待核",IF(H1340=0,"断货",IF(NOT(ISNUMBER(G1340)),"数据待核",IF(G1340=0,"零日销待复核",IF(F1340&lt;60,"补货提醒",IF(F1340&lt;=90,"正常库存",IF(F1340&lt;180,"促销",IF(F1340&lt;=365,"红线促销","考虑清仓")))))))))</x:f>
        <x:v>已移出</x:v>
      </x:c>
      <x:c r="F1340" s="11" t="str">
        <x:f>IF(AND(ISNUMBER(H1340),ISNUMBER(G1340),G1340&gt;0),H1340/G1340,"")</x:f>
      </x:c>
      <x:c r="G1340" s="12" t="str">
        <x:f>IF(AND(COUNT(P1340:R1340)=3,MIN(P1340:R1340)&gt;=0,P1340&lt;=Q1340,Q1340&lt;=R1340),P1340/7*0.5+Q1340/14*0.3+R1340/30*0.2,"")</x:f>
      </x:c>
      <x:c r="H1340" s="10" t="str">
        <x:f>IF(ISNUMBER(U1340),U1340,"")</x:f>
      </x:c>
      <x:c r="I1340" s="10" t="n">
        <x:v>0</x:v>
      </x:c>
      <x:c r="J1340" s="11" t="str">
        <x:f>IF(AND(Z1340="共同",ISNUMBER(F1340),ISNUMBER(M1340)),F1340-M1340,"")</x:f>
      </x:c>
      <x:c r="K1340" s="13" t="str">
        <x:f>IF(AND(ISNUMBER(J1340),M1340&lt;&gt;0),J1340/M1340,"")</x:f>
      </x:c>
      <x:c r="L1340" s="10" t="str">
        <x:v>断货</x:v>
      </x:c>
      <x:c r="M1340" s="11"/>
      <x:c r="N1340" s="10" t="str">
        <x:f>IF(AND(Z1340="共同",COUNT(H1340:I1340)=2),H1340-I1340,"")</x:f>
      </x:c>
      <x:c r="O1340" s="10"/>
      <x:c r="P1340" s="10"/>
      <x:c r="Q1340" s="10"/>
      <x:c r="R1340" s="10"/>
      <x:c r="S1340" s="10"/>
      <x:c r="T1340" s="10"/>
      <x:c r="U1340" s="10" t="str">
        <x:f>IF(AND(ISNUMBER(X1340),X1340&gt;=0,Y1340&lt;&gt;1),X1340,"")</x:f>
      </x:c>
      <x:c r="V1340" s="10"/>
      <x:c r="W1340" s="10"/>
      <x:c r="X1340" s="10"/>
      <x:c r="Y1340" s="3"/>
      <x:c r="Z1340" s="3" t="str">
        <x:v>移出</x:v>
      </x:c>
      <x:c r="AA1340" s="3" t="str">
        <x:v>已移出</x:v>
      </x:c>
      <x:c r="AB1340" s="12" t="str">
        <x:f>IF(AND(Z1340="共同",ISNUMBER(G1340),ISNUMBER(AD1340)),G1340-AD1340,"")</x:f>
      </x:c>
      <x:c r="AC1340" s="3" t="str">
        <x:v>基准清单已移出</x:v>
      </x:c>
      <x:c r="AD1340" s="12"/>
      <x:c r="AE1340" s="3" t="str">
        <x:v>[13120,"B06b-RD-37.5"]</x:v>
      </x:c>
      <x:c r="AF1340" t="n">
        <x:f>IF(ISNUMBER(H1340),1,0)</x:f>
        <x:v>0</x:v>
      </x:c>
      <x:c r="AG1340" t="n">
        <x:f>IF(ISNUMBER(I1340),1,0)</x:f>
        <x:v>1</x:v>
      </x:c>
      <x:c r="AH1340"/>
      <x:c r="AI1340" t="n">
        <x:f>IF(ISNUMBER(G1340),1,0)</x:f>
        <x:v>0</x:v>
      </x:c>
      <x:c r="AJ1340" t="n">
        <x:f>IF(ISNUMBER(AD1340),1,0)</x:f>
        <x:v>0</x:v>
      </x:c>
    </x:row>
    <x:row r="1341" ht="30" customHeight="1">
      <x:c r="A1341" s="3" t="str">
        <x:v>B06b-RD-38.5</x:v>
      </x:c>
      <x:c r="B1341" s="3" t="str">
        <x:v>1店-MUSSHOE-US</x:v>
      </x:c>
      <x:c r="C1341" s="3" t="str">
        <x:v>艾年</x:v>
      </x:c>
      <x:c r="D1341" s="3" t="str">
        <x:v>B06b</x:v>
      </x:c>
      <x:c r="E1341" s="3" t="str">
        <x:f>IF(Z1341="移出","已移出",IF(NOT(ISNUMBER(H1341)),"数据待核",IF(H1341=0,"断货",IF(NOT(ISNUMBER(G1341)),"数据待核",IF(G1341=0,"零日销待复核",IF(F1341&lt;60,"补货提醒",IF(F1341&lt;=90,"正常库存",IF(F1341&lt;180,"促销",IF(F1341&lt;=365,"红线促销","考虑清仓")))))))))</x:f>
        <x:v>已移出</x:v>
      </x:c>
      <x:c r="F1341" s="11" t="str">
        <x:f>IF(AND(ISNUMBER(H1341),ISNUMBER(G1341),G1341&gt;0),H1341/G1341,"")</x:f>
      </x:c>
      <x:c r="G1341" s="12" t="str">
        <x:f>IF(AND(COUNT(P1341:R1341)=3,MIN(P1341:R1341)&gt;=0,P1341&lt;=Q1341,Q1341&lt;=R1341),P1341/7*0.5+Q1341/14*0.3+R1341/30*0.2,"")</x:f>
      </x:c>
      <x:c r="H1341" s="10" t="str">
        <x:f>IF(ISNUMBER(U1341),U1341,"")</x:f>
      </x:c>
      <x:c r="I1341" s="10" t="n">
        <x:v>0</x:v>
      </x:c>
      <x:c r="J1341" s="11" t="str">
        <x:f>IF(AND(Z1341="共同",ISNUMBER(F1341),ISNUMBER(M1341)),F1341-M1341,"")</x:f>
      </x:c>
      <x:c r="K1341" s="13" t="str">
        <x:f>IF(AND(ISNUMBER(J1341),M1341&lt;&gt;0),J1341/M1341,"")</x:f>
      </x:c>
      <x:c r="L1341" s="10" t="str">
        <x:v>断货</x:v>
      </x:c>
      <x:c r="M1341" s="11"/>
      <x:c r="N1341" s="10" t="str">
        <x:f>IF(AND(Z1341="共同",COUNT(H1341:I1341)=2),H1341-I1341,"")</x:f>
      </x:c>
      <x:c r="O1341" s="10"/>
      <x:c r="P1341" s="10"/>
      <x:c r="Q1341" s="10"/>
      <x:c r="R1341" s="10"/>
      <x:c r="S1341" s="10"/>
      <x:c r="T1341" s="10"/>
      <x:c r="U1341" s="10" t="str">
        <x:f>IF(AND(ISNUMBER(X1341),X1341&gt;=0,Y1341&lt;&gt;1),X1341,"")</x:f>
      </x:c>
      <x:c r="V1341" s="10"/>
      <x:c r="W1341" s="10"/>
      <x:c r="X1341" s="10"/>
      <x:c r="Y1341" s="3"/>
      <x:c r="Z1341" s="3" t="str">
        <x:v>移出</x:v>
      </x:c>
      <x:c r="AA1341" s="3" t="str">
        <x:v>已移出</x:v>
      </x:c>
      <x:c r="AB1341" s="12" t="str">
        <x:f>IF(AND(Z1341="共同",ISNUMBER(G1341),ISNUMBER(AD1341)),G1341-AD1341,"")</x:f>
      </x:c>
      <x:c r="AC1341" s="3" t="str">
        <x:v>基准清单已移出</x:v>
      </x:c>
      <x:c r="AD1341" s="12"/>
      <x:c r="AE1341" s="3" t="str">
        <x:v>[13120,"B06b-RD-38.5"]</x:v>
      </x:c>
      <x:c r="AF1341" t="n">
        <x:f>IF(ISNUMBER(H1341),1,0)</x:f>
        <x:v>0</x:v>
      </x:c>
      <x:c r="AG1341" t="n">
        <x:f>IF(ISNUMBER(I1341),1,0)</x:f>
        <x:v>1</x:v>
      </x:c>
      <x:c r="AH1341"/>
      <x:c r="AI1341" t="n">
        <x:f>IF(ISNUMBER(G1341),1,0)</x:f>
        <x:v>0</x:v>
      </x:c>
      <x:c r="AJ1341" t="n">
        <x:f>IF(ISNUMBER(AD1341),1,0)</x:f>
        <x:v>0</x:v>
      </x:c>
    </x:row>
    <x:row r="1342" ht="30" customHeight="1">
      <x:c r="A1342" s="3" t="str">
        <x:v>B06b-RD-39.5</x:v>
      </x:c>
      <x:c r="B1342" s="3" t="str">
        <x:v>1店-MUSSHOE-US</x:v>
      </x:c>
      <x:c r="C1342" s="3" t="str">
        <x:v>艾年</x:v>
      </x:c>
      <x:c r="D1342" s="3" t="str">
        <x:v>B06b</x:v>
      </x:c>
      <x:c r="E1342" s="3" t="str">
        <x:f>IF(Z1342="移出","已移出",IF(NOT(ISNUMBER(H1342)),"数据待核",IF(H1342=0,"断货",IF(NOT(ISNUMBER(G1342)),"数据待核",IF(G1342=0,"零日销待复核",IF(F1342&lt;60,"补货提醒",IF(F1342&lt;=90,"正常库存",IF(F1342&lt;180,"促销",IF(F1342&lt;=365,"红线促销","考虑清仓")))))))))</x:f>
        <x:v>已移出</x:v>
      </x:c>
      <x:c r="F1342" s="11" t="str">
        <x:f>IF(AND(ISNUMBER(H1342),ISNUMBER(G1342),G1342&gt;0),H1342/G1342,"")</x:f>
      </x:c>
      <x:c r="G1342" s="12" t="str">
        <x:f>IF(AND(COUNT(P1342:R1342)=3,MIN(P1342:R1342)&gt;=0,P1342&lt;=Q1342,Q1342&lt;=R1342),P1342/7*0.5+Q1342/14*0.3+R1342/30*0.2,"")</x:f>
      </x:c>
      <x:c r="H1342" s="10" t="str">
        <x:f>IF(ISNUMBER(U1342),U1342,"")</x:f>
      </x:c>
      <x:c r="I1342" s="10" t="n">
        <x:v>11</x:v>
      </x:c>
      <x:c r="J1342" s="11" t="str">
        <x:f>IF(AND(Z1342="共同",ISNUMBER(F1342),ISNUMBER(M1342)),F1342-M1342,"")</x:f>
      </x:c>
      <x:c r="K1342" s="13" t="str">
        <x:f>IF(AND(ISNUMBER(J1342),M1342&lt;&gt;0),J1342/M1342,"")</x:f>
      </x:c>
      <x:c r="L1342" s="10" t="str">
        <x:v>数据待核</x:v>
      </x:c>
      <x:c r="M1342" s="11"/>
      <x:c r="N1342" s="10" t="str">
        <x:f>IF(AND(Z1342="共同",COUNT(H1342:I1342)=2),H1342-I1342,"")</x:f>
      </x:c>
      <x:c r="O1342" s="10"/>
      <x:c r="P1342" s="10"/>
      <x:c r="Q1342" s="10"/>
      <x:c r="R1342" s="10"/>
      <x:c r="S1342" s="10"/>
      <x:c r="T1342" s="10"/>
      <x:c r="U1342" s="10" t="str">
        <x:f>IF(AND(ISNUMBER(X1342),X1342&gt;=0,Y1342&lt;&gt;1),X1342,"")</x:f>
      </x:c>
      <x:c r="V1342" s="10"/>
      <x:c r="W1342" s="10"/>
      <x:c r="X1342" s="10"/>
      <x:c r="Y1342" s="3"/>
      <x:c r="Z1342" s="3" t="str">
        <x:v>移出</x:v>
      </x:c>
      <x:c r="AA1342" s="3" t="str">
        <x:v>已移出</x:v>
      </x:c>
      <x:c r="AB1342" s="12" t="str">
        <x:f>IF(AND(Z1342="共同",ISNUMBER(G1342),ISNUMBER(AD1342)),G1342-AD1342,"")</x:f>
      </x:c>
      <x:c r="AC1342" s="3" t="str">
        <x:v>基准清单已移出</x:v>
      </x:c>
      <x:c r="AD1342" s="12"/>
      <x:c r="AE1342" s="3" t="str">
        <x:v>[13120,"B06b-RD-39.5"]</x:v>
      </x:c>
      <x:c r="AF1342" t="n">
        <x:f>IF(ISNUMBER(H1342),1,0)</x:f>
        <x:v>0</x:v>
      </x:c>
      <x:c r="AG1342" t="n">
        <x:f>IF(ISNUMBER(I1342),1,0)</x:f>
        <x:v>1</x:v>
      </x:c>
      <x:c r="AH1342"/>
      <x:c r="AI1342" t="n">
        <x:f>IF(ISNUMBER(G1342),1,0)</x:f>
        <x:v>0</x:v>
      </x:c>
      <x:c r="AJ1342" t="n">
        <x:f>IF(ISNUMBER(AD1342),1,0)</x:f>
        <x:v>0</x:v>
      </x:c>
    </x:row>
    <x:row r="1343" ht="30" customHeight="1">
      <x:c r="A1343" s="3" t="str">
        <x:v>B06b-RD-40.5</x:v>
      </x:c>
      <x:c r="B1343" s="3" t="str">
        <x:v>1店-MUSSHOE-US</x:v>
      </x:c>
      <x:c r="C1343" s="3" t="str">
        <x:v>艾年</x:v>
      </x:c>
      <x:c r="D1343" s="3" t="str">
        <x:v>B06b</x:v>
      </x:c>
      <x:c r="E1343" s="3" t="str">
        <x:f>IF(Z1343="移出","已移出",IF(NOT(ISNUMBER(H1343)),"数据待核",IF(H1343=0,"断货",IF(NOT(ISNUMBER(G1343)),"数据待核",IF(G1343=0,"零日销待复核",IF(F1343&lt;60,"补货提醒",IF(F1343&lt;=90,"正常库存",IF(F1343&lt;180,"促销",IF(F1343&lt;=365,"红线促销","考虑清仓")))))))))</x:f>
        <x:v>已移出</x:v>
      </x:c>
      <x:c r="F1343" s="11" t="str">
        <x:f>IF(AND(ISNUMBER(H1343),ISNUMBER(G1343),G1343&gt;0),H1343/G1343,"")</x:f>
      </x:c>
      <x:c r="G1343" s="12" t="str">
        <x:f>IF(AND(COUNT(P1343:R1343)=3,MIN(P1343:R1343)&gt;=0,P1343&lt;=Q1343,Q1343&lt;=R1343),P1343/7*0.5+Q1343/14*0.3+R1343/30*0.2,"")</x:f>
      </x:c>
      <x:c r="H1343" s="10" t="str">
        <x:f>IF(ISNUMBER(U1343),U1343,"")</x:f>
      </x:c>
      <x:c r="I1343" s="10" t="n">
        <x:v>0</x:v>
      </x:c>
      <x:c r="J1343" s="11" t="str">
        <x:f>IF(AND(Z1343="共同",ISNUMBER(F1343),ISNUMBER(M1343)),F1343-M1343,"")</x:f>
      </x:c>
      <x:c r="K1343" s="13" t="str">
        <x:f>IF(AND(ISNUMBER(J1343),M1343&lt;&gt;0),J1343/M1343,"")</x:f>
      </x:c>
      <x:c r="L1343" s="10" t="str">
        <x:v>断货</x:v>
      </x:c>
      <x:c r="M1343" s="11"/>
      <x:c r="N1343" s="10" t="str">
        <x:f>IF(AND(Z1343="共同",COUNT(H1343:I1343)=2),H1343-I1343,"")</x:f>
      </x:c>
      <x:c r="O1343" s="10"/>
      <x:c r="P1343" s="10"/>
      <x:c r="Q1343" s="10"/>
      <x:c r="R1343" s="10"/>
      <x:c r="S1343" s="10"/>
      <x:c r="T1343" s="10"/>
      <x:c r="U1343" s="10" t="str">
        <x:f>IF(AND(ISNUMBER(X1343),X1343&gt;=0,Y1343&lt;&gt;1),X1343,"")</x:f>
      </x:c>
      <x:c r="V1343" s="10"/>
      <x:c r="W1343" s="10"/>
      <x:c r="X1343" s="10"/>
      <x:c r="Y1343" s="3"/>
      <x:c r="Z1343" s="3" t="str">
        <x:v>移出</x:v>
      </x:c>
      <x:c r="AA1343" s="3" t="str">
        <x:v>已移出</x:v>
      </x:c>
      <x:c r="AB1343" s="12" t="str">
        <x:f>IF(AND(Z1343="共同",ISNUMBER(G1343),ISNUMBER(AD1343)),G1343-AD1343,"")</x:f>
      </x:c>
      <x:c r="AC1343" s="3" t="str">
        <x:v>基准清单已移出</x:v>
      </x:c>
      <x:c r="AD1343" s="12"/>
      <x:c r="AE1343" s="3" t="str">
        <x:v>[13120,"B06b-RD-40.5"]</x:v>
      </x:c>
      <x:c r="AF1343" t="n">
        <x:f>IF(ISNUMBER(H1343),1,0)</x:f>
        <x:v>0</x:v>
      </x:c>
      <x:c r="AG1343" t="n">
        <x:f>IF(ISNUMBER(I1343),1,0)</x:f>
        <x:v>1</x:v>
      </x:c>
      <x:c r="AH1343"/>
      <x:c r="AI1343" t="n">
        <x:f>IF(ISNUMBER(G1343),1,0)</x:f>
        <x:v>0</x:v>
      </x:c>
      <x:c r="AJ1343" t="n">
        <x:f>IF(ISNUMBER(AD1343),1,0)</x:f>
        <x:v>0</x:v>
      </x:c>
    </x:row>
    <x:row r="1344" ht="30" customHeight="1">
      <x:c r="A1344" s="3" t="str">
        <x:v>B06b-TN-37</x:v>
      </x:c>
      <x:c r="B1344" s="3" t="str">
        <x:v>1店-MUSSHOE-US</x:v>
      </x:c>
      <x:c r="C1344" s="3" t="str">
        <x:v>艾年</x:v>
      </x:c>
      <x:c r="D1344" s="3" t="str">
        <x:v>B06b</x:v>
      </x:c>
      <x:c r="E1344" s="3" t="str">
        <x:f>IF(Z1344="移出","已移出",IF(NOT(ISNUMBER(H1344)),"数据待核",IF(H1344=0,"断货",IF(NOT(ISNUMBER(G1344)),"数据待核",IF(G1344=0,"零日销待复核",IF(F1344&lt;60,"补货提醒",IF(F1344&lt;=90,"正常库存",IF(F1344&lt;180,"促销",IF(F1344&lt;=365,"红线促销","考虑清仓")))))))))</x:f>
        <x:v>已移出</x:v>
      </x:c>
      <x:c r="F1344" s="11" t="str">
        <x:f>IF(AND(ISNUMBER(H1344),ISNUMBER(G1344),G1344&gt;0),H1344/G1344,"")</x:f>
      </x:c>
      <x:c r="G1344" s="12" t="str">
        <x:f>IF(AND(COUNT(P1344:R1344)=3,MIN(P1344:R1344)&gt;=0,P1344&lt;=Q1344,Q1344&lt;=R1344),P1344/7*0.5+Q1344/14*0.3+R1344/30*0.2,"")</x:f>
      </x:c>
      <x:c r="H1344" s="10" t="str">
        <x:f>IF(ISNUMBER(U1344),U1344,"")</x:f>
      </x:c>
      <x:c r="I1344" s="10" t="n">
        <x:v>0</x:v>
      </x:c>
      <x:c r="J1344" s="11" t="str">
        <x:f>IF(AND(Z1344="共同",ISNUMBER(F1344),ISNUMBER(M1344)),F1344-M1344,"")</x:f>
      </x:c>
      <x:c r="K1344" s="13" t="str">
        <x:f>IF(AND(ISNUMBER(J1344),M1344&lt;&gt;0),J1344/M1344,"")</x:f>
      </x:c>
      <x:c r="L1344" s="10" t="str">
        <x:v>断货</x:v>
      </x:c>
      <x:c r="M1344" s="11"/>
      <x:c r="N1344" s="10" t="str">
        <x:f>IF(AND(Z1344="共同",COUNT(H1344:I1344)=2),H1344-I1344,"")</x:f>
      </x:c>
      <x:c r="O1344" s="10"/>
      <x:c r="P1344" s="10"/>
      <x:c r="Q1344" s="10"/>
      <x:c r="R1344" s="10"/>
      <x:c r="S1344" s="10"/>
      <x:c r="T1344" s="10"/>
      <x:c r="U1344" s="10" t="str">
        <x:f>IF(AND(ISNUMBER(X1344),X1344&gt;=0,Y1344&lt;&gt;1),X1344,"")</x:f>
      </x:c>
      <x:c r="V1344" s="10"/>
      <x:c r="W1344" s="10"/>
      <x:c r="X1344" s="10"/>
      <x:c r="Y1344" s="3"/>
      <x:c r="Z1344" s="3" t="str">
        <x:v>移出</x:v>
      </x:c>
      <x:c r="AA1344" s="3" t="str">
        <x:v>已移出</x:v>
      </x:c>
      <x:c r="AB1344" s="12" t="str">
        <x:f>IF(AND(Z1344="共同",ISNUMBER(G1344),ISNUMBER(AD1344)),G1344-AD1344,"")</x:f>
      </x:c>
      <x:c r="AC1344" s="3" t="str">
        <x:v>基准清单已移出</x:v>
      </x:c>
      <x:c r="AD1344" s="12"/>
      <x:c r="AE1344" s="3" t="str">
        <x:v>[13120,"B06b-TN-37"]</x:v>
      </x:c>
      <x:c r="AF1344" t="n">
        <x:f>IF(ISNUMBER(H1344),1,0)</x:f>
        <x:v>0</x:v>
      </x:c>
      <x:c r="AG1344" t="n">
        <x:f>IF(ISNUMBER(I1344),1,0)</x:f>
        <x:v>1</x:v>
      </x:c>
      <x:c r="AH1344"/>
      <x:c r="AI1344" t="n">
        <x:f>IF(ISNUMBER(G1344),1,0)</x:f>
        <x:v>0</x:v>
      </x:c>
      <x:c r="AJ1344" t="n">
        <x:f>IF(ISNUMBER(AD1344),1,0)</x:f>
        <x:v>0</x:v>
      </x:c>
    </x:row>
    <x:row r="1345" ht="30" customHeight="1">
      <x:c r="A1345" s="3" t="str">
        <x:v>B06b-TN-37.5</x:v>
      </x:c>
      <x:c r="B1345" s="3" t="str">
        <x:v>1店-MUSSHOE-US</x:v>
      </x:c>
      <x:c r="C1345" s="3" t="str">
        <x:v>艾年</x:v>
      </x:c>
      <x:c r="D1345" s="3" t="str">
        <x:v>B06b</x:v>
      </x:c>
      <x:c r="E1345" s="3" t="str">
        <x:f>IF(Z1345="移出","已移出",IF(NOT(ISNUMBER(H1345)),"数据待核",IF(H1345=0,"断货",IF(NOT(ISNUMBER(G1345)),"数据待核",IF(G1345=0,"零日销待复核",IF(F1345&lt;60,"补货提醒",IF(F1345&lt;=90,"正常库存",IF(F1345&lt;180,"促销",IF(F1345&lt;=365,"红线促销","考虑清仓")))))))))</x:f>
        <x:v>已移出</x:v>
      </x:c>
      <x:c r="F1345" s="11" t="str">
        <x:f>IF(AND(ISNUMBER(H1345),ISNUMBER(G1345),G1345&gt;0),H1345/G1345,"")</x:f>
      </x:c>
      <x:c r="G1345" s="12" t="str">
        <x:f>IF(AND(COUNT(P1345:R1345)=3,MIN(P1345:R1345)&gt;=0,P1345&lt;=Q1345,Q1345&lt;=R1345),P1345/7*0.5+Q1345/14*0.3+R1345/30*0.2,"")</x:f>
      </x:c>
      <x:c r="H1345" s="10" t="str">
        <x:f>IF(ISNUMBER(U1345),U1345,"")</x:f>
      </x:c>
      <x:c r="I1345" s="10" t="n">
        <x:v>0</x:v>
      </x:c>
      <x:c r="J1345" s="11" t="str">
        <x:f>IF(AND(Z1345="共同",ISNUMBER(F1345),ISNUMBER(M1345)),F1345-M1345,"")</x:f>
      </x:c>
      <x:c r="K1345" s="13" t="str">
        <x:f>IF(AND(ISNUMBER(J1345),M1345&lt;&gt;0),J1345/M1345,"")</x:f>
      </x:c>
      <x:c r="L1345" s="10" t="str">
        <x:v>断货</x:v>
      </x:c>
      <x:c r="M1345" s="11"/>
      <x:c r="N1345" s="10" t="str">
        <x:f>IF(AND(Z1345="共同",COUNT(H1345:I1345)=2),H1345-I1345,"")</x:f>
      </x:c>
      <x:c r="O1345" s="10"/>
      <x:c r="P1345" s="10"/>
      <x:c r="Q1345" s="10"/>
      <x:c r="R1345" s="10"/>
      <x:c r="S1345" s="10"/>
      <x:c r="T1345" s="10"/>
      <x:c r="U1345" s="10" t="str">
        <x:f>IF(AND(ISNUMBER(X1345),X1345&gt;=0,Y1345&lt;&gt;1),X1345,"")</x:f>
      </x:c>
      <x:c r="V1345" s="10"/>
      <x:c r="W1345" s="10"/>
      <x:c r="X1345" s="10"/>
      <x:c r="Y1345" s="3"/>
      <x:c r="Z1345" s="3" t="str">
        <x:v>移出</x:v>
      </x:c>
      <x:c r="AA1345" s="3" t="str">
        <x:v>已移出</x:v>
      </x:c>
      <x:c r="AB1345" s="12" t="str">
        <x:f>IF(AND(Z1345="共同",ISNUMBER(G1345),ISNUMBER(AD1345)),G1345-AD1345,"")</x:f>
      </x:c>
      <x:c r="AC1345" s="3" t="str">
        <x:v>基准清单已移出</x:v>
      </x:c>
      <x:c r="AD1345" s="12"/>
      <x:c r="AE1345" s="3" t="str">
        <x:v>[13120,"B06b-TN-37.5"]</x:v>
      </x:c>
      <x:c r="AF1345" t="n">
        <x:f>IF(ISNUMBER(H1345),1,0)</x:f>
        <x:v>0</x:v>
      </x:c>
      <x:c r="AG1345" t="n">
        <x:f>IF(ISNUMBER(I1345),1,0)</x:f>
        <x:v>1</x:v>
      </x:c>
      <x:c r="AH1345"/>
      <x:c r="AI1345" t="n">
        <x:f>IF(ISNUMBER(G1345),1,0)</x:f>
        <x:v>0</x:v>
      </x:c>
      <x:c r="AJ1345" t="n">
        <x:f>IF(ISNUMBER(AD1345),1,0)</x:f>
        <x:v>0</x:v>
      </x:c>
    </x:row>
    <x:row r="1346" ht="30" customHeight="1">
      <x:c r="A1346" s="3" t="str">
        <x:v>B06b-TN-38</x:v>
      </x:c>
      <x:c r="B1346" s="3" t="str">
        <x:v>1店-MUSSHOE-US</x:v>
      </x:c>
      <x:c r="C1346" s="3" t="str">
        <x:v>艾年</x:v>
      </x:c>
      <x:c r="D1346" s="3" t="str">
        <x:v>B06b</x:v>
      </x:c>
      <x:c r="E1346" s="3" t="str">
        <x:f>IF(Z1346="移出","已移出",IF(NOT(ISNUMBER(H1346)),"数据待核",IF(H1346=0,"断货",IF(NOT(ISNUMBER(G1346)),"数据待核",IF(G1346=0,"零日销待复核",IF(F1346&lt;60,"补货提醒",IF(F1346&lt;=90,"正常库存",IF(F1346&lt;180,"促销",IF(F1346&lt;=365,"红线促销","考虑清仓")))))))))</x:f>
        <x:v>已移出</x:v>
      </x:c>
      <x:c r="F1346" s="11" t="str">
        <x:f>IF(AND(ISNUMBER(H1346),ISNUMBER(G1346),G1346&gt;0),H1346/G1346,"")</x:f>
      </x:c>
      <x:c r="G1346" s="12" t="str">
        <x:f>IF(AND(COUNT(P1346:R1346)=3,MIN(P1346:R1346)&gt;=0,P1346&lt;=Q1346,Q1346&lt;=R1346),P1346/7*0.5+Q1346/14*0.3+R1346/30*0.2,"")</x:f>
      </x:c>
      <x:c r="H1346" s="10" t="str">
        <x:f>IF(ISNUMBER(U1346),U1346,"")</x:f>
      </x:c>
      <x:c r="I1346" s="10" t="n">
        <x:v>0</x:v>
      </x:c>
      <x:c r="J1346" s="11" t="str">
        <x:f>IF(AND(Z1346="共同",ISNUMBER(F1346),ISNUMBER(M1346)),F1346-M1346,"")</x:f>
      </x:c>
      <x:c r="K1346" s="13" t="str">
        <x:f>IF(AND(ISNUMBER(J1346),M1346&lt;&gt;0),J1346/M1346,"")</x:f>
      </x:c>
      <x:c r="L1346" s="10" t="str">
        <x:v>断货</x:v>
      </x:c>
      <x:c r="M1346" s="11"/>
      <x:c r="N1346" s="10" t="str">
        <x:f>IF(AND(Z1346="共同",COUNT(H1346:I1346)=2),H1346-I1346,"")</x:f>
      </x:c>
      <x:c r="O1346" s="10"/>
      <x:c r="P1346" s="10"/>
      <x:c r="Q1346" s="10"/>
      <x:c r="R1346" s="10"/>
      <x:c r="S1346" s="10"/>
      <x:c r="T1346" s="10"/>
      <x:c r="U1346" s="10" t="str">
        <x:f>IF(AND(ISNUMBER(X1346),X1346&gt;=0,Y1346&lt;&gt;1),X1346,"")</x:f>
      </x:c>
      <x:c r="V1346" s="10"/>
      <x:c r="W1346" s="10"/>
      <x:c r="X1346" s="10"/>
      <x:c r="Y1346" s="3"/>
      <x:c r="Z1346" s="3" t="str">
        <x:v>移出</x:v>
      </x:c>
      <x:c r="AA1346" s="3" t="str">
        <x:v>已移出</x:v>
      </x:c>
      <x:c r="AB1346" s="12" t="str">
        <x:f>IF(AND(Z1346="共同",ISNUMBER(G1346),ISNUMBER(AD1346)),G1346-AD1346,"")</x:f>
      </x:c>
      <x:c r="AC1346" s="3" t="str">
        <x:v>基准清单已移出</x:v>
      </x:c>
      <x:c r="AD1346" s="12"/>
      <x:c r="AE1346" s="3" t="str">
        <x:v>[13120,"B06b-TN-38"]</x:v>
      </x:c>
      <x:c r="AF1346" t="n">
        <x:f>IF(ISNUMBER(H1346),1,0)</x:f>
        <x:v>0</x:v>
      </x:c>
      <x:c r="AG1346" t="n">
        <x:f>IF(ISNUMBER(I1346),1,0)</x:f>
        <x:v>1</x:v>
      </x:c>
      <x:c r="AH1346"/>
      <x:c r="AI1346" t="n">
        <x:f>IF(ISNUMBER(G1346),1,0)</x:f>
        <x:v>0</x:v>
      </x:c>
      <x:c r="AJ1346" t="n">
        <x:f>IF(ISNUMBER(AD1346),1,0)</x:f>
        <x:v>0</x:v>
      </x:c>
    </x:row>
    <x:row r="1347" ht="30" customHeight="1">
      <x:c r="A1347" s="3" t="str">
        <x:v>B06b-TN-38.5</x:v>
      </x:c>
      <x:c r="B1347" s="3" t="str">
        <x:v>1店-MUSSHOE-US</x:v>
      </x:c>
      <x:c r="C1347" s="3" t="str">
        <x:v>艾年</x:v>
      </x:c>
      <x:c r="D1347" s="3" t="str">
        <x:v>B06b</x:v>
      </x:c>
      <x:c r="E1347" s="3" t="str">
        <x:f>IF(Z1347="移出","已移出",IF(NOT(ISNUMBER(H1347)),"数据待核",IF(H1347=0,"断货",IF(NOT(ISNUMBER(G1347)),"数据待核",IF(G1347=0,"零日销待复核",IF(F1347&lt;60,"补货提醒",IF(F1347&lt;=90,"正常库存",IF(F1347&lt;180,"促销",IF(F1347&lt;=365,"红线促销","考虑清仓")))))))))</x:f>
        <x:v>已移出</x:v>
      </x:c>
      <x:c r="F1347" s="11" t="str">
        <x:f>IF(AND(ISNUMBER(H1347),ISNUMBER(G1347),G1347&gt;0),H1347/G1347,"")</x:f>
      </x:c>
      <x:c r="G1347" s="12" t="str">
        <x:f>IF(AND(COUNT(P1347:R1347)=3,MIN(P1347:R1347)&gt;=0,P1347&lt;=Q1347,Q1347&lt;=R1347),P1347/7*0.5+Q1347/14*0.3+R1347/30*0.2,"")</x:f>
      </x:c>
      <x:c r="H1347" s="10" t="str">
        <x:f>IF(ISNUMBER(U1347),U1347,"")</x:f>
      </x:c>
      <x:c r="I1347" s="10" t="n">
        <x:v>0</x:v>
      </x:c>
      <x:c r="J1347" s="11" t="str">
        <x:f>IF(AND(Z1347="共同",ISNUMBER(F1347),ISNUMBER(M1347)),F1347-M1347,"")</x:f>
      </x:c>
      <x:c r="K1347" s="13" t="str">
        <x:f>IF(AND(ISNUMBER(J1347),M1347&lt;&gt;0),J1347/M1347,"")</x:f>
      </x:c>
      <x:c r="L1347" s="10" t="str">
        <x:v>断货</x:v>
      </x:c>
      <x:c r="M1347" s="11"/>
      <x:c r="N1347" s="10" t="str">
        <x:f>IF(AND(Z1347="共同",COUNT(H1347:I1347)=2),H1347-I1347,"")</x:f>
      </x:c>
      <x:c r="O1347" s="10"/>
      <x:c r="P1347" s="10"/>
      <x:c r="Q1347" s="10"/>
      <x:c r="R1347" s="10"/>
      <x:c r="S1347" s="10"/>
      <x:c r="T1347" s="10"/>
      <x:c r="U1347" s="10" t="str">
        <x:f>IF(AND(ISNUMBER(X1347),X1347&gt;=0,Y1347&lt;&gt;1),X1347,"")</x:f>
      </x:c>
      <x:c r="V1347" s="10"/>
      <x:c r="W1347" s="10"/>
      <x:c r="X1347" s="10"/>
      <x:c r="Y1347" s="3"/>
      <x:c r="Z1347" s="3" t="str">
        <x:v>移出</x:v>
      </x:c>
      <x:c r="AA1347" s="3" t="str">
        <x:v>已移出</x:v>
      </x:c>
      <x:c r="AB1347" s="12" t="str">
        <x:f>IF(AND(Z1347="共同",ISNUMBER(G1347),ISNUMBER(AD1347)),G1347-AD1347,"")</x:f>
      </x:c>
      <x:c r="AC1347" s="3" t="str">
        <x:v>基准清单已移出</x:v>
      </x:c>
      <x:c r="AD1347" s="12"/>
      <x:c r="AE1347" s="3" t="str">
        <x:v>[13120,"B06b-TN-38.5"]</x:v>
      </x:c>
      <x:c r="AF1347" t="n">
        <x:f>IF(ISNUMBER(H1347),1,0)</x:f>
        <x:v>0</x:v>
      </x:c>
      <x:c r="AG1347" t="n">
        <x:f>IF(ISNUMBER(I1347),1,0)</x:f>
        <x:v>1</x:v>
      </x:c>
      <x:c r="AH1347"/>
      <x:c r="AI1347" t="n">
        <x:f>IF(ISNUMBER(G1347),1,0)</x:f>
        <x:v>0</x:v>
      </x:c>
      <x:c r="AJ1347" t="n">
        <x:f>IF(ISNUMBER(AD1347),1,0)</x:f>
        <x:v>0</x:v>
      </x:c>
    </x:row>
    <x:row r="1348" ht="30" customHeight="1">
      <x:c r="A1348" s="3" t="str">
        <x:v>B06b-TN-39.5</x:v>
      </x:c>
      <x:c r="B1348" s="3" t="str">
        <x:v>1店-MUSSHOE-US</x:v>
      </x:c>
      <x:c r="C1348" s="3" t="str">
        <x:v>艾年</x:v>
      </x:c>
      <x:c r="D1348" s="3" t="str">
        <x:v>B06b</x:v>
      </x:c>
      <x:c r="E1348" s="3" t="str">
        <x:f>IF(Z1348="移出","已移出",IF(NOT(ISNUMBER(H1348)),"数据待核",IF(H1348=0,"断货",IF(NOT(ISNUMBER(G1348)),"数据待核",IF(G1348=0,"零日销待复核",IF(F1348&lt;60,"补货提醒",IF(F1348&lt;=90,"正常库存",IF(F1348&lt;180,"促销",IF(F1348&lt;=365,"红线促销","考虑清仓")))))))))</x:f>
        <x:v>已移出</x:v>
      </x:c>
      <x:c r="F1348" s="11" t="str">
        <x:f>IF(AND(ISNUMBER(H1348),ISNUMBER(G1348),G1348&gt;0),H1348/G1348,"")</x:f>
      </x:c>
      <x:c r="G1348" s="12" t="str">
        <x:f>IF(AND(COUNT(P1348:R1348)=3,MIN(P1348:R1348)&gt;=0,P1348&lt;=Q1348,Q1348&lt;=R1348),P1348/7*0.5+Q1348/14*0.3+R1348/30*0.2,"")</x:f>
      </x:c>
      <x:c r="H1348" s="10" t="str">
        <x:f>IF(ISNUMBER(U1348),U1348,"")</x:f>
      </x:c>
      <x:c r="I1348" s="10" t="n">
        <x:v>0</x:v>
      </x:c>
      <x:c r="J1348" s="11" t="str">
        <x:f>IF(AND(Z1348="共同",ISNUMBER(F1348),ISNUMBER(M1348)),F1348-M1348,"")</x:f>
      </x:c>
      <x:c r="K1348" s="13" t="str">
        <x:f>IF(AND(ISNUMBER(J1348),M1348&lt;&gt;0),J1348/M1348,"")</x:f>
      </x:c>
      <x:c r="L1348" s="10" t="str">
        <x:v>断货</x:v>
      </x:c>
      <x:c r="M1348" s="11"/>
      <x:c r="N1348" s="10" t="str">
        <x:f>IF(AND(Z1348="共同",COUNT(H1348:I1348)=2),H1348-I1348,"")</x:f>
      </x:c>
      <x:c r="O1348" s="10"/>
      <x:c r="P1348" s="10"/>
      <x:c r="Q1348" s="10"/>
      <x:c r="R1348" s="10"/>
      <x:c r="S1348" s="10"/>
      <x:c r="T1348" s="10"/>
      <x:c r="U1348" s="10" t="str">
        <x:f>IF(AND(ISNUMBER(X1348),X1348&gt;=0,Y1348&lt;&gt;1),X1348,"")</x:f>
      </x:c>
      <x:c r="V1348" s="10"/>
      <x:c r="W1348" s="10"/>
      <x:c r="X1348" s="10"/>
      <x:c r="Y1348" s="3"/>
      <x:c r="Z1348" s="3" t="str">
        <x:v>移出</x:v>
      </x:c>
      <x:c r="AA1348" s="3" t="str">
        <x:v>已移出</x:v>
      </x:c>
      <x:c r="AB1348" s="12" t="str">
        <x:f>IF(AND(Z1348="共同",ISNUMBER(G1348),ISNUMBER(AD1348)),G1348-AD1348,"")</x:f>
      </x:c>
      <x:c r="AC1348" s="3" t="str">
        <x:v>基准清单已移出</x:v>
      </x:c>
      <x:c r="AD1348" s="12"/>
      <x:c r="AE1348" s="3" t="str">
        <x:v>[13120,"B06b-TN-39.5"]</x:v>
      </x:c>
      <x:c r="AF1348" t="n">
        <x:f>IF(ISNUMBER(H1348),1,0)</x:f>
        <x:v>0</x:v>
      </x:c>
      <x:c r="AG1348" t="n">
        <x:f>IF(ISNUMBER(I1348),1,0)</x:f>
        <x:v>1</x:v>
      </x:c>
      <x:c r="AH1348"/>
      <x:c r="AI1348" t="n">
        <x:f>IF(ISNUMBER(G1348),1,0)</x:f>
        <x:v>0</x:v>
      </x:c>
      <x:c r="AJ1348" t="n">
        <x:f>IF(ISNUMBER(AD1348),1,0)</x:f>
        <x:v>0</x:v>
      </x:c>
    </x:row>
    <x:row r="1349" ht="30" customHeight="1">
      <x:c r="A1349" s="3" t="str">
        <x:v>B06b-TN-39-YD</x:v>
      </x:c>
      <x:c r="B1349" s="3" t="str">
        <x:v>1店-MUSSHOE-US</x:v>
      </x:c>
      <x:c r="C1349" s="3" t="str">
        <x:v>艾年</x:v>
      </x:c>
      <x:c r="D1349" s="3" t="str">
        <x:v>B06b</x:v>
      </x:c>
      <x:c r="E1349" s="3" t="str">
        <x:f>IF(Z1349="移出","已移出",IF(NOT(ISNUMBER(H1349)),"数据待核",IF(H1349=0,"断货",IF(NOT(ISNUMBER(G1349)),"数据待核",IF(G1349=0,"零日销待复核",IF(F1349&lt;60,"补货提醒",IF(F1349&lt;=90,"正常库存",IF(F1349&lt;180,"促销",IF(F1349&lt;=365,"红线促销","考虑清仓")))))))))</x:f>
        <x:v>已移出</x:v>
      </x:c>
      <x:c r="F1349" s="11" t="str">
        <x:f>IF(AND(ISNUMBER(H1349),ISNUMBER(G1349),G1349&gt;0),H1349/G1349,"")</x:f>
      </x:c>
      <x:c r="G1349" s="12" t="str">
        <x:f>IF(AND(COUNT(P1349:R1349)=3,MIN(P1349:R1349)&gt;=0,P1349&lt;=Q1349,Q1349&lt;=R1349),P1349/7*0.5+Q1349/14*0.3+R1349/30*0.2,"")</x:f>
      </x:c>
      <x:c r="H1349" s="10" t="str">
        <x:f>IF(ISNUMBER(U1349),U1349,"")</x:f>
      </x:c>
      <x:c r="I1349" s="10"/>
      <x:c r="J1349" s="11" t="str">
        <x:f>IF(AND(Z1349="共同",ISNUMBER(F1349),ISNUMBER(M1349)),F1349-M1349,"")</x:f>
      </x:c>
      <x:c r="K1349" s="13" t="str">
        <x:f>IF(AND(ISNUMBER(J1349),M1349&lt;&gt;0),J1349/M1349,"")</x:f>
      </x:c>
      <x:c r="L1349" s="10" t="str">
        <x:v>数据待核</x:v>
      </x:c>
      <x:c r="M1349" s="11"/>
      <x:c r="N1349" s="10" t="str">
        <x:f>IF(AND(Z1349="共同",COUNT(H1349:I1349)=2),H1349-I1349,"")</x:f>
      </x:c>
      <x:c r="O1349" s="10"/>
      <x:c r="P1349" s="10"/>
      <x:c r="Q1349" s="10"/>
      <x:c r="R1349" s="10"/>
      <x:c r="S1349" s="10"/>
      <x:c r="T1349" s="10"/>
      <x:c r="U1349" s="10" t="str">
        <x:f>IF(AND(ISNUMBER(X1349),X1349&gt;=0,Y1349&lt;&gt;1),X1349,"")</x:f>
      </x:c>
      <x:c r="V1349" s="10"/>
      <x:c r="W1349" s="10"/>
      <x:c r="X1349" s="10"/>
      <x:c r="Y1349" s="3"/>
      <x:c r="Z1349" s="3" t="str">
        <x:v>移出</x:v>
      </x:c>
      <x:c r="AA1349" s="3" t="str">
        <x:v>已移出</x:v>
      </x:c>
      <x:c r="AB1349" s="12" t="str">
        <x:f>IF(AND(Z1349="共同",ISNUMBER(G1349),ISNUMBER(AD1349)),G1349-AD1349,"")</x:f>
      </x:c>
      <x:c r="AC1349" s="3" t="str">
        <x:v>基准清单已移出</x:v>
      </x:c>
      <x:c r="AD1349" s="12"/>
      <x:c r="AE1349" s="3" t="str">
        <x:v>[13120,"B06b-TN-39-YD"]</x:v>
      </x:c>
      <x:c r="AF1349" t="n">
        <x:f>IF(ISNUMBER(H1349),1,0)</x:f>
        <x:v>0</x:v>
      </x:c>
      <x:c r="AG1349" t="n">
        <x:f>IF(ISNUMBER(I1349),1,0)</x:f>
        <x:v>0</x:v>
      </x:c>
      <x:c r="AH1349"/>
      <x:c r="AI1349" t="n">
        <x:f>IF(ISNUMBER(G1349),1,0)</x:f>
        <x:v>0</x:v>
      </x:c>
      <x:c r="AJ1349" t="n">
        <x:f>IF(ISNUMBER(AD1349),1,0)</x:f>
        <x:v>0</x:v>
      </x:c>
    </x:row>
    <x:row r="1350" ht="30" customHeight="1">
      <x:c r="A1350" s="3" t="str">
        <x:v>B06b-TN-40.5</x:v>
      </x:c>
      <x:c r="B1350" s="3" t="str">
        <x:v>1店-MUSSHOE-US</x:v>
      </x:c>
      <x:c r="C1350" s="3" t="str">
        <x:v>艾年</x:v>
      </x:c>
      <x:c r="D1350" s="3" t="str">
        <x:v>B06b</x:v>
      </x:c>
      <x:c r="E1350" s="3" t="str">
        <x:f>IF(Z1350="移出","已移出",IF(NOT(ISNUMBER(H1350)),"数据待核",IF(H1350=0,"断货",IF(NOT(ISNUMBER(G1350)),"数据待核",IF(G1350=0,"零日销待复核",IF(F1350&lt;60,"补货提醒",IF(F1350&lt;=90,"正常库存",IF(F1350&lt;180,"促销",IF(F1350&lt;=365,"红线促销","考虑清仓")))))))))</x:f>
        <x:v>已移出</x:v>
      </x:c>
      <x:c r="F1350" s="11" t="str">
        <x:f>IF(AND(ISNUMBER(H1350),ISNUMBER(G1350),G1350&gt;0),H1350/G1350,"")</x:f>
      </x:c>
      <x:c r="G1350" s="12" t="str">
        <x:f>IF(AND(COUNT(P1350:R1350)=3,MIN(P1350:R1350)&gt;=0,P1350&lt;=Q1350,Q1350&lt;=R1350),P1350/7*0.5+Q1350/14*0.3+R1350/30*0.2,"")</x:f>
      </x:c>
      <x:c r="H1350" s="10" t="str">
        <x:f>IF(ISNUMBER(U1350),U1350,"")</x:f>
      </x:c>
      <x:c r="I1350" s="10" t="n">
        <x:v>0</x:v>
      </x:c>
      <x:c r="J1350" s="11" t="str">
        <x:f>IF(AND(Z1350="共同",ISNUMBER(F1350),ISNUMBER(M1350)),F1350-M1350,"")</x:f>
      </x:c>
      <x:c r="K1350" s="13" t="str">
        <x:f>IF(AND(ISNUMBER(J1350),M1350&lt;&gt;0),J1350/M1350,"")</x:f>
      </x:c>
      <x:c r="L1350" s="10" t="str">
        <x:v>断货</x:v>
      </x:c>
      <x:c r="M1350" s="11"/>
      <x:c r="N1350" s="10" t="str">
        <x:f>IF(AND(Z1350="共同",COUNT(H1350:I1350)=2),H1350-I1350,"")</x:f>
      </x:c>
      <x:c r="O1350" s="10"/>
      <x:c r="P1350" s="10"/>
      <x:c r="Q1350" s="10"/>
      <x:c r="R1350" s="10"/>
      <x:c r="S1350" s="10"/>
      <x:c r="T1350" s="10"/>
      <x:c r="U1350" s="10" t="str">
        <x:f>IF(AND(ISNUMBER(X1350),X1350&gt;=0,Y1350&lt;&gt;1),X1350,"")</x:f>
      </x:c>
      <x:c r="V1350" s="10"/>
      <x:c r="W1350" s="10"/>
      <x:c r="X1350" s="10"/>
      <x:c r="Y1350" s="3"/>
      <x:c r="Z1350" s="3" t="str">
        <x:v>移出</x:v>
      </x:c>
      <x:c r="AA1350" s="3" t="str">
        <x:v>已移出</x:v>
      </x:c>
      <x:c r="AB1350" s="12" t="str">
        <x:f>IF(AND(Z1350="共同",ISNUMBER(G1350),ISNUMBER(AD1350)),G1350-AD1350,"")</x:f>
      </x:c>
      <x:c r="AC1350" s="3" t="str">
        <x:v>基准清单已移出</x:v>
      </x:c>
      <x:c r="AD1350" s="12"/>
      <x:c r="AE1350" s="3" t="str">
        <x:v>[13120,"B06b-TN-40.5"]</x:v>
      </x:c>
      <x:c r="AF1350" t="n">
        <x:f>IF(ISNUMBER(H1350),1,0)</x:f>
        <x:v>0</x:v>
      </x:c>
      <x:c r="AG1350" t="n">
        <x:f>IF(ISNUMBER(I1350),1,0)</x:f>
        <x:v>1</x:v>
      </x:c>
      <x:c r="AH1350"/>
      <x:c r="AI1350" t="n">
        <x:f>IF(ISNUMBER(G1350),1,0)</x:f>
        <x:v>0</x:v>
      </x:c>
      <x:c r="AJ1350" t="n">
        <x:f>IF(ISNUMBER(AD1350),1,0)</x:f>
        <x:v>0</x:v>
      </x:c>
    </x:row>
    <x:row r="1351" ht="30" customHeight="1">
      <x:c r="A1351" s="3" t="str">
        <x:v>B06b-TN-40-YD</x:v>
      </x:c>
      <x:c r="B1351" s="3" t="str">
        <x:v>1店-MUSSHOE-US</x:v>
      </x:c>
      <x:c r="C1351" s="3" t="str">
        <x:v>艾年</x:v>
      </x:c>
      <x:c r="D1351" s="3" t="str">
        <x:v>B06b</x:v>
      </x:c>
      <x:c r="E1351" s="3" t="str">
        <x:f>IF(Z1351="移出","已移出",IF(NOT(ISNUMBER(H1351)),"数据待核",IF(H1351=0,"断货",IF(NOT(ISNUMBER(G1351)),"数据待核",IF(G1351=0,"零日销待复核",IF(F1351&lt;60,"补货提醒",IF(F1351&lt;=90,"正常库存",IF(F1351&lt;180,"促销",IF(F1351&lt;=365,"红线促销","考虑清仓")))))))))</x:f>
        <x:v>已移出</x:v>
      </x:c>
      <x:c r="F1351" s="11" t="str">
        <x:f>IF(AND(ISNUMBER(H1351),ISNUMBER(G1351),G1351&gt;0),H1351/G1351,"")</x:f>
      </x:c>
      <x:c r="G1351" s="12" t="str">
        <x:f>IF(AND(COUNT(P1351:R1351)=3,MIN(P1351:R1351)&gt;=0,P1351&lt;=Q1351,Q1351&lt;=R1351),P1351/7*0.5+Q1351/14*0.3+R1351/30*0.2,"")</x:f>
      </x:c>
      <x:c r="H1351" s="10" t="str">
        <x:f>IF(ISNUMBER(U1351),U1351,"")</x:f>
      </x:c>
      <x:c r="I1351" s="10"/>
      <x:c r="J1351" s="11" t="str">
        <x:f>IF(AND(Z1351="共同",ISNUMBER(F1351),ISNUMBER(M1351)),F1351-M1351,"")</x:f>
      </x:c>
      <x:c r="K1351" s="13" t="str">
        <x:f>IF(AND(ISNUMBER(J1351),M1351&lt;&gt;0),J1351/M1351,"")</x:f>
      </x:c>
      <x:c r="L1351" s="10" t="str">
        <x:v>数据待核</x:v>
      </x:c>
      <x:c r="M1351" s="11"/>
      <x:c r="N1351" s="10" t="str">
        <x:f>IF(AND(Z1351="共同",COUNT(H1351:I1351)=2),H1351-I1351,"")</x:f>
      </x:c>
      <x:c r="O1351" s="10"/>
      <x:c r="P1351" s="10"/>
      <x:c r="Q1351" s="10"/>
      <x:c r="R1351" s="10"/>
      <x:c r="S1351" s="10"/>
      <x:c r="T1351" s="10"/>
      <x:c r="U1351" s="10" t="str">
        <x:f>IF(AND(ISNUMBER(X1351),X1351&gt;=0,Y1351&lt;&gt;1),X1351,"")</x:f>
      </x:c>
      <x:c r="V1351" s="10"/>
      <x:c r="W1351" s="10"/>
      <x:c r="X1351" s="10"/>
      <x:c r="Y1351" s="3"/>
      <x:c r="Z1351" s="3" t="str">
        <x:v>移出</x:v>
      </x:c>
      <x:c r="AA1351" s="3" t="str">
        <x:v>已移出</x:v>
      </x:c>
      <x:c r="AB1351" s="12" t="str">
        <x:f>IF(AND(Z1351="共同",ISNUMBER(G1351),ISNUMBER(AD1351)),G1351-AD1351,"")</x:f>
      </x:c>
      <x:c r="AC1351" s="3" t="str">
        <x:v>基准清单已移出</x:v>
      </x:c>
      <x:c r="AD1351" s="12"/>
      <x:c r="AE1351" s="3" t="str">
        <x:v>[13120,"B06b-TN-40-YD"]</x:v>
      </x:c>
      <x:c r="AF1351" t="n">
        <x:f>IF(ISNUMBER(H1351),1,0)</x:f>
        <x:v>0</x:v>
      </x:c>
      <x:c r="AG1351" t="n">
        <x:f>IF(ISNUMBER(I1351),1,0)</x:f>
        <x:v>0</x:v>
      </x:c>
      <x:c r="AH1351"/>
      <x:c r="AI1351" t="n">
        <x:f>IF(ISNUMBER(G1351),1,0)</x:f>
        <x:v>0</x:v>
      </x:c>
      <x:c r="AJ1351" t="n">
        <x:f>IF(ISNUMBER(AD1351),1,0)</x:f>
        <x:v>0</x:v>
      </x:c>
    </x:row>
    <x:row r="1352" ht="30" customHeight="1">
      <x:c r="A1352" s="3" t="str">
        <x:v>B06b-TN-41.5</x:v>
      </x:c>
      <x:c r="B1352" s="3" t="str">
        <x:v>1店-MUSSHOE-US</x:v>
      </x:c>
      <x:c r="C1352" s="3" t="str">
        <x:v>艾年</x:v>
      </x:c>
      <x:c r="D1352" s="3" t="str">
        <x:v>B06b</x:v>
      </x:c>
      <x:c r="E1352" s="3" t="str">
        <x:f>IF(Z1352="移出","已移出",IF(NOT(ISNUMBER(H1352)),"数据待核",IF(H1352=0,"断货",IF(NOT(ISNUMBER(G1352)),"数据待核",IF(G1352=0,"零日销待复核",IF(F1352&lt;60,"补货提醒",IF(F1352&lt;=90,"正常库存",IF(F1352&lt;180,"促销",IF(F1352&lt;=365,"红线促销","考虑清仓")))))))))</x:f>
        <x:v>已移出</x:v>
      </x:c>
      <x:c r="F1352" s="11" t="str">
        <x:f>IF(AND(ISNUMBER(H1352),ISNUMBER(G1352),G1352&gt;0),H1352/G1352,"")</x:f>
      </x:c>
      <x:c r="G1352" s="12" t="str">
        <x:f>IF(AND(COUNT(P1352:R1352)=3,MIN(P1352:R1352)&gt;=0,P1352&lt;=Q1352,Q1352&lt;=R1352),P1352/7*0.5+Q1352/14*0.3+R1352/30*0.2,"")</x:f>
      </x:c>
      <x:c r="H1352" s="10" t="str">
        <x:f>IF(ISNUMBER(U1352),U1352,"")</x:f>
      </x:c>
      <x:c r="I1352" s="10" t="n">
        <x:v>0</x:v>
      </x:c>
      <x:c r="J1352" s="11" t="str">
        <x:f>IF(AND(Z1352="共同",ISNUMBER(F1352),ISNUMBER(M1352)),F1352-M1352,"")</x:f>
      </x:c>
      <x:c r="K1352" s="13" t="str">
        <x:f>IF(AND(ISNUMBER(J1352),M1352&lt;&gt;0),J1352/M1352,"")</x:f>
      </x:c>
      <x:c r="L1352" s="10" t="str">
        <x:v>断货</x:v>
      </x:c>
      <x:c r="M1352" s="11"/>
      <x:c r="N1352" s="10" t="str">
        <x:f>IF(AND(Z1352="共同",COUNT(H1352:I1352)=2),H1352-I1352,"")</x:f>
      </x:c>
      <x:c r="O1352" s="10"/>
      <x:c r="P1352" s="10"/>
      <x:c r="Q1352" s="10"/>
      <x:c r="R1352" s="10"/>
      <x:c r="S1352" s="10"/>
      <x:c r="T1352" s="10"/>
      <x:c r="U1352" s="10" t="str">
        <x:f>IF(AND(ISNUMBER(X1352),X1352&gt;=0,Y1352&lt;&gt;1),X1352,"")</x:f>
      </x:c>
      <x:c r="V1352" s="10"/>
      <x:c r="W1352" s="10"/>
      <x:c r="X1352" s="10"/>
      <x:c r="Y1352" s="3"/>
      <x:c r="Z1352" s="3" t="str">
        <x:v>移出</x:v>
      </x:c>
      <x:c r="AA1352" s="3" t="str">
        <x:v>已移出</x:v>
      </x:c>
      <x:c r="AB1352" s="12" t="str">
        <x:f>IF(AND(Z1352="共同",ISNUMBER(G1352),ISNUMBER(AD1352)),G1352-AD1352,"")</x:f>
      </x:c>
      <x:c r="AC1352" s="3" t="str">
        <x:v>基准清单已移出</x:v>
      </x:c>
      <x:c r="AD1352" s="12"/>
      <x:c r="AE1352" s="3" t="str">
        <x:v>[13120,"B06b-TN-41.5"]</x:v>
      </x:c>
      <x:c r="AF1352" t="n">
        <x:f>IF(ISNUMBER(H1352),1,0)</x:f>
        <x:v>0</x:v>
      </x:c>
      <x:c r="AG1352" t="n">
        <x:f>IF(ISNUMBER(I1352),1,0)</x:f>
        <x:v>1</x:v>
      </x:c>
      <x:c r="AH1352"/>
      <x:c r="AI1352" t="n">
        <x:f>IF(ISNUMBER(G1352),1,0)</x:f>
        <x:v>0</x:v>
      </x:c>
      <x:c r="AJ1352" t="n">
        <x:f>IF(ISNUMBER(AD1352),1,0)</x:f>
        <x:v>0</x:v>
      </x:c>
    </x:row>
    <x:row r="1353" ht="30" customHeight="1">
      <x:c r="A1353" s="3" t="str">
        <x:v>B06b-TN-41-YD</x:v>
      </x:c>
      <x:c r="B1353" s="3" t="str">
        <x:v>1店-MUSSHOE-US</x:v>
      </x:c>
      <x:c r="C1353" s="3" t="str">
        <x:v>艾年</x:v>
      </x:c>
      <x:c r="D1353" s="3" t="str">
        <x:v>B06b</x:v>
      </x:c>
      <x:c r="E1353" s="3" t="str">
        <x:f>IF(Z1353="移出","已移出",IF(NOT(ISNUMBER(H1353)),"数据待核",IF(H1353=0,"断货",IF(NOT(ISNUMBER(G1353)),"数据待核",IF(G1353=0,"零日销待复核",IF(F1353&lt;60,"补货提醒",IF(F1353&lt;=90,"正常库存",IF(F1353&lt;180,"促销",IF(F1353&lt;=365,"红线促销","考虑清仓")))))))))</x:f>
        <x:v>已移出</x:v>
      </x:c>
      <x:c r="F1353" s="11" t="str">
        <x:f>IF(AND(ISNUMBER(H1353),ISNUMBER(G1353),G1353&gt;0),H1353/G1353,"")</x:f>
      </x:c>
      <x:c r="G1353" s="12" t="str">
        <x:f>IF(AND(COUNT(P1353:R1353)=3,MIN(P1353:R1353)&gt;=0,P1353&lt;=Q1353,Q1353&lt;=R1353),P1353/7*0.5+Q1353/14*0.3+R1353/30*0.2,"")</x:f>
      </x:c>
      <x:c r="H1353" s="10" t="str">
        <x:f>IF(ISNUMBER(U1353),U1353,"")</x:f>
      </x:c>
      <x:c r="I1353" s="10"/>
      <x:c r="J1353" s="11" t="str">
        <x:f>IF(AND(Z1353="共同",ISNUMBER(F1353),ISNUMBER(M1353)),F1353-M1353,"")</x:f>
      </x:c>
      <x:c r="K1353" s="13" t="str">
        <x:f>IF(AND(ISNUMBER(J1353),M1353&lt;&gt;0),J1353/M1353,"")</x:f>
      </x:c>
      <x:c r="L1353" s="10" t="str">
        <x:v>数据待核</x:v>
      </x:c>
      <x:c r="M1353" s="11"/>
      <x:c r="N1353" s="10" t="str">
        <x:f>IF(AND(Z1353="共同",COUNT(H1353:I1353)=2),H1353-I1353,"")</x:f>
      </x:c>
      <x:c r="O1353" s="10"/>
      <x:c r="P1353" s="10"/>
      <x:c r="Q1353" s="10"/>
      <x:c r="R1353" s="10"/>
      <x:c r="S1353" s="10"/>
      <x:c r="T1353" s="10"/>
      <x:c r="U1353" s="10" t="str">
        <x:f>IF(AND(ISNUMBER(X1353),X1353&gt;=0,Y1353&lt;&gt;1),X1353,"")</x:f>
      </x:c>
      <x:c r="V1353" s="10"/>
      <x:c r="W1353" s="10"/>
      <x:c r="X1353" s="10"/>
      <x:c r="Y1353" s="3"/>
      <x:c r="Z1353" s="3" t="str">
        <x:v>移出</x:v>
      </x:c>
      <x:c r="AA1353" s="3" t="str">
        <x:v>已移出</x:v>
      </x:c>
      <x:c r="AB1353" s="12" t="str">
        <x:f>IF(AND(Z1353="共同",ISNUMBER(G1353),ISNUMBER(AD1353)),G1353-AD1353,"")</x:f>
      </x:c>
      <x:c r="AC1353" s="3" t="str">
        <x:v>基准清单已移出</x:v>
      </x:c>
      <x:c r="AD1353" s="12"/>
      <x:c r="AE1353" s="3" t="str">
        <x:v>[13120,"B06b-TN-41-YD"]</x:v>
      </x:c>
      <x:c r="AF1353" t="n">
        <x:f>IF(ISNUMBER(H1353),1,0)</x:f>
        <x:v>0</x:v>
      </x:c>
      <x:c r="AG1353" t="n">
        <x:f>IF(ISNUMBER(I1353),1,0)</x:f>
        <x:v>0</x:v>
      </x:c>
      <x:c r="AH1353"/>
      <x:c r="AI1353" t="n">
        <x:f>IF(ISNUMBER(G1353),1,0)</x:f>
        <x:v>0</x:v>
      </x:c>
      <x:c r="AJ1353" t="n">
        <x:f>IF(ISNUMBER(AD1353),1,0)</x:f>
        <x:v>0</x:v>
      </x:c>
    </x:row>
    <x:row r="1354" ht="30" customHeight="1">
      <x:c r="A1354" s="3" t="str">
        <x:v>B06b-TN-42-N</x:v>
      </x:c>
      <x:c r="B1354" s="3" t="str">
        <x:v>1店-MUSSHOE-US</x:v>
      </x:c>
      <x:c r="C1354" s="3" t="str">
        <x:v>艾年</x:v>
      </x:c>
      <x:c r="D1354" s="3" t="str">
        <x:v>B06b</x:v>
      </x:c>
      <x:c r="E1354" s="3" t="str">
        <x:f>IF(Z1354="移出","已移出",IF(NOT(ISNUMBER(H1354)),"数据待核",IF(H1354=0,"断货",IF(NOT(ISNUMBER(G1354)),"数据待核",IF(G1354=0,"零日销待复核",IF(F1354&lt;60,"补货提醒",IF(F1354&lt;=90,"正常库存",IF(F1354&lt;180,"促销",IF(F1354&lt;=365,"红线促销","考虑清仓")))))))))</x:f>
        <x:v>已移出</x:v>
      </x:c>
      <x:c r="F1354" s="11" t="str">
        <x:f>IF(AND(ISNUMBER(H1354),ISNUMBER(G1354),G1354&gt;0),H1354/G1354,"")</x:f>
      </x:c>
      <x:c r="G1354" s="12" t="str">
        <x:f>IF(AND(COUNT(P1354:R1354)=3,MIN(P1354:R1354)&gt;=0,P1354&lt;=Q1354,Q1354&lt;=R1354),P1354/7*0.5+Q1354/14*0.3+R1354/30*0.2,"")</x:f>
      </x:c>
      <x:c r="H1354" s="10" t="str">
        <x:f>IF(ISNUMBER(U1354),U1354,"")</x:f>
      </x:c>
      <x:c r="I1354" s="10" t="n">
        <x:v>15</x:v>
      </x:c>
      <x:c r="J1354" s="11" t="str">
        <x:f>IF(AND(Z1354="共同",ISNUMBER(F1354),ISNUMBER(M1354)),F1354-M1354,"")</x:f>
      </x:c>
      <x:c r="K1354" s="13" t="str">
        <x:f>IF(AND(ISNUMBER(J1354),M1354&lt;&gt;0),J1354/M1354,"")</x:f>
      </x:c>
      <x:c r="L1354" s="10" t="str">
        <x:v>数据待核</x:v>
      </x:c>
      <x:c r="M1354" s="11"/>
      <x:c r="N1354" s="10" t="str">
        <x:f>IF(AND(Z1354="共同",COUNT(H1354:I1354)=2),H1354-I1354,"")</x:f>
      </x:c>
      <x:c r="O1354" s="10"/>
      <x:c r="P1354" s="10"/>
      <x:c r="Q1354" s="10"/>
      <x:c r="R1354" s="10"/>
      <x:c r="S1354" s="10"/>
      <x:c r="T1354" s="10"/>
      <x:c r="U1354" s="10" t="str">
        <x:f>IF(AND(ISNUMBER(X1354),X1354&gt;=0,Y1354&lt;&gt;1),X1354,"")</x:f>
      </x:c>
      <x:c r="V1354" s="10"/>
      <x:c r="W1354" s="10"/>
      <x:c r="X1354" s="10"/>
      <x:c r="Y1354" s="3"/>
      <x:c r="Z1354" s="3" t="str">
        <x:v>移出</x:v>
      </x:c>
      <x:c r="AA1354" s="3" t="str">
        <x:v>已移出</x:v>
      </x:c>
      <x:c r="AB1354" s="12" t="str">
        <x:f>IF(AND(Z1354="共同",ISNUMBER(G1354),ISNUMBER(AD1354)),G1354-AD1354,"")</x:f>
      </x:c>
      <x:c r="AC1354" s="3" t="str">
        <x:v>基准清单已移出</x:v>
      </x:c>
      <x:c r="AD1354" s="12"/>
      <x:c r="AE1354" s="3" t="str">
        <x:v>[13120,"B06b-TN-42-N"]</x:v>
      </x:c>
      <x:c r="AF1354" t="n">
        <x:f>IF(ISNUMBER(H1354),1,0)</x:f>
        <x:v>0</x:v>
      </x:c>
      <x:c r="AG1354" t="n">
        <x:f>IF(ISNUMBER(I1354),1,0)</x:f>
        <x:v>1</x:v>
      </x:c>
      <x:c r="AH1354"/>
      <x:c r="AI1354" t="n">
        <x:f>IF(ISNUMBER(G1354),1,0)</x:f>
        <x:v>0</x:v>
      </x:c>
      <x:c r="AJ1354" t="n">
        <x:f>IF(ISNUMBER(AD1354),1,0)</x:f>
        <x:v>0</x:v>
      </x:c>
    </x:row>
    <x:row r="1355" ht="30" customHeight="1">
      <x:c r="A1355" s="3" t="str">
        <x:v>B06-GN-37</x:v>
      </x:c>
      <x:c r="B1355" s="3" t="str">
        <x:v>1店-MUSSHOE-US</x:v>
      </x:c>
      <x:c r="C1355" s="3" t="str">
        <x:v>艾年</x:v>
      </x:c>
      <x:c r="D1355" s="3" t="str">
        <x:v>B06</x:v>
      </x:c>
      <x:c r="E1355" s="3" t="str">
        <x:f>IF(Z1355="移出","已移出",IF(NOT(ISNUMBER(H1355)),"数据待核",IF(H1355=0,"断货",IF(NOT(ISNUMBER(G1355)),"数据待核",IF(G1355=0,"零日销待复核",IF(F1355&lt;60,"补货提醒",IF(F1355&lt;=90,"正常库存",IF(F1355&lt;180,"促销",IF(F1355&lt;=365,"红线促销","考虑清仓")))))))))</x:f>
        <x:v>已移出</x:v>
      </x:c>
      <x:c r="F1355" s="11" t="str">
        <x:f>IF(AND(ISNUMBER(H1355),ISNUMBER(G1355),G1355&gt;0),H1355/G1355,"")</x:f>
      </x:c>
      <x:c r="G1355" s="12" t="str">
        <x:f>IF(AND(COUNT(P1355:R1355)=3,MIN(P1355:R1355)&gt;=0,P1355&lt;=Q1355,Q1355&lt;=R1355),P1355/7*0.5+Q1355/14*0.3+R1355/30*0.2,"")</x:f>
      </x:c>
      <x:c r="H1355" s="10" t="str">
        <x:f>IF(ISNUMBER(U1355),U1355,"")</x:f>
      </x:c>
      <x:c r="I1355" s="10" t="n">
        <x:v>14</x:v>
      </x:c>
      <x:c r="J1355" s="11" t="str">
        <x:f>IF(AND(Z1355="共同",ISNUMBER(F1355),ISNUMBER(M1355)),F1355-M1355,"")</x:f>
      </x:c>
      <x:c r="K1355" s="13" t="str">
        <x:f>IF(AND(ISNUMBER(J1355),M1355&lt;&gt;0),J1355/M1355,"")</x:f>
      </x:c>
      <x:c r="L1355" s="10" t="str">
        <x:v>数据待核</x:v>
      </x:c>
      <x:c r="M1355" s="11"/>
      <x:c r="N1355" s="10" t="str">
        <x:f>IF(AND(Z1355="共同",COUNT(H1355:I1355)=2),H1355-I1355,"")</x:f>
      </x:c>
      <x:c r="O1355" s="10"/>
      <x:c r="P1355" s="10"/>
      <x:c r="Q1355" s="10"/>
      <x:c r="R1355" s="10"/>
      <x:c r="S1355" s="10"/>
      <x:c r="T1355" s="10"/>
      <x:c r="U1355" s="10" t="str">
        <x:f>IF(AND(ISNUMBER(X1355),X1355&gt;=0,Y1355&lt;&gt;1),X1355,"")</x:f>
      </x:c>
      <x:c r="V1355" s="10"/>
      <x:c r="W1355" s="10"/>
      <x:c r="X1355" s="10"/>
      <x:c r="Y1355" s="3"/>
      <x:c r="Z1355" s="3" t="str">
        <x:v>移出</x:v>
      </x:c>
      <x:c r="AA1355" s="3" t="str">
        <x:v>已移出</x:v>
      </x:c>
      <x:c r="AB1355" s="12" t="str">
        <x:f>IF(AND(Z1355="共同",ISNUMBER(G1355),ISNUMBER(AD1355)),G1355-AD1355,"")</x:f>
      </x:c>
      <x:c r="AC1355" s="3" t="str">
        <x:v>基准清单已移出</x:v>
      </x:c>
      <x:c r="AD1355" s="12"/>
      <x:c r="AE1355" s="3" t="str">
        <x:v>[13120,"B06-GN-37"]</x:v>
      </x:c>
      <x:c r="AF1355" t="n">
        <x:f>IF(ISNUMBER(H1355),1,0)</x:f>
        <x:v>0</x:v>
      </x:c>
      <x:c r="AG1355" t="n">
        <x:f>IF(ISNUMBER(I1355),1,0)</x:f>
        <x:v>1</x:v>
      </x:c>
      <x:c r="AH1355"/>
      <x:c r="AI1355" t="n">
        <x:f>IF(ISNUMBER(G1355),1,0)</x:f>
        <x:v>0</x:v>
      </x:c>
      <x:c r="AJ1355" t="n">
        <x:f>IF(ISNUMBER(AD1355),1,0)</x:f>
        <x:v>0</x:v>
      </x:c>
    </x:row>
    <x:row r="1356" ht="30" customHeight="1">
      <x:c r="A1356" s="3" t="str">
        <x:v>B06-GN-37.5</x:v>
      </x:c>
      <x:c r="B1356" s="3" t="str">
        <x:v>1店-MUSSHOE-US</x:v>
      </x:c>
      <x:c r="C1356" s="3" t="str">
        <x:v>艾年</x:v>
      </x:c>
      <x:c r="D1356" s="3" t="str">
        <x:v>B06</x:v>
      </x:c>
      <x:c r="E1356" s="3" t="str">
        <x:f>IF(Z1356="移出","已移出",IF(NOT(ISNUMBER(H1356)),"数据待核",IF(H1356=0,"断货",IF(NOT(ISNUMBER(G1356)),"数据待核",IF(G1356=0,"零日销待复核",IF(F1356&lt;60,"补货提醒",IF(F1356&lt;=90,"正常库存",IF(F1356&lt;180,"促销",IF(F1356&lt;=365,"红线促销","考虑清仓")))))))))</x:f>
        <x:v>已移出</x:v>
      </x:c>
      <x:c r="F1356" s="11" t="str">
        <x:f>IF(AND(ISNUMBER(H1356),ISNUMBER(G1356),G1356&gt;0),H1356/G1356,"")</x:f>
      </x:c>
      <x:c r="G1356" s="12" t="str">
        <x:f>IF(AND(COUNT(P1356:R1356)=3,MIN(P1356:R1356)&gt;=0,P1356&lt;=Q1356,Q1356&lt;=R1356),P1356/7*0.5+Q1356/14*0.3+R1356/30*0.2,"")</x:f>
      </x:c>
      <x:c r="H1356" s="10" t="str">
        <x:f>IF(ISNUMBER(U1356),U1356,"")</x:f>
      </x:c>
      <x:c r="I1356" s="10" t="n">
        <x:v>0</x:v>
      </x:c>
      <x:c r="J1356" s="11" t="str">
        <x:f>IF(AND(Z1356="共同",ISNUMBER(F1356),ISNUMBER(M1356)),F1356-M1356,"")</x:f>
      </x:c>
      <x:c r="K1356" s="13" t="str">
        <x:f>IF(AND(ISNUMBER(J1356),M1356&lt;&gt;0),J1356/M1356,"")</x:f>
      </x:c>
      <x:c r="L1356" s="10" t="str">
        <x:v>断货</x:v>
      </x:c>
      <x:c r="M1356" s="11"/>
      <x:c r="N1356" s="10" t="str">
        <x:f>IF(AND(Z1356="共同",COUNT(H1356:I1356)=2),H1356-I1356,"")</x:f>
      </x:c>
      <x:c r="O1356" s="10"/>
      <x:c r="P1356" s="10"/>
      <x:c r="Q1356" s="10"/>
      <x:c r="R1356" s="10"/>
      <x:c r="S1356" s="10"/>
      <x:c r="T1356" s="10"/>
      <x:c r="U1356" s="10" t="str">
        <x:f>IF(AND(ISNUMBER(X1356),X1356&gt;=0,Y1356&lt;&gt;1),X1356,"")</x:f>
      </x:c>
      <x:c r="V1356" s="10"/>
      <x:c r="W1356" s="10"/>
      <x:c r="X1356" s="10"/>
      <x:c r="Y1356" s="3"/>
      <x:c r="Z1356" s="3" t="str">
        <x:v>移出</x:v>
      </x:c>
      <x:c r="AA1356" s="3" t="str">
        <x:v>已移出</x:v>
      </x:c>
      <x:c r="AB1356" s="12" t="str">
        <x:f>IF(AND(Z1356="共同",ISNUMBER(G1356),ISNUMBER(AD1356)),G1356-AD1356,"")</x:f>
      </x:c>
      <x:c r="AC1356" s="3" t="str">
        <x:v>基准清单已移出</x:v>
      </x:c>
      <x:c r="AD1356" s="12"/>
      <x:c r="AE1356" s="3" t="str">
        <x:v>[13120,"B06-GN-37.5"]</x:v>
      </x:c>
      <x:c r="AF1356" t="n">
        <x:f>IF(ISNUMBER(H1356),1,0)</x:f>
        <x:v>0</x:v>
      </x:c>
      <x:c r="AG1356" t="n">
        <x:f>IF(ISNUMBER(I1356),1,0)</x:f>
        <x:v>1</x:v>
      </x:c>
      <x:c r="AH1356"/>
      <x:c r="AI1356" t="n">
        <x:f>IF(ISNUMBER(G1356),1,0)</x:f>
        <x:v>0</x:v>
      </x:c>
      <x:c r="AJ1356" t="n">
        <x:f>IF(ISNUMBER(AD1356),1,0)</x:f>
        <x:v>0</x:v>
      </x:c>
    </x:row>
    <x:row r="1357" ht="30" customHeight="1">
      <x:c r="A1357" s="3" t="str">
        <x:v>B06-GN-38</x:v>
      </x:c>
      <x:c r="B1357" s="3" t="str">
        <x:v>1店-MUSSHOE-US</x:v>
      </x:c>
      <x:c r="C1357" s="3" t="str">
        <x:v>艾年</x:v>
      </x:c>
      <x:c r="D1357" s="3" t="str">
        <x:v>B06</x:v>
      </x:c>
      <x:c r="E1357" s="3" t="str">
        <x:f>IF(Z1357="移出","已移出",IF(NOT(ISNUMBER(H1357)),"数据待核",IF(H1357=0,"断货",IF(NOT(ISNUMBER(G1357)),"数据待核",IF(G1357=0,"零日销待复核",IF(F1357&lt;60,"补货提醒",IF(F1357&lt;=90,"正常库存",IF(F1357&lt;180,"促销",IF(F1357&lt;=365,"红线促销","考虑清仓")))))))))</x:f>
        <x:v>已移出</x:v>
      </x:c>
      <x:c r="F1357" s="11" t="str">
        <x:f>IF(AND(ISNUMBER(H1357),ISNUMBER(G1357),G1357&gt;0),H1357/G1357,"")</x:f>
      </x:c>
      <x:c r="G1357" s="12" t="str">
        <x:f>IF(AND(COUNT(P1357:R1357)=3,MIN(P1357:R1357)&gt;=0,P1357&lt;=Q1357,Q1357&lt;=R1357),P1357/7*0.5+Q1357/14*0.3+R1357/30*0.2,"")</x:f>
      </x:c>
      <x:c r="H1357" s="10" t="str">
        <x:f>IF(ISNUMBER(U1357),U1357,"")</x:f>
      </x:c>
      <x:c r="I1357" s="10" t="n">
        <x:v>0</x:v>
      </x:c>
      <x:c r="J1357" s="11" t="str">
        <x:f>IF(AND(Z1357="共同",ISNUMBER(F1357),ISNUMBER(M1357)),F1357-M1357,"")</x:f>
      </x:c>
      <x:c r="K1357" s="13" t="str">
        <x:f>IF(AND(ISNUMBER(J1357),M1357&lt;&gt;0),J1357/M1357,"")</x:f>
      </x:c>
      <x:c r="L1357" s="10" t="str">
        <x:v>断货</x:v>
      </x:c>
      <x:c r="M1357" s="11"/>
      <x:c r="N1357" s="10" t="str">
        <x:f>IF(AND(Z1357="共同",COUNT(H1357:I1357)=2),H1357-I1357,"")</x:f>
      </x:c>
      <x:c r="O1357" s="10"/>
      <x:c r="P1357" s="10"/>
      <x:c r="Q1357" s="10"/>
      <x:c r="R1357" s="10"/>
      <x:c r="S1357" s="10"/>
      <x:c r="T1357" s="10"/>
      <x:c r="U1357" s="10" t="str">
        <x:f>IF(AND(ISNUMBER(X1357),X1357&gt;=0,Y1357&lt;&gt;1),X1357,"")</x:f>
      </x:c>
      <x:c r="V1357" s="10"/>
      <x:c r="W1357" s="10"/>
      <x:c r="X1357" s="10"/>
      <x:c r="Y1357" s="3"/>
      <x:c r="Z1357" s="3" t="str">
        <x:v>移出</x:v>
      </x:c>
      <x:c r="AA1357" s="3" t="str">
        <x:v>已移出</x:v>
      </x:c>
      <x:c r="AB1357" s="12" t="str">
        <x:f>IF(AND(Z1357="共同",ISNUMBER(G1357),ISNUMBER(AD1357)),G1357-AD1357,"")</x:f>
      </x:c>
      <x:c r="AC1357" s="3" t="str">
        <x:v>基准清单已移出</x:v>
      </x:c>
      <x:c r="AD1357" s="12"/>
      <x:c r="AE1357" s="3" t="str">
        <x:v>[13120,"B06-GN-38"]</x:v>
      </x:c>
      <x:c r="AF1357" t="n">
        <x:f>IF(ISNUMBER(H1357),1,0)</x:f>
        <x:v>0</x:v>
      </x:c>
      <x:c r="AG1357" t="n">
        <x:f>IF(ISNUMBER(I1357),1,0)</x:f>
        <x:v>1</x:v>
      </x:c>
      <x:c r="AH1357"/>
      <x:c r="AI1357" t="n">
        <x:f>IF(ISNUMBER(G1357),1,0)</x:f>
        <x:v>0</x:v>
      </x:c>
      <x:c r="AJ1357" t="n">
        <x:f>IF(ISNUMBER(AD1357),1,0)</x:f>
        <x:v>0</x:v>
      </x:c>
    </x:row>
    <x:row r="1358" ht="30" customHeight="1">
      <x:c r="A1358" s="3" t="str">
        <x:v>B06-GN-39</x:v>
      </x:c>
      <x:c r="B1358" s="3" t="str">
        <x:v>1店-MUSSHOE-US</x:v>
      </x:c>
      <x:c r="C1358" s="3" t="str">
        <x:v>艾年</x:v>
      </x:c>
      <x:c r="D1358" s="3" t="str">
        <x:v>B06</x:v>
      </x:c>
      <x:c r="E1358" s="3" t="str">
        <x:f>IF(Z1358="移出","已移出",IF(NOT(ISNUMBER(H1358)),"数据待核",IF(H1358=0,"断货",IF(NOT(ISNUMBER(G1358)),"数据待核",IF(G1358=0,"零日销待复核",IF(F1358&lt;60,"补货提醒",IF(F1358&lt;=90,"正常库存",IF(F1358&lt;180,"促销",IF(F1358&lt;=365,"红线促销","考虑清仓")))))))))</x:f>
        <x:v>已移出</x:v>
      </x:c>
      <x:c r="F1358" s="11" t="str">
        <x:f>IF(AND(ISNUMBER(H1358),ISNUMBER(G1358),G1358&gt;0),H1358/G1358,"")</x:f>
      </x:c>
      <x:c r="G1358" s="12" t="str">
        <x:f>IF(AND(COUNT(P1358:R1358)=3,MIN(P1358:R1358)&gt;=0,P1358&lt;=Q1358,Q1358&lt;=R1358),P1358/7*0.5+Q1358/14*0.3+R1358/30*0.2,"")</x:f>
      </x:c>
      <x:c r="H1358" s="10" t="str">
        <x:f>IF(ISNUMBER(U1358),U1358,"")</x:f>
      </x:c>
      <x:c r="I1358" s="10" t="n">
        <x:v>0</x:v>
      </x:c>
      <x:c r="J1358" s="11" t="str">
        <x:f>IF(AND(Z1358="共同",ISNUMBER(F1358),ISNUMBER(M1358)),F1358-M1358,"")</x:f>
      </x:c>
      <x:c r="K1358" s="13" t="str">
        <x:f>IF(AND(ISNUMBER(J1358),M1358&lt;&gt;0),J1358/M1358,"")</x:f>
      </x:c>
      <x:c r="L1358" s="10" t="str">
        <x:v>断货</x:v>
      </x:c>
      <x:c r="M1358" s="11"/>
      <x:c r="N1358" s="10" t="str">
        <x:f>IF(AND(Z1358="共同",COUNT(H1358:I1358)=2),H1358-I1358,"")</x:f>
      </x:c>
      <x:c r="O1358" s="10"/>
      <x:c r="P1358" s="10"/>
      <x:c r="Q1358" s="10"/>
      <x:c r="R1358" s="10"/>
      <x:c r="S1358" s="10"/>
      <x:c r="T1358" s="10"/>
      <x:c r="U1358" s="10" t="str">
        <x:f>IF(AND(ISNUMBER(X1358),X1358&gt;=0,Y1358&lt;&gt;1),X1358,"")</x:f>
      </x:c>
      <x:c r="V1358" s="10"/>
      <x:c r="W1358" s="10"/>
      <x:c r="X1358" s="10"/>
      <x:c r="Y1358" s="3"/>
      <x:c r="Z1358" s="3" t="str">
        <x:v>移出</x:v>
      </x:c>
      <x:c r="AA1358" s="3" t="str">
        <x:v>已移出</x:v>
      </x:c>
      <x:c r="AB1358" s="12" t="str">
        <x:f>IF(AND(Z1358="共同",ISNUMBER(G1358),ISNUMBER(AD1358)),G1358-AD1358,"")</x:f>
      </x:c>
      <x:c r="AC1358" s="3" t="str">
        <x:v>基准清单已移出</x:v>
      </x:c>
      <x:c r="AD1358" s="12"/>
      <x:c r="AE1358" s="3" t="str">
        <x:v>[13120,"B06-GN-39"]</x:v>
      </x:c>
      <x:c r="AF1358" t="n">
        <x:f>IF(ISNUMBER(H1358),1,0)</x:f>
        <x:v>0</x:v>
      </x:c>
      <x:c r="AG1358" t="n">
        <x:f>IF(ISNUMBER(I1358),1,0)</x:f>
        <x:v>1</x:v>
      </x:c>
      <x:c r="AH1358"/>
      <x:c r="AI1358" t="n">
        <x:f>IF(ISNUMBER(G1358),1,0)</x:f>
        <x:v>0</x:v>
      </x:c>
      <x:c r="AJ1358" t="n">
        <x:f>IF(ISNUMBER(AD1358),1,0)</x:f>
        <x:v>0</x:v>
      </x:c>
    </x:row>
    <x:row r="1359" ht="30" customHeight="1">
      <x:c r="A1359" s="3" t="str">
        <x:v>B06-GN-39.5</x:v>
      </x:c>
      <x:c r="B1359" s="3" t="str">
        <x:v>1店-MUSSHOE-US</x:v>
      </x:c>
      <x:c r="C1359" s="3" t="str">
        <x:v>艾年</x:v>
      </x:c>
      <x:c r="D1359" s="3" t="str">
        <x:v>B06</x:v>
      </x:c>
      <x:c r="E1359" s="3" t="str">
        <x:f>IF(Z1359="移出","已移出",IF(NOT(ISNUMBER(H1359)),"数据待核",IF(H1359=0,"断货",IF(NOT(ISNUMBER(G1359)),"数据待核",IF(G1359=0,"零日销待复核",IF(F1359&lt;60,"补货提醒",IF(F1359&lt;=90,"正常库存",IF(F1359&lt;180,"促销",IF(F1359&lt;=365,"红线促销","考虑清仓")))))))))</x:f>
        <x:v>已移出</x:v>
      </x:c>
      <x:c r="F1359" s="11" t="str">
        <x:f>IF(AND(ISNUMBER(H1359),ISNUMBER(G1359),G1359&gt;0),H1359/G1359,"")</x:f>
      </x:c>
      <x:c r="G1359" s="12" t="str">
        <x:f>IF(AND(COUNT(P1359:R1359)=3,MIN(P1359:R1359)&gt;=0,P1359&lt;=Q1359,Q1359&lt;=R1359),P1359/7*0.5+Q1359/14*0.3+R1359/30*0.2,"")</x:f>
      </x:c>
      <x:c r="H1359" s="10" t="str">
        <x:f>IF(ISNUMBER(U1359),U1359,"")</x:f>
      </x:c>
      <x:c r="I1359" s="10" t="n">
        <x:v>0</x:v>
      </x:c>
      <x:c r="J1359" s="11" t="str">
        <x:f>IF(AND(Z1359="共同",ISNUMBER(F1359),ISNUMBER(M1359)),F1359-M1359,"")</x:f>
      </x:c>
      <x:c r="K1359" s="13" t="str">
        <x:f>IF(AND(ISNUMBER(J1359),M1359&lt;&gt;0),J1359/M1359,"")</x:f>
      </x:c>
      <x:c r="L1359" s="10" t="str">
        <x:v>断货</x:v>
      </x:c>
      <x:c r="M1359" s="11"/>
      <x:c r="N1359" s="10" t="str">
        <x:f>IF(AND(Z1359="共同",COUNT(H1359:I1359)=2),H1359-I1359,"")</x:f>
      </x:c>
      <x:c r="O1359" s="10"/>
      <x:c r="P1359" s="10"/>
      <x:c r="Q1359" s="10"/>
      <x:c r="R1359" s="10"/>
      <x:c r="S1359" s="10"/>
      <x:c r="T1359" s="10"/>
      <x:c r="U1359" s="10" t="str">
        <x:f>IF(AND(ISNUMBER(X1359),X1359&gt;=0,Y1359&lt;&gt;1),X1359,"")</x:f>
      </x:c>
      <x:c r="V1359" s="10"/>
      <x:c r="W1359" s="10"/>
      <x:c r="X1359" s="10"/>
      <x:c r="Y1359" s="3"/>
      <x:c r="Z1359" s="3" t="str">
        <x:v>移出</x:v>
      </x:c>
      <x:c r="AA1359" s="3" t="str">
        <x:v>已移出</x:v>
      </x:c>
      <x:c r="AB1359" s="12" t="str">
        <x:f>IF(AND(Z1359="共同",ISNUMBER(G1359),ISNUMBER(AD1359)),G1359-AD1359,"")</x:f>
      </x:c>
      <x:c r="AC1359" s="3" t="str">
        <x:v>基准清单已移出</x:v>
      </x:c>
      <x:c r="AD1359" s="12"/>
      <x:c r="AE1359" s="3" t="str">
        <x:v>[13120,"B06-GN-39.5"]</x:v>
      </x:c>
      <x:c r="AF1359" t="n">
        <x:f>IF(ISNUMBER(H1359),1,0)</x:f>
        <x:v>0</x:v>
      </x:c>
      <x:c r="AG1359" t="n">
        <x:f>IF(ISNUMBER(I1359),1,0)</x:f>
        <x:v>1</x:v>
      </x:c>
      <x:c r="AH1359"/>
      <x:c r="AI1359" t="n">
        <x:f>IF(ISNUMBER(G1359),1,0)</x:f>
        <x:v>0</x:v>
      </x:c>
      <x:c r="AJ1359" t="n">
        <x:f>IF(ISNUMBER(AD1359),1,0)</x:f>
        <x:v>0</x:v>
      </x:c>
    </x:row>
    <x:row r="1360" ht="30" customHeight="1">
      <x:c r="A1360" s="3" t="str">
        <x:v>B06-GN-40</x:v>
      </x:c>
      <x:c r="B1360" s="3" t="str">
        <x:v>1店-MUSSHOE-US</x:v>
      </x:c>
      <x:c r="C1360" s="3" t="str">
        <x:v>艾年</x:v>
      </x:c>
      <x:c r="D1360" s="3" t="str">
        <x:v>B06</x:v>
      </x:c>
      <x:c r="E1360" s="3" t="str">
        <x:f>IF(Z1360="移出","已移出",IF(NOT(ISNUMBER(H1360)),"数据待核",IF(H1360=0,"断货",IF(NOT(ISNUMBER(G1360)),"数据待核",IF(G1360=0,"零日销待复核",IF(F1360&lt;60,"补货提醒",IF(F1360&lt;=90,"正常库存",IF(F1360&lt;180,"促销",IF(F1360&lt;=365,"红线促销","考虑清仓")))))))))</x:f>
        <x:v>已移出</x:v>
      </x:c>
      <x:c r="F1360" s="11" t="str">
        <x:f>IF(AND(ISNUMBER(H1360),ISNUMBER(G1360),G1360&gt;0),H1360/G1360,"")</x:f>
      </x:c>
      <x:c r="G1360" s="12" t="str">
        <x:f>IF(AND(COUNT(P1360:R1360)=3,MIN(P1360:R1360)&gt;=0,P1360&lt;=Q1360,Q1360&lt;=R1360),P1360/7*0.5+Q1360/14*0.3+R1360/30*0.2,"")</x:f>
      </x:c>
      <x:c r="H1360" s="10" t="str">
        <x:f>IF(ISNUMBER(U1360),U1360,"")</x:f>
      </x:c>
      <x:c r="I1360" s="10" t="n">
        <x:v>0</x:v>
      </x:c>
      <x:c r="J1360" s="11" t="str">
        <x:f>IF(AND(Z1360="共同",ISNUMBER(F1360),ISNUMBER(M1360)),F1360-M1360,"")</x:f>
      </x:c>
      <x:c r="K1360" s="13" t="str">
        <x:f>IF(AND(ISNUMBER(J1360),M1360&lt;&gt;0),J1360/M1360,"")</x:f>
      </x:c>
      <x:c r="L1360" s="10" t="str">
        <x:v>断货</x:v>
      </x:c>
      <x:c r="M1360" s="11"/>
      <x:c r="N1360" s="10" t="str">
        <x:f>IF(AND(Z1360="共同",COUNT(H1360:I1360)=2),H1360-I1360,"")</x:f>
      </x:c>
      <x:c r="O1360" s="10"/>
      <x:c r="P1360" s="10"/>
      <x:c r="Q1360" s="10"/>
      <x:c r="R1360" s="10"/>
      <x:c r="S1360" s="10"/>
      <x:c r="T1360" s="10"/>
      <x:c r="U1360" s="10" t="str">
        <x:f>IF(AND(ISNUMBER(X1360),X1360&gt;=0,Y1360&lt;&gt;1),X1360,"")</x:f>
      </x:c>
      <x:c r="V1360" s="10"/>
      <x:c r="W1360" s="10"/>
      <x:c r="X1360" s="10"/>
      <x:c r="Y1360" s="3"/>
      <x:c r="Z1360" s="3" t="str">
        <x:v>移出</x:v>
      </x:c>
      <x:c r="AA1360" s="3" t="str">
        <x:v>已移出</x:v>
      </x:c>
      <x:c r="AB1360" s="12" t="str">
        <x:f>IF(AND(Z1360="共同",ISNUMBER(G1360),ISNUMBER(AD1360)),G1360-AD1360,"")</x:f>
      </x:c>
      <x:c r="AC1360" s="3" t="str">
        <x:v>基准清单已移出</x:v>
      </x:c>
      <x:c r="AD1360" s="12"/>
      <x:c r="AE1360" s="3" t="str">
        <x:v>[13120,"B06-GN-40"]</x:v>
      </x:c>
      <x:c r="AF1360" t="n">
        <x:f>IF(ISNUMBER(H1360),1,0)</x:f>
        <x:v>0</x:v>
      </x:c>
      <x:c r="AG1360" t="n">
        <x:f>IF(ISNUMBER(I1360),1,0)</x:f>
        <x:v>1</x:v>
      </x:c>
      <x:c r="AH1360"/>
      <x:c r="AI1360" t="n">
        <x:f>IF(ISNUMBER(G1360),1,0)</x:f>
        <x:v>0</x:v>
      </x:c>
      <x:c r="AJ1360" t="n">
        <x:f>IF(ISNUMBER(AD1360),1,0)</x:f>
        <x:v>0</x:v>
      </x:c>
    </x:row>
    <x:row r="1361" ht="30" customHeight="1">
      <x:c r="A1361" s="3" t="str">
        <x:v>B06-GN-41</x:v>
      </x:c>
      <x:c r="B1361" s="3" t="str">
        <x:v>1店-MUSSHOE-US</x:v>
      </x:c>
      <x:c r="C1361" s="3" t="str">
        <x:v>艾年</x:v>
      </x:c>
      <x:c r="D1361" s="3" t="str">
        <x:v>B06</x:v>
      </x:c>
      <x:c r="E1361" s="3" t="str">
        <x:f>IF(Z1361="移出","已移出",IF(NOT(ISNUMBER(H1361)),"数据待核",IF(H1361=0,"断货",IF(NOT(ISNUMBER(G1361)),"数据待核",IF(G1361=0,"零日销待复核",IF(F1361&lt;60,"补货提醒",IF(F1361&lt;=90,"正常库存",IF(F1361&lt;180,"促销",IF(F1361&lt;=365,"红线促销","考虑清仓")))))))))</x:f>
        <x:v>已移出</x:v>
      </x:c>
      <x:c r="F1361" s="11" t="str">
        <x:f>IF(AND(ISNUMBER(H1361),ISNUMBER(G1361),G1361&gt;0),H1361/G1361,"")</x:f>
      </x:c>
      <x:c r="G1361" s="12" t="str">
        <x:f>IF(AND(COUNT(P1361:R1361)=3,MIN(P1361:R1361)&gt;=0,P1361&lt;=Q1361,Q1361&lt;=R1361),P1361/7*0.5+Q1361/14*0.3+R1361/30*0.2,"")</x:f>
      </x:c>
      <x:c r="H1361" s="10" t="str">
        <x:f>IF(ISNUMBER(U1361),U1361,"")</x:f>
      </x:c>
      <x:c r="I1361" s="10" t="n">
        <x:v>0</x:v>
      </x:c>
      <x:c r="J1361" s="11" t="str">
        <x:f>IF(AND(Z1361="共同",ISNUMBER(F1361),ISNUMBER(M1361)),F1361-M1361,"")</x:f>
      </x:c>
      <x:c r="K1361" s="13" t="str">
        <x:f>IF(AND(ISNUMBER(J1361),M1361&lt;&gt;0),J1361/M1361,"")</x:f>
      </x:c>
      <x:c r="L1361" s="10" t="str">
        <x:v>断货</x:v>
      </x:c>
      <x:c r="M1361" s="11"/>
      <x:c r="N1361" s="10" t="str">
        <x:f>IF(AND(Z1361="共同",COUNT(H1361:I1361)=2),H1361-I1361,"")</x:f>
      </x:c>
      <x:c r="O1361" s="10"/>
      <x:c r="P1361" s="10"/>
      <x:c r="Q1361" s="10"/>
      <x:c r="R1361" s="10"/>
      <x:c r="S1361" s="10"/>
      <x:c r="T1361" s="10"/>
      <x:c r="U1361" s="10" t="str">
        <x:f>IF(AND(ISNUMBER(X1361),X1361&gt;=0,Y1361&lt;&gt;1),X1361,"")</x:f>
      </x:c>
      <x:c r="V1361" s="10"/>
      <x:c r="W1361" s="10"/>
      <x:c r="X1361" s="10"/>
      <x:c r="Y1361" s="3"/>
      <x:c r="Z1361" s="3" t="str">
        <x:v>移出</x:v>
      </x:c>
      <x:c r="AA1361" s="3" t="str">
        <x:v>已移出</x:v>
      </x:c>
      <x:c r="AB1361" s="12" t="str">
        <x:f>IF(AND(Z1361="共同",ISNUMBER(G1361),ISNUMBER(AD1361)),G1361-AD1361,"")</x:f>
      </x:c>
      <x:c r="AC1361" s="3" t="str">
        <x:v>基准清单已移出</x:v>
      </x:c>
      <x:c r="AD1361" s="12"/>
      <x:c r="AE1361" s="3" t="str">
        <x:v>[13120,"B06-GN-41"]</x:v>
      </x:c>
      <x:c r="AF1361" t="n">
        <x:f>IF(ISNUMBER(H1361),1,0)</x:f>
        <x:v>0</x:v>
      </x:c>
      <x:c r="AG1361" t="n">
        <x:f>IF(ISNUMBER(I1361),1,0)</x:f>
        <x:v>1</x:v>
      </x:c>
      <x:c r="AH1361"/>
      <x:c r="AI1361" t="n">
        <x:f>IF(ISNUMBER(G1361),1,0)</x:f>
        <x:v>0</x:v>
      </x:c>
      <x:c r="AJ1361" t="n">
        <x:f>IF(ISNUMBER(AD1361),1,0)</x:f>
        <x:v>0</x:v>
      </x:c>
    </x:row>
    <x:row r="1362" ht="30" customHeight="1">
      <x:c r="A1362" s="3" t="str">
        <x:v>B06-GN-42</x:v>
      </x:c>
      <x:c r="B1362" s="3" t="str">
        <x:v>1店-MUSSHOE-US</x:v>
      </x:c>
      <x:c r="C1362" s="3" t="str">
        <x:v>艾年</x:v>
      </x:c>
      <x:c r="D1362" s="3" t="str">
        <x:v>B06</x:v>
      </x:c>
      <x:c r="E1362" s="3" t="str">
        <x:f>IF(Z1362="移出","已移出",IF(NOT(ISNUMBER(H1362)),"数据待核",IF(H1362=0,"断货",IF(NOT(ISNUMBER(G1362)),"数据待核",IF(G1362=0,"零日销待复核",IF(F1362&lt;60,"补货提醒",IF(F1362&lt;=90,"正常库存",IF(F1362&lt;180,"促销",IF(F1362&lt;=365,"红线促销","考虑清仓")))))))))</x:f>
        <x:v>已移出</x:v>
      </x:c>
      <x:c r="F1362" s="11" t="str">
        <x:f>IF(AND(ISNUMBER(H1362),ISNUMBER(G1362),G1362&gt;0),H1362/G1362,"")</x:f>
      </x:c>
      <x:c r="G1362" s="12" t="str">
        <x:f>IF(AND(COUNT(P1362:R1362)=3,MIN(P1362:R1362)&gt;=0,P1362&lt;=Q1362,Q1362&lt;=R1362),P1362/7*0.5+Q1362/14*0.3+R1362/30*0.2,"")</x:f>
      </x:c>
      <x:c r="H1362" s="10" t="str">
        <x:f>IF(ISNUMBER(U1362),U1362,"")</x:f>
      </x:c>
      <x:c r="I1362" s="10" t="n">
        <x:v>0</x:v>
      </x:c>
      <x:c r="J1362" s="11" t="str">
        <x:f>IF(AND(Z1362="共同",ISNUMBER(F1362),ISNUMBER(M1362)),F1362-M1362,"")</x:f>
      </x:c>
      <x:c r="K1362" s="13" t="str">
        <x:f>IF(AND(ISNUMBER(J1362),M1362&lt;&gt;0),J1362/M1362,"")</x:f>
      </x:c>
      <x:c r="L1362" s="10" t="str">
        <x:v>断货</x:v>
      </x:c>
      <x:c r="M1362" s="11"/>
      <x:c r="N1362" s="10" t="str">
        <x:f>IF(AND(Z1362="共同",COUNT(H1362:I1362)=2),H1362-I1362,"")</x:f>
      </x:c>
      <x:c r="O1362" s="10"/>
      <x:c r="P1362" s="10"/>
      <x:c r="Q1362" s="10"/>
      <x:c r="R1362" s="10"/>
      <x:c r="S1362" s="10"/>
      <x:c r="T1362" s="10"/>
      <x:c r="U1362" s="10" t="str">
        <x:f>IF(AND(ISNUMBER(X1362),X1362&gt;=0,Y1362&lt;&gt;1),X1362,"")</x:f>
      </x:c>
      <x:c r="V1362" s="10"/>
      <x:c r="W1362" s="10"/>
      <x:c r="X1362" s="10"/>
      <x:c r="Y1362" s="3"/>
      <x:c r="Z1362" s="3" t="str">
        <x:v>移出</x:v>
      </x:c>
      <x:c r="AA1362" s="3" t="str">
        <x:v>已移出</x:v>
      </x:c>
      <x:c r="AB1362" s="12" t="str">
        <x:f>IF(AND(Z1362="共同",ISNUMBER(G1362),ISNUMBER(AD1362)),G1362-AD1362,"")</x:f>
      </x:c>
      <x:c r="AC1362" s="3" t="str">
        <x:v>基准清单已移出</x:v>
      </x:c>
      <x:c r="AD1362" s="12"/>
      <x:c r="AE1362" s="3" t="str">
        <x:v>[13120,"B06-GN-42"]</x:v>
      </x:c>
      <x:c r="AF1362" t="n">
        <x:f>IF(ISNUMBER(H1362),1,0)</x:f>
        <x:v>0</x:v>
      </x:c>
      <x:c r="AG1362" t="n">
        <x:f>IF(ISNUMBER(I1362),1,0)</x:f>
        <x:v>1</x:v>
      </x:c>
      <x:c r="AH1362"/>
      <x:c r="AI1362" t="n">
        <x:f>IF(ISNUMBER(G1362),1,0)</x:f>
        <x:v>0</x:v>
      </x:c>
      <x:c r="AJ1362" t="n">
        <x:f>IF(ISNUMBER(AD1362),1,0)</x:f>
        <x:v>0</x:v>
      </x:c>
    </x:row>
    <x:row r="1363" ht="30" customHeight="1">
      <x:c r="A1363" s="3" t="str">
        <x:v>B06-GY-37</x:v>
      </x:c>
      <x:c r="B1363" s="3" t="str">
        <x:v>1店-MUSSHOE-US</x:v>
      </x:c>
      <x:c r="C1363" s="3" t="str">
        <x:v>艾年</x:v>
      </x:c>
      <x:c r="D1363" s="3" t="str">
        <x:v>B06</x:v>
      </x:c>
      <x:c r="E1363" s="3" t="str">
        <x:f>IF(Z1363="移出","已移出",IF(NOT(ISNUMBER(H1363)),"数据待核",IF(H1363=0,"断货",IF(NOT(ISNUMBER(G1363)),"数据待核",IF(G1363=0,"零日销待复核",IF(F1363&lt;60,"补货提醒",IF(F1363&lt;=90,"正常库存",IF(F1363&lt;180,"促销",IF(F1363&lt;=365,"红线促销","考虑清仓")))))))))</x:f>
        <x:v>已移出</x:v>
      </x:c>
      <x:c r="F1363" s="11" t="str">
        <x:f>IF(AND(ISNUMBER(H1363),ISNUMBER(G1363),G1363&gt;0),H1363/G1363,"")</x:f>
      </x:c>
      <x:c r="G1363" s="12" t="str">
        <x:f>IF(AND(COUNT(P1363:R1363)=3,MIN(P1363:R1363)&gt;=0,P1363&lt;=Q1363,Q1363&lt;=R1363),P1363/7*0.5+Q1363/14*0.3+R1363/30*0.2,"")</x:f>
      </x:c>
      <x:c r="H1363" s="10" t="str">
        <x:f>IF(ISNUMBER(U1363),U1363,"")</x:f>
      </x:c>
      <x:c r="I1363" s="10" t="n">
        <x:v>0</x:v>
      </x:c>
      <x:c r="J1363" s="11" t="str">
        <x:f>IF(AND(Z1363="共同",ISNUMBER(F1363),ISNUMBER(M1363)),F1363-M1363,"")</x:f>
      </x:c>
      <x:c r="K1363" s="13" t="str">
        <x:f>IF(AND(ISNUMBER(J1363),M1363&lt;&gt;0),J1363/M1363,"")</x:f>
      </x:c>
      <x:c r="L1363" s="10" t="str">
        <x:v>断货</x:v>
      </x:c>
      <x:c r="M1363" s="11"/>
      <x:c r="N1363" s="10" t="str">
        <x:f>IF(AND(Z1363="共同",COUNT(H1363:I1363)=2),H1363-I1363,"")</x:f>
      </x:c>
      <x:c r="O1363" s="10"/>
      <x:c r="P1363" s="10"/>
      <x:c r="Q1363" s="10"/>
      <x:c r="R1363" s="10"/>
      <x:c r="S1363" s="10"/>
      <x:c r="T1363" s="10"/>
      <x:c r="U1363" s="10" t="str">
        <x:f>IF(AND(ISNUMBER(X1363),X1363&gt;=0,Y1363&lt;&gt;1),X1363,"")</x:f>
      </x:c>
      <x:c r="V1363" s="10"/>
      <x:c r="W1363" s="10"/>
      <x:c r="X1363" s="10"/>
      <x:c r="Y1363" s="3"/>
      <x:c r="Z1363" s="3" t="str">
        <x:v>移出</x:v>
      </x:c>
      <x:c r="AA1363" s="3" t="str">
        <x:v>已移出</x:v>
      </x:c>
      <x:c r="AB1363" s="12" t="str">
        <x:f>IF(AND(Z1363="共同",ISNUMBER(G1363),ISNUMBER(AD1363)),G1363-AD1363,"")</x:f>
      </x:c>
      <x:c r="AC1363" s="3" t="str">
        <x:v>基准清单已移出</x:v>
      </x:c>
      <x:c r="AD1363" s="12"/>
      <x:c r="AE1363" s="3" t="str">
        <x:v>[13120,"B06-GY-37"]</x:v>
      </x:c>
      <x:c r="AF1363" t="n">
        <x:f>IF(ISNUMBER(H1363),1,0)</x:f>
        <x:v>0</x:v>
      </x:c>
      <x:c r="AG1363" t="n">
        <x:f>IF(ISNUMBER(I1363),1,0)</x:f>
        <x:v>1</x:v>
      </x:c>
      <x:c r="AH1363"/>
      <x:c r="AI1363" t="n">
        <x:f>IF(ISNUMBER(G1363),1,0)</x:f>
        <x:v>0</x:v>
      </x:c>
      <x:c r="AJ1363" t="n">
        <x:f>IF(ISNUMBER(AD1363),1,0)</x:f>
        <x:v>0</x:v>
      </x:c>
    </x:row>
    <x:row r="1364" ht="30" customHeight="1">
      <x:c r="A1364" s="3" t="str">
        <x:v>B06-GY-38</x:v>
      </x:c>
      <x:c r="B1364" s="3" t="str">
        <x:v>1店-MUSSHOE-US</x:v>
      </x:c>
      <x:c r="C1364" s="3" t="str">
        <x:v>艾年</x:v>
      </x:c>
      <x:c r="D1364" s="3" t="str">
        <x:v>B06</x:v>
      </x:c>
      <x:c r="E1364" s="3" t="str">
        <x:f>IF(Z1364="移出","已移出",IF(NOT(ISNUMBER(H1364)),"数据待核",IF(H1364=0,"断货",IF(NOT(ISNUMBER(G1364)),"数据待核",IF(G1364=0,"零日销待复核",IF(F1364&lt;60,"补货提醒",IF(F1364&lt;=90,"正常库存",IF(F1364&lt;180,"促销",IF(F1364&lt;=365,"红线促销","考虑清仓")))))))))</x:f>
        <x:v>已移出</x:v>
      </x:c>
      <x:c r="F1364" s="11" t="str">
        <x:f>IF(AND(ISNUMBER(H1364),ISNUMBER(G1364),G1364&gt;0),H1364/G1364,"")</x:f>
      </x:c>
      <x:c r="G1364" s="12" t="str">
        <x:f>IF(AND(COUNT(P1364:R1364)=3,MIN(P1364:R1364)&gt;=0,P1364&lt;=Q1364,Q1364&lt;=R1364),P1364/7*0.5+Q1364/14*0.3+R1364/30*0.2,"")</x:f>
      </x:c>
      <x:c r="H1364" s="10" t="str">
        <x:f>IF(ISNUMBER(U1364),U1364,"")</x:f>
      </x:c>
      <x:c r="I1364" s="10" t="n">
        <x:v>0</x:v>
      </x:c>
      <x:c r="J1364" s="11" t="str">
        <x:f>IF(AND(Z1364="共同",ISNUMBER(F1364),ISNUMBER(M1364)),F1364-M1364,"")</x:f>
      </x:c>
      <x:c r="K1364" s="13" t="str">
        <x:f>IF(AND(ISNUMBER(J1364),M1364&lt;&gt;0),J1364/M1364,"")</x:f>
      </x:c>
      <x:c r="L1364" s="10" t="str">
        <x:v>断货</x:v>
      </x:c>
      <x:c r="M1364" s="11"/>
      <x:c r="N1364" s="10" t="str">
        <x:f>IF(AND(Z1364="共同",COUNT(H1364:I1364)=2),H1364-I1364,"")</x:f>
      </x:c>
      <x:c r="O1364" s="10"/>
      <x:c r="P1364" s="10"/>
      <x:c r="Q1364" s="10"/>
      <x:c r="R1364" s="10"/>
      <x:c r="S1364" s="10"/>
      <x:c r="T1364" s="10"/>
      <x:c r="U1364" s="10" t="str">
        <x:f>IF(AND(ISNUMBER(X1364),X1364&gt;=0,Y1364&lt;&gt;1),X1364,"")</x:f>
      </x:c>
      <x:c r="V1364" s="10"/>
      <x:c r="W1364" s="10"/>
      <x:c r="X1364" s="10"/>
      <x:c r="Y1364" s="3"/>
      <x:c r="Z1364" s="3" t="str">
        <x:v>移出</x:v>
      </x:c>
      <x:c r="AA1364" s="3" t="str">
        <x:v>已移出</x:v>
      </x:c>
      <x:c r="AB1364" s="12" t="str">
        <x:f>IF(AND(Z1364="共同",ISNUMBER(G1364),ISNUMBER(AD1364)),G1364-AD1364,"")</x:f>
      </x:c>
      <x:c r="AC1364" s="3" t="str">
        <x:v>基准清单已移出</x:v>
      </x:c>
      <x:c r="AD1364" s="12"/>
      <x:c r="AE1364" s="3" t="str">
        <x:v>[13120,"B06-GY-38"]</x:v>
      </x:c>
      <x:c r="AF1364" t="n">
        <x:f>IF(ISNUMBER(H1364),1,0)</x:f>
        <x:v>0</x:v>
      </x:c>
      <x:c r="AG1364" t="n">
        <x:f>IF(ISNUMBER(I1364),1,0)</x:f>
        <x:v>1</x:v>
      </x:c>
      <x:c r="AH1364"/>
      <x:c r="AI1364" t="n">
        <x:f>IF(ISNUMBER(G1364),1,0)</x:f>
        <x:v>0</x:v>
      </x:c>
      <x:c r="AJ1364" t="n">
        <x:f>IF(ISNUMBER(AD1364),1,0)</x:f>
        <x:v>0</x:v>
      </x:c>
    </x:row>
    <x:row r="1365" ht="30" customHeight="1">
      <x:c r="A1365" s="3" t="str">
        <x:v>B06-GY-38.5</x:v>
      </x:c>
      <x:c r="B1365" s="3" t="str">
        <x:v>1店-MUSSHOE-US</x:v>
      </x:c>
      <x:c r="C1365" s="3" t="str">
        <x:v>艾年</x:v>
      </x:c>
      <x:c r="D1365" s="3" t="str">
        <x:v>B06</x:v>
      </x:c>
      <x:c r="E1365" s="3" t="str">
        <x:f>IF(Z1365="移出","已移出",IF(NOT(ISNUMBER(H1365)),"数据待核",IF(H1365=0,"断货",IF(NOT(ISNUMBER(G1365)),"数据待核",IF(G1365=0,"零日销待复核",IF(F1365&lt;60,"补货提醒",IF(F1365&lt;=90,"正常库存",IF(F1365&lt;180,"促销",IF(F1365&lt;=365,"红线促销","考虑清仓")))))))))</x:f>
        <x:v>已移出</x:v>
      </x:c>
      <x:c r="F1365" s="11" t="str">
        <x:f>IF(AND(ISNUMBER(H1365),ISNUMBER(G1365),G1365&gt;0),H1365/G1365,"")</x:f>
      </x:c>
      <x:c r="G1365" s="12" t="str">
        <x:f>IF(AND(COUNT(P1365:R1365)=3,MIN(P1365:R1365)&gt;=0,P1365&lt;=Q1365,Q1365&lt;=R1365),P1365/7*0.5+Q1365/14*0.3+R1365/30*0.2,"")</x:f>
      </x:c>
      <x:c r="H1365" s="10" t="str">
        <x:f>IF(ISNUMBER(U1365),U1365,"")</x:f>
      </x:c>
      <x:c r="I1365" s="10" t="n">
        <x:v>0</x:v>
      </x:c>
      <x:c r="J1365" s="11" t="str">
        <x:f>IF(AND(Z1365="共同",ISNUMBER(F1365),ISNUMBER(M1365)),F1365-M1365,"")</x:f>
      </x:c>
      <x:c r="K1365" s="13" t="str">
        <x:f>IF(AND(ISNUMBER(J1365),M1365&lt;&gt;0),J1365/M1365,"")</x:f>
      </x:c>
      <x:c r="L1365" s="10" t="str">
        <x:v>断货</x:v>
      </x:c>
      <x:c r="M1365" s="11"/>
      <x:c r="N1365" s="10" t="str">
        <x:f>IF(AND(Z1365="共同",COUNT(H1365:I1365)=2),H1365-I1365,"")</x:f>
      </x:c>
      <x:c r="O1365" s="10"/>
      <x:c r="P1365" s="10"/>
      <x:c r="Q1365" s="10"/>
      <x:c r="R1365" s="10"/>
      <x:c r="S1365" s="10"/>
      <x:c r="T1365" s="10"/>
      <x:c r="U1365" s="10" t="str">
        <x:f>IF(AND(ISNUMBER(X1365),X1365&gt;=0,Y1365&lt;&gt;1),X1365,"")</x:f>
      </x:c>
      <x:c r="V1365" s="10"/>
      <x:c r="W1365" s="10"/>
      <x:c r="X1365" s="10"/>
      <x:c r="Y1365" s="3"/>
      <x:c r="Z1365" s="3" t="str">
        <x:v>移出</x:v>
      </x:c>
      <x:c r="AA1365" s="3" t="str">
        <x:v>已移出</x:v>
      </x:c>
      <x:c r="AB1365" s="12" t="str">
        <x:f>IF(AND(Z1365="共同",ISNUMBER(G1365),ISNUMBER(AD1365)),G1365-AD1365,"")</x:f>
      </x:c>
      <x:c r="AC1365" s="3" t="str">
        <x:v>基准清单已移出</x:v>
      </x:c>
      <x:c r="AD1365" s="12"/>
      <x:c r="AE1365" s="3" t="str">
        <x:v>[13120,"B06-GY-38.5"]</x:v>
      </x:c>
      <x:c r="AF1365" t="n">
        <x:f>IF(ISNUMBER(H1365),1,0)</x:f>
        <x:v>0</x:v>
      </x:c>
      <x:c r="AG1365" t="n">
        <x:f>IF(ISNUMBER(I1365),1,0)</x:f>
        <x:v>1</x:v>
      </x:c>
      <x:c r="AH1365"/>
      <x:c r="AI1365" t="n">
        <x:f>IF(ISNUMBER(G1365),1,0)</x:f>
        <x:v>0</x:v>
      </x:c>
      <x:c r="AJ1365" t="n">
        <x:f>IF(ISNUMBER(AD1365),1,0)</x:f>
        <x:v>0</x:v>
      </x:c>
    </x:row>
    <x:row r="1366" ht="30" customHeight="1">
      <x:c r="A1366" s="3" t="str">
        <x:v>B06-GY-39</x:v>
      </x:c>
      <x:c r="B1366" s="3" t="str">
        <x:v>1店-MUSSHOE-US</x:v>
      </x:c>
      <x:c r="C1366" s="3" t="str">
        <x:v>艾年</x:v>
      </x:c>
      <x:c r="D1366" s="3" t="str">
        <x:v>B06</x:v>
      </x:c>
      <x:c r="E1366" s="3" t="str">
        <x:f>IF(Z1366="移出","已移出",IF(NOT(ISNUMBER(H1366)),"数据待核",IF(H1366=0,"断货",IF(NOT(ISNUMBER(G1366)),"数据待核",IF(G1366=0,"零日销待复核",IF(F1366&lt;60,"补货提醒",IF(F1366&lt;=90,"正常库存",IF(F1366&lt;180,"促销",IF(F1366&lt;=365,"红线促销","考虑清仓")))))))))</x:f>
        <x:v>已移出</x:v>
      </x:c>
      <x:c r="F1366" s="11" t="str">
        <x:f>IF(AND(ISNUMBER(H1366),ISNUMBER(G1366),G1366&gt;0),H1366/G1366,"")</x:f>
      </x:c>
      <x:c r="G1366" s="12" t="str">
        <x:f>IF(AND(COUNT(P1366:R1366)=3,MIN(P1366:R1366)&gt;=0,P1366&lt;=Q1366,Q1366&lt;=R1366),P1366/7*0.5+Q1366/14*0.3+R1366/30*0.2,"")</x:f>
      </x:c>
      <x:c r="H1366" s="10" t="str">
        <x:f>IF(ISNUMBER(U1366),U1366,"")</x:f>
      </x:c>
      <x:c r="I1366" s="10" t="n">
        <x:v>0</x:v>
      </x:c>
      <x:c r="J1366" s="11" t="str">
        <x:f>IF(AND(Z1366="共同",ISNUMBER(F1366),ISNUMBER(M1366)),F1366-M1366,"")</x:f>
      </x:c>
      <x:c r="K1366" s="13" t="str">
        <x:f>IF(AND(ISNUMBER(J1366),M1366&lt;&gt;0),J1366/M1366,"")</x:f>
      </x:c>
      <x:c r="L1366" s="10" t="str">
        <x:v>断货</x:v>
      </x:c>
      <x:c r="M1366" s="11"/>
      <x:c r="N1366" s="10" t="str">
        <x:f>IF(AND(Z1366="共同",COUNT(H1366:I1366)=2),H1366-I1366,"")</x:f>
      </x:c>
      <x:c r="O1366" s="10"/>
      <x:c r="P1366" s="10"/>
      <x:c r="Q1366" s="10"/>
      <x:c r="R1366" s="10"/>
      <x:c r="S1366" s="10"/>
      <x:c r="T1366" s="10"/>
      <x:c r="U1366" s="10" t="str">
        <x:f>IF(AND(ISNUMBER(X1366),X1366&gt;=0,Y1366&lt;&gt;1),X1366,"")</x:f>
      </x:c>
      <x:c r="V1366" s="10"/>
      <x:c r="W1366" s="10"/>
      <x:c r="X1366" s="10"/>
      <x:c r="Y1366" s="3"/>
      <x:c r="Z1366" s="3" t="str">
        <x:v>移出</x:v>
      </x:c>
      <x:c r="AA1366" s="3" t="str">
        <x:v>已移出</x:v>
      </x:c>
      <x:c r="AB1366" s="12" t="str">
        <x:f>IF(AND(Z1366="共同",ISNUMBER(G1366),ISNUMBER(AD1366)),G1366-AD1366,"")</x:f>
      </x:c>
      <x:c r="AC1366" s="3" t="str">
        <x:v>基准清单已移出</x:v>
      </x:c>
      <x:c r="AD1366" s="12"/>
      <x:c r="AE1366" s="3" t="str">
        <x:v>[13120,"B06-GY-39"]</x:v>
      </x:c>
      <x:c r="AF1366" t="n">
        <x:f>IF(ISNUMBER(H1366),1,0)</x:f>
        <x:v>0</x:v>
      </x:c>
      <x:c r="AG1366" t="n">
        <x:f>IF(ISNUMBER(I1366),1,0)</x:f>
        <x:v>1</x:v>
      </x:c>
      <x:c r="AH1366"/>
      <x:c r="AI1366" t="n">
        <x:f>IF(ISNUMBER(G1366),1,0)</x:f>
        <x:v>0</x:v>
      </x:c>
      <x:c r="AJ1366" t="n">
        <x:f>IF(ISNUMBER(AD1366),1,0)</x:f>
        <x:v>0</x:v>
      </x:c>
    </x:row>
    <x:row r="1367" ht="30" customHeight="1">
      <x:c r="A1367" s="3" t="str">
        <x:v>B06-GY-39.5</x:v>
      </x:c>
      <x:c r="B1367" s="3" t="str">
        <x:v>1店-MUSSHOE-US</x:v>
      </x:c>
      <x:c r="C1367" s="3" t="str">
        <x:v>艾年</x:v>
      </x:c>
      <x:c r="D1367" s="3" t="str">
        <x:v>B06</x:v>
      </x:c>
      <x:c r="E1367" s="3" t="str">
        <x:f>IF(Z1367="移出","已移出",IF(NOT(ISNUMBER(H1367)),"数据待核",IF(H1367=0,"断货",IF(NOT(ISNUMBER(G1367)),"数据待核",IF(G1367=0,"零日销待复核",IF(F1367&lt;60,"补货提醒",IF(F1367&lt;=90,"正常库存",IF(F1367&lt;180,"促销",IF(F1367&lt;=365,"红线促销","考虑清仓")))))))))</x:f>
        <x:v>已移出</x:v>
      </x:c>
      <x:c r="F1367" s="11" t="str">
        <x:f>IF(AND(ISNUMBER(H1367),ISNUMBER(G1367),G1367&gt;0),H1367/G1367,"")</x:f>
      </x:c>
      <x:c r="G1367" s="12" t="str">
        <x:f>IF(AND(COUNT(P1367:R1367)=3,MIN(P1367:R1367)&gt;=0,P1367&lt;=Q1367,Q1367&lt;=R1367),P1367/7*0.5+Q1367/14*0.3+R1367/30*0.2,"")</x:f>
      </x:c>
      <x:c r="H1367" s="10" t="str">
        <x:f>IF(ISNUMBER(U1367),U1367,"")</x:f>
      </x:c>
      <x:c r="I1367" s="10" t="n">
        <x:v>0</x:v>
      </x:c>
      <x:c r="J1367" s="11" t="str">
        <x:f>IF(AND(Z1367="共同",ISNUMBER(F1367),ISNUMBER(M1367)),F1367-M1367,"")</x:f>
      </x:c>
      <x:c r="K1367" s="13" t="str">
        <x:f>IF(AND(ISNUMBER(J1367),M1367&lt;&gt;0),J1367/M1367,"")</x:f>
      </x:c>
      <x:c r="L1367" s="10" t="str">
        <x:v>断货</x:v>
      </x:c>
      <x:c r="M1367" s="11"/>
      <x:c r="N1367" s="10" t="str">
        <x:f>IF(AND(Z1367="共同",COUNT(H1367:I1367)=2),H1367-I1367,"")</x:f>
      </x:c>
      <x:c r="O1367" s="10"/>
      <x:c r="P1367" s="10"/>
      <x:c r="Q1367" s="10"/>
      <x:c r="R1367" s="10"/>
      <x:c r="S1367" s="10"/>
      <x:c r="T1367" s="10"/>
      <x:c r="U1367" s="10" t="str">
        <x:f>IF(AND(ISNUMBER(X1367),X1367&gt;=0,Y1367&lt;&gt;1),X1367,"")</x:f>
      </x:c>
      <x:c r="V1367" s="10"/>
      <x:c r="W1367" s="10"/>
      <x:c r="X1367" s="10"/>
      <x:c r="Y1367" s="3"/>
      <x:c r="Z1367" s="3" t="str">
        <x:v>移出</x:v>
      </x:c>
      <x:c r="AA1367" s="3" t="str">
        <x:v>已移出</x:v>
      </x:c>
      <x:c r="AB1367" s="12" t="str">
        <x:f>IF(AND(Z1367="共同",ISNUMBER(G1367),ISNUMBER(AD1367)),G1367-AD1367,"")</x:f>
      </x:c>
      <x:c r="AC1367" s="3" t="str">
        <x:v>基准清单已移出</x:v>
      </x:c>
      <x:c r="AD1367" s="12"/>
      <x:c r="AE1367" s="3" t="str">
        <x:v>[13120,"B06-GY-39.5"]</x:v>
      </x:c>
      <x:c r="AF1367" t="n">
        <x:f>IF(ISNUMBER(H1367),1,0)</x:f>
        <x:v>0</x:v>
      </x:c>
      <x:c r="AG1367" t="n">
        <x:f>IF(ISNUMBER(I1367),1,0)</x:f>
        <x:v>1</x:v>
      </x:c>
      <x:c r="AH1367"/>
      <x:c r="AI1367" t="n">
        <x:f>IF(ISNUMBER(G1367),1,0)</x:f>
        <x:v>0</x:v>
      </x:c>
      <x:c r="AJ1367" t="n">
        <x:f>IF(ISNUMBER(AD1367),1,0)</x:f>
        <x:v>0</x:v>
      </x:c>
    </x:row>
    <x:row r="1368" ht="30" customHeight="1">
      <x:c r="A1368" s="3" t="str">
        <x:v>B06-GY-41.5</x:v>
      </x:c>
      <x:c r="B1368" s="3" t="str">
        <x:v>1店-MUSSHOE-US</x:v>
      </x:c>
      <x:c r="C1368" s="3" t="str">
        <x:v>艾年</x:v>
      </x:c>
      <x:c r="D1368" s="3" t="str">
        <x:v>B06</x:v>
      </x:c>
      <x:c r="E1368" s="3" t="str">
        <x:f>IF(Z1368="移出","已移出",IF(NOT(ISNUMBER(H1368)),"数据待核",IF(H1368=0,"断货",IF(NOT(ISNUMBER(G1368)),"数据待核",IF(G1368=0,"零日销待复核",IF(F1368&lt;60,"补货提醒",IF(F1368&lt;=90,"正常库存",IF(F1368&lt;180,"促销",IF(F1368&lt;=365,"红线促销","考虑清仓")))))))))</x:f>
        <x:v>已移出</x:v>
      </x:c>
      <x:c r="F1368" s="11" t="str">
        <x:f>IF(AND(ISNUMBER(H1368),ISNUMBER(G1368),G1368&gt;0),H1368/G1368,"")</x:f>
      </x:c>
      <x:c r="G1368" s="12" t="str">
        <x:f>IF(AND(COUNT(P1368:R1368)=3,MIN(P1368:R1368)&gt;=0,P1368&lt;=Q1368,Q1368&lt;=R1368),P1368/7*0.5+Q1368/14*0.3+R1368/30*0.2,"")</x:f>
      </x:c>
      <x:c r="H1368" s="10" t="str">
        <x:f>IF(ISNUMBER(U1368),U1368,"")</x:f>
      </x:c>
      <x:c r="I1368" s="10" t="n">
        <x:v>0</x:v>
      </x:c>
      <x:c r="J1368" s="11" t="str">
        <x:f>IF(AND(Z1368="共同",ISNUMBER(F1368),ISNUMBER(M1368)),F1368-M1368,"")</x:f>
      </x:c>
      <x:c r="K1368" s="13" t="str">
        <x:f>IF(AND(ISNUMBER(J1368),M1368&lt;&gt;0),J1368/M1368,"")</x:f>
      </x:c>
      <x:c r="L1368" s="10" t="str">
        <x:v>断货</x:v>
      </x:c>
      <x:c r="M1368" s="11"/>
      <x:c r="N1368" s="10" t="str">
        <x:f>IF(AND(Z1368="共同",COUNT(H1368:I1368)=2),H1368-I1368,"")</x:f>
      </x:c>
      <x:c r="O1368" s="10"/>
      <x:c r="P1368" s="10"/>
      <x:c r="Q1368" s="10"/>
      <x:c r="R1368" s="10"/>
      <x:c r="S1368" s="10"/>
      <x:c r="T1368" s="10"/>
      <x:c r="U1368" s="10" t="str">
        <x:f>IF(AND(ISNUMBER(X1368),X1368&gt;=0,Y1368&lt;&gt;1),X1368,"")</x:f>
      </x:c>
      <x:c r="V1368" s="10"/>
      <x:c r="W1368" s="10"/>
      <x:c r="X1368" s="10"/>
      <x:c r="Y1368" s="3"/>
      <x:c r="Z1368" s="3" t="str">
        <x:v>移出</x:v>
      </x:c>
      <x:c r="AA1368" s="3" t="str">
        <x:v>已移出</x:v>
      </x:c>
      <x:c r="AB1368" s="12" t="str">
        <x:f>IF(AND(Z1368="共同",ISNUMBER(G1368),ISNUMBER(AD1368)),G1368-AD1368,"")</x:f>
      </x:c>
      <x:c r="AC1368" s="3" t="str">
        <x:v>基准清单已移出</x:v>
      </x:c>
      <x:c r="AD1368" s="12"/>
      <x:c r="AE1368" s="3" t="str">
        <x:v>[13120,"B06-GY-41.5"]</x:v>
      </x:c>
      <x:c r="AF1368" t="n">
        <x:f>IF(ISNUMBER(H1368),1,0)</x:f>
        <x:v>0</x:v>
      </x:c>
      <x:c r="AG1368" t="n">
        <x:f>IF(ISNUMBER(I1368),1,0)</x:f>
        <x:v>1</x:v>
      </x:c>
      <x:c r="AH1368"/>
      <x:c r="AI1368" t="n">
        <x:f>IF(ISNUMBER(G1368),1,0)</x:f>
        <x:v>0</x:v>
      </x:c>
      <x:c r="AJ1368" t="n">
        <x:f>IF(ISNUMBER(AD1368),1,0)</x:f>
        <x:v>0</x:v>
      </x:c>
    </x:row>
    <x:row r="1369" ht="30" customHeight="1">
      <x:c r="A1369" s="3" t="str">
        <x:v>B06-IV-P-0-38.5</x:v>
      </x:c>
      <x:c r="B1369" s="3" t="str">
        <x:v>1店-MUSSHOE-US</x:v>
      </x:c>
      <x:c r="C1369" s="3" t="str">
        <x:v>艾年</x:v>
      </x:c>
      <x:c r="D1369" s="3" t="str">
        <x:v>B06</x:v>
      </x:c>
      <x:c r="E1369" s="3" t="str">
        <x:f>IF(Z1369="移出","已移出",IF(NOT(ISNUMBER(H1369)),"数据待核",IF(H1369=0,"断货",IF(NOT(ISNUMBER(G1369)),"数据待核",IF(G1369=0,"零日销待复核",IF(F1369&lt;60,"补货提醒",IF(F1369&lt;=90,"正常库存",IF(F1369&lt;180,"促销",IF(F1369&lt;=365,"红线促销","考虑清仓")))))))))</x:f>
        <x:v>已移出</x:v>
      </x:c>
      <x:c r="F1369" s="11" t="str">
        <x:f>IF(AND(ISNUMBER(H1369),ISNUMBER(G1369),G1369&gt;0),H1369/G1369,"")</x:f>
      </x:c>
      <x:c r="G1369" s="12" t="str">
        <x:f>IF(AND(COUNT(P1369:R1369)=3,MIN(P1369:R1369)&gt;=0,P1369&lt;=Q1369,Q1369&lt;=R1369),P1369/7*0.5+Q1369/14*0.3+R1369/30*0.2,"")</x:f>
      </x:c>
      <x:c r="H1369" s="10" t="str">
        <x:f>IF(ISNUMBER(U1369),U1369,"")</x:f>
      </x:c>
      <x:c r="I1369" s="10" t="n">
        <x:v>0</x:v>
      </x:c>
      <x:c r="J1369" s="11" t="str">
        <x:f>IF(AND(Z1369="共同",ISNUMBER(F1369),ISNUMBER(M1369)),F1369-M1369,"")</x:f>
      </x:c>
      <x:c r="K1369" s="13" t="str">
        <x:f>IF(AND(ISNUMBER(J1369),M1369&lt;&gt;0),J1369/M1369,"")</x:f>
      </x:c>
      <x:c r="L1369" s="10" t="str">
        <x:v>断货</x:v>
      </x:c>
      <x:c r="M1369" s="11"/>
      <x:c r="N1369" s="10" t="str">
        <x:f>IF(AND(Z1369="共同",COUNT(H1369:I1369)=2),H1369-I1369,"")</x:f>
      </x:c>
      <x:c r="O1369" s="10"/>
      <x:c r="P1369" s="10"/>
      <x:c r="Q1369" s="10"/>
      <x:c r="R1369" s="10"/>
      <x:c r="S1369" s="10"/>
      <x:c r="T1369" s="10"/>
      <x:c r="U1369" s="10" t="str">
        <x:f>IF(AND(ISNUMBER(X1369),X1369&gt;=0,Y1369&lt;&gt;1),X1369,"")</x:f>
      </x:c>
      <x:c r="V1369" s="10"/>
      <x:c r="W1369" s="10"/>
      <x:c r="X1369" s="10"/>
      <x:c r="Y1369" s="3"/>
      <x:c r="Z1369" s="3" t="str">
        <x:v>移出</x:v>
      </x:c>
      <x:c r="AA1369" s="3" t="str">
        <x:v>已移出</x:v>
      </x:c>
      <x:c r="AB1369" s="12" t="str">
        <x:f>IF(AND(Z1369="共同",ISNUMBER(G1369),ISNUMBER(AD1369)),G1369-AD1369,"")</x:f>
      </x:c>
      <x:c r="AC1369" s="3" t="str">
        <x:v>基准清单已移出</x:v>
      </x:c>
      <x:c r="AD1369" s="12"/>
      <x:c r="AE1369" s="3" t="str">
        <x:v>[13120,"B06-IV-P-0-38.5"]</x:v>
      </x:c>
      <x:c r="AF1369" t="n">
        <x:f>IF(ISNUMBER(H1369),1,0)</x:f>
        <x:v>0</x:v>
      </x:c>
      <x:c r="AG1369" t="n">
        <x:f>IF(ISNUMBER(I1369),1,0)</x:f>
        <x:v>1</x:v>
      </x:c>
      <x:c r="AH1369"/>
      <x:c r="AI1369" t="n">
        <x:f>IF(ISNUMBER(G1369),1,0)</x:f>
        <x:v>0</x:v>
      </x:c>
      <x:c r="AJ1369" t="n">
        <x:f>IF(ISNUMBER(AD1369),1,0)</x:f>
        <x:v>0</x:v>
      </x:c>
    </x:row>
    <x:row r="1370" ht="30" customHeight="1">
      <x:c r="A1370" s="3" t="str">
        <x:v>B06-IV-P-0-40</x:v>
      </x:c>
      <x:c r="B1370" s="3" t="str">
        <x:v>1店-MUSSHOE-US</x:v>
      </x:c>
      <x:c r="C1370" s="3" t="str">
        <x:v>艾年</x:v>
      </x:c>
      <x:c r="D1370" s="3" t="str">
        <x:v>B06</x:v>
      </x:c>
      <x:c r="E1370" s="3" t="str">
        <x:f>IF(Z1370="移出","已移出",IF(NOT(ISNUMBER(H1370)),"数据待核",IF(H1370=0,"断货",IF(NOT(ISNUMBER(G1370)),"数据待核",IF(G1370=0,"零日销待复核",IF(F1370&lt;60,"补货提醒",IF(F1370&lt;=90,"正常库存",IF(F1370&lt;180,"促销",IF(F1370&lt;=365,"红线促销","考虑清仓")))))))))</x:f>
        <x:v>已移出</x:v>
      </x:c>
      <x:c r="F1370" s="11" t="str">
        <x:f>IF(AND(ISNUMBER(H1370),ISNUMBER(G1370),G1370&gt;0),H1370/G1370,"")</x:f>
      </x:c>
      <x:c r="G1370" s="12" t="str">
        <x:f>IF(AND(COUNT(P1370:R1370)=3,MIN(P1370:R1370)&gt;=0,P1370&lt;=Q1370,Q1370&lt;=R1370),P1370/7*0.5+Q1370/14*0.3+R1370/30*0.2,"")</x:f>
      </x:c>
      <x:c r="H1370" s="10" t="str">
        <x:f>IF(ISNUMBER(U1370),U1370,"")</x:f>
      </x:c>
      <x:c r="I1370" s="10" t="n">
        <x:v>0</x:v>
      </x:c>
      <x:c r="J1370" s="11" t="str">
        <x:f>IF(AND(Z1370="共同",ISNUMBER(F1370),ISNUMBER(M1370)),F1370-M1370,"")</x:f>
      </x:c>
      <x:c r="K1370" s="13" t="str">
        <x:f>IF(AND(ISNUMBER(J1370),M1370&lt;&gt;0),J1370/M1370,"")</x:f>
      </x:c>
      <x:c r="L1370" s="10" t="str">
        <x:v>断货</x:v>
      </x:c>
      <x:c r="M1370" s="11"/>
      <x:c r="N1370" s="10" t="str">
        <x:f>IF(AND(Z1370="共同",COUNT(H1370:I1370)=2),H1370-I1370,"")</x:f>
      </x:c>
      <x:c r="O1370" s="10"/>
      <x:c r="P1370" s="10"/>
      <x:c r="Q1370" s="10"/>
      <x:c r="R1370" s="10"/>
      <x:c r="S1370" s="10"/>
      <x:c r="T1370" s="10"/>
      <x:c r="U1370" s="10" t="str">
        <x:f>IF(AND(ISNUMBER(X1370),X1370&gt;=0,Y1370&lt;&gt;1),X1370,"")</x:f>
      </x:c>
      <x:c r="V1370" s="10"/>
      <x:c r="W1370" s="10"/>
      <x:c r="X1370" s="10"/>
      <x:c r="Y1370" s="3"/>
      <x:c r="Z1370" s="3" t="str">
        <x:v>移出</x:v>
      </x:c>
      <x:c r="AA1370" s="3" t="str">
        <x:v>已移出</x:v>
      </x:c>
      <x:c r="AB1370" s="12" t="str">
        <x:f>IF(AND(Z1370="共同",ISNUMBER(G1370),ISNUMBER(AD1370)),G1370-AD1370,"")</x:f>
      </x:c>
      <x:c r="AC1370" s="3" t="str">
        <x:v>基准清单已移出</x:v>
      </x:c>
      <x:c r="AD1370" s="12"/>
      <x:c r="AE1370" s="3" t="str">
        <x:v>[13120,"B06-IV-P-0-40"]</x:v>
      </x:c>
      <x:c r="AF1370" t="n">
        <x:f>IF(ISNUMBER(H1370),1,0)</x:f>
        <x:v>0</x:v>
      </x:c>
      <x:c r="AG1370" t="n">
        <x:f>IF(ISNUMBER(I1370),1,0)</x:f>
        <x:v>1</x:v>
      </x:c>
      <x:c r="AH1370"/>
      <x:c r="AI1370" t="n">
        <x:f>IF(ISNUMBER(G1370),1,0)</x:f>
        <x:v>0</x:v>
      </x:c>
      <x:c r="AJ1370" t="n">
        <x:f>IF(ISNUMBER(AD1370),1,0)</x:f>
        <x:v>0</x:v>
      </x:c>
    </x:row>
    <x:row r="1371" ht="30" customHeight="1">
      <x:c r="A1371" s="3" t="str">
        <x:v>B06-IV-P-0-41.5</x:v>
      </x:c>
      <x:c r="B1371" s="3" t="str">
        <x:v>1店-MUSSHOE-US</x:v>
      </x:c>
      <x:c r="C1371" s="3" t="str">
        <x:v>艾年</x:v>
      </x:c>
      <x:c r="D1371" s="3" t="str">
        <x:v>B06</x:v>
      </x:c>
      <x:c r="E1371" s="3" t="str">
        <x:f>IF(Z1371="移出","已移出",IF(NOT(ISNUMBER(H1371)),"数据待核",IF(H1371=0,"断货",IF(NOT(ISNUMBER(G1371)),"数据待核",IF(G1371=0,"零日销待复核",IF(F1371&lt;60,"补货提醒",IF(F1371&lt;=90,"正常库存",IF(F1371&lt;180,"促销",IF(F1371&lt;=365,"红线促销","考虑清仓")))))))))</x:f>
        <x:v>已移出</x:v>
      </x:c>
      <x:c r="F1371" s="11" t="str">
        <x:f>IF(AND(ISNUMBER(H1371),ISNUMBER(G1371),G1371&gt;0),H1371/G1371,"")</x:f>
      </x:c>
      <x:c r="G1371" s="12" t="str">
        <x:f>IF(AND(COUNT(P1371:R1371)=3,MIN(P1371:R1371)&gt;=0,P1371&lt;=Q1371,Q1371&lt;=R1371),P1371/7*0.5+Q1371/14*0.3+R1371/30*0.2,"")</x:f>
      </x:c>
      <x:c r="H1371" s="10" t="str">
        <x:f>IF(ISNUMBER(U1371),U1371,"")</x:f>
      </x:c>
      <x:c r="I1371" s="10" t="n">
        <x:v>5</x:v>
      </x:c>
      <x:c r="J1371" s="11" t="str">
        <x:f>IF(AND(Z1371="共同",ISNUMBER(F1371),ISNUMBER(M1371)),F1371-M1371,"")</x:f>
      </x:c>
      <x:c r="K1371" s="13" t="str">
        <x:f>IF(AND(ISNUMBER(J1371),M1371&lt;&gt;0),J1371/M1371,"")</x:f>
      </x:c>
      <x:c r="L1371" s="10" t="str">
        <x:v>数据待核</x:v>
      </x:c>
      <x:c r="M1371" s="11"/>
      <x:c r="N1371" s="10" t="str">
        <x:f>IF(AND(Z1371="共同",COUNT(H1371:I1371)=2),H1371-I1371,"")</x:f>
      </x:c>
      <x:c r="O1371" s="10"/>
      <x:c r="P1371" s="10"/>
      <x:c r="Q1371" s="10"/>
      <x:c r="R1371" s="10"/>
      <x:c r="S1371" s="10"/>
      <x:c r="T1371" s="10"/>
      <x:c r="U1371" s="10" t="str">
        <x:f>IF(AND(ISNUMBER(X1371),X1371&gt;=0,Y1371&lt;&gt;1),X1371,"")</x:f>
      </x:c>
      <x:c r="V1371" s="10"/>
      <x:c r="W1371" s="10"/>
      <x:c r="X1371" s="10"/>
      <x:c r="Y1371" s="3"/>
      <x:c r="Z1371" s="3" t="str">
        <x:v>移出</x:v>
      </x:c>
      <x:c r="AA1371" s="3" t="str">
        <x:v>已移出</x:v>
      </x:c>
      <x:c r="AB1371" s="12" t="str">
        <x:f>IF(AND(Z1371="共同",ISNUMBER(G1371),ISNUMBER(AD1371)),G1371-AD1371,"")</x:f>
      </x:c>
      <x:c r="AC1371" s="3" t="str">
        <x:v>基准清单已移出</x:v>
      </x:c>
      <x:c r="AD1371" s="12"/>
      <x:c r="AE1371" s="3" t="str">
        <x:v>[13120,"B06-IV-P-0-41.5"]</x:v>
      </x:c>
      <x:c r="AF1371" t="n">
        <x:f>IF(ISNUMBER(H1371),1,0)</x:f>
        <x:v>0</x:v>
      </x:c>
      <x:c r="AG1371" t="n">
        <x:f>IF(ISNUMBER(I1371),1,0)</x:f>
        <x:v>1</x:v>
      </x:c>
      <x:c r="AH1371"/>
      <x:c r="AI1371" t="n">
        <x:f>IF(ISNUMBER(G1371),1,0)</x:f>
        <x:v>0</x:v>
      </x:c>
      <x:c r="AJ1371" t="n">
        <x:f>IF(ISNUMBER(AD1371),1,0)</x:f>
        <x:v>0</x:v>
      </x:c>
    </x:row>
    <x:row r="1372" ht="30" customHeight="1">
      <x:c r="A1372" s="3" t="str">
        <x:v>B06-MT-39.5</x:v>
      </x:c>
      <x:c r="B1372" s="3" t="str">
        <x:v>1店-MUSSHOE-US</x:v>
      </x:c>
      <x:c r="C1372" s="3" t="str">
        <x:v>艾年</x:v>
      </x:c>
      <x:c r="D1372" s="3" t="str">
        <x:v>B06</x:v>
      </x:c>
      <x:c r="E1372" s="3" t="str">
        <x:f>IF(Z1372="移出","已移出",IF(NOT(ISNUMBER(H1372)),"数据待核",IF(H1372=0,"断货",IF(NOT(ISNUMBER(G1372)),"数据待核",IF(G1372=0,"零日销待复核",IF(F1372&lt;60,"补货提醒",IF(F1372&lt;=90,"正常库存",IF(F1372&lt;180,"促销",IF(F1372&lt;=365,"红线促销","考虑清仓")))))))))</x:f>
        <x:v>已移出</x:v>
      </x:c>
      <x:c r="F1372" s="11" t="str">
        <x:f>IF(AND(ISNUMBER(H1372),ISNUMBER(G1372),G1372&gt;0),H1372/G1372,"")</x:f>
      </x:c>
      <x:c r="G1372" s="12" t="str">
        <x:f>IF(AND(COUNT(P1372:R1372)=3,MIN(P1372:R1372)&gt;=0,P1372&lt;=Q1372,Q1372&lt;=R1372),P1372/7*0.5+Q1372/14*0.3+R1372/30*0.2,"")</x:f>
      </x:c>
      <x:c r="H1372" s="10" t="str">
        <x:f>IF(ISNUMBER(U1372),U1372,"")</x:f>
      </x:c>
      <x:c r="I1372" s="10" t="n">
        <x:v>0</x:v>
      </x:c>
      <x:c r="J1372" s="11" t="str">
        <x:f>IF(AND(Z1372="共同",ISNUMBER(F1372),ISNUMBER(M1372)),F1372-M1372,"")</x:f>
      </x:c>
      <x:c r="K1372" s="13" t="str">
        <x:f>IF(AND(ISNUMBER(J1372),M1372&lt;&gt;0),J1372/M1372,"")</x:f>
      </x:c>
      <x:c r="L1372" s="10" t="str">
        <x:v>断货</x:v>
      </x:c>
      <x:c r="M1372" s="11"/>
      <x:c r="N1372" s="10" t="str">
        <x:f>IF(AND(Z1372="共同",COUNT(H1372:I1372)=2),H1372-I1372,"")</x:f>
      </x:c>
      <x:c r="O1372" s="10"/>
      <x:c r="P1372" s="10"/>
      <x:c r="Q1372" s="10"/>
      <x:c r="R1372" s="10"/>
      <x:c r="S1372" s="10"/>
      <x:c r="T1372" s="10"/>
      <x:c r="U1372" s="10" t="str">
        <x:f>IF(AND(ISNUMBER(X1372),X1372&gt;=0,Y1372&lt;&gt;1),X1372,"")</x:f>
      </x:c>
      <x:c r="V1372" s="10"/>
      <x:c r="W1372" s="10"/>
      <x:c r="X1372" s="10"/>
      <x:c r="Y1372" s="3"/>
      <x:c r="Z1372" s="3" t="str">
        <x:v>移出</x:v>
      </x:c>
      <x:c r="AA1372" s="3" t="str">
        <x:v>已移出</x:v>
      </x:c>
      <x:c r="AB1372" s="12" t="str">
        <x:f>IF(AND(Z1372="共同",ISNUMBER(G1372),ISNUMBER(AD1372)),G1372-AD1372,"")</x:f>
      </x:c>
      <x:c r="AC1372" s="3" t="str">
        <x:v>基准清单已移出</x:v>
      </x:c>
      <x:c r="AD1372" s="12"/>
      <x:c r="AE1372" s="3" t="str">
        <x:v>[13120,"B06-MT-39.5"]</x:v>
      </x:c>
      <x:c r="AF1372" t="n">
        <x:f>IF(ISNUMBER(H1372),1,0)</x:f>
        <x:v>0</x:v>
      </x:c>
      <x:c r="AG1372" t="n">
        <x:f>IF(ISNUMBER(I1372),1,0)</x:f>
        <x:v>1</x:v>
      </x:c>
      <x:c r="AH1372"/>
      <x:c r="AI1372" t="n">
        <x:f>IF(ISNUMBER(G1372),1,0)</x:f>
        <x:v>0</x:v>
      </x:c>
      <x:c r="AJ1372" t="n">
        <x:f>IF(ISNUMBER(AD1372),1,0)</x:f>
        <x:v>0</x:v>
      </x:c>
    </x:row>
    <x:row r="1373" ht="30" customHeight="1">
      <x:c r="A1373" s="3" t="str">
        <x:v>B06-MT-39-N</x:v>
      </x:c>
      <x:c r="B1373" s="3" t="str">
        <x:v>1店-MUSSHOE-US</x:v>
      </x:c>
      <x:c r="C1373" s="3" t="str">
        <x:v>艾年</x:v>
      </x:c>
      <x:c r="D1373" s="3" t="str">
        <x:v>B06</x:v>
      </x:c>
      <x:c r="E1373" s="3" t="str">
        <x:f>IF(Z1373="移出","已移出",IF(NOT(ISNUMBER(H1373)),"数据待核",IF(H1373=0,"断货",IF(NOT(ISNUMBER(G1373)),"数据待核",IF(G1373=0,"零日销待复核",IF(F1373&lt;60,"补货提醒",IF(F1373&lt;=90,"正常库存",IF(F1373&lt;180,"促销",IF(F1373&lt;=365,"红线促销","考虑清仓")))))))))</x:f>
        <x:v>已移出</x:v>
      </x:c>
      <x:c r="F1373" s="11" t="str">
        <x:f>IF(AND(ISNUMBER(H1373),ISNUMBER(G1373),G1373&gt;0),H1373/G1373,"")</x:f>
      </x:c>
      <x:c r="G1373" s="12" t="str">
        <x:f>IF(AND(COUNT(P1373:R1373)=3,MIN(P1373:R1373)&gt;=0,P1373&lt;=Q1373,Q1373&lt;=R1373),P1373/7*0.5+Q1373/14*0.3+R1373/30*0.2,"")</x:f>
      </x:c>
      <x:c r="H1373" s="10" t="str">
        <x:f>IF(ISNUMBER(U1373),U1373,"")</x:f>
      </x:c>
      <x:c r="I1373" s="10" t="n">
        <x:v>0</x:v>
      </x:c>
      <x:c r="J1373" s="11" t="str">
        <x:f>IF(AND(Z1373="共同",ISNUMBER(F1373),ISNUMBER(M1373)),F1373-M1373,"")</x:f>
      </x:c>
      <x:c r="K1373" s="13" t="str">
        <x:f>IF(AND(ISNUMBER(J1373),M1373&lt;&gt;0),J1373/M1373,"")</x:f>
      </x:c>
      <x:c r="L1373" s="10" t="str">
        <x:v>断货</x:v>
      </x:c>
      <x:c r="M1373" s="11"/>
      <x:c r="N1373" s="10" t="str">
        <x:f>IF(AND(Z1373="共同",COUNT(H1373:I1373)=2),H1373-I1373,"")</x:f>
      </x:c>
      <x:c r="O1373" s="10"/>
      <x:c r="P1373" s="10"/>
      <x:c r="Q1373" s="10"/>
      <x:c r="R1373" s="10"/>
      <x:c r="S1373" s="10"/>
      <x:c r="T1373" s="10"/>
      <x:c r="U1373" s="10" t="str">
        <x:f>IF(AND(ISNUMBER(X1373),X1373&gt;=0,Y1373&lt;&gt;1),X1373,"")</x:f>
      </x:c>
      <x:c r="V1373" s="10"/>
      <x:c r="W1373" s="10"/>
      <x:c r="X1373" s="10"/>
      <x:c r="Y1373" s="3"/>
      <x:c r="Z1373" s="3" t="str">
        <x:v>移出</x:v>
      </x:c>
      <x:c r="AA1373" s="3" t="str">
        <x:v>已移出</x:v>
      </x:c>
      <x:c r="AB1373" s="12" t="str">
        <x:f>IF(AND(Z1373="共同",ISNUMBER(G1373),ISNUMBER(AD1373)),G1373-AD1373,"")</x:f>
      </x:c>
      <x:c r="AC1373" s="3" t="str">
        <x:v>基准清单已移出</x:v>
      </x:c>
      <x:c r="AD1373" s="12"/>
      <x:c r="AE1373" s="3" t="str">
        <x:v>[13120,"B06-MT-39-N"]</x:v>
      </x:c>
      <x:c r="AF1373" t="n">
        <x:f>IF(ISNUMBER(H1373),1,0)</x:f>
        <x:v>0</x:v>
      </x:c>
      <x:c r="AG1373" t="n">
        <x:f>IF(ISNUMBER(I1373),1,0)</x:f>
        <x:v>1</x:v>
      </x:c>
      <x:c r="AH1373"/>
      <x:c r="AI1373" t="n">
        <x:f>IF(ISNUMBER(G1373),1,0)</x:f>
        <x:v>0</x:v>
      </x:c>
      <x:c r="AJ1373" t="n">
        <x:f>IF(ISNUMBER(AD1373),1,0)</x:f>
        <x:v>0</x:v>
      </x:c>
    </x:row>
    <x:row r="1374" ht="30" customHeight="1">
      <x:c r="A1374" s="3" t="str">
        <x:v>B06-MT-40</x:v>
      </x:c>
      <x:c r="B1374" s="3" t="str">
        <x:v>1店-MUSSHOE-US</x:v>
      </x:c>
      <x:c r="C1374" s="3" t="str">
        <x:v>艾年</x:v>
      </x:c>
      <x:c r="D1374" s="3" t="str">
        <x:v>B06</x:v>
      </x:c>
      <x:c r="E1374" s="3" t="str">
        <x:f>IF(Z1374="移出","已移出",IF(NOT(ISNUMBER(H1374)),"数据待核",IF(H1374=0,"断货",IF(NOT(ISNUMBER(G1374)),"数据待核",IF(G1374=0,"零日销待复核",IF(F1374&lt;60,"补货提醒",IF(F1374&lt;=90,"正常库存",IF(F1374&lt;180,"促销",IF(F1374&lt;=365,"红线促销","考虑清仓")))))))))</x:f>
        <x:v>已移出</x:v>
      </x:c>
      <x:c r="F1374" s="11" t="str">
        <x:f>IF(AND(ISNUMBER(H1374),ISNUMBER(G1374),G1374&gt;0),H1374/G1374,"")</x:f>
      </x:c>
      <x:c r="G1374" s="12" t="str">
        <x:f>IF(AND(COUNT(P1374:R1374)=3,MIN(P1374:R1374)&gt;=0,P1374&lt;=Q1374,Q1374&lt;=R1374),P1374/7*0.5+Q1374/14*0.3+R1374/30*0.2,"")</x:f>
      </x:c>
      <x:c r="H1374" s="10" t="str">
        <x:f>IF(ISNUMBER(U1374),U1374,"")</x:f>
      </x:c>
      <x:c r="I1374" s="10" t="n">
        <x:v>0</x:v>
      </x:c>
      <x:c r="J1374" s="11" t="str">
        <x:f>IF(AND(Z1374="共同",ISNUMBER(F1374),ISNUMBER(M1374)),F1374-M1374,"")</x:f>
      </x:c>
      <x:c r="K1374" s="13" t="str">
        <x:f>IF(AND(ISNUMBER(J1374),M1374&lt;&gt;0),J1374/M1374,"")</x:f>
      </x:c>
      <x:c r="L1374" s="10" t="str">
        <x:v>断货</x:v>
      </x:c>
      <x:c r="M1374" s="11"/>
      <x:c r="N1374" s="10" t="str">
        <x:f>IF(AND(Z1374="共同",COUNT(H1374:I1374)=2),H1374-I1374,"")</x:f>
      </x:c>
      <x:c r="O1374" s="10"/>
      <x:c r="P1374" s="10"/>
      <x:c r="Q1374" s="10"/>
      <x:c r="R1374" s="10"/>
      <x:c r="S1374" s="10"/>
      <x:c r="T1374" s="10"/>
      <x:c r="U1374" s="10" t="str">
        <x:f>IF(AND(ISNUMBER(X1374),X1374&gt;=0,Y1374&lt;&gt;1),X1374,"")</x:f>
      </x:c>
      <x:c r="V1374" s="10"/>
      <x:c r="W1374" s="10"/>
      <x:c r="X1374" s="10"/>
      <x:c r="Y1374" s="3"/>
      <x:c r="Z1374" s="3" t="str">
        <x:v>移出</x:v>
      </x:c>
      <x:c r="AA1374" s="3" t="str">
        <x:v>已移出</x:v>
      </x:c>
      <x:c r="AB1374" s="12" t="str">
        <x:f>IF(AND(Z1374="共同",ISNUMBER(G1374),ISNUMBER(AD1374)),G1374-AD1374,"")</x:f>
      </x:c>
      <x:c r="AC1374" s="3" t="str">
        <x:v>基准清单已移出</x:v>
      </x:c>
      <x:c r="AD1374" s="12"/>
      <x:c r="AE1374" s="3" t="str">
        <x:v>[13120,"B06-MT-40"]</x:v>
      </x:c>
      <x:c r="AF1374" t="n">
        <x:f>IF(ISNUMBER(H1374),1,0)</x:f>
        <x:v>0</x:v>
      </x:c>
      <x:c r="AG1374" t="n">
        <x:f>IF(ISNUMBER(I1374),1,0)</x:f>
        <x:v>1</x:v>
      </x:c>
      <x:c r="AH1374"/>
      <x:c r="AI1374" t="n">
        <x:f>IF(ISNUMBER(G1374),1,0)</x:f>
        <x:v>0</x:v>
      </x:c>
      <x:c r="AJ1374" t="n">
        <x:f>IF(ISNUMBER(AD1374),1,0)</x:f>
        <x:v>0</x:v>
      </x:c>
    </x:row>
    <x:row r="1375" ht="30" customHeight="1">
      <x:c r="A1375" s="3" t="str">
        <x:v>B06-MT-42</x:v>
      </x:c>
      <x:c r="B1375" s="3" t="str">
        <x:v>1店-MUSSHOE-US</x:v>
      </x:c>
      <x:c r="C1375" s="3" t="str">
        <x:v>艾年</x:v>
      </x:c>
      <x:c r="D1375" s="3" t="str">
        <x:v>B06</x:v>
      </x:c>
      <x:c r="E1375" s="3" t="str">
        <x:f>IF(Z1375="移出","已移出",IF(NOT(ISNUMBER(H1375)),"数据待核",IF(H1375=0,"断货",IF(NOT(ISNUMBER(G1375)),"数据待核",IF(G1375=0,"零日销待复核",IF(F1375&lt;60,"补货提醒",IF(F1375&lt;=90,"正常库存",IF(F1375&lt;180,"促销",IF(F1375&lt;=365,"红线促销","考虑清仓")))))))))</x:f>
        <x:v>已移出</x:v>
      </x:c>
      <x:c r="F1375" s="11" t="str">
        <x:f>IF(AND(ISNUMBER(H1375),ISNUMBER(G1375),G1375&gt;0),H1375/G1375,"")</x:f>
      </x:c>
      <x:c r="G1375" s="12" t="str">
        <x:f>IF(AND(COUNT(P1375:R1375)=3,MIN(P1375:R1375)&gt;=0,P1375&lt;=Q1375,Q1375&lt;=R1375),P1375/7*0.5+Q1375/14*0.3+R1375/30*0.2,"")</x:f>
      </x:c>
      <x:c r="H1375" s="10" t="str">
        <x:f>IF(ISNUMBER(U1375),U1375,"")</x:f>
      </x:c>
      <x:c r="I1375" s="10" t="n">
        <x:v>0</x:v>
      </x:c>
      <x:c r="J1375" s="11" t="str">
        <x:f>IF(AND(Z1375="共同",ISNUMBER(F1375),ISNUMBER(M1375)),F1375-M1375,"")</x:f>
      </x:c>
      <x:c r="K1375" s="13" t="str">
        <x:f>IF(AND(ISNUMBER(J1375),M1375&lt;&gt;0),J1375/M1375,"")</x:f>
      </x:c>
      <x:c r="L1375" s="10" t="str">
        <x:v>断货</x:v>
      </x:c>
      <x:c r="M1375" s="11"/>
      <x:c r="N1375" s="10" t="str">
        <x:f>IF(AND(Z1375="共同",COUNT(H1375:I1375)=2),H1375-I1375,"")</x:f>
      </x:c>
      <x:c r="O1375" s="10"/>
      <x:c r="P1375" s="10"/>
      <x:c r="Q1375" s="10"/>
      <x:c r="R1375" s="10"/>
      <x:c r="S1375" s="10"/>
      <x:c r="T1375" s="10"/>
      <x:c r="U1375" s="10" t="str">
        <x:f>IF(AND(ISNUMBER(X1375),X1375&gt;=0,Y1375&lt;&gt;1),X1375,"")</x:f>
      </x:c>
      <x:c r="V1375" s="10"/>
      <x:c r="W1375" s="10"/>
      <x:c r="X1375" s="10"/>
      <x:c r="Y1375" s="3"/>
      <x:c r="Z1375" s="3" t="str">
        <x:v>移出</x:v>
      </x:c>
      <x:c r="AA1375" s="3" t="str">
        <x:v>已移出</x:v>
      </x:c>
      <x:c r="AB1375" s="12" t="str">
        <x:f>IF(AND(Z1375="共同",ISNUMBER(G1375),ISNUMBER(AD1375)),G1375-AD1375,"")</x:f>
      </x:c>
      <x:c r="AC1375" s="3" t="str">
        <x:v>基准清单已移出</x:v>
      </x:c>
      <x:c r="AD1375" s="12"/>
      <x:c r="AE1375" s="3" t="str">
        <x:v>[13120,"B06-MT-42"]</x:v>
      </x:c>
      <x:c r="AF1375" t="n">
        <x:f>IF(ISNUMBER(H1375),1,0)</x:f>
        <x:v>0</x:v>
      </x:c>
      <x:c r="AG1375" t="n">
        <x:f>IF(ISNUMBER(I1375),1,0)</x:f>
        <x:v>1</x:v>
      </x:c>
      <x:c r="AH1375"/>
      <x:c r="AI1375" t="n">
        <x:f>IF(ISNUMBER(G1375),1,0)</x:f>
        <x:v>0</x:v>
      </x:c>
      <x:c r="AJ1375" t="n">
        <x:f>IF(ISNUMBER(AD1375),1,0)</x:f>
        <x:v>0</x:v>
      </x:c>
    </x:row>
    <x:row r="1376" ht="30" customHeight="1">
      <x:c r="A1376" s="3" t="str">
        <x:v>B06-ND-I-0-38</x:v>
      </x:c>
      <x:c r="B1376" s="3" t="str">
        <x:v>1店-MUSSHOE-US</x:v>
      </x:c>
      <x:c r="C1376" s="3" t="str">
        <x:v>艾年</x:v>
      </x:c>
      <x:c r="D1376" s="3" t="str">
        <x:v>B06</x:v>
      </x:c>
      <x:c r="E1376" s="3" t="str">
        <x:f>IF(Z1376="移出","已移出",IF(NOT(ISNUMBER(H1376)),"数据待核",IF(H1376=0,"断货",IF(NOT(ISNUMBER(G1376)),"数据待核",IF(G1376=0,"零日销待复核",IF(F1376&lt;60,"补货提醒",IF(F1376&lt;=90,"正常库存",IF(F1376&lt;180,"促销",IF(F1376&lt;=365,"红线促销","考虑清仓")))))))))</x:f>
        <x:v>已移出</x:v>
      </x:c>
      <x:c r="F1376" s="11" t="str">
        <x:f>IF(AND(ISNUMBER(H1376),ISNUMBER(G1376),G1376&gt;0),H1376/G1376,"")</x:f>
      </x:c>
      <x:c r="G1376" s="12" t="str">
        <x:f>IF(AND(COUNT(P1376:R1376)=3,MIN(P1376:R1376)&gt;=0,P1376&lt;=Q1376,Q1376&lt;=R1376),P1376/7*0.5+Q1376/14*0.3+R1376/30*0.2,"")</x:f>
      </x:c>
      <x:c r="H1376" s="10" t="str">
        <x:f>IF(ISNUMBER(U1376),U1376,"")</x:f>
      </x:c>
      <x:c r="I1376" s="10" t="n">
        <x:v>0</x:v>
      </x:c>
      <x:c r="J1376" s="11" t="str">
        <x:f>IF(AND(Z1376="共同",ISNUMBER(F1376),ISNUMBER(M1376)),F1376-M1376,"")</x:f>
      </x:c>
      <x:c r="K1376" s="13" t="str">
        <x:f>IF(AND(ISNUMBER(J1376),M1376&lt;&gt;0),J1376/M1376,"")</x:f>
      </x:c>
      <x:c r="L1376" s="10" t="str">
        <x:v>断货</x:v>
      </x:c>
      <x:c r="M1376" s="11"/>
      <x:c r="N1376" s="10" t="str">
        <x:f>IF(AND(Z1376="共同",COUNT(H1376:I1376)=2),H1376-I1376,"")</x:f>
      </x:c>
      <x:c r="O1376" s="10"/>
      <x:c r="P1376" s="10"/>
      <x:c r="Q1376" s="10"/>
      <x:c r="R1376" s="10"/>
      <x:c r="S1376" s="10"/>
      <x:c r="T1376" s="10"/>
      <x:c r="U1376" s="10" t="str">
        <x:f>IF(AND(ISNUMBER(X1376),X1376&gt;=0,Y1376&lt;&gt;1),X1376,"")</x:f>
      </x:c>
      <x:c r="V1376" s="10"/>
      <x:c r="W1376" s="10"/>
      <x:c r="X1376" s="10"/>
      <x:c r="Y1376" s="3"/>
      <x:c r="Z1376" s="3" t="str">
        <x:v>移出</x:v>
      </x:c>
      <x:c r="AA1376" s="3" t="str">
        <x:v>已移出</x:v>
      </x:c>
      <x:c r="AB1376" s="12" t="str">
        <x:f>IF(AND(Z1376="共同",ISNUMBER(G1376),ISNUMBER(AD1376)),G1376-AD1376,"")</x:f>
      </x:c>
      <x:c r="AC1376" s="3" t="str">
        <x:v>基准清单已移出</x:v>
      </x:c>
      <x:c r="AD1376" s="12"/>
      <x:c r="AE1376" s="3" t="str">
        <x:v>[13120,"B06-ND-I-0-38"]</x:v>
      </x:c>
      <x:c r="AF1376" t="n">
        <x:f>IF(ISNUMBER(H1376),1,0)</x:f>
        <x:v>0</x:v>
      </x:c>
      <x:c r="AG1376" t="n">
        <x:f>IF(ISNUMBER(I1376),1,0)</x:f>
        <x:v>1</x:v>
      </x:c>
      <x:c r="AH1376"/>
      <x:c r="AI1376" t="n">
        <x:f>IF(ISNUMBER(G1376),1,0)</x:f>
        <x:v>0</x:v>
      </x:c>
      <x:c r="AJ1376" t="n">
        <x:f>IF(ISNUMBER(AD1376),1,0)</x:f>
        <x:v>0</x:v>
      </x:c>
    </x:row>
    <x:row r="1377" ht="30" customHeight="1">
      <x:c r="A1377" s="3" t="str">
        <x:v>B06-ND-I-0-40</x:v>
      </x:c>
      <x:c r="B1377" s="3" t="str">
        <x:v>1店-MUSSHOE-US</x:v>
      </x:c>
      <x:c r="C1377" s="3" t="str">
        <x:v>艾年</x:v>
      </x:c>
      <x:c r="D1377" s="3" t="str">
        <x:v>B06</x:v>
      </x:c>
      <x:c r="E1377" s="3" t="str">
        <x:f>IF(Z1377="移出","已移出",IF(NOT(ISNUMBER(H1377)),"数据待核",IF(H1377=0,"断货",IF(NOT(ISNUMBER(G1377)),"数据待核",IF(G1377=0,"零日销待复核",IF(F1377&lt;60,"补货提醒",IF(F1377&lt;=90,"正常库存",IF(F1377&lt;180,"促销",IF(F1377&lt;=365,"红线促销","考虑清仓")))))))))</x:f>
        <x:v>已移出</x:v>
      </x:c>
      <x:c r="F1377" s="11" t="str">
        <x:f>IF(AND(ISNUMBER(H1377),ISNUMBER(G1377),G1377&gt;0),H1377/G1377,"")</x:f>
      </x:c>
      <x:c r="G1377" s="12" t="str">
        <x:f>IF(AND(COUNT(P1377:R1377)=3,MIN(P1377:R1377)&gt;=0,P1377&lt;=Q1377,Q1377&lt;=R1377),P1377/7*0.5+Q1377/14*0.3+R1377/30*0.2,"")</x:f>
      </x:c>
      <x:c r="H1377" s="10" t="str">
        <x:f>IF(ISNUMBER(U1377),U1377,"")</x:f>
      </x:c>
      <x:c r="I1377" s="10" t="n">
        <x:v>12</x:v>
      </x:c>
      <x:c r="J1377" s="11" t="str">
        <x:f>IF(AND(Z1377="共同",ISNUMBER(F1377),ISNUMBER(M1377)),F1377-M1377,"")</x:f>
      </x:c>
      <x:c r="K1377" s="13" t="str">
        <x:f>IF(AND(ISNUMBER(J1377),M1377&lt;&gt;0),J1377/M1377,"")</x:f>
      </x:c>
      <x:c r="L1377" s="10" t="str">
        <x:v>数据待核</x:v>
      </x:c>
      <x:c r="M1377" s="11"/>
      <x:c r="N1377" s="10" t="str">
        <x:f>IF(AND(Z1377="共同",COUNT(H1377:I1377)=2),H1377-I1377,"")</x:f>
      </x:c>
      <x:c r="O1377" s="10"/>
      <x:c r="P1377" s="10"/>
      <x:c r="Q1377" s="10"/>
      <x:c r="R1377" s="10"/>
      <x:c r="S1377" s="10"/>
      <x:c r="T1377" s="10"/>
      <x:c r="U1377" s="10" t="str">
        <x:f>IF(AND(ISNUMBER(X1377),X1377&gt;=0,Y1377&lt;&gt;1),X1377,"")</x:f>
      </x:c>
      <x:c r="V1377" s="10"/>
      <x:c r="W1377" s="10"/>
      <x:c r="X1377" s="10"/>
      <x:c r="Y1377" s="3"/>
      <x:c r="Z1377" s="3" t="str">
        <x:v>移出</x:v>
      </x:c>
      <x:c r="AA1377" s="3" t="str">
        <x:v>已移出</x:v>
      </x:c>
      <x:c r="AB1377" s="12" t="str">
        <x:f>IF(AND(Z1377="共同",ISNUMBER(G1377),ISNUMBER(AD1377)),G1377-AD1377,"")</x:f>
      </x:c>
      <x:c r="AC1377" s="3" t="str">
        <x:v>基准清单已移出</x:v>
      </x:c>
      <x:c r="AD1377" s="12"/>
      <x:c r="AE1377" s="3" t="str">
        <x:v>[13120,"B06-ND-I-0-40"]</x:v>
      </x:c>
      <x:c r="AF1377" t="n">
        <x:f>IF(ISNUMBER(H1377),1,0)</x:f>
        <x:v>0</x:v>
      </x:c>
      <x:c r="AG1377" t="n">
        <x:f>IF(ISNUMBER(I1377),1,0)</x:f>
        <x:v>1</x:v>
      </x:c>
      <x:c r="AH1377"/>
      <x:c r="AI1377" t="n">
        <x:f>IF(ISNUMBER(G1377),1,0)</x:f>
        <x:v>0</x:v>
      </x:c>
      <x:c r="AJ1377" t="n">
        <x:f>IF(ISNUMBER(AD1377),1,0)</x:f>
        <x:v>0</x:v>
      </x:c>
    </x:row>
    <x:row r="1378" ht="30" customHeight="1">
      <x:c r="A1378" s="3" t="str">
        <x:v>B06-ND-I-0-40.5</x:v>
      </x:c>
      <x:c r="B1378" s="3" t="str">
        <x:v>1店-MUSSHOE-US</x:v>
      </x:c>
      <x:c r="C1378" s="3" t="str">
        <x:v>艾年</x:v>
      </x:c>
      <x:c r="D1378" s="3" t="str">
        <x:v>B06</x:v>
      </x:c>
      <x:c r="E1378" s="3" t="str">
        <x:f>IF(Z1378="移出","已移出",IF(NOT(ISNUMBER(H1378)),"数据待核",IF(H1378=0,"断货",IF(NOT(ISNUMBER(G1378)),"数据待核",IF(G1378=0,"零日销待复核",IF(F1378&lt;60,"补货提醒",IF(F1378&lt;=90,"正常库存",IF(F1378&lt;180,"促销",IF(F1378&lt;=365,"红线促销","考虑清仓")))))))))</x:f>
        <x:v>已移出</x:v>
      </x:c>
      <x:c r="F1378" s="11" t="str">
        <x:f>IF(AND(ISNUMBER(H1378),ISNUMBER(G1378),G1378&gt;0),H1378/G1378,"")</x:f>
      </x:c>
      <x:c r="G1378" s="12" t="str">
        <x:f>IF(AND(COUNT(P1378:R1378)=3,MIN(P1378:R1378)&gt;=0,P1378&lt;=Q1378,Q1378&lt;=R1378),P1378/7*0.5+Q1378/14*0.3+R1378/30*0.2,"")</x:f>
      </x:c>
      <x:c r="H1378" s="10" t="str">
        <x:f>IF(ISNUMBER(U1378),U1378,"")</x:f>
      </x:c>
      <x:c r="I1378" s="10" t="n">
        <x:v>0</x:v>
      </x:c>
      <x:c r="J1378" s="11" t="str">
        <x:f>IF(AND(Z1378="共同",ISNUMBER(F1378),ISNUMBER(M1378)),F1378-M1378,"")</x:f>
      </x:c>
      <x:c r="K1378" s="13" t="str">
        <x:f>IF(AND(ISNUMBER(J1378),M1378&lt;&gt;0),J1378/M1378,"")</x:f>
      </x:c>
      <x:c r="L1378" s="10" t="str">
        <x:v>断货</x:v>
      </x:c>
      <x:c r="M1378" s="11"/>
      <x:c r="N1378" s="10" t="str">
        <x:f>IF(AND(Z1378="共同",COUNT(H1378:I1378)=2),H1378-I1378,"")</x:f>
      </x:c>
      <x:c r="O1378" s="10"/>
      <x:c r="P1378" s="10"/>
      <x:c r="Q1378" s="10"/>
      <x:c r="R1378" s="10"/>
      <x:c r="S1378" s="10"/>
      <x:c r="T1378" s="10"/>
      <x:c r="U1378" s="10" t="str">
        <x:f>IF(AND(ISNUMBER(X1378),X1378&gt;=0,Y1378&lt;&gt;1),X1378,"")</x:f>
      </x:c>
      <x:c r="V1378" s="10"/>
      <x:c r="W1378" s="10"/>
      <x:c r="X1378" s="10"/>
      <x:c r="Y1378" s="3"/>
      <x:c r="Z1378" s="3" t="str">
        <x:v>移出</x:v>
      </x:c>
      <x:c r="AA1378" s="3" t="str">
        <x:v>已移出</x:v>
      </x:c>
      <x:c r="AB1378" s="12" t="str">
        <x:f>IF(AND(Z1378="共同",ISNUMBER(G1378),ISNUMBER(AD1378)),G1378-AD1378,"")</x:f>
      </x:c>
      <x:c r="AC1378" s="3" t="str">
        <x:v>基准清单已移出</x:v>
      </x:c>
      <x:c r="AD1378" s="12"/>
      <x:c r="AE1378" s="3" t="str">
        <x:v>[13120,"B06-ND-I-0-40.5"]</x:v>
      </x:c>
      <x:c r="AF1378" t="n">
        <x:f>IF(ISNUMBER(H1378),1,0)</x:f>
        <x:v>0</x:v>
      </x:c>
      <x:c r="AG1378" t="n">
        <x:f>IF(ISNUMBER(I1378),1,0)</x:f>
        <x:v>1</x:v>
      </x:c>
      <x:c r="AH1378"/>
      <x:c r="AI1378" t="n">
        <x:f>IF(ISNUMBER(G1378),1,0)</x:f>
        <x:v>0</x:v>
      </x:c>
      <x:c r="AJ1378" t="n">
        <x:f>IF(ISNUMBER(AD1378),1,0)</x:f>
        <x:v>0</x:v>
      </x:c>
    </x:row>
    <x:row r="1379" ht="30" customHeight="1">
      <x:c r="A1379" s="3" t="str">
        <x:v>B06-ND-I-0-41</x:v>
      </x:c>
      <x:c r="B1379" s="3" t="str">
        <x:v>1店-MUSSHOE-US</x:v>
      </x:c>
      <x:c r="C1379" s="3" t="str">
        <x:v>艾年</x:v>
      </x:c>
      <x:c r="D1379" s="3" t="str">
        <x:v>B06</x:v>
      </x:c>
      <x:c r="E1379" s="3" t="str">
        <x:f>IF(Z1379="移出","已移出",IF(NOT(ISNUMBER(H1379)),"数据待核",IF(H1379=0,"断货",IF(NOT(ISNUMBER(G1379)),"数据待核",IF(G1379=0,"零日销待复核",IF(F1379&lt;60,"补货提醒",IF(F1379&lt;=90,"正常库存",IF(F1379&lt;180,"促销",IF(F1379&lt;=365,"红线促销","考虑清仓")))))))))</x:f>
        <x:v>已移出</x:v>
      </x:c>
      <x:c r="F1379" s="11" t="str">
        <x:f>IF(AND(ISNUMBER(H1379),ISNUMBER(G1379),G1379&gt;0),H1379/G1379,"")</x:f>
      </x:c>
      <x:c r="G1379" s="12" t="str">
        <x:f>IF(AND(COUNT(P1379:R1379)=3,MIN(P1379:R1379)&gt;=0,P1379&lt;=Q1379,Q1379&lt;=R1379),P1379/7*0.5+Q1379/14*0.3+R1379/30*0.2,"")</x:f>
      </x:c>
      <x:c r="H1379" s="10" t="str">
        <x:f>IF(ISNUMBER(U1379),U1379,"")</x:f>
      </x:c>
      <x:c r="I1379" s="10" t="n">
        <x:v>0</x:v>
      </x:c>
      <x:c r="J1379" s="11" t="str">
        <x:f>IF(AND(Z1379="共同",ISNUMBER(F1379),ISNUMBER(M1379)),F1379-M1379,"")</x:f>
      </x:c>
      <x:c r="K1379" s="13" t="str">
        <x:f>IF(AND(ISNUMBER(J1379),M1379&lt;&gt;0),J1379/M1379,"")</x:f>
      </x:c>
      <x:c r="L1379" s="10" t="str">
        <x:v>断货</x:v>
      </x:c>
      <x:c r="M1379" s="11"/>
      <x:c r="N1379" s="10" t="str">
        <x:f>IF(AND(Z1379="共同",COUNT(H1379:I1379)=2),H1379-I1379,"")</x:f>
      </x:c>
      <x:c r="O1379" s="10"/>
      <x:c r="P1379" s="10"/>
      <x:c r="Q1379" s="10"/>
      <x:c r="R1379" s="10"/>
      <x:c r="S1379" s="10"/>
      <x:c r="T1379" s="10"/>
      <x:c r="U1379" s="10" t="str">
        <x:f>IF(AND(ISNUMBER(X1379),X1379&gt;=0,Y1379&lt;&gt;1),X1379,"")</x:f>
      </x:c>
      <x:c r="V1379" s="10"/>
      <x:c r="W1379" s="10"/>
      <x:c r="X1379" s="10"/>
      <x:c r="Y1379" s="3"/>
      <x:c r="Z1379" s="3" t="str">
        <x:v>移出</x:v>
      </x:c>
      <x:c r="AA1379" s="3" t="str">
        <x:v>已移出</x:v>
      </x:c>
      <x:c r="AB1379" s="12" t="str">
        <x:f>IF(AND(Z1379="共同",ISNUMBER(G1379),ISNUMBER(AD1379)),G1379-AD1379,"")</x:f>
      </x:c>
      <x:c r="AC1379" s="3" t="str">
        <x:v>基准清单已移出</x:v>
      </x:c>
      <x:c r="AD1379" s="12"/>
      <x:c r="AE1379" s="3" t="str">
        <x:v>[13120,"B06-ND-I-0-41"]</x:v>
      </x:c>
      <x:c r="AF1379" t="n">
        <x:f>IF(ISNUMBER(H1379),1,0)</x:f>
        <x:v>0</x:v>
      </x:c>
      <x:c r="AG1379" t="n">
        <x:f>IF(ISNUMBER(I1379),1,0)</x:f>
        <x:v>1</x:v>
      </x:c>
      <x:c r="AH1379"/>
      <x:c r="AI1379" t="n">
        <x:f>IF(ISNUMBER(G1379),1,0)</x:f>
        <x:v>0</x:v>
      </x:c>
      <x:c r="AJ1379" t="n">
        <x:f>IF(ISNUMBER(AD1379),1,0)</x:f>
        <x:v>0</x:v>
      </x:c>
    </x:row>
    <x:row r="1380" ht="30" customHeight="1">
      <x:c r="A1380" s="3" t="str">
        <x:v>B06-ND-I-0-42</x:v>
      </x:c>
      <x:c r="B1380" s="3" t="str">
        <x:v>1店-MUSSHOE-US</x:v>
      </x:c>
      <x:c r="C1380" s="3" t="str">
        <x:v>艾年</x:v>
      </x:c>
      <x:c r="D1380" s="3" t="str">
        <x:v>B06</x:v>
      </x:c>
      <x:c r="E1380" s="3" t="str">
        <x:f>IF(Z1380="移出","已移出",IF(NOT(ISNUMBER(H1380)),"数据待核",IF(H1380=0,"断货",IF(NOT(ISNUMBER(G1380)),"数据待核",IF(G1380=0,"零日销待复核",IF(F1380&lt;60,"补货提醒",IF(F1380&lt;=90,"正常库存",IF(F1380&lt;180,"促销",IF(F1380&lt;=365,"红线促销","考虑清仓")))))))))</x:f>
        <x:v>已移出</x:v>
      </x:c>
      <x:c r="F1380" s="11" t="str">
        <x:f>IF(AND(ISNUMBER(H1380),ISNUMBER(G1380),G1380&gt;0),H1380/G1380,"")</x:f>
      </x:c>
      <x:c r="G1380" s="12" t="str">
        <x:f>IF(AND(COUNT(P1380:R1380)=3,MIN(P1380:R1380)&gt;=0,P1380&lt;=Q1380,Q1380&lt;=R1380),P1380/7*0.5+Q1380/14*0.3+R1380/30*0.2,"")</x:f>
      </x:c>
      <x:c r="H1380" s="10" t="str">
        <x:f>IF(ISNUMBER(U1380),U1380,"")</x:f>
      </x:c>
      <x:c r="I1380" s="10" t="n">
        <x:v>0</x:v>
      </x:c>
      <x:c r="J1380" s="11" t="str">
        <x:f>IF(AND(Z1380="共同",ISNUMBER(F1380),ISNUMBER(M1380)),F1380-M1380,"")</x:f>
      </x:c>
      <x:c r="K1380" s="13" t="str">
        <x:f>IF(AND(ISNUMBER(J1380),M1380&lt;&gt;0),J1380/M1380,"")</x:f>
      </x:c>
      <x:c r="L1380" s="10" t="str">
        <x:v>断货</x:v>
      </x:c>
      <x:c r="M1380" s="11"/>
      <x:c r="N1380" s="10" t="str">
        <x:f>IF(AND(Z1380="共同",COUNT(H1380:I1380)=2),H1380-I1380,"")</x:f>
      </x:c>
      <x:c r="O1380" s="10"/>
      <x:c r="P1380" s="10"/>
      <x:c r="Q1380" s="10"/>
      <x:c r="R1380" s="10"/>
      <x:c r="S1380" s="10"/>
      <x:c r="T1380" s="10"/>
      <x:c r="U1380" s="10" t="str">
        <x:f>IF(AND(ISNUMBER(X1380),X1380&gt;=0,Y1380&lt;&gt;1),X1380,"")</x:f>
      </x:c>
      <x:c r="V1380" s="10"/>
      <x:c r="W1380" s="10"/>
      <x:c r="X1380" s="10"/>
      <x:c r="Y1380" s="3"/>
      <x:c r="Z1380" s="3" t="str">
        <x:v>移出</x:v>
      </x:c>
      <x:c r="AA1380" s="3" t="str">
        <x:v>已移出</x:v>
      </x:c>
      <x:c r="AB1380" s="12" t="str">
        <x:f>IF(AND(Z1380="共同",ISNUMBER(G1380),ISNUMBER(AD1380)),G1380-AD1380,"")</x:f>
      </x:c>
      <x:c r="AC1380" s="3" t="str">
        <x:v>基准清单已移出</x:v>
      </x:c>
      <x:c r="AD1380" s="12"/>
      <x:c r="AE1380" s="3" t="str">
        <x:v>[13120,"B06-ND-I-0-42"]</x:v>
      </x:c>
      <x:c r="AF1380" t="n">
        <x:f>IF(ISNUMBER(H1380),1,0)</x:f>
        <x:v>0</x:v>
      </x:c>
      <x:c r="AG1380" t="n">
        <x:f>IF(ISNUMBER(I1380),1,0)</x:f>
        <x:v>1</x:v>
      </x:c>
      <x:c r="AH1380"/>
      <x:c r="AI1380" t="n">
        <x:f>IF(ISNUMBER(G1380),1,0)</x:f>
        <x:v>0</x:v>
      </x:c>
      <x:c r="AJ1380" t="n">
        <x:f>IF(ISNUMBER(AD1380),1,0)</x:f>
        <x:v>0</x:v>
      </x:c>
    </x:row>
    <x:row r="1381" ht="30" customHeight="1">
      <x:c r="A1381" s="3" t="str">
        <x:v>B06-ND-Z-0-39</x:v>
      </x:c>
      <x:c r="B1381" s="3" t="str">
        <x:v>1店-MUSSHOE-US</x:v>
      </x:c>
      <x:c r="C1381" s="3" t="str">
        <x:v>艾年</x:v>
      </x:c>
      <x:c r="D1381" s="3" t="str">
        <x:v>B06</x:v>
      </x:c>
      <x:c r="E1381" s="3" t="str">
        <x:f>IF(Z1381="移出","已移出",IF(NOT(ISNUMBER(H1381)),"数据待核",IF(H1381=0,"断货",IF(NOT(ISNUMBER(G1381)),"数据待核",IF(G1381=0,"零日销待复核",IF(F1381&lt;60,"补货提醒",IF(F1381&lt;=90,"正常库存",IF(F1381&lt;180,"促销",IF(F1381&lt;=365,"红线促销","考虑清仓")))))))))</x:f>
        <x:v>已移出</x:v>
      </x:c>
      <x:c r="F1381" s="11" t="str">
        <x:f>IF(AND(ISNUMBER(H1381),ISNUMBER(G1381),G1381&gt;0),H1381/G1381,"")</x:f>
      </x:c>
      <x:c r="G1381" s="12" t="str">
        <x:f>IF(AND(COUNT(P1381:R1381)=3,MIN(P1381:R1381)&gt;=0,P1381&lt;=Q1381,Q1381&lt;=R1381),P1381/7*0.5+Q1381/14*0.3+R1381/30*0.2,"")</x:f>
      </x:c>
      <x:c r="H1381" s="10" t="str">
        <x:f>IF(ISNUMBER(U1381),U1381,"")</x:f>
      </x:c>
      <x:c r="I1381" s="10" t="n">
        <x:v>0</x:v>
      </x:c>
      <x:c r="J1381" s="11" t="str">
        <x:f>IF(AND(Z1381="共同",ISNUMBER(F1381),ISNUMBER(M1381)),F1381-M1381,"")</x:f>
      </x:c>
      <x:c r="K1381" s="13" t="str">
        <x:f>IF(AND(ISNUMBER(J1381),M1381&lt;&gt;0),J1381/M1381,"")</x:f>
      </x:c>
      <x:c r="L1381" s="10" t="str">
        <x:v>断货</x:v>
      </x:c>
      <x:c r="M1381" s="11"/>
      <x:c r="N1381" s="10" t="str">
        <x:f>IF(AND(Z1381="共同",COUNT(H1381:I1381)=2),H1381-I1381,"")</x:f>
      </x:c>
      <x:c r="O1381" s="10"/>
      <x:c r="P1381" s="10"/>
      <x:c r="Q1381" s="10"/>
      <x:c r="R1381" s="10"/>
      <x:c r="S1381" s="10"/>
      <x:c r="T1381" s="10"/>
      <x:c r="U1381" s="10" t="str">
        <x:f>IF(AND(ISNUMBER(X1381),X1381&gt;=0,Y1381&lt;&gt;1),X1381,"")</x:f>
      </x:c>
      <x:c r="V1381" s="10"/>
      <x:c r="W1381" s="10"/>
      <x:c r="X1381" s="10"/>
      <x:c r="Y1381" s="3"/>
      <x:c r="Z1381" s="3" t="str">
        <x:v>移出</x:v>
      </x:c>
      <x:c r="AA1381" s="3" t="str">
        <x:v>已移出</x:v>
      </x:c>
      <x:c r="AB1381" s="12" t="str">
        <x:f>IF(AND(Z1381="共同",ISNUMBER(G1381),ISNUMBER(AD1381)),G1381-AD1381,"")</x:f>
      </x:c>
      <x:c r="AC1381" s="3" t="str">
        <x:v>基准清单已移出</x:v>
      </x:c>
      <x:c r="AD1381" s="12"/>
      <x:c r="AE1381" s="3" t="str">
        <x:v>[13120,"B06-ND-Z-0-39"]</x:v>
      </x:c>
      <x:c r="AF1381" t="n">
        <x:f>IF(ISNUMBER(H1381),1,0)</x:f>
        <x:v>0</x:v>
      </x:c>
      <x:c r="AG1381" t="n">
        <x:f>IF(ISNUMBER(I1381),1,0)</x:f>
        <x:v>1</x:v>
      </x:c>
      <x:c r="AH1381"/>
      <x:c r="AI1381" t="n">
        <x:f>IF(ISNUMBER(G1381),1,0)</x:f>
        <x:v>0</x:v>
      </x:c>
      <x:c r="AJ1381" t="n">
        <x:f>IF(ISNUMBER(AD1381),1,0)</x:f>
        <x:v>0</x:v>
      </x:c>
    </x:row>
    <x:row r="1382" ht="30" customHeight="1">
      <x:c r="A1382" s="3" t="str">
        <x:v>B06-ND-Z-0-40</x:v>
      </x:c>
      <x:c r="B1382" s="3" t="str">
        <x:v>1店-MUSSHOE-US</x:v>
      </x:c>
      <x:c r="C1382" s="3" t="str">
        <x:v>艾年</x:v>
      </x:c>
      <x:c r="D1382" s="3" t="str">
        <x:v>B06</x:v>
      </x:c>
      <x:c r="E1382" s="3" t="str">
        <x:f>IF(Z1382="移出","已移出",IF(NOT(ISNUMBER(H1382)),"数据待核",IF(H1382=0,"断货",IF(NOT(ISNUMBER(G1382)),"数据待核",IF(G1382=0,"零日销待复核",IF(F1382&lt;60,"补货提醒",IF(F1382&lt;=90,"正常库存",IF(F1382&lt;180,"促销",IF(F1382&lt;=365,"红线促销","考虑清仓")))))))))</x:f>
        <x:v>已移出</x:v>
      </x:c>
      <x:c r="F1382" s="11" t="str">
        <x:f>IF(AND(ISNUMBER(H1382),ISNUMBER(G1382),G1382&gt;0),H1382/G1382,"")</x:f>
      </x:c>
      <x:c r="G1382" s="12" t="str">
        <x:f>IF(AND(COUNT(P1382:R1382)=3,MIN(P1382:R1382)&gt;=0,P1382&lt;=Q1382,Q1382&lt;=R1382),P1382/7*0.5+Q1382/14*0.3+R1382/30*0.2,"")</x:f>
      </x:c>
      <x:c r="H1382" s="10" t="str">
        <x:f>IF(ISNUMBER(U1382),U1382,"")</x:f>
      </x:c>
      <x:c r="I1382" s="10" t="n">
        <x:v>0</x:v>
      </x:c>
      <x:c r="J1382" s="11" t="str">
        <x:f>IF(AND(Z1382="共同",ISNUMBER(F1382),ISNUMBER(M1382)),F1382-M1382,"")</x:f>
      </x:c>
      <x:c r="K1382" s="13" t="str">
        <x:f>IF(AND(ISNUMBER(J1382),M1382&lt;&gt;0),J1382/M1382,"")</x:f>
      </x:c>
      <x:c r="L1382" s="10" t="str">
        <x:v>断货</x:v>
      </x:c>
      <x:c r="M1382" s="11"/>
      <x:c r="N1382" s="10" t="str">
        <x:f>IF(AND(Z1382="共同",COUNT(H1382:I1382)=2),H1382-I1382,"")</x:f>
      </x:c>
      <x:c r="O1382" s="10"/>
      <x:c r="P1382" s="10"/>
      <x:c r="Q1382" s="10"/>
      <x:c r="R1382" s="10"/>
      <x:c r="S1382" s="10"/>
      <x:c r="T1382" s="10"/>
      <x:c r="U1382" s="10" t="str">
        <x:f>IF(AND(ISNUMBER(X1382),X1382&gt;=0,Y1382&lt;&gt;1),X1382,"")</x:f>
      </x:c>
      <x:c r="V1382" s="10"/>
      <x:c r="W1382" s="10"/>
      <x:c r="X1382" s="10"/>
      <x:c r="Y1382" s="3"/>
      <x:c r="Z1382" s="3" t="str">
        <x:v>移出</x:v>
      </x:c>
      <x:c r="AA1382" s="3" t="str">
        <x:v>已移出</x:v>
      </x:c>
      <x:c r="AB1382" s="12" t="str">
        <x:f>IF(AND(Z1382="共同",ISNUMBER(G1382),ISNUMBER(AD1382)),G1382-AD1382,"")</x:f>
      </x:c>
      <x:c r="AC1382" s="3" t="str">
        <x:v>基准清单已移出</x:v>
      </x:c>
      <x:c r="AD1382" s="12"/>
      <x:c r="AE1382" s="3" t="str">
        <x:v>[13120,"B06-ND-Z-0-40"]</x:v>
      </x:c>
      <x:c r="AF1382" t="n">
        <x:f>IF(ISNUMBER(H1382),1,0)</x:f>
        <x:v>0</x:v>
      </x:c>
      <x:c r="AG1382" t="n">
        <x:f>IF(ISNUMBER(I1382),1,0)</x:f>
        <x:v>1</x:v>
      </x:c>
      <x:c r="AH1382"/>
      <x:c r="AI1382" t="n">
        <x:f>IF(ISNUMBER(G1382),1,0)</x:f>
        <x:v>0</x:v>
      </x:c>
      <x:c r="AJ1382" t="n">
        <x:f>IF(ISNUMBER(AD1382),1,0)</x:f>
        <x:v>0</x:v>
      </x:c>
    </x:row>
    <x:row r="1383" ht="30" customHeight="1">
      <x:c r="A1383" s="3" t="str">
        <x:v>B06-ND-Z-0-41</x:v>
      </x:c>
      <x:c r="B1383" s="3" t="str">
        <x:v>1店-MUSSHOE-US</x:v>
      </x:c>
      <x:c r="C1383" s="3" t="str">
        <x:v>艾年</x:v>
      </x:c>
      <x:c r="D1383" s="3" t="str">
        <x:v>B06</x:v>
      </x:c>
      <x:c r="E1383" s="3" t="str">
        <x:f>IF(Z1383="移出","已移出",IF(NOT(ISNUMBER(H1383)),"数据待核",IF(H1383=0,"断货",IF(NOT(ISNUMBER(G1383)),"数据待核",IF(G1383=0,"零日销待复核",IF(F1383&lt;60,"补货提醒",IF(F1383&lt;=90,"正常库存",IF(F1383&lt;180,"促销",IF(F1383&lt;=365,"红线促销","考虑清仓")))))))))</x:f>
        <x:v>已移出</x:v>
      </x:c>
      <x:c r="F1383" s="11" t="str">
        <x:f>IF(AND(ISNUMBER(H1383),ISNUMBER(G1383),G1383&gt;0),H1383/G1383,"")</x:f>
      </x:c>
      <x:c r="G1383" s="12" t="str">
        <x:f>IF(AND(COUNT(P1383:R1383)=3,MIN(P1383:R1383)&gt;=0,P1383&lt;=Q1383,Q1383&lt;=R1383),P1383/7*0.5+Q1383/14*0.3+R1383/30*0.2,"")</x:f>
      </x:c>
      <x:c r="H1383" s="10" t="str">
        <x:f>IF(ISNUMBER(U1383),U1383,"")</x:f>
      </x:c>
      <x:c r="I1383" s="10" t="n">
        <x:v>0</x:v>
      </x:c>
      <x:c r="J1383" s="11" t="str">
        <x:f>IF(AND(Z1383="共同",ISNUMBER(F1383),ISNUMBER(M1383)),F1383-M1383,"")</x:f>
      </x:c>
      <x:c r="K1383" s="13" t="str">
        <x:f>IF(AND(ISNUMBER(J1383),M1383&lt;&gt;0),J1383/M1383,"")</x:f>
      </x:c>
      <x:c r="L1383" s="10" t="str">
        <x:v>断货</x:v>
      </x:c>
      <x:c r="M1383" s="11"/>
      <x:c r="N1383" s="10" t="str">
        <x:f>IF(AND(Z1383="共同",COUNT(H1383:I1383)=2),H1383-I1383,"")</x:f>
      </x:c>
      <x:c r="O1383" s="10"/>
      <x:c r="P1383" s="10"/>
      <x:c r="Q1383" s="10"/>
      <x:c r="R1383" s="10"/>
      <x:c r="S1383" s="10"/>
      <x:c r="T1383" s="10"/>
      <x:c r="U1383" s="10" t="str">
        <x:f>IF(AND(ISNUMBER(X1383),X1383&gt;=0,Y1383&lt;&gt;1),X1383,"")</x:f>
      </x:c>
      <x:c r="V1383" s="10"/>
      <x:c r="W1383" s="10"/>
      <x:c r="X1383" s="10"/>
      <x:c r="Y1383" s="3"/>
      <x:c r="Z1383" s="3" t="str">
        <x:v>移出</x:v>
      </x:c>
      <x:c r="AA1383" s="3" t="str">
        <x:v>已移出</x:v>
      </x:c>
      <x:c r="AB1383" s="12" t="str">
        <x:f>IF(AND(Z1383="共同",ISNUMBER(G1383),ISNUMBER(AD1383)),G1383-AD1383,"")</x:f>
      </x:c>
      <x:c r="AC1383" s="3" t="str">
        <x:v>基准清单已移出</x:v>
      </x:c>
      <x:c r="AD1383" s="12"/>
      <x:c r="AE1383" s="3" t="str">
        <x:v>[13120,"B06-ND-Z-0-41"]</x:v>
      </x:c>
      <x:c r="AF1383" t="n">
        <x:f>IF(ISNUMBER(H1383),1,0)</x:f>
        <x:v>0</x:v>
      </x:c>
      <x:c r="AG1383" t="n">
        <x:f>IF(ISNUMBER(I1383),1,0)</x:f>
        <x:v>1</x:v>
      </x:c>
      <x:c r="AH1383"/>
      <x:c r="AI1383" t="n">
        <x:f>IF(ISNUMBER(G1383),1,0)</x:f>
        <x:v>0</x:v>
      </x:c>
      <x:c r="AJ1383" t="n">
        <x:f>IF(ISNUMBER(AD1383),1,0)</x:f>
        <x:v>0</x:v>
      </x:c>
    </x:row>
    <x:row r="1384" ht="30" customHeight="1">
      <x:c r="A1384" s="3" t="str">
        <x:v>B06-ND-Z-0-41.5</x:v>
      </x:c>
      <x:c r="B1384" s="3" t="str">
        <x:v>1店-MUSSHOE-US</x:v>
      </x:c>
      <x:c r="C1384" s="3" t="str">
        <x:v>艾年</x:v>
      </x:c>
      <x:c r="D1384" s="3" t="str">
        <x:v>B06</x:v>
      </x:c>
      <x:c r="E1384" s="3" t="str">
        <x:f>IF(Z1384="移出","已移出",IF(NOT(ISNUMBER(H1384)),"数据待核",IF(H1384=0,"断货",IF(NOT(ISNUMBER(G1384)),"数据待核",IF(G1384=0,"零日销待复核",IF(F1384&lt;60,"补货提醒",IF(F1384&lt;=90,"正常库存",IF(F1384&lt;180,"促销",IF(F1384&lt;=365,"红线促销","考虑清仓")))))))))</x:f>
        <x:v>已移出</x:v>
      </x:c>
      <x:c r="F1384" s="11" t="str">
        <x:f>IF(AND(ISNUMBER(H1384),ISNUMBER(G1384),G1384&gt;0),H1384/G1384,"")</x:f>
      </x:c>
      <x:c r="G1384" s="12" t="str">
        <x:f>IF(AND(COUNT(P1384:R1384)=3,MIN(P1384:R1384)&gt;=0,P1384&lt;=Q1384,Q1384&lt;=R1384),P1384/7*0.5+Q1384/14*0.3+R1384/30*0.2,"")</x:f>
      </x:c>
      <x:c r="H1384" s="10" t="str">
        <x:f>IF(ISNUMBER(U1384),U1384,"")</x:f>
      </x:c>
      <x:c r="I1384" s="10" t="n">
        <x:v>0</x:v>
      </x:c>
      <x:c r="J1384" s="11" t="str">
        <x:f>IF(AND(Z1384="共同",ISNUMBER(F1384),ISNUMBER(M1384)),F1384-M1384,"")</x:f>
      </x:c>
      <x:c r="K1384" s="13" t="str">
        <x:f>IF(AND(ISNUMBER(J1384),M1384&lt;&gt;0),J1384/M1384,"")</x:f>
      </x:c>
      <x:c r="L1384" s="10" t="str">
        <x:v>断货</x:v>
      </x:c>
      <x:c r="M1384" s="11"/>
      <x:c r="N1384" s="10" t="str">
        <x:f>IF(AND(Z1384="共同",COUNT(H1384:I1384)=2),H1384-I1384,"")</x:f>
      </x:c>
      <x:c r="O1384" s="10"/>
      <x:c r="P1384" s="10"/>
      <x:c r="Q1384" s="10"/>
      <x:c r="R1384" s="10"/>
      <x:c r="S1384" s="10"/>
      <x:c r="T1384" s="10"/>
      <x:c r="U1384" s="10" t="str">
        <x:f>IF(AND(ISNUMBER(X1384),X1384&gt;=0,Y1384&lt;&gt;1),X1384,"")</x:f>
      </x:c>
      <x:c r="V1384" s="10"/>
      <x:c r="W1384" s="10"/>
      <x:c r="X1384" s="10"/>
      <x:c r="Y1384" s="3"/>
      <x:c r="Z1384" s="3" t="str">
        <x:v>移出</x:v>
      </x:c>
      <x:c r="AA1384" s="3" t="str">
        <x:v>已移出</x:v>
      </x:c>
      <x:c r="AB1384" s="12" t="str">
        <x:f>IF(AND(Z1384="共同",ISNUMBER(G1384),ISNUMBER(AD1384)),G1384-AD1384,"")</x:f>
      </x:c>
      <x:c r="AC1384" s="3" t="str">
        <x:v>基准清单已移出</x:v>
      </x:c>
      <x:c r="AD1384" s="12"/>
      <x:c r="AE1384" s="3" t="str">
        <x:v>[13120,"B06-ND-Z-0-41.5"]</x:v>
      </x:c>
      <x:c r="AF1384" t="n">
        <x:f>IF(ISNUMBER(H1384),1,0)</x:f>
        <x:v>0</x:v>
      </x:c>
      <x:c r="AG1384" t="n">
        <x:f>IF(ISNUMBER(I1384),1,0)</x:f>
        <x:v>1</x:v>
      </x:c>
      <x:c r="AH1384"/>
      <x:c r="AI1384" t="n">
        <x:f>IF(ISNUMBER(G1384),1,0)</x:f>
        <x:v>0</x:v>
      </x:c>
      <x:c r="AJ1384" t="n">
        <x:f>IF(ISNUMBER(AD1384),1,0)</x:f>
        <x:v>0</x:v>
      </x:c>
    </x:row>
    <x:row r="1385" ht="30" customHeight="1">
      <x:c r="A1385" s="3" t="str">
        <x:v>B06-NY-42-N</x:v>
      </x:c>
      <x:c r="B1385" s="3" t="str">
        <x:v>1店-MUSSHOE-US</x:v>
      </x:c>
      <x:c r="C1385" s="3" t="str">
        <x:v>艾年</x:v>
      </x:c>
      <x:c r="D1385" s="3" t="str">
        <x:v>B06</x:v>
      </x:c>
      <x:c r="E1385" s="3" t="str">
        <x:f>IF(Z1385="移出","已移出",IF(NOT(ISNUMBER(H1385)),"数据待核",IF(H1385=0,"断货",IF(NOT(ISNUMBER(G1385)),"数据待核",IF(G1385=0,"零日销待复核",IF(F1385&lt;60,"补货提醒",IF(F1385&lt;=90,"正常库存",IF(F1385&lt;180,"促销",IF(F1385&lt;=365,"红线促销","考虑清仓")))))))))</x:f>
        <x:v>已移出</x:v>
      </x:c>
      <x:c r="F1385" s="11" t="str">
        <x:f>IF(AND(ISNUMBER(H1385),ISNUMBER(G1385),G1385&gt;0),H1385/G1385,"")</x:f>
      </x:c>
      <x:c r="G1385" s="12" t="str">
        <x:f>IF(AND(COUNT(P1385:R1385)=3,MIN(P1385:R1385)&gt;=0,P1385&lt;=Q1385,Q1385&lt;=R1385),P1385/7*0.5+Q1385/14*0.3+R1385/30*0.2,"")</x:f>
      </x:c>
      <x:c r="H1385" s="10" t="str">
        <x:f>IF(ISNUMBER(U1385),U1385,"")</x:f>
      </x:c>
      <x:c r="I1385" s="10" t="n">
        <x:v>0</x:v>
      </x:c>
      <x:c r="J1385" s="11" t="str">
        <x:f>IF(AND(Z1385="共同",ISNUMBER(F1385),ISNUMBER(M1385)),F1385-M1385,"")</x:f>
      </x:c>
      <x:c r="K1385" s="13" t="str">
        <x:f>IF(AND(ISNUMBER(J1385),M1385&lt;&gt;0),J1385/M1385,"")</x:f>
      </x:c>
      <x:c r="L1385" s="10" t="str">
        <x:v>断货</x:v>
      </x:c>
      <x:c r="M1385" s="11"/>
      <x:c r="N1385" s="10" t="str">
        <x:f>IF(AND(Z1385="共同",COUNT(H1385:I1385)=2),H1385-I1385,"")</x:f>
      </x:c>
      <x:c r="O1385" s="10"/>
      <x:c r="P1385" s="10"/>
      <x:c r="Q1385" s="10"/>
      <x:c r="R1385" s="10"/>
      <x:c r="S1385" s="10"/>
      <x:c r="T1385" s="10"/>
      <x:c r="U1385" s="10" t="str">
        <x:f>IF(AND(ISNUMBER(X1385),X1385&gt;=0,Y1385&lt;&gt;1),X1385,"")</x:f>
      </x:c>
      <x:c r="V1385" s="10"/>
      <x:c r="W1385" s="10"/>
      <x:c r="X1385" s="10"/>
      <x:c r="Y1385" s="3"/>
      <x:c r="Z1385" s="3" t="str">
        <x:v>移出</x:v>
      </x:c>
      <x:c r="AA1385" s="3" t="str">
        <x:v>已移出</x:v>
      </x:c>
      <x:c r="AB1385" s="12" t="str">
        <x:f>IF(AND(Z1385="共同",ISNUMBER(G1385),ISNUMBER(AD1385)),G1385-AD1385,"")</x:f>
      </x:c>
      <x:c r="AC1385" s="3" t="str">
        <x:v>基准清单已移出</x:v>
      </x:c>
      <x:c r="AD1385" s="12"/>
      <x:c r="AE1385" s="3" t="str">
        <x:v>[13120,"B06-NY-42-N"]</x:v>
      </x:c>
      <x:c r="AF1385" t="n">
        <x:f>IF(ISNUMBER(H1385),1,0)</x:f>
        <x:v>0</x:v>
      </x:c>
      <x:c r="AG1385" t="n">
        <x:f>IF(ISNUMBER(I1385),1,0)</x:f>
        <x:v>1</x:v>
      </x:c>
      <x:c r="AH1385"/>
      <x:c r="AI1385" t="n">
        <x:f>IF(ISNUMBER(G1385),1,0)</x:f>
        <x:v>0</x:v>
      </x:c>
      <x:c r="AJ1385" t="n">
        <x:f>IF(ISNUMBER(AD1385),1,0)</x:f>
        <x:v>0</x:v>
      </x:c>
    </x:row>
    <x:row r="1386" ht="30" customHeight="1">
      <x:c r="A1386" s="3" t="str">
        <x:v>B06-PDBK-37.5</x:v>
      </x:c>
      <x:c r="B1386" s="3" t="str">
        <x:v>1店-MUSSHOE-US</x:v>
      </x:c>
      <x:c r="C1386" s="3" t="str">
        <x:v>艾年</x:v>
      </x:c>
      <x:c r="D1386" s="3" t="str">
        <x:v>B06</x:v>
      </x:c>
      <x:c r="E1386" s="3" t="str">
        <x:f>IF(Z1386="移出","已移出",IF(NOT(ISNUMBER(H1386)),"数据待核",IF(H1386=0,"断货",IF(NOT(ISNUMBER(G1386)),"数据待核",IF(G1386=0,"零日销待复核",IF(F1386&lt;60,"补货提醒",IF(F1386&lt;=90,"正常库存",IF(F1386&lt;180,"促销",IF(F1386&lt;=365,"红线促销","考虑清仓")))))))))</x:f>
        <x:v>已移出</x:v>
      </x:c>
      <x:c r="F1386" s="11" t="str">
        <x:f>IF(AND(ISNUMBER(H1386),ISNUMBER(G1386),G1386&gt;0),H1386/G1386,"")</x:f>
      </x:c>
      <x:c r="G1386" s="12" t="str">
        <x:f>IF(AND(COUNT(P1386:R1386)=3,MIN(P1386:R1386)&gt;=0,P1386&lt;=Q1386,Q1386&lt;=R1386),P1386/7*0.5+Q1386/14*0.3+R1386/30*0.2,"")</x:f>
      </x:c>
      <x:c r="H1386" s="10" t="str">
        <x:f>IF(ISNUMBER(U1386),U1386,"")</x:f>
      </x:c>
      <x:c r="I1386" s="10" t="n">
        <x:v>0</x:v>
      </x:c>
      <x:c r="J1386" s="11" t="str">
        <x:f>IF(AND(Z1386="共同",ISNUMBER(F1386),ISNUMBER(M1386)),F1386-M1386,"")</x:f>
      </x:c>
      <x:c r="K1386" s="13" t="str">
        <x:f>IF(AND(ISNUMBER(J1386),M1386&lt;&gt;0),J1386/M1386,"")</x:f>
      </x:c>
      <x:c r="L1386" s="10" t="str">
        <x:v>断货</x:v>
      </x:c>
      <x:c r="M1386" s="11"/>
      <x:c r="N1386" s="10" t="str">
        <x:f>IF(AND(Z1386="共同",COUNT(H1386:I1386)=2),H1386-I1386,"")</x:f>
      </x:c>
      <x:c r="O1386" s="10"/>
      <x:c r="P1386" s="10"/>
      <x:c r="Q1386" s="10"/>
      <x:c r="R1386" s="10"/>
      <x:c r="S1386" s="10"/>
      <x:c r="T1386" s="10"/>
      <x:c r="U1386" s="10" t="str">
        <x:f>IF(AND(ISNUMBER(X1386),X1386&gt;=0,Y1386&lt;&gt;1),X1386,"")</x:f>
      </x:c>
      <x:c r="V1386" s="10"/>
      <x:c r="W1386" s="10"/>
      <x:c r="X1386" s="10"/>
      <x:c r="Y1386" s="3"/>
      <x:c r="Z1386" s="3" t="str">
        <x:v>移出</x:v>
      </x:c>
      <x:c r="AA1386" s="3" t="str">
        <x:v>已移出</x:v>
      </x:c>
      <x:c r="AB1386" s="12" t="str">
        <x:f>IF(AND(Z1386="共同",ISNUMBER(G1386),ISNUMBER(AD1386)),G1386-AD1386,"")</x:f>
      </x:c>
      <x:c r="AC1386" s="3" t="str">
        <x:v>基准清单已移出</x:v>
      </x:c>
      <x:c r="AD1386" s="12"/>
      <x:c r="AE1386" s="3" t="str">
        <x:v>[13120,"B06-PDBK-37.5"]</x:v>
      </x:c>
      <x:c r="AF1386" t="n">
        <x:f>IF(ISNUMBER(H1386),1,0)</x:f>
        <x:v>0</x:v>
      </x:c>
      <x:c r="AG1386" t="n">
        <x:f>IF(ISNUMBER(I1386),1,0)</x:f>
        <x:v>1</x:v>
      </x:c>
      <x:c r="AH1386"/>
      <x:c r="AI1386" t="n">
        <x:f>IF(ISNUMBER(G1386),1,0)</x:f>
        <x:v>0</x:v>
      </x:c>
      <x:c r="AJ1386" t="n">
        <x:f>IF(ISNUMBER(AD1386),1,0)</x:f>
        <x:v>0</x:v>
      </x:c>
    </x:row>
    <x:row r="1387" ht="30" customHeight="1">
      <x:c r="A1387" s="3" t="str">
        <x:v>B06-PDBK-38.5</x:v>
      </x:c>
      <x:c r="B1387" s="3" t="str">
        <x:v>1店-MUSSHOE-US</x:v>
      </x:c>
      <x:c r="C1387" s="3" t="str">
        <x:v>艾年</x:v>
      </x:c>
      <x:c r="D1387" s="3" t="str">
        <x:v>B06</x:v>
      </x:c>
      <x:c r="E1387" s="3" t="str">
        <x:f>IF(Z1387="移出","已移出",IF(NOT(ISNUMBER(H1387)),"数据待核",IF(H1387=0,"断货",IF(NOT(ISNUMBER(G1387)),"数据待核",IF(G1387=0,"零日销待复核",IF(F1387&lt;60,"补货提醒",IF(F1387&lt;=90,"正常库存",IF(F1387&lt;180,"促销",IF(F1387&lt;=365,"红线促销","考虑清仓")))))))))</x:f>
        <x:v>已移出</x:v>
      </x:c>
      <x:c r="F1387" s="11" t="str">
        <x:f>IF(AND(ISNUMBER(H1387),ISNUMBER(G1387),G1387&gt;0),H1387/G1387,"")</x:f>
      </x:c>
      <x:c r="G1387" s="12" t="str">
        <x:f>IF(AND(COUNT(P1387:R1387)=3,MIN(P1387:R1387)&gt;=0,P1387&lt;=Q1387,Q1387&lt;=R1387),P1387/7*0.5+Q1387/14*0.3+R1387/30*0.2,"")</x:f>
      </x:c>
      <x:c r="H1387" s="10" t="str">
        <x:f>IF(ISNUMBER(U1387),U1387,"")</x:f>
      </x:c>
      <x:c r="I1387" s="10" t="n">
        <x:v>0</x:v>
      </x:c>
      <x:c r="J1387" s="11" t="str">
        <x:f>IF(AND(Z1387="共同",ISNUMBER(F1387),ISNUMBER(M1387)),F1387-M1387,"")</x:f>
      </x:c>
      <x:c r="K1387" s="13" t="str">
        <x:f>IF(AND(ISNUMBER(J1387),M1387&lt;&gt;0),J1387/M1387,"")</x:f>
      </x:c>
      <x:c r="L1387" s="10" t="str">
        <x:v>断货</x:v>
      </x:c>
      <x:c r="M1387" s="11"/>
      <x:c r="N1387" s="10" t="str">
        <x:f>IF(AND(Z1387="共同",COUNT(H1387:I1387)=2),H1387-I1387,"")</x:f>
      </x:c>
      <x:c r="O1387" s="10"/>
      <x:c r="P1387" s="10"/>
      <x:c r="Q1387" s="10"/>
      <x:c r="R1387" s="10"/>
      <x:c r="S1387" s="10"/>
      <x:c r="T1387" s="10"/>
      <x:c r="U1387" s="10" t="str">
        <x:f>IF(AND(ISNUMBER(X1387),X1387&gt;=0,Y1387&lt;&gt;1),X1387,"")</x:f>
      </x:c>
      <x:c r="V1387" s="10"/>
      <x:c r="W1387" s="10"/>
      <x:c r="X1387" s="10"/>
      <x:c r="Y1387" s="3"/>
      <x:c r="Z1387" s="3" t="str">
        <x:v>移出</x:v>
      </x:c>
      <x:c r="AA1387" s="3" t="str">
        <x:v>已移出</x:v>
      </x:c>
      <x:c r="AB1387" s="12" t="str">
        <x:f>IF(AND(Z1387="共同",ISNUMBER(G1387),ISNUMBER(AD1387)),G1387-AD1387,"")</x:f>
      </x:c>
      <x:c r="AC1387" s="3" t="str">
        <x:v>基准清单已移出</x:v>
      </x:c>
      <x:c r="AD1387" s="12"/>
      <x:c r="AE1387" s="3" t="str">
        <x:v>[13120,"B06-PDBK-38.5"]</x:v>
      </x:c>
      <x:c r="AF1387" t="n">
        <x:f>IF(ISNUMBER(H1387),1,0)</x:f>
        <x:v>0</x:v>
      </x:c>
      <x:c r="AG1387" t="n">
        <x:f>IF(ISNUMBER(I1387),1,0)</x:f>
        <x:v>1</x:v>
      </x:c>
      <x:c r="AH1387"/>
      <x:c r="AI1387" t="n">
        <x:f>IF(ISNUMBER(G1387),1,0)</x:f>
        <x:v>0</x:v>
      </x:c>
      <x:c r="AJ1387" t="n">
        <x:f>IF(ISNUMBER(AD1387),1,0)</x:f>
        <x:v>0</x:v>
      </x:c>
    </x:row>
    <x:row r="1388" ht="30" customHeight="1">
      <x:c r="A1388" s="3" t="str">
        <x:v>B06-PDBK-39.5</x:v>
      </x:c>
      <x:c r="B1388" s="3" t="str">
        <x:v>1店-MUSSHOE-US</x:v>
      </x:c>
      <x:c r="C1388" s="3" t="str">
        <x:v>艾年</x:v>
      </x:c>
      <x:c r="D1388" s="3" t="str">
        <x:v>B06</x:v>
      </x:c>
      <x:c r="E1388" s="3" t="str">
        <x:f>IF(Z1388="移出","已移出",IF(NOT(ISNUMBER(H1388)),"数据待核",IF(H1388=0,"断货",IF(NOT(ISNUMBER(G1388)),"数据待核",IF(G1388=0,"零日销待复核",IF(F1388&lt;60,"补货提醒",IF(F1388&lt;=90,"正常库存",IF(F1388&lt;180,"促销",IF(F1388&lt;=365,"红线促销","考虑清仓")))))))))</x:f>
        <x:v>已移出</x:v>
      </x:c>
      <x:c r="F1388" s="11" t="str">
        <x:f>IF(AND(ISNUMBER(H1388),ISNUMBER(G1388),G1388&gt;0),H1388/G1388,"")</x:f>
      </x:c>
      <x:c r="G1388" s="12" t="str">
        <x:f>IF(AND(COUNT(P1388:R1388)=3,MIN(P1388:R1388)&gt;=0,P1388&lt;=Q1388,Q1388&lt;=R1388),P1388/7*0.5+Q1388/14*0.3+R1388/30*0.2,"")</x:f>
      </x:c>
      <x:c r="H1388" s="10" t="str">
        <x:f>IF(ISNUMBER(U1388),U1388,"")</x:f>
      </x:c>
      <x:c r="I1388" s="10" t="n">
        <x:v>0</x:v>
      </x:c>
      <x:c r="J1388" s="11" t="str">
        <x:f>IF(AND(Z1388="共同",ISNUMBER(F1388),ISNUMBER(M1388)),F1388-M1388,"")</x:f>
      </x:c>
      <x:c r="K1388" s="13" t="str">
        <x:f>IF(AND(ISNUMBER(J1388),M1388&lt;&gt;0),J1388/M1388,"")</x:f>
      </x:c>
      <x:c r="L1388" s="10" t="str">
        <x:v>断货</x:v>
      </x:c>
      <x:c r="M1388" s="11"/>
      <x:c r="N1388" s="10" t="str">
        <x:f>IF(AND(Z1388="共同",COUNT(H1388:I1388)=2),H1388-I1388,"")</x:f>
      </x:c>
      <x:c r="O1388" s="10"/>
      <x:c r="P1388" s="10"/>
      <x:c r="Q1388" s="10"/>
      <x:c r="R1388" s="10"/>
      <x:c r="S1388" s="10"/>
      <x:c r="T1388" s="10"/>
      <x:c r="U1388" s="10" t="str">
        <x:f>IF(AND(ISNUMBER(X1388),X1388&gt;=0,Y1388&lt;&gt;1),X1388,"")</x:f>
      </x:c>
      <x:c r="V1388" s="10"/>
      <x:c r="W1388" s="10"/>
      <x:c r="X1388" s="10"/>
      <x:c r="Y1388" s="3"/>
      <x:c r="Z1388" s="3" t="str">
        <x:v>移出</x:v>
      </x:c>
      <x:c r="AA1388" s="3" t="str">
        <x:v>已移出</x:v>
      </x:c>
      <x:c r="AB1388" s="12" t="str">
        <x:f>IF(AND(Z1388="共同",ISNUMBER(G1388),ISNUMBER(AD1388)),G1388-AD1388,"")</x:f>
      </x:c>
      <x:c r="AC1388" s="3" t="str">
        <x:v>基准清单已移出</x:v>
      </x:c>
      <x:c r="AD1388" s="12"/>
      <x:c r="AE1388" s="3" t="str">
        <x:v>[13120,"B06-PDBK-39.5"]</x:v>
      </x:c>
      <x:c r="AF1388" t="n">
        <x:f>IF(ISNUMBER(H1388),1,0)</x:f>
        <x:v>0</x:v>
      </x:c>
      <x:c r="AG1388" t="n">
        <x:f>IF(ISNUMBER(I1388),1,0)</x:f>
        <x:v>1</x:v>
      </x:c>
      <x:c r="AH1388"/>
      <x:c r="AI1388" t="n">
        <x:f>IF(ISNUMBER(G1388),1,0)</x:f>
        <x:v>0</x:v>
      </x:c>
      <x:c r="AJ1388" t="n">
        <x:f>IF(ISNUMBER(AD1388),1,0)</x:f>
        <x:v>0</x:v>
      </x:c>
    </x:row>
    <x:row r="1389" ht="30" customHeight="1">
      <x:c r="A1389" s="3" t="str">
        <x:v>B06-PDBK-40.5</x:v>
      </x:c>
      <x:c r="B1389" s="3" t="str">
        <x:v>1店-MUSSHOE-US</x:v>
      </x:c>
      <x:c r="C1389" s="3" t="str">
        <x:v>艾年</x:v>
      </x:c>
      <x:c r="D1389" s="3" t="str">
        <x:v>B06</x:v>
      </x:c>
      <x:c r="E1389" s="3" t="str">
        <x:f>IF(Z1389="移出","已移出",IF(NOT(ISNUMBER(H1389)),"数据待核",IF(H1389=0,"断货",IF(NOT(ISNUMBER(G1389)),"数据待核",IF(G1389=0,"零日销待复核",IF(F1389&lt;60,"补货提醒",IF(F1389&lt;=90,"正常库存",IF(F1389&lt;180,"促销",IF(F1389&lt;=365,"红线促销","考虑清仓")))))))))</x:f>
        <x:v>已移出</x:v>
      </x:c>
      <x:c r="F1389" s="11" t="str">
        <x:f>IF(AND(ISNUMBER(H1389),ISNUMBER(G1389),G1389&gt;0),H1389/G1389,"")</x:f>
      </x:c>
      <x:c r="G1389" s="12" t="str">
        <x:f>IF(AND(COUNT(P1389:R1389)=3,MIN(P1389:R1389)&gt;=0,P1389&lt;=Q1389,Q1389&lt;=R1389),P1389/7*0.5+Q1389/14*0.3+R1389/30*0.2,"")</x:f>
      </x:c>
      <x:c r="H1389" s="10" t="str">
        <x:f>IF(ISNUMBER(U1389),U1389,"")</x:f>
      </x:c>
      <x:c r="I1389" s="10" t="n">
        <x:v>0</x:v>
      </x:c>
      <x:c r="J1389" s="11" t="str">
        <x:f>IF(AND(Z1389="共同",ISNUMBER(F1389),ISNUMBER(M1389)),F1389-M1389,"")</x:f>
      </x:c>
      <x:c r="K1389" s="13" t="str">
        <x:f>IF(AND(ISNUMBER(J1389),M1389&lt;&gt;0),J1389/M1389,"")</x:f>
      </x:c>
      <x:c r="L1389" s="10" t="str">
        <x:v>断货</x:v>
      </x:c>
      <x:c r="M1389" s="11"/>
      <x:c r="N1389" s="10" t="str">
        <x:f>IF(AND(Z1389="共同",COUNT(H1389:I1389)=2),H1389-I1389,"")</x:f>
      </x:c>
      <x:c r="O1389" s="10"/>
      <x:c r="P1389" s="10"/>
      <x:c r="Q1389" s="10"/>
      <x:c r="R1389" s="10"/>
      <x:c r="S1389" s="10"/>
      <x:c r="T1389" s="10"/>
      <x:c r="U1389" s="10" t="str">
        <x:f>IF(AND(ISNUMBER(X1389),X1389&gt;=0,Y1389&lt;&gt;1),X1389,"")</x:f>
      </x:c>
      <x:c r="V1389" s="10"/>
      <x:c r="W1389" s="10"/>
      <x:c r="X1389" s="10"/>
      <x:c r="Y1389" s="3"/>
      <x:c r="Z1389" s="3" t="str">
        <x:v>移出</x:v>
      </x:c>
      <x:c r="AA1389" s="3" t="str">
        <x:v>已移出</x:v>
      </x:c>
      <x:c r="AB1389" s="12" t="str">
        <x:f>IF(AND(Z1389="共同",ISNUMBER(G1389),ISNUMBER(AD1389)),G1389-AD1389,"")</x:f>
      </x:c>
      <x:c r="AC1389" s="3" t="str">
        <x:v>基准清单已移出</x:v>
      </x:c>
      <x:c r="AD1389" s="12"/>
      <x:c r="AE1389" s="3" t="str">
        <x:v>[13120,"B06-PDBK-40.5"]</x:v>
      </x:c>
      <x:c r="AF1389" t="n">
        <x:f>IF(ISNUMBER(H1389),1,0)</x:f>
        <x:v>0</x:v>
      </x:c>
      <x:c r="AG1389" t="n">
        <x:f>IF(ISNUMBER(I1389),1,0)</x:f>
        <x:v>1</x:v>
      </x:c>
      <x:c r="AH1389"/>
      <x:c r="AI1389" t="n">
        <x:f>IF(ISNUMBER(G1389),1,0)</x:f>
        <x:v>0</x:v>
      </x:c>
      <x:c r="AJ1389" t="n">
        <x:f>IF(ISNUMBER(AD1389),1,0)</x:f>
        <x:v>0</x:v>
      </x:c>
    </x:row>
    <x:row r="1390" ht="30" customHeight="1">
      <x:c r="A1390" s="3" t="str">
        <x:v>B06-PK-37-N</x:v>
      </x:c>
      <x:c r="B1390" s="3" t="str">
        <x:v>1店-MUSSHOE-US</x:v>
      </x:c>
      <x:c r="C1390" s="3" t="str">
        <x:v>艾年</x:v>
      </x:c>
      <x:c r="D1390" s="3" t="str">
        <x:v>B06</x:v>
      </x:c>
      <x:c r="E1390" s="3" t="str">
        <x:f>IF(Z1390="移出","已移出",IF(NOT(ISNUMBER(H1390)),"数据待核",IF(H1390=0,"断货",IF(NOT(ISNUMBER(G1390)),"数据待核",IF(G1390=0,"零日销待复核",IF(F1390&lt;60,"补货提醒",IF(F1390&lt;=90,"正常库存",IF(F1390&lt;180,"促销",IF(F1390&lt;=365,"红线促销","考虑清仓")))))))))</x:f>
        <x:v>已移出</x:v>
      </x:c>
      <x:c r="F1390" s="11" t="str">
        <x:f>IF(AND(ISNUMBER(H1390),ISNUMBER(G1390),G1390&gt;0),H1390/G1390,"")</x:f>
      </x:c>
      <x:c r="G1390" s="12" t="str">
        <x:f>IF(AND(COUNT(P1390:R1390)=3,MIN(P1390:R1390)&gt;=0,P1390&lt;=Q1390,Q1390&lt;=R1390),P1390/7*0.5+Q1390/14*0.3+R1390/30*0.2,"")</x:f>
      </x:c>
      <x:c r="H1390" s="10" t="str">
        <x:f>IF(ISNUMBER(U1390),U1390,"")</x:f>
      </x:c>
      <x:c r="I1390" s="10" t="n">
        <x:v>0</x:v>
      </x:c>
      <x:c r="J1390" s="11" t="str">
        <x:f>IF(AND(Z1390="共同",ISNUMBER(F1390),ISNUMBER(M1390)),F1390-M1390,"")</x:f>
      </x:c>
      <x:c r="K1390" s="13" t="str">
        <x:f>IF(AND(ISNUMBER(J1390),M1390&lt;&gt;0),J1390/M1390,"")</x:f>
      </x:c>
      <x:c r="L1390" s="10" t="str">
        <x:v>断货</x:v>
      </x:c>
      <x:c r="M1390" s="11"/>
      <x:c r="N1390" s="10" t="str">
        <x:f>IF(AND(Z1390="共同",COUNT(H1390:I1390)=2),H1390-I1390,"")</x:f>
      </x:c>
      <x:c r="O1390" s="10"/>
      <x:c r="P1390" s="10"/>
      <x:c r="Q1390" s="10"/>
      <x:c r="R1390" s="10"/>
      <x:c r="S1390" s="10"/>
      <x:c r="T1390" s="10"/>
      <x:c r="U1390" s="10" t="str">
        <x:f>IF(AND(ISNUMBER(X1390),X1390&gt;=0,Y1390&lt;&gt;1),X1390,"")</x:f>
      </x:c>
      <x:c r="V1390" s="10"/>
      <x:c r="W1390" s="10"/>
      <x:c r="X1390" s="10"/>
      <x:c r="Y1390" s="3"/>
      <x:c r="Z1390" s="3" t="str">
        <x:v>移出</x:v>
      </x:c>
      <x:c r="AA1390" s="3" t="str">
        <x:v>已移出</x:v>
      </x:c>
      <x:c r="AB1390" s="12" t="str">
        <x:f>IF(AND(Z1390="共同",ISNUMBER(G1390),ISNUMBER(AD1390)),G1390-AD1390,"")</x:f>
      </x:c>
      <x:c r="AC1390" s="3" t="str">
        <x:v>基准清单已移出</x:v>
      </x:c>
      <x:c r="AD1390" s="12"/>
      <x:c r="AE1390" s="3" t="str">
        <x:v>[13120,"B06-PK-37-N"]</x:v>
      </x:c>
      <x:c r="AF1390" t="n">
        <x:f>IF(ISNUMBER(H1390),1,0)</x:f>
        <x:v>0</x:v>
      </x:c>
      <x:c r="AG1390" t="n">
        <x:f>IF(ISNUMBER(I1390),1,0)</x:f>
        <x:v>1</x:v>
      </x:c>
      <x:c r="AH1390"/>
      <x:c r="AI1390" t="n">
        <x:f>IF(ISNUMBER(G1390),1,0)</x:f>
        <x:v>0</x:v>
      </x:c>
      <x:c r="AJ1390" t="n">
        <x:f>IF(ISNUMBER(AD1390),1,0)</x:f>
        <x:v>0</x:v>
      </x:c>
    </x:row>
    <x:row r="1391" ht="30" customHeight="1">
      <x:c r="A1391" s="3" t="str">
        <x:v>B06-RD-38</x:v>
      </x:c>
      <x:c r="B1391" s="3" t="str">
        <x:v>1店-MUSSHOE-US</x:v>
      </x:c>
      <x:c r="C1391" s="3" t="str">
        <x:v>艾年</x:v>
      </x:c>
      <x:c r="D1391" s="3" t="str">
        <x:v>B06</x:v>
      </x:c>
      <x:c r="E1391" s="3" t="str">
        <x:f>IF(Z1391="移出","已移出",IF(NOT(ISNUMBER(H1391)),"数据待核",IF(H1391=0,"断货",IF(NOT(ISNUMBER(G1391)),"数据待核",IF(G1391=0,"零日销待复核",IF(F1391&lt;60,"补货提醒",IF(F1391&lt;=90,"正常库存",IF(F1391&lt;180,"促销",IF(F1391&lt;=365,"红线促销","考虑清仓")))))))))</x:f>
        <x:v>已移出</x:v>
      </x:c>
      <x:c r="F1391" s="11" t="str">
        <x:f>IF(AND(ISNUMBER(H1391),ISNUMBER(G1391),G1391&gt;0),H1391/G1391,"")</x:f>
      </x:c>
      <x:c r="G1391" s="12" t="str">
        <x:f>IF(AND(COUNT(P1391:R1391)=3,MIN(P1391:R1391)&gt;=0,P1391&lt;=Q1391,Q1391&lt;=R1391),P1391/7*0.5+Q1391/14*0.3+R1391/30*0.2,"")</x:f>
      </x:c>
      <x:c r="H1391" s="10" t="str">
        <x:f>IF(ISNUMBER(U1391),U1391,"")</x:f>
      </x:c>
      <x:c r="I1391" s="10" t="n">
        <x:v>0</x:v>
      </x:c>
      <x:c r="J1391" s="11" t="str">
        <x:f>IF(AND(Z1391="共同",ISNUMBER(F1391),ISNUMBER(M1391)),F1391-M1391,"")</x:f>
      </x:c>
      <x:c r="K1391" s="13" t="str">
        <x:f>IF(AND(ISNUMBER(J1391),M1391&lt;&gt;0),J1391/M1391,"")</x:f>
      </x:c>
      <x:c r="L1391" s="10" t="str">
        <x:v>断货</x:v>
      </x:c>
      <x:c r="M1391" s="11"/>
      <x:c r="N1391" s="10" t="str">
        <x:f>IF(AND(Z1391="共同",COUNT(H1391:I1391)=2),H1391-I1391,"")</x:f>
      </x:c>
      <x:c r="O1391" s="10"/>
      <x:c r="P1391" s="10"/>
      <x:c r="Q1391" s="10"/>
      <x:c r="R1391" s="10"/>
      <x:c r="S1391" s="10"/>
      <x:c r="T1391" s="10"/>
      <x:c r="U1391" s="10" t="str">
        <x:f>IF(AND(ISNUMBER(X1391),X1391&gt;=0,Y1391&lt;&gt;1),X1391,"")</x:f>
      </x:c>
      <x:c r="V1391" s="10"/>
      <x:c r="W1391" s="10"/>
      <x:c r="X1391" s="10"/>
      <x:c r="Y1391" s="3"/>
      <x:c r="Z1391" s="3" t="str">
        <x:v>移出</x:v>
      </x:c>
      <x:c r="AA1391" s="3" t="str">
        <x:v>已移出</x:v>
      </x:c>
      <x:c r="AB1391" s="12" t="str">
        <x:f>IF(AND(Z1391="共同",ISNUMBER(G1391),ISNUMBER(AD1391)),G1391-AD1391,"")</x:f>
      </x:c>
      <x:c r="AC1391" s="3" t="str">
        <x:v>基准清单已移出</x:v>
      </x:c>
      <x:c r="AD1391" s="12"/>
      <x:c r="AE1391" s="3" t="str">
        <x:v>[13120,"B06-RD-38"]</x:v>
      </x:c>
      <x:c r="AF1391" t="n">
        <x:f>IF(ISNUMBER(H1391),1,0)</x:f>
        <x:v>0</x:v>
      </x:c>
      <x:c r="AG1391" t="n">
        <x:f>IF(ISNUMBER(I1391),1,0)</x:f>
        <x:v>1</x:v>
      </x:c>
      <x:c r="AH1391"/>
      <x:c r="AI1391" t="n">
        <x:f>IF(ISNUMBER(G1391),1,0)</x:f>
        <x:v>0</x:v>
      </x:c>
      <x:c r="AJ1391" t="n">
        <x:f>IF(ISNUMBER(AD1391),1,0)</x:f>
        <x:v>0</x:v>
      </x:c>
    </x:row>
    <x:row r="1392" ht="30" customHeight="1">
      <x:c r="A1392" s="3" t="str">
        <x:v>B06-RD-I-0-37</x:v>
      </x:c>
      <x:c r="B1392" s="3" t="str">
        <x:v>1店-MUSSHOE-US</x:v>
      </x:c>
      <x:c r="C1392" s="3" t="str">
        <x:v>艾年</x:v>
      </x:c>
      <x:c r="D1392" s="3" t="str">
        <x:v>B06</x:v>
      </x:c>
      <x:c r="E1392" s="3" t="str">
        <x:f>IF(Z1392="移出","已移出",IF(NOT(ISNUMBER(H1392)),"数据待核",IF(H1392=0,"断货",IF(NOT(ISNUMBER(G1392)),"数据待核",IF(G1392=0,"零日销待复核",IF(F1392&lt;60,"补货提醒",IF(F1392&lt;=90,"正常库存",IF(F1392&lt;180,"促销",IF(F1392&lt;=365,"红线促销","考虑清仓")))))))))</x:f>
        <x:v>已移出</x:v>
      </x:c>
      <x:c r="F1392" s="11" t="str">
        <x:f>IF(AND(ISNUMBER(H1392),ISNUMBER(G1392),G1392&gt;0),H1392/G1392,"")</x:f>
      </x:c>
      <x:c r="G1392" s="12" t="str">
        <x:f>IF(AND(COUNT(P1392:R1392)=3,MIN(P1392:R1392)&gt;=0,P1392&lt;=Q1392,Q1392&lt;=R1392),P1392/7*0.5+Q1392/14*0.3+R1392/30*0.2,"")</x:f>
      </x:c>
      <x:c r="H1392" s="10" t="str">
        <x:f>IF(ISNUMBER(U1392),U1392,"")</x:f>
      </x:c>
      <x:c r="I1392" s="10" t="n">
        <x:v>0</x:v>
      </x:c>
      <x:c r="J1392" s="11" t="str">
        <x:f>IF(AND(Z1392="共同",ISNUMBER(F1392),ISNUMBER(M1392)),F1392-M1392,"")</x:f>
      </x:c>
      <x:c r="K1392" s="13" t="str">
        <x:f>IF(AND(ISNUMBER(J1392),M1392&lt;&gt;0),J1392/M1392,"")</x:f>
      </x:c>
      <x:c r="L1392" s="10" t="str">
        <x:v>断货</x:v>
      </x:c>
      <x:c r="M1392" s="11"/>
      <x:c r="N1392" s="10" t="str">
        <x:f>IF(AND(Z1392="共同",COUNT(H1392:I1392)=2),H1392-I1392,"")</x:f>
      </x:c>
      <x:c r="O1392" s="10"/>
      <x:c r="P1392" s="10"/>
      <x:c r="Q1392" s="10"/>
      <x:c r="R1392" s="10"/>
      <x:c r="S1392" s="10"/>
      <x:c r="T1392" s="10"/>
      <x:c r="U1392" s="10" t="str">
        <x:f>IF(AND(ISNUMBER(X1392),X1392&gt;=0,Y1392&lt;&gt;1),X1392,"")</x:f>
      </x:c>
      <x:c r="V1392" s="10"/>
      <x:c r="W1392" s="10"/>
      <x:c r="X1392" s="10"/>
      <x:c r="Y1392" s="3"/>
      <x:c r="Z1392" s="3" t="str">
        <x:v>移出</x:v>
      </x:c>
      <x:c r="AA1392" s="3" t="str">
        <x:v>已移出</x:v>
      </x:c>
      <x:c r="AB1392" s="12" t="str">
        <x:f>IF(AND(Z1392="共同",ISNUMBER(G1392),ISNUMBER(AD1392)),G1392-AD1392,"")</x:f>
      </x:c>
      <x:c r="AC1392" s="3" t="str">
        <x:v>基准清单已移出</x:v>
      </x:c>
      <x:c r="AD1392" s="12"/>
      <x:c r="AE1392" s="3" t="str">
        <x:v>[13120,"B06-RD-I-0-37"]</x:v>
      </x:c>
      <x:c r="AF1392" t="n">
        <x:f>IF(ISNUMBER(H1392),1,0)</x:f>
        <x:v>0</x:v>
      </x:c>
      <x:c r="AG1392" t="n">
        <x:f>IF(ISNUMBER(I1392),1,0)</x:f>
        <x:v>1</x:v>
      </x:c>
      <x:c r="AH1392"/>
      <x:c r="AI1392" t="n">
        <x:f>IF(ISNUMBER(G1392),1,0)</x:f>
        <x:v>0</x:v>
      </x:c>
      <x:c r="AJ1392" t="n">
        <x:f>IF(ISNUMBER(AD1392),1,0)</x:f>
        <x:v>0</x:v>
      </x:c>
    </x:row>
    <x:row r="1393" ht="30" customHeight="1">
      <x:c r="A1393" s="3" t="str">
        <x:v>B06-RD-I-0-38.5</x:v>
      </x:c>
      <x:c r="B1393" s="3" t="str">
        <x:v>1店-MUSSHOE-US</x:v>
      </x:c>
      <x:c r="C1393" s="3" t="str">
        <x:v>艾年</x:v>
      </x:c>
      <x:c r="D1393" s="3" t="str">
        <x:v>B06</x:v>
      </x:c>
      <x:c r="E1393" s="3" t="str">
        <x:f>IF(Z1393="移出","已移出",IF(NOT(ISNUMBER(H1393)),"数据待核",IF(H1393=0,"断货",IF(NOT(ISNUMBER(G1393)),"数据待核",IF(G1393=0,"零日销待复核",IF(F1393&lt;60,"补货提醒",IF(F1393&lt;=90,"正常库存",IF(F1393&lt;180,"促销",IF(F1393&lt;=365,"红线促销","考虑清仓")))))))))</x:f>
        <x:v>已移出</x:v>
      </x:c>
      <x:c r="F1393" s="11" t="str">
        <x:f>IF(AND(ISNUMBER(H1393),ISNUMBER(G1393),G1393&gt;0),H1393/G1393,"")</x:f>
      </x:c>
      <x:c r="G1393" s="12" t="str">
        <x:f>IF(AND(COUNT(P1393:R1393)=3,MIN(P1393:R1393)&gt;=0,P1393&lt;=Q1393,Q1393&lt;=R1393),P1393/7*0.5+Q1393/14*0.3+R1393/30*0.2,"")</x:f>
      </x:c>
      <x:c r="H1393" s="10" t="str">
        <x:f>IF(ISNUMBER(U1393),U1393,"")</x:f>
      </x:c>
      <x:c r="I1393" s="10" t="n">
        <x:v>0</x:v>
      </x:c>
      <x:c r="J1393" s="11" t="str">
        <x:f>IF(AND(Z1393="共同",ISNUMBER(F1393),ISNUMBER(M1393)),F1393-M1393,"")</x:f>
      </x:c>
      <x:c r="K1393" s="13" t="str">
        <x:f>IF(AND(ISNUMBER(J1393),M1393&lt;&gt;0),J1393/M1393,"")</x:f>
      </x:c>
      <x:c r="L1393" s="10" t="str">
        <x:v>断货</x:v>
      </x:c>
      <x:c r="M1393" s="11"/>
      <x:c r="N1393" s="10" t="str">
        <x:f>IF(AND(Z1393="共同",COUNT(H1393:I1393)=2),H1393-I1393,"")</x:f>
      </x:c>
      <x:c r="O1393" s="10"/>
      <x:c r="P1393" s="10"/>
      <x:c r="Q1393" s="10"/>
      <x:c r="R1393" s="10"/>
      <x:c r="S1393" s="10"/>
      <x:c r="T1393" s="10"/>
      <x:c r="U1393" s="10" t="str">
        <x:f>IF(AND(ISNUMBER(X1393),X1393&gt;=0,Y1393&lt;&gt;1),X1393,"")</x:f>
      </x:c>
      <x:c r="V1393" s="10"/>
      <x:c r="W1393" s="10"/>
      <x:c r="X1393" s="10"/>
      <x:c r="Y1393" s="3"/>
      <x:c r="Z1393" s="3" t="str">
        <x:v>移出</x:v>
      </x:c>
      <x:c r="AA1393" s="3" t="str">
        <x:v>已移出</x:v>
      </x:c>
      <x:c r="AB1393" s="12" t="str">
        <x:f>IF(AND(Z1393="共同",ISNUMBER(G1393),ISNUMBER(AD1393)),G1393-AD1393,"")</x:f>
      </x:c>
      <x:c r="AC1393" s="3" t="str">
        <x:v>基准清单已移出</x:v>
      </x:c>
      <x:c r="AD1393" s="12"/>
      <x:c r="AE1393" s="3" t="str">
        <x:v>[13120,"B06-RD-I-0-38.5"]</x:v>
      </x:c>
      <x:c r="AF1393" t="n">
        <x:f>IF(ISNUMBER(H1393),1,0)</x:f>
        <x:v>0</x:v>
      </x:c>
      <x:c r="AG1393" t="n">
        <x:f>IF(ISNUMBER(I1393),1,0)</x:f>
        <x:v>1</x:v>
      </x:c>
      <x:c r="AH1393"/>
      <x:c r="AI1393" t="n">
        <x:f>IF(ISNUMBER(G1393),1,0)</x:f>
        <x:v>0</x:v>
      </x:c>
      <x:c r="AJ1393" t="n">
        <x:f>IF(ISNUMBER(AD1393),1,0)</x:f>
        <x:v>0</x:v>
      </x:c>
    </x:row>
    <x:row r="1394" ht="30" customHeight="1">
      <x:c r="A1394" s="3" t="str">
        <x:v>B06-RD-I-0-39</x:v>
      </x:c>
      <x:c r="B1394" s="3" t="str">
        <x:v>1店-MUSSHOE-US</x:v>
      </x:c>
      <x:c r="C1394" s="3" t="str">
        <x:v>艾年</x:v>
      </x:c>
      <x:c r="D1394" s="3" t="str">
        <x:v>B06</x:v>
      </x:c>
      <x:c r="E1394" s="3" t="str">
        <x:f>IF(Z1394="移出","已移出",IF(NOT(ISNUMBER(H1394)),"数据待核",IF(H1394=0,"断货",IF(NOT(ISNUMBER(G1394)),"数据待核",IF(G1394=0,"零日销待复核",IF(F1394&lt;60,"补货提醒",IF(F1394&lt;=90,"正常库存",IF(F1394&lt;180,"促销",IF(F1394&lt;=365,"红线促销","考虑清仓")))))))))</x:f>
        <x:v>已移出</x:v>
      </x:c>
      <x:c r="F1394" s="11" t="str">
        <x:f>IF(AND(ISNUMBER(H1394),ISNUMBER(G1394),G1394&gt;0),H1394/G1394,"")</x:f>
      </x:c>
      <x:c r="G1394" s="12" t="str">
        <x:f>IF(AND(COUNT(P1394:R1394)=3,MIN(P1394:R1394)&gt;=0,P1394&lt;=Q1394,Q1394&lt;=R1394),P1394/7*0.5+Q1394/14*0.3+R1394/30*0.2,"")</x:f>
      </x:c>
      <x:c r="H1394" s="10" t="str">
        <x:f>IF(ISNUMBER(U1394),U1394,"")</x:f>
      </x:c>
      <x:c r="I1394" s="10" t="n">
        <x:v>0</x:v>
      </x:c>
      <x:c r="J1394" s="11" t="str">
        <x:f>IF(AND(Z1394="共同",ISNUMBER(F1394),ISNUMBER(M1394)),F1394-M1394,"")</x:f>
      </x:c>
      <x:c r="K1394" s="13" t="str">
        <x:f>IF(AND(ISNUMBER(J1394),M1394&lt;&gt;0),J1394/M1394,"")</x:f>
      </x:c>
      <x:c r="L1394" s="10" t="str">
        <x:v>断货</x:v>
      </x:c>
      <x:c r="M1394" s="11"/>
      <x:c r="N1394" s="10" t="str">
        <x:f>IF(AND(Z1394="共同",COUNT(H1394:I1394)=2),H1394-I1394,"")</x:f>
      </x:c>
      <x:c r="O1394" s="10"/>
      <x:c r="P1394" s="10"/>
      <x:c r="Q1394" s="10"/>
      <x:c r="R1394" s="10"/>
      <x:c r="S1394" s="10"/>
      <x:c r="T1394" s="10"/>
      <x:c r="U1394" s="10" t="str">
        <x:f>IF(AND(ISNUMBER(X1394),X1394&gt;=0,Y1394&lt;&gt;1),X1394,"")</x:f>
      </x:c>
      <x:c r="V1394" s="10"/>
      <x:c r="W1394" s="10"/>
      <x:c r="X1394" s="10"/>
      <x:c r="Y1394" s="3"/>
      <x:c r="Z1394" s="3" t="str">
        <x:v>移出</x:v>
      </x:c>
      <x:c r="AA1394" s="3" t="str">
        <x:v>已移出</x:v>
      </x:c>
      <x:c r="AB1394" s="12" t="str">
        <x:f>IF(AND(Z1394="共同",ISNUMBER(G1394),ISNUMBER(AD1394)),G1394-AD1394,"")</x:f>
      </x:c>
      <x:c r="AC1394" s="3" t="str">
        <x:v>基准清单已移出</x:v>
      </x:c>
      <x:c r="AD1394" s="12"/>
      <x:c r="AE1394" s="3" t="str">
        <x:v>[13120,"B06-RD-I-0-39"]</x:v>
      </x:c>
      <x:c r="AF1394" t="n">
        <x:f>IF(ISNUMBER(H1394),1,0)</x:f>
        <x:v>0</x:v>
      </x:c>
      <x:c r="AG1394" t="n">
        <x:f>IF(ISNUMBER(I1394),1,0)</x:f>
        <x:v>1</x:v>
      </x:c>
      <x:c r="AH1394"/>
      <x:c r="AI1394" t="n">
        <x:f>IF(ISNUMBER(G1394),1,0)</x:f>
        <x:v>0</x:v>
      </x:c>
      <x:c r="AJ1394" t="n">
        <x:f>IF(ISNUMBER(AD1394),1,0)</x:f>
        <x:v>0</x:v>
      </x:c>
    </x:row>
    <x:row r="1395" ht="30" customHeight="1">
      <x:c r="A1395" s="3" t="str">
        <x:v>B06-RD-I-0-40</x:v>
      </x:c>
      <x:c r="B1395" s="3" t="str">
        <x:v>1店-MUSSHOE-US</x:v>
      </x:c>
      <x:c r="C1395" s="3" t="str">
        <x:v>艾年</x:v>
      </x:c>
      <x:c r="D1395" s="3" t="str">
        <x:v>B06</x:v>
      </x:c>
      <x:c r="E1395" s="3" t="str">
        <x:f>IF(Z1395="移出","已移出",IF(NOT(ISNUMBER(H1395)),"数据待核",IF(H1395=0,"断货",IF(NOT(ISNUMBER(G1395)),"数据待核",IF(G1395=0,"零日销待复核",IF(F1395&lt;60,"补货提醒",IF(F1395&lt;=90,"正常库存",IF(F1395&lt;180,"促销",IF(F1395&lt;=365,"红线促销","考虑清仓")))))))))</x:f>
        <x:v>已移出</x:v>
      </x:c>
      <x:c r="F1395" s="11" t="str">
        <x:f>IF(AND(ISNUMBER(H1395),ISNUMBER(G1395),G1395&gt;0),H1395/G1395,"")</x:f>
      </x:c>
      <x:c r="G1395" s="12" t="str">
        <x:f>IF(AND(COUNT(P1395:R1395)=3,MIN(P1395:R1395)&gt;=0,P1395&lt;=Q1395,Q1395&lt;=R1395),P1395/7*0.5+Q1395/14*0.3+R1395/30*0.2,"")</x:f>
      </x:c>
      <x:c r="H1395" s="10" t="str">
        <x:f>IF(ISNUMBER(U1395),U1395,"")</x:f>
      </x:c>
      <x:c r="I1395" s="10" t="n">
        <x:v>0</x:v>
      </x:c>
      <x:c r="J1395" s="11" t="str">
        <x:f>IF(AND(Z1395="共同",ISNUMBER(F1395),ISNUMBER(M1395)),F1395-M1395,"")</x:f>
      </x:c>
      <x:c r="K1395" s="13" t="str">
        <x:f>IF(AND(ISNUMBER(J1395),M1395&lt;&gt;0),J1395/M1395,"")</x:f>
      </x:c>
      <x:c r="L1395" s="10" t="str">
        <x:v>断货</x:v>
      </x:c>
      <x:c r="M1395" s="11"/>
      <x:c r="N1395" s="10" t="str">
        <x:f>IF(AND(Z1395="共同",COUNT(H1395:I1395)=2),H1395-I1395,"")</x:f>
      </x:c>
      <x:c r="O1395" s="10"/>
      <x:c r="P1395" s="10"/>
      <x:c r="Q1395" s="10"/>
      <x:c r="R1395" s="10"/>
      <x:c r="S1395" s="10"/>
      <x:c r="T1395" s="10"/>
      <x:c r="U1395" s="10" t="str">
        <x:f>IF(AND(ISNUMBER(X1395),X1395&gt;=0,Y1395&lt;&gt;1),X1395,"")</x:f>
      </x:c>
      <x:c r="V1395" s="10"/>
      <x:c r="W1395" s="10"/>
      <x:c r="X1395" s="10"/>
      <x:c r="Y1395" s="3"/>
      <x:c r="Z1395" s="3" t="str">
        <x:v>移出</x:v>
      </x:c>
      <x:c r="AA1395" s="3" t="str">
        <x:v>已移出</x:v>
      </x:c>
      <x:c r="AB1395" s="12" t="str">
        <x:f>IF(AND(Z1395="共同",ISNUMBER(G1395),ISNUMBER(AD1395)),G1395-AD1395,"")</x:f>
      </x:c>
      <x:c r="AC1395" s="3" t="str">
        <x:v>基准清单已移出</x:v>
      </x:c>
      <x:c r="AD1395" s="12"/>
      <x:c r="AE1395" s="3" t="str">
        <x:v>[13120,"B06-RD-I-0-40"]</x:v>
      </x:c>
      <x:c r="AF1395" t="n">
        <x:f>IF(ISNUMBER(H1395),1,0)</x:f>
        <x:v>0</x:v>
      </x:c>
      <x:c r="AG1395" t="n">
        <x:f>IF(ISNUMBER(I1395),1,0)</x:f>
        <x:v>1</x:v>
      </x:c>
      <x:c r="AH1395"/>
      <x:c r="AI1395" t="n">
        <x:f>IF(ISNUMBER(G1395),1,0)</x:f>
        <x:v>0</x:v>
      </x:c>
      <x:c r="AJ1395" t="n">
        <x:f>IF(ISNUMBER(AD1395),1,0)</x:f>
        <x:v>0</x:v>
      </x:c>
    </x:row>
    <x:row r="1396" ht="30" customHeight="1">
      <x:c r="A1396" s="3" t="str">
        <x:v>B06-RD-I-0-41.5</x:v>
      </x:c>
      <x:c r="B1396" s="3" t="str">
        <x:v>1店-MUSSHOE-US</x:v>
      </x:c>
      <x:c r="C1396" s="3" t="str">
        <x:v>艾年</x:v>
      </x:c>
      <x:c r="D1396" s="3" t="str">
        <x:v>B06</x:v>
      </x:c>
      <x:c r="E1396" s="3" t="str">
        <x:f>IF(Z1396="移出","已移出",IF(NOT(ISNUMBER(H1396)),"数据待核",IF(H1396=0,"断货",IF(NOT(ISNUMBER(G1396)),"数据待核",IF(G1396=0,"零日销待复核",IF(F1396&lt;60,"补货提醒",IF(F1396&lt;=90,"正常库存",IF(F1396&lt;180,"促销",IF(F1396&lt;=365,"红线促销","考虑清仓")))))))))</x:f>
        <x:v>已移出</x:v>
      </x:c>
      <x:c r="F1396" s="11" t="str">
        <x:f>IF(AND(ISNUMBER(H1396),ISNUMBER(G1396),G1396&gt;0),H1396/G1396,"")</x:f>
      </x:c>
      <x:c r="G1396" s="12" t="str">
        <x:f>IF(AND(COUNT(P1396:R1396)=3,MIN(P1396:R1396)&gt;=0,P1396&lt;=Q1396,Q1396&lt;=R1396),P1396/7*0.5+Q1396/14*0.3+R1396/30*0.2,"")</x:f>
      </x:c>
      <x:c r="H1396" s="10" t="str">
        <x:f>IF(ISNUMBER(U1396),U1396,"")</x:f>
      </x:c>
      <x:c r="I1396" s="10" t="n">
        <x:v>0</x:v>
      </x:c>
      <x:c r="J1396" s="11" t="str">
        <x:f>IF(AND(Z1396="共同",ISNUMBER(F1396),ISNUMBER(M1396)),F1396-M1396,"")</x:f>
      </x:c>
      <x:c r="K1396" s="13" t="str">
        <x:f>IF(AND(ISNUMBER(J1396),M1396&lt;&gt;0),J1396/M1396,"")</x:f>
      </x:c>
      <x:c r="L1396" s="10" t="str">
        <x:v>断货</x:v>
      </x:c>
      <x:c r="M1396" s="11"/>
      <x:c r="N1396" s="10" t="str">
        <x:f>IF(AND(Z1396="共同",COUNT(H1396:I1396)=2),H1396-I1396,"")</x:f>
      </x:c>
      <x:c r="O1396" s="10"/>
      <x:c r="P1396" s="10"/>
      <x:c r="Q1396" s="10"/>
      <x:c r="R1396" s="10"/>
      <x:c r="S1396" s="10"/>
      <x:c r="T1396" s="10"/>
      <x:c r="U1396" s="10" t="str">
        <x:f>IF(AND(ISNUMBER(X1396),X1396&gt;=0,Y1396&lt;&gt;1),X1396,"")</x:f>
      </x:c>
      <x:c r="V1396" s="10"/>
      <x:c r="W1396" s="10"/>
      <x:c r="X1396" s="10"/>
      <x:c r="Y1396" s="3"/>
      <x:c r="Z1396" s="3" t="str">
        <x:v>移出</x:v>
      </x:c>
      <x:c r="AA1396" s="3" t="str">
        <x:v>已移出</x:v>
      </x:c>
      <x:c r="AB1396" s="12" t="str">
        <x:f>IF(AND(Z1396="共同",ISNUMBER(G1396),ISNUMBER(AD1396)),G1396-AD1396,"")</x:f>
      </x:c>
      <x:c r="AC1396" s="3" t="str">
        <x:v>基准清单已移出</x:v>
      </x:c>
      <x:c r="AD1396" s="12"/>
      <x:c r="AE1396" s="3" t="str">
        <x:v>[13120,"B06-RD-I-0-41.5"]</x:v>
      </x:c>
      <x:c r="AF1396" t="n">
        <x:f>IF(ISNUMBER(H1396),1,0)</x:f>
        <x:v>0</x:v>
      </x:c>
      <x:c r="AG1396" t="n">
        <x:f>IF(ISNUMBER(I1396),1,0)</x:f>
        <x:v>1</x:v>
      </x:c>
      <x:c r="AH1396"/>
      <x:c r="AI1396" t="n">
        <x:f>IF(ISNUMBER(G1396),1,0)</x:f>
        <x:v>0</x:v>
      </x:c>
      <x:c r="AJ1396" t="n">
        <x:f>IF(ISNUMBER(AD1396),1,0)</x:f>
        <x:v>0</x:v>
      </x:c>
    </x:row>
    <x:row r="1397" ht="30" customHeight="1">
      <x:c r="A1397" s="3" t="str">
        <x:v>B06-RD-Z-0-39</x:v>
      </x:c>
      <x:c r="B1397" s="3" t="str">
        <x:v>1店-MUSSHOE-US</x:v>
      </x:c>
      <x:c r="C1397" s="3" t="str">
        <x:v>艾年</x:v>
      </x:c>
      <x:c r="D1397" s="3" t="str">
        <x:v>B06</x:v>
      </x:c>
      <x:c r="E1397" s="3" t="str">
        <x:f>IF(Z1397="移出","已移出",IF(NOT(ISNUMBER(H1397)),"数据待核",IF(H1397=0,"断货",IF(NOT(ISNUMBER(G1397)),"数据待核",IF(G1397=0,"零日销待复核",IF(F1397&lt;60,"补货提醒",IF(F1397&lt;=90,"正常库存",IF(F1397&lt;180,"促销",IF(F1397&lt;=365,"红线促销","考虑清仓")))))))))</x:f>
        <x:v>已移出</x:v>
      </x:c>
      <x:c r="F1397" s="11" t="str">
        <x:f>IF(AND(ISNUMBER(H1397),ISNUMBER(G1397),G1397&gt;0),H1397/G1397,"")</x:f>
      </x:c>
      <x:c r="G1397" s="12" t="str">
        <x:f>IF(AND(COUNT(P1397:R1397)=3,MIN(P1397:R1397)&gt;=0,P1397&lt;=Q1397,Q1397&lt;=R1397),P1397/7*0.5+Q1397/14*0.3+R1397/30*0.2,"")</x:f>
      </x:c>
      <x:c r="H1397" s="10" t="str">
        <x:f>IF(ISNUMBER(U1397),U1397,"")</x:f>
      </x:c>
      <x:c r="I1397" s="10" t="n">
        <x:v>0</x:v>
      </x:c>
      <x:c r="J1397" s="11" t="str">
        <x:f>IF(AND(Z1397="共同",ISNUMBER(F1397),ISNUMBER(M1397)),F1397-M1397,"")</x:f>
      </x:c>
      <x:c r="K1397" s="13" t="str">
        <x:f>IF(AND(ISNUMBER(J1397),M1397&lt;&gt;0),J1397/M1397,"")</x:f>
      </x:c>
      <x:c r="L1397" s="10" t="str">
        <x:v>断货</x:v>
      </x:c>
      <x:c r="M1397" s="11"/>
      <x:c r="N1397" s="10" t="str">
        <x:f>IF(AND(Z1397="共同",COUNT(H1397:I1397)=2),H1397-I1397,"")</x:f>
      </x:c>
      <x:c r="O1397" s="10"/>
      <x:c r="P1397" s="10"/>
      <x:c r="Q1397" s="10"/>
      <x:c r="R1397" s="10"/>
      <x:c r="S1397" s="10"/>
      <x:c r="T1397" s="10"/>
      <x:c r="U1397" s="10" t="str">
        <x:f>IF(AND(ISNUMBER(X1397),X1397&gt;=0,Y1397&lt;&gt;1),X1397,"")</x:f>
      </x:c>
      <x:c r="V1397" s="10"/>
      <x:c r="W1397" s="10"/>
      <x:c r="X1397" s="10"/>
      <x:c r="Y1397" s="3"/>
      <x:c r="Z1397" s="3" t="str">
        <x:v>移出</x:v>
      </x:c>
      <x:c r="AA1397" s="3" t="str">
        <x:v>已移出</x:v>
      </x:c>
      <x:c r="AB1397" s="12" t="str">
        <x:f>IF(AND(Z1397="共同",ISNUMBER(G1397),ISNUMBER(AD1397)),G1397-AD1397,"")</x:f>
      </x:c>
      <x:c r="AC1397" s="3" t="str">
        <x:v>基准清单已移出</x:v>
      </x:c>
      <x:c r="AD1397" s="12"/>
      <x:c r="AE1397" s="3" t="str">
        <x:v>[13120,"B06-RD-Z-0-39"]</x:v>
      </x:c>
      <x:c r="AF1397" t="n">
        <x:f>IF(ISNUMBER(H1397),1,0)</x:f>
        <x:v>0</x:v>
      </x:c>
      <x:c r="AG1397" t="n">
        <x:f>IF(ISNUMBER(I1397),1,0)</x:f>
        <x:v>1</x:v>
      </x:c>
      <x:c r="AH1397"/>
      <x:c r="AI1397" t="n">
        <x:f>IF(ISNUMBER(G1397),1,0)</x:f>
        <x:v>0</x:v>
      </x:c>
      <x:c r="AJ1397" t="n">
        <x:f>IF(ISNUMBER(AD1397),1,0)</x:f>
        <x:v>0</x:v>
      </x:c>
    </x:row>
    <x:row r="1398" ht="30" customHeight="1">
      <x:c r="A1398" s="3" t="str">
        <x:v>B06-RD-Z-0-39.5</x:v>
      </x:c>
      <x:c r="B1398" s="3" t="str">
        <x:v>1店-MUSSHOE-US</x:v>
      </x:c>
      <x:c r="C1398" s="3" t="str">
        <x:v>艾年</x:v>
      </x:c>
      <x:c r="D1398" s="3" t="str">
        <x:v>B06</x:v>
      </x:c>
      <x:c r="E1398" s="3" t="str">
        <x:f>IF(Z1398="移出","已移出",IF(NOT(ISNUMBER(H1398)),"数据待核",IF(H1398=0,"断货",IF(NOT(ISNUMBER(G1398)),"数据待核",IF(G1398=0,"零日销待复核",IF(F1398&lt;60,"补货提醒",IF(F1398&lt;=90,"正常库存",IF(F1398&lt;180,"促销",IF(F1398&lt;=365,"红线促销","考虑清仓")))))))))</x:f>
        <x:v>已移出</x:v>
      </x:c>
      <x:c r="F1398" s="11" t="str">
        <x:f>IF(AND(ISNUMBER(H1398),ISNUMBER(G1398),G1398&gt;0),H1398/G1398,"")</x:f>
      </x:c>
      <x:c r="G1398" s="12" t="str">
        <x:f>IF(AND(COUNT(P1398:R1398)=3,MIN(P1398:R1398)&gt;=0,P1398&lt;=Q1398,Q1398&lt;=R1398),P1398/7*0.5+Q1398/14*0.3+R1398/30*0.2,"")</x:f>
      </x:c>
      <x:c r="H1398" s="10" t="str">
        <x:f>IF(ISNUMBER(U1398),U1398,"")</x:f>
      </x:c>
      <x:c r="I1398" s="10" t="n">
        <x:v>0</x:v>
      </x:c>
      <x:c r="J1398" s="11" t="str">
        <x:f>IF(AND(Z1398="共同",ISNUMBER(F1398),ISNUMBER(M1398)),F1398-M1398,"")</x:f>
      </x:c>
      <x:c r="K1398" s="13" t="str">
        <x:f>IF(AND(ISNUMBER(J1398),M1398&lt;&gt;0),J1398/M1398,"")</x:f>
      </x:c>
      <x:c r="L1398" s="10" t="str">
        <x:v>断货</x:v>
      </x:c>
      <x:c r="M1398" s="11"/>
      <x:c r="N1398" s="10" t="str">
        <x:f>IF(AND(Z1398="共同",COUNT(H1398:I1398)=2),H1398-I1398,"")</x:f>
      </x:c>
      <x:c r="O1398" s="10"/>
      <x:c r="P1398" s="10"/>
      <x:c r="Q1398" s="10"/>
      <x:c r="R1398" s="10"/>
      <x:c r="S1398" s="10"/>
      <x:c r="T1398" s="10"/>
      <x:c r="U1398" s="10" t="str">
        <x:f>IF(AND(ISNUMBER(X1398),X1398&gt;=0,Y1398&lt;&gt;1),X1398,"")</x:f>
      </x:c>
      <x:c r="V1398" s="10"/>
      <x:c r="W1398" s="10"/>
      <x:c r="X1398" s="10"/>
      <x:c r="Y1398" s="3"/>
      <x:c r="Z1398" s="3" t="str">
        <x:v>移出</x:v>
      </x:c>
      <x:c r="AA1398" s="3" t="str">
        <x:v>已移出</x:v>
      </x:c>
      <x:c r="AB1398" s="12" t="str">
        <x:f>IF(AND(Z1398="共同",ISNUMBER(G1398),ISNUMBER(AD1398)),G1398-AD1398,"")</x:f>
      </x:c>
      <x:c r="AC1398" s="3" t="str">
        <x:v>基准清单已移出</x:v>
      </x:c>
      <x:c r="AD1398" s="12"/>
      <x:c r="AE1398" s="3" t="str">
        <x:v>[13120,"B06-RD-Z-0-39.5"]</x:v>
      </x:c>
      <x:c r="AF1398" t="n">
        <x:f>IF(ISNUMBER(H1398),1,0)</x:f>
        <x:v>0</x:v>
      </x:c>
      <x:c r="AG1398" t="n">
        <x:f>IF(ISNUMBER(I1398),1,0)</x:f>
        <x:v>1</x:v>
      </x:c>
      <x:c r="AH1398"/>
      <x:c r="AI1398" t="n">
        <x:f>IF(ISNUMBER(G1398),1,0)</x:f>
        <x:v>0</x:v>
      </x:c>
      <x:c r="AJ1398" t="n">
        <x:f>IF(ISNUMBER(AD1398),1,0)</x:f>
        <x:v>0</x:v>
      </x:c>
    </x:row>
    <x:row r="1399" ht="30" customHeight="1">
      <x:c r="A1399" s="3" t="str">
        <x:v>B06-RD-Z-0-40.5</x:v>
      </x:c>
      <x:c r="B1399" s="3" t="str">
        <x:v>1店-MUSSHOE-US</x:v>
      </x:c>
      <x:c r="C1399" s="3" t="str">
        <x:v>艾年</x:v>
      </x:c>
      <x:c r="D1399" s="3" t="str">
        <x:v>B06</x:v>
      </x:c>
      <x:c r="E1399" s="3" t="str">
        <x:f>IF(Z1399="移出","已移出",IF(NOT(ISNUMBER(H1399)),"数据待核",IF(H1399=0,"断货",IF(NOT(ISNUMBER(G1399)),"数据待核",IF(G1399=0,"零日销待复核",IF(F1399&lt;60,"补货提醒",IF(F1399&lt;=90,"正常库存",IF(F1399&lt;180,"促销",IF(F1399&lt;=365,"红线促销","考虑清仓")))))))))</x:f>
        <x:v>已移出</x:v>
      </x:c>
      <x:c r="F1399" s="11" t="str">
        <x:f>IF(AND(ISNUMBER(H1399),ISNUMBER(G1399),G1399&gt;0),H1399/G1399,"")</x:f>
      </x:c>
      <x:c r="G1399" s="12" t="str">
        <x:f>IF(AND(COUNT(P1399:R1399)=3,MIN(P1399:R1399)&gt;=0,P1399&lt;=Q1399,Q1399&lt;=R1399),P1399/7*0.5+Q1399/14*0.3+R1399/30*0.2,"")</x:f>
      </x:c>
      <x:c r="H1399" s="10" t="str">
        <x:f>IF(ISNUMBER(U1399),U1399,"")</x:f>
      </x:c>
      <x:c r="I1399" s="10" t="n">
        <x:v>0</x:v>
      </x:c>
      <x:c r="J1399" s="11" t="str">
        <x:f>IF(AND(Z1399="共同",ISNUMBER(F1399),ISNUMBER(M1399)),F1399-M1399,"")</x:f>
      </x:c>
      <x:c r="K1399" s="13" t="str">
        <x:f>IF(AND(ISNUMBER(J1399),M1399&lt;&gt;0),J1399/M1399,"")</x:f>
      </x:c>
      <x:c r="L1399" s="10" t="str">
        <x:v>断货</x:v>
      </x:c>
      <x:c r="M1399" s="11"/>
      <x:c r="N1399" s="10" t="str">
        <x:f>IF(AND(Z1399="共同",COUNT(H1399:I1399)=2),H1399-I1399,"")</x:f>
      </x:c>
      <x:c r="O1399" s="10"/>
      <x:c r="P1399" s="10"/>
      <x:c r="Q1399" s="10"/>
      <x:c r="R1399" s="10"/>
      <x:c r="S1399" s="10"/>
      <x:c r="T1399" s="10"/>
      <x:c r="U1399" s="10" t="str">
        <x:f>IF(AND(ISNUMBER(X1399),X1399&gt;=0,Y1399&lt;&gt;1),X1399,"")</x:f>
      </x:c>
      <x:c r="V1399" s="10"/>
      <x:c r="W1399" s="10"/>
      <x:c r="X1399" s="10"/>
      <x:c r="Y1399" s="3"/>
      <x:c r="Z1399" s="3" t="str">
        <x:v>移出</x:v>
      </x:c>
      <x:c r="AA1399" s="3" t="str">
        <x:v>已移出</x:v>
      </x:c>
      <x:c r="AB1399" s="12" t="str">
        <x:f>IF(AND(Z1399="共同",ISNUMBER(G1399),ISNUMBER(AD1399)),G1399-AD1399,"")</x:f>
      </x:c>
      <x:c r="AC1399" s="3" t="str">
        <x:v>基准清单已移出</x:v>
      </x:c>
      <x:c r="AD1399" s="12"/>
      <x:c r="AE1399" s="3" t="str">
        <x:v>[13120,"B06-RD-Z-0-40.5"]</x:v>
      </x:c>
      <x:c r="AF1399" t="n">
        <x:f>IF(ISNUMBER(H1399),1,0)</x:f>
        <x:v>0</x:v>
      </x:c>
      <x:c r="AG1399" t="n">
        <x:f>IF(ISNUMBER(I1399),1,0)</x:f>
        <x:v>1</x:v>
      </x:c>
      <x:c r="AH1399"/>
      <x:c r="AI1399" t="n">
        <x:f>IF(ISNUMBER(G1399),1,0)</x:f>
        <x:v>0</x:v>
      </x:c>
      <x:c r="AJ1399" t="n">
        <x:f>IF(ISNUMBER(AD1399),1,0)</x:f>
        <x:v>0</x:v>
      </x:c>
    </x:row>
    <x:row r="1400" ht="30" customHeight="1">
      <x:c r="A1400" s="3" t="str">
        <x:v>B06-RD-Z-0-41</x:v>
      </x:c>
      <x:c r="B1400" s="3" t="str">
        <x:v>1店-MUSSHOE-US</x:v>
      </x:c>
      <x:c r="C1400" s="3" t="str">
        <x:v>艾年</x:v>
      </x:c>
      <x:c r="D1400" s="3" t="str">
        <x:v>B06</x:v>
      </x:c>
      <x:c r="E1400" s="3" t="str">
        <x:f>IF(Z1400="移出","已移出",IF(NOT(ISNUMBER(H1400)),"数据待核",IF(H1400=0,"断货",IF(NOT(ISNUMBER(G1400)),"数据待核",IF(G1400=0,"零日销待复核",IF(F1400&lt;60,"补货提醒",IF(F1400&lt;=90,"正常库存",IF(F1400&lt;180,"促销",IF(F1400&lt;=365,"红线促销","考虑清仓")))))))))</x:f>
        <x:v>已移出</x:v>
      </x:c>
      <x:c r="F1400" s="11" t="str">
        <x:f>IF(AND(ISNUMBER(H1400),ISNUMBER(G1400),G1400&gt;0),H1400/G1400,"")</x:f>
      </x:c>
      <x:c r="G1400" s="12" t="str">
        <x:f>IF(AND(COUNT(P1400:R1400)=3,MIN(P1400:R1400)&gt;=0,P1400&lt;=Q1400,Q1400&lt;=R1400),P1400/7*0.5+Q1400/14*0.3+R1400/30*0.2,"")</x:f>
      </x:c>
      <x:c r="H1400" s="10" t="str">
        <x:f>IF(ISNUMBER(U1400),U1400,"")</x:f>
      </x:c>
      <x:c r="I1400" s="10" t="n">
        <x:v>0</x:v>
      </x:c>
      <x:c r="J1400" s="11" t="str">
        <x:f>IF(AND(Z1400="共同",ISNUMBER(F1400),ISNUMBER(M1400)),F1400-M1400,"")</x:f>
      </x:c>
      <x:c r="K1400" s="13" t="str">
        <x:f>IF(AND(ISNUMBER(J1400),M1400&lt;&gt;0),J1400/M1400,"")</x:f>
      </x:c>
      <x:c r="L1400" s="10" t="str">
        <x:v>断货</x:v>
      </x:c>
      <x:c r="M1400" s="11"/>
      <x:c r="N1400" s="10" t="str">
        <x:f>IF(AND(Z1400="共同",COUNT(H1400:I1400)=2),H1400-I1400,"")</x:f>
      </x:c>
      <x:c r="O1400" s="10"/>
      <x:c r="P1400" s="10"/>
      <x:c r="Q1400" s="10"/>
      <x:c r="R1400" s="10"/>
      <x:c r="S1400" s="10"/>
      <x:c r="T1400" s="10"/>
      <x:c r="U1400" s="10" t="str">
        <x:f>IF(AND(ISNUMBER(X1400),X1400&gt;=0,Y1400&lt;&gt;1),X1400,"")</x:f>
      </x:c>
      <x:c r="V1400" s="10"/>
      <x:c r="W1400" s="10"/>
      <x:c r="X1400" s="10"/>
      <x:c r="Y1400" s="3"/>
      <x:c r="Z1400" s="3" t="str">
        <x:v>移出</x:v>
      </x:c>
      <x:c r="AA1400" s="3" t="str">
        <x:v>已移出</x:v>
      </x:c>
      <x:c r="AB1400" s="12" t="str">
        <x:f>IF(AND(Z1400="共同",ISNUMBER(G1400),ISNUMBER(AD1400)),G1400-AD1400,"")</x:f>
      </x:c>
      <x:c r="AC1400" s="3" t="str">
        <x:v>基准清单已移出</x:v>
      </x:c>
      <x:c r="AD1400" s="12"/>
      <x:c r="AE1400" s="3" t="str">
        <x:v>[13120,"B06-RD-Z-0-41"]</x:v>
      </x:c>
      <x:c r="AF1400" t="n">
        <x:f>IF(ISNUMBER(H1400),1,0)</x:f>
        <x:v>0</x:v>
      </x:c>
      <x:c r="AG1400" t="n">
        <x:f>IF(ISNUMBER(I1400),1,0)</x:f>
        <x:v>1</x:v>
      </x:c>
      <x:c r="AH1400"/>
      <x:c r="AI1400" t="n">
        <x:f>IF(ISNUMBER(G1400),1,0)</x:f>
        <x:v>0</x:v>
      </x:c>
      <x:c r="AJ1400" t="n">
        <x:f>IF(ISNUMBER(AD1400),1,0)</x:f>
        <x:v>0</x:v>
      </x:c>
    </x:row>
    <x:row r="1401" ht="30" customHeight="1">
      <x:c r="A1401" s="3" t="str">
        <x:v>B06-RG-38.5</x:v>
      </x:c>
      <x:c r="B1401" s="3" t="str">
        <x:v>1店-MUSSHOE-US</x:v>
      </x:c>
      <x:c r="C1401" s="3" t="str">
        <x:v>艾年</x:v>
      </x:c>
      <x:c r="D1401" s="3" t="str">
        <x:v>B06</x:v>
      </x:c>
      <x:c r="E1401" s="3" t="str">
        <x:f>IF(Z1401="移出","已移出",IF(NOT(ISNUMBER(H1401)),"数据待核",IF(H1401=0,"断货",IF(NOT(ISNUMBER(G1401)),"数据待核",IF(G1401=0,"零日销待复核",IF(F1401&lt;60,"补货提醒",IF(F1401&lt;=90,"正常库存",IF(F1401&lt;180,"促销",IF(F1401&lt;=365,"红线促销","考虑清仓")))))))))</x:f>
        <x:v>已移出</x:v>
      </x:c>
      <x:c r="F1401" s="11" t="str">
        <x:f>IF(AND(ISNUMBER(H1401),ISNUMBER(G1401),G1401&gt;0),H1401/G1401,"")</x:f>
      </x:c>
      <x:c r="G1401" s="12" t="str">
        <x:f>IF(AND(COUNT(P1401:R1401)=3,MIN(P1401:R1401)&gt;=0,P1401&lt;=Q1401,Q1401&lt;=R1401),P1401/7*0.5+Q1401/14*0.3+R1401/30*0.2,"")</x:f>
      </x:c>
      <x:c r="H1401" s="10" t="str">
        <x:f>IF(ISNUMBER(U1401),U1401,"")</x:f>
      </x:c>
      <x:c r="I1401" s="10" t="n">
        <x:v>0</x:v>
      </x:c>
      <x:c r="J1401" s="11" t="str">
        <x:f>IF(AND(Z1401="共同",ISNUMBER(F1401),ISNUMBER(M1401)),F1401-M1401,"")</x:f>
      </x:c>
      <x:c r="K1401" s="13" t="str">
        <x:f>IF(AND(ISNUMBER(J1401),M1401&lt;&gt;0),J1401/M1401,"")</x:f>
      </x:c>
      <x:c r="L1401" s="10" t="str">
        <x:v>断货</x:v>
      </x:c>
      <x:c r="M1401" s="11"/>
      <x:c r="N1401" s="10" t="str">
        <x:f>IF(AND(Z1401="共同",COUNT(H1401:I1401)=2),H1401-I1401,"")</x:f>
      </x:c>
      <x:c r="O1401" s="10"/>
      <x:c r="P1401" s="10"/>
      <x:c r="Q1401" s="10"/>
      <x:c r="R1401" s="10"/>
      <x:c r="S1401" s="10"/>
      <x:c r="T1401" s="10"/>
      <x:c r="U1401" s="10" t="str">
        <x:f>IF(AND(ISNUMBER(X1401),X1401&gt;=0,Y1401&lt;&gt;1),X1401,"")</x:f>
      </x:c>
      <x:c r="V1401" s="10"/>
      <x:c r="W1401" s="10"/>
      <x:c r="X1401" s="10"/>
      <x:c r="Y1401" s="3"/>
      <x:c r="Z1401" s="3" t="str">
        <x:v>移出</x:v>
      </x:c>
      <x:c r="AA1401" s="3" t="str">
        <x:v>已移出</x:v>
      </x:c>
      <x:c r="AB1401" s="12" t="str">
        <x:f>IF(AND(Z1401="共同",ISNUMBER(G1401),ISNUMBER(AD1401)),G1401-AD1401,"")</x:f>
      </x:c>
      <x:c r="AC1401" s="3" t="str">
        <x:v>基准清单已移出</x:v>
      </x:c>
      <x:c r="AD1401" s="12"/>
      <x:c r="AE1401" s="3" t="str">
        <x:v>[13120,"B06-RG-38.5"]</x:v>
      </x:c>
      <x:c r="AF1401" t="n">
        <x:f>IF(ISNUMBER(H1401),1,0)</x:f>
        <x:v>0</x:v>
      </x:c>
      <x:c r="AG1401" t="n">
        <x:f>IF(ISNUMBER(I1401),1,0)</x:f>
        <x:v>1</x:v>
      </x:c>
      <x:c r="AH1401"/>
      <x:c r="AI1401" t="n">
        <x:f>IF(ISNUMBER(G1401),1,0)</x:f>
        <x:v>0</x:v>
      </x:c>
      <x:c r="AJ1401" t="n">
        <x:f>IF(ISNUMBER(AD1401),1,0)</x:f>
        <x:v>0</x:v>
      </x:c>
    </x:row>
    <x:row r="1402" ht="30" customHeight="1">
      <x:c r="A1402" s="3" t="str">
        <x:v>B06-RG-41.5</x:v>
      </x:c>
      <x:c r="B1402" s="3" t="str">
        <x:v>1店-MUSSHOE-US</x:v>
      </x:c>
      <x:c r="C1402" s="3" t="str">
        <x:v>艾年</x:v>
      </x:c>
      <x:c r="D1402" s="3" t="str">
        <x:v>B06</x:v>
      </x:c>
      <x:c r="E1402" s="3" t="str">
        <x:f>IF(Z1402="移出","已移出",IF(NOT(ISNUMBER(H1402)),"数据待核",IF(H1402=0,"断货",IF(NOT(ISNUMBER(G1402)),"数据待核",IF(G1402=0,"零日销待复核",IF(F1402&lt;60,"补货提醒",IF(F1402&lt;=90,"正常库存",IF(F1402&lt;180,"促销",IF(F1402&lt;=365,"红线促销","考虑清仓")))))))))</x:f>
        <x:v>已移出</x:v>
      </x:c>
      <x:c r="F1402" s="11" t="str">
        <x:f>IF(AND(ISNUMBER(H1402),ISNUMBER(G1402),G1402&gt;0),H1402/G1402,"")</x:f>
      </x:c>
      <x:c r="G1402" s="12" t="str">
        <x:f>IF(AND(COUNT(P1402:R1402)=3,MIN(P1402:R1402)&gt;=0,P1402&lt;=Q1402,Q1402&lt;=R1402),P1402/7*0.5+Q1402/14*0.3+R1402/30*0.2,"")</x:f>
      </x:c>
      <x:c r="H1402" s="10" t="str">
        <x:f>IF(ISNUMBER(U1402),U1402,"")</x:f>
      </x:c>
      <x:c r="I1402" s="10" t="n">
        <x:v>0</x:v>
      </x:c>
      <x:c r="J1402" s="11" t="str">
        <x:f>IF(AND(Z1402="共同",ISNUMBER(F1402),ISNUMBER(M1402)),F1402-M1402,"")</x:f>
      </x:c>
      <x:c r="K1402" s="13" t="str">
        <x:f>IF(AND(ISNUMBER(J1402),M1402&lt;&gt;0),J1402/M1402,"")</x:f>
      </x:c>
      <x:c r="L1402" s="10" t="str">
        <x:v>断货</x:v>
      </x:c>
      <x:c r="M1402" s="11"/>
      <x:c r="N1402" s="10" t="str">
        <x:f>IF(AND(Z1402="共同",COUNT(H1402:I1402)=2),H1402-I1402,"")</x:f>
      </x:c>
      <x:c r="O1402" s="10"/>
      <x:c r="P1402" s="10"/>
      <x:c r="Q1402" s="10"/>
      <x:c r="R1402" s="10"/>
      <x:c r="S1402" s="10"/>
      <x:c r="T1402" s="10"/>
      <x:c r="U1402" s="10" t="str">
        <x:f>IF(AND(ISNUMBER(X1402),X1402&gt;=0,Y1402&lt;&gt;1),X1402,"")</x:f>
      </x:c>
      <x:c r="V1402" s="10"/>
      <x:c r="W1402" s="10"/>
      <x:c r="X1402" s="10"/>
      <x:c r="Y1402" s="3"/>
      <x:c r="Z1402" s="3" t="str">
        <x:v>移出</x:v>
      </x:c>
      <x:c r="AA1402" s="3" t="str">
        <x:v>已移出</x:v>
      </x:c>
      <x:c r="AB1402" s="12" t="str">
        <x:f>IF(AND(Z1402="共同",ISNUMBER(G1402),ISNUMBER(AD1402)),G1402-AD1402,"")</x:f>
      </x:c>
      <x:c r="AC1402" s="3" t="str">
        <x:v>基准清单已移出</x:v>
      </x:c>
      <x:c r="AD1402" s="12"/>
      <x:c r="AE1402" s="3" t="str">
        <x:v>[13120,"B06-RG-41.5"]</x:v>
      </x:c>
      <x:c r="AF1402" t="n">
        <x:f>IF(ISNUMBER(H1402),1,0)</x:f>
        <x:v>0</x:v>
      </x:c>
      <x:c r="AG1402" t="n">
        <x:f>IF(ISNUMBER(I1402),1,0)</x:f>
        <x:v>1</x:v>
      </x:c>
      <x:c r="AH1402"/>
      <x:c r="AI1402" t="n">
        <x:f>IF(ISNUMBER(G1402),1,0)</x:f>
        <x:v>0</x:v>
      </x:c>
      <x:c r="AJ1402" t="n">
        <x:f>IF(ISNUMBER(AD1402),1,0)</x:f>
        <x:v>0</x:v>
      </x:c>
    </x:row>
    <x:row r="1403" ht="30" customHeight="1">
      <x:c r="A1403" s="3" t="str">
        <x:v>B06-SP-41.5</x:v>
      </x:c>
      <x:c r="B1403" s="3" t="str">
        <x:v>1店-MUSSHOE-US</x:v>
      </x:c>
      <x:c r="C1403" s="3" t="str">
        <x:v>艾年</x:v>
      </x:c>
      <x:c r="D1403" s="3" t="str">
        <x:v>B06</x:v>
      </x:c>
      <x:c r="E1403" s="3" t="str">
        <x:f>IF(Z1403="移出","已移出",IF(NOT(ISNUMBER(H1403)),"数据待核",IF(H1403=0,"断货",IF(NOT(ISNUMBER(G1403)),"数据待核",IF(G1403=0,"零日销待复核",IF(F1403&lt;60,"补货提醒",IF(F1403&lt;=90,"正常库存",IF(F1403&lt;180,"促销",IF(F1403&lt;=365,"红线促销","考虑清仓")))))))))</x:f>
        <x:v>已移出</x:v>
      </x:c>
      <x:c r="F1403" s="11" t="str">
        <x:f>IF(AND(ISNUMBER(H1403),ISNUMBER(G1403),G1403&gt;0),H1403/G1403,"")</x:f>
      </x:c>
      <x:c r="G1403" s="12" t="str">
        <x:f>IF(AND(COUNT(P1403:R1403)=3,MIN(P1403:R1403)&gt;=0,P1403&lt;=Q1403,Q1403&lt;=R1403),P1403/7*0.5+Q1403/14*0.3+R1403/30*0.2,"")</x:f>
      </x:c>
      <x:c r="H1403" s="10" t="str">
        <x:f>IF(ISNUMBER(U1403),U1403,"")</x:f>
      </x:c>
      <x:c r="I1403" s="10" t="n">
        <x:v>0</x:v>
      </x:c>
      <x:c r="J1403" s="11" t="str">
        <x:f>IF(AND(Z1403="共同",ISNUMBER(F1403),ISNUMBER(M1403)),F1403-M1403,"")</x:f>
      </x:c>
      <x:c r="K1403" s="13" t="str">
        <x:f>IF(AND(ISNUMBER(J1403),M1403&lt;&gt;0),J1403/M1403,"")</x:f>
      </x:c>
      <x:c r="L1403" s="10" t="str">
        <x:v>断货</x:v>
      </x:c>
      <x:c r="M1403" s="11"/>
      <x:c r="N1403" s="10" t="str">
        <x:f>IF(AND(Z1403="共同",COUNT(H1403:I1403)=2),H1403-I1403,"")</x:f>
      </x:c>
      <x:c r="O1403" s="10"/>
      <x:c r="P1403" s="10"/>
      <x:c r="Q1403" s="10"/>
      <x:c r="R1403" s="10"/>
      <x:c r="S1403" s="10"/>
      <x:c r="T1403" s="10"/>
      <x:c r="U1403" s="10" t="str">
        <x:f>IF(AND(ISNUMBER(X1403),X1403&gt;=0,Y1403&lt;&gt;1),X1403,"")</x:f>
      </x:c>
      <x:c r="V1403" s="10"/>
      <x:c r="W1403" s="10"/>
      <x:c r="X1403" s="10"/>
      <x:c r="Y1403" s="3"/>
      <x:c r="Z1403" s="3" t="str">
        <x:v>移出</x:v>
      </x:c>
      <x:c r="AA1403" s="3" t="str">
        <x:v>已移出</x:v>
      </x:c>
      <x:c r="AB1403" s="12" t="str">
        <x:f>IF(AND(Z1403="共同",ISNUMBER(G1403),ISNUMBER(AD1403)),G1403-AD1403,"")</x:f>
      </x:c>
      <x:c r="AC1403" s="3" t="str">
        <x:v>基准清单已移出</x:v>
      </x:c>
      <x:c r="AD1403" s="12"/>
      <x:c r="AE1403" s="3" t="str">
        <x:v>[13120,"B06-SP-41.5"]</x:v>
      </x:c>
      <x:c r="AF1403" t="n">
        <x:f>IF(ISNUMBER(H1403),1,0)</x:f>
        <x:v>0</x:v>
      </x:c>
      <x:c r="AG1403" t="n">
        <x:f>IF(ISNUMBER(I1403),1,0)</x:f>
        <x:v>1</x:v>
      </x:c>
      <x:c r="AH1403"/>
      <x:c r="AI1403" t="n">
        <x:f>IF(ISNUMBER(G1403),1,0)</x:f>
        <x:v>0</x:v>
      </x:c>
      <x:c r="AJ1403" t="n">
        <x:f>IF(ISNUMBER(AD1403),1,0)</x:f>
        <x:v>0</x:v>
      </x:c>
    </x:row>
    <x:row r="1404" ht="30" customHeight="1">
      <x:c r="A1404" s="3" t="str">
        <x:v>B06-WT-37.5</x:v>
      </x:c>
      <x:c r="B1404" s="3" t="str">
        <x:v>1店-MUSSHOE-US</x:v>
      </x:c>
      <x:c r="C1404" s="3" t="str">
        <x:v>艾年</x:v>
      </x:c>
      <x:c r="D1404" s="3" t="str">
        <x:v>B06</x:v>
      </x:c>
      <x:c r="E1404" s="3" t="str">
        <x:f>IF(Z1404="移出","已移出",IF(NOT(ISNUMBER(H1404)),"数据待核",IF(H1404=0,"断货",IF(NOT(ISNUMBER(G1404)),"数据待核",IF(G1404=0,"零日销待复核",IF(F1404&lt;60,"补货提醒",IF(F1404&lt;=90,"正常库存",IF(F1404&lt;180,"促销",IF(F1404&lt;=365,"红线促销","考虑清仓")))))))))</x:f>
        <x:v>已移出</x:v>
      </x:c>
      <x:c r="F1404" s="11" t="str">
        <x:f>IF(AND(ISNUMBER(H1404),ISNUMBER(G1404),G1404&gt;0),H1404/G1404,"")</x:f>
      </x:c>
      <x:c r="G1404" s="12" t="str">
        <x:f>IF(AND(COUNT(P1404:R1404)=3,MIN(P1404:R1404)&gt;=0,P1404&lt;=Q1404,Q1404&lt;=R1404),P1404/7*0.5+Q1404/14*0.3+R1404/30*0.2,"")</x:f>
      </x:c>
      <x:c r="H1404" s="10" t="str">
        <x:f>IF(ISNUMBER(U1404),U1404,"")</x:f>
      </x:c>
      <x:c r="I1404" s="10" t="n">
        <x:v>0</x:v>
      </x:c>
      <x:c r="J1404" s="11" t="str">
        <x:f>IF(AND(Z1404="共同",ISNUMBER(F1404),ISNUMBER(M1404)),F1404-M1404,"")</x:f>
      </x:c>
      <x:c r="K1404" s="13" t="str">
        <x:f>IF(AND(ISNUMBER(J1404),M1404&lt;&gt;0),J1404/M1404,"")</x:f>
      </x:c>
      <x:c r="L1404" s="10" t="str">
        <x:v>断货</x:v>
      </x:c>
      <x:c r="M1404" s="11"/>
      <x:c r="N1404" s="10" t="str">
        <x:f>IF(AND(Z1404="共同",COUNT(H1404:I1404)=2),H1404-I1404,"")</x:f>
      </x:c>
      <x:c r="O1404" s="10"/>
      <x:c r="P1404" s="10"/>
      <x:c r="Q1404" s="10"/>
      <x:c r="R1404" s="10"/>
      <x:c r="S1404" s="10"/>
      <x:c r="T1404" s="10"/>
      <x:c r="U1404" s="10" t="str">
        <x:f>IF(AND(ISNUMBER(X1404),X1404&gt;=0,Y1404&lt;&gt;1),X1404,"")</x:f>
      </x:c>
      <x:c r="V1404" s="10"/>
      <x:c r="W1404" s="10"/>
      <x:c r="X1404" s="10"/>
      <x:c r="Y1404" s="3"/>
      <x:c r="Z1404" s="3" t="str">
        <x:v>移出</x:v>
      </x:c>
      <x:c r="AA1404" s="3" t="str">
        <x:v>已移出</x:v>
      </x:c>
      <x:c r="AB1404" s="12" t="str">
        <x:f>IF(AND(Z1404="共同",ISNUMBER(G1404),ISNUMBER(AD1404)),G1404-AD1404,"")</x:f>
      </x:c>
      <x:c r="AC1404" s="3" t="str">
        <x:v>基准清单已移出</x:v>
      </x:c>
      <x:c r="AD1404" s="12"/>
      <x:c r="AE1404" s="3" t="str">
        <x:v>[13120,"B06-WT-37.5"]</x:v>
      </x:c>
      <x:c r="AF1404" t="n">
        <x:f>IF(ISNUMBER(H1404),1,0)</x:f>
        <x:v>0</x:v>
      </x:c>
      <x:c r="AG1404" t="n">
        <x:f>IF(ISNUMBER(I1404),1,0)</x:f>
        <x:v>1</x:v>
      </x:c>
      <x:c r="AH1404"/>
      <x:c r="AI1404" t="n">
        <x:f>IF(ISNUMBER(G1404),1,0)</x:f>
        <x:v>0</x:v>
      </x:c>
      <x:c r="AJ1404" t="n">
        <x:f>IF(ISNUMBER(AD1404),1,0)</x:f>
        <x:v>0</x:v>
      </x:c>
    </x:row>
    <x:row r="1405" ht="30" customHeight="1">
      <x:c r="A1405" s="3" t="str">
        <x:v>B07-BGP-42-by</x:v>
      </x:c>
      <x:c r="B1405" s="3" t="str">
        <x:v>4店-彬郁-US</x:v>
      </x:c>
      <x:c r="C1405" s="3" t="str">
        <x:v>艾年</x:v>
      </x:c>
      <x:c r="D1405" s="3" t="str">
        <x:v>B07</x:v>
      </x:c>
      <x:c r="E1405" s="3" t="str">
        <x:f>IF(Z1405="移出","已移出",IF(NOT(ISNUMBER(H1405)),"数据待核",IF(H1405=0,"断货",IF(NOT(ISNUMBER(G1405)),"数据待核",IF(G1405=0,"零日销待复核",IF(F1405&lt;60,"补货提醒",IF(F1405&lt;=90,"正常库存",IF(F1405&lt;180,"促销",IF(F1405&lt;=365,"红线促销","考虑清仓")))))))))</x:f>
        <x:v>已移出</x:v>
      </x:c>
      <x:c r="F1405" s="11" t="str">
        <x:f>IF(AND(ISNUMBER(H1405),ISNUMBER(G1405),G1405&gt;0),H1405/G1405,"")</x:f>
      </x:c>
      <x:c r="G1405" s="12" t="str">
        <x:f>IF(AND(COUNT(P1405:R1405)=3,MIN(P1405:R1405)&gt;=0,P1405&lt;=Q1405,Q1405&lt;=R1405),P1405/7*0.5+Q1405/14*0.3+R1405/30*0.2,"")</x:f>
      </x:c>
      <x:c r="H1405" s="10" t="str">
        <x:f>IF(ISNUMBER(U1405),U1405,"")</x:f>
      </x:c>
      <x:c r="I1405" s="10" t="n">
        <x:v>0</x:v>
      </x:c>
      <x:c r="J1405" s="11" t="str">
        <x:f>IF(AND(Z1405="共同",ISNUMBER(F1405),ISNUMBER(M1405)),F1405-M1405,"")</x:f>
      </x:c>
      <x:c r="K1405" s="13" t="str">
        <x:f>IF(AND(ISNUMBER(J1405),M1405&lt;&gt;0),J1405/M1405,"")</x:f>
      </x:c>
      <x:c r="L1405" s="10" t="str">
        <x:v>断货</x:v>
      </x:c>
      <x:c r="M1405" s="11"/>
      <x:c r="N1405" s="10" t="str">
        <x:f>IF(AND(Z1405="共同",COUNT(H1405:I1405)=2),H1405-I1405,"")</x:f>
      </x:c>
      <x:c r="O1405" s="10"/>
      <x:c r="P1405" s="10"/>
      <x:c r="Q1405" s="10"/>
      <x:c r="R1405" s="10"/>
      <x:c r="S1405" s="10"/>
      <x:c r="T1405" s="10"/>
      <x:c r="U1405" s="10" t="str">
        <x:f>IF(AND(ISNUMBER(X1405),X1405&gt;=0,Y1405&lt;&gt;1),X1405,"")</x:f>
      </x:c>
      <x:c r="V1405" s="10"/>
      <x:c r="W1405" s="10"/>
      <x:c r="X1405" s="10"/>
      <x:c r="Y1405" s="3"/>
      <x:c r="Z1405" s="3" t="str">
        <x:v>移出</x:v>
      </x:c>
      <x:c r="AA1405" s="3" t="str">
        <x:v>已移出</x:v>
      </x:c>
      <x:c r="AB1405" s="12" t="str">
        <x:f>IF(AND(Z1405="共同",ISNUMBER(G1405),ISNUMBER(AD1405)),G1405-AD1405,"")</x:f>
      </x:c>
      <x:c r="AC1405" s="3" t="str">
        <x:v>基准清单已移出</x:v>
      </x:c>
      <x:c r="AD1405" s="12"/>
      <x:c r="AE1405" s="3" t="str">
        <x:v>[13306,"B07-BGP-42-by"]</x:v>
      </x:c>
      <x:c r="AF1405" t="n">
        <x:f>IF(ISNUMBER(H1405),1,0)</x:f>
        <x:v>0</x:v>
      </x:c>
      <x:c r="AG1405" t="n">
        <x:f>IF(ISNUMBER(I1405),1,0)</x:f>
        <x:v>1</x:v>
      </x:c>
      <x:c r="AH1405"/>
      <x:c r="AI1405" t="n">
        <x:f>IF(ISNUMBER(G1405),1,0)</x:f>
        <x:v>0</x:v>
      </x:c>
      <x:c r="AJ1405" t="n">
        <x:f>IF(ISNUMBER(AD1405),1,0)</x:f>
        <x:v>0</x:v>
      </x:c>
    </x:row>
    <x:row r="1406" ht="30" customHeight="1">
      <x:c r="A1406" s="3" t="str">
        <x:v>B07-BK-38-Shanhe</x:v>
      </x:c>
      <x:c r="B1406" s="3" t="str">
        <x:v>4店-彬郁-US</x:v>
      </x:c>
      <x:c r="C1406" s="3" t="str">
        <x:v>艾年</x:v>
      </x:c>
      <x:c r="D1406" s="3" t="str">
        <x:v>B07</x:v>
      </x:c>
      <x:c r="E1406" s="3" t="str">
        <x:f>IF(Z1406="移出","已移出",IF(NOT(ISNUMBER(H1406)),"数据待核",IF(H1406=0,"断货",IF(NOT(ISNUMBER(G1406)),"数据待核",IF(G1406=0,"零日销待复核",IF(F1406&lt;60,"补货提醒",IF(F1406&lt;=90,"正常库存",IF(F1406&lt;180,"促销",IF(F1406&lt;=365,"红线促销","考虑清仓")))))))))</x:f>
        <x:v>已移出</x:v>
      </x:c>
      <x:c r="F1406" s="11" t="str">
        <x:f>IF(AND(ISNUMBER(H1406),ISNUMBER(G1406),G1406&gt;0),H1406/G1406,"")</x:f>
      </x:c>
      <x:c r="G1406" s="12" t="str">
        <x:f>IF(AND(COUNT(P1406:R1406)=3,MIN(P1406:R1406)&gt;=0,P1406&lt;=Q1406,Q1406&lt;=R1406),P1406/7*0.5+Q1406/14*0.3+R1406/30*0.2,"")</x:f>
      </x:c>
      <x:c r="H1406" s="10" t="str">
        <x:f>IF(ISNUMBER(U1406),U1406,"")</x:f>
      </x:c>
      <x:c r="I1406" s="10"/>
      <x:c r="J1406" s="11" t="str">
        <x:f>IF(AND(Z1406="共同",ISNUMBER(F1406),ISNUMBER(M1406)),F1406-M1406,"")</x:f>
      </x:c>
      <x:c r="K1406" s="13" t="str">
        <x:f>IF(AND(ISNUMBER(J1406),M1406&lt;&gt;0),J1406/M1406,"")</x:f>
      </x:c>
      <x:c r="L1406" s="10" t="str">
        <x:v>数据待核</x:v>
      </x:c>
      <x:c r="M1406" s="11"/>
      <x:c r="N1406" s="10" t="str">
        <x:f>IF(AND(Z1406="共同",COUNT(H1406:I1406)=2),H1406-I1406,"")</x:f>
      </x:c>
      <x:c r="O1406" s="10"/>
      <x:c r="P1406" s="10"/>
      <x:c r="Q1406" s="10"/>
      <x:c r="R1406" s="10"/>
      <x:c r="S1406" s="10"/>
      <x:c r="T1406" s="10"/>
      <x:c r="U1406" s="10" t="str">
        <x:f>IF(AND(ISNUMBER(X1406),X1406&gt;=0,Y1406&lt;&gt;1),X1406,"")</x:f>
      </x:c>
      <x:c r="V1406" s="10"/>
      <x:c r="W1406" s="10"/>
      <x:c r="X1406" s="10"/>
      <x:c r="Y1406" s="3"/>
      <x:c r="Z1406" s="3" t="str">
        <x:v>移出</x:v>
      </x:c>
      <x:c r="AA1406" s="3" t="str">
        <x:v>已移出</x:v>
      </x:c>
      <x:c r="AB1406" s="12" t="str">
        <x:f>IF(AND(Z1406="共同",ISNUMBER(G1406),ISNUMBER(AD1406)),G1406-AD1406,"")</x:f>
      </x:c>
      <x:c r="AC1406" s="3" t="str">
        <x:v>基准清单已移出</x:v>
      </x:c>
      <x:c r="AD1406" s="12"/>
      <x:c r="AE1406" s="3" t="str">
        <x:v>[13306,"B07-BK-38-Shanhe"]</x:v>
      </x:c>
      <x:c r="AF1406" t="n">
        <x:f>IF(ISNUMBER(H1406),1,0)</x:f>
        <x:v>0</x:v>
      </x:c>
      <x:c r="AG1406" t="n">
        <x:f>IF(ISNUMBER(I1406),1,0)</x:f>
        <x:v>0</x:v>
      </x:c>
      <x:c r="AH1406"/>
      <x:c r="AI1406" t="n">
        <x:f>IF(ISNUMBER(G1406),1,0)</x:f>
        <x:v>0</x:v>
      </x:c>
      <x:c r="AJ1406" t="n">
        <x:f>IF(ISNUMBER(AD1406),1,0)</x:f>
        <x:v>0</x:v>
      </x:c>
    </x:row>
    <x:row r="1407" ht="30" customHeight="1">
      <x:c r="A1407" s="3" t="str">
        <x:v>B07-BK-40-Shanhe</x:v>
      </x:c>
      <x:c r="B1407" s="3" t="str">
        <x:v>4店-彬郁-US</x:v>
      </x:c>
      <x:c r="C1407" s="3" t="str">
        <x:v>艾年</x:v>
      </x:c>
      <x:c r="D1407" s="3" t="str">
        <x:v>B07</x:v>
      </x:c>
      <x:c r="E1407" s="3" t="str">
        <x:f>IF(Z1407="移出","已移出",IF(NOT(ISNUMBER(H1407)),"数据待核",IF(H1407=0,"断货",IF(NOT(ISNUMBER(G1407)),"数据待核",IF(G1407=0,"零日销待复核",IF(F1407&lt;60,"补货提醒",IF(F1407&lt;=90,"正常库存",IF(F1407&lt;180,"促销",IF(F1407&lt;=365,"红线促销","考虑清仓")))))))))</x:f>
        <x:v>已移出</x:v>
      </x:c>
      <x:c r="F1407" s="11" t="str">
        <x:f>IF(AND(ISNUMBER(H1407),ISNUMBER(G1407),G1407&gt;0),H1407/G1407,"")</x:f>
      </x:c>
      <x:c r="G1407" s="12" t="str">
        <x:f>IF(AND(COUNT(P1407:R1407)=3,MIN(P1407:R1407)&gt;=0,P1407&lt;=Q1407,Q1407&lt;=R1407),P1407/7*0.5+Q1407/14*0.3+R1407/30*0.2,"")</x:f>
      </x:c>
      <x:c r="H1407" s="10" t="str">
        <x:f>IF(ISNUMBER(U1407),U1407,"")</x:f>
      </x:c>
      <x:c r="I1407" s="10"/>
      <x:c r="J1407" s="11" t="str">
        <x:f>IF(AND(Z1407="共同",ISNUMBER(F1407),ISNUMBER(M1407)),F1407-M1407,"")</x:f>
      </x:c>
      <x:c r="K1407" s="13" t="str">
        <x:f>IF(AND(ISNUMBER(J1407),M1407&lt;&gt;0),J1407/M1407,"")</x:f>
      </x:c>
      <x:c r="L1407" s="10" t="str">
        <x:v>数据待核</x:v>
      </x:c>
      <x:c r="M1407" s="11"/>
      <x:c r="N1407" s="10" t="str">
        <x:f>IF(AND(Z1407="共同",COUNT(H1407:I1407)=2),H1407-I1407,"")</x:f>
      </x:c>
      <x:c r="O1407" s="10"/>
      <x:c r="P1407" s="10"/>
      <x:c r="Q1407" s="10"/>
      <x:c r="R1407" s="10"/>
      <x:c r="S1407" s="10"/>
      <x:c r="T1407" s="10"/>
      <x:c r="U1407" s="10" t="str">
        <x:f>IF(AND(ISNUMBER(X1407),X1407&gt;=0,Y1407&lt;&gt;1),X1407,"")</x:f>
      </x:c>
      <x:c r="V1407" s="10"/>
      <x:c r="W1407" s="10"/>
      <x:c r="X1407" s="10"/>
      <x:c r="Y1407" s="3"/>
      <x:c r="Z1407" s="3" t="str">
        <x:v>移出</x:v>
      </x:c>
      <x:c r="AA1407" s="3" t="str">
        <x:v>已移出</x:v>
      </x:c>
      <x:c r="AB1407" s="12" t="str">
        <x:f>IF(AND(Z1407="共同",ISNUMBER(G1407),ISNUMBER(AD1407)),G1407-AD1407,"")</x:f>
      </x:c>
      <x:c r="AC1407" s="3" t="str">
        <x:v>基准清单已移出</x:v>
      </x:c>
      <x:c r="AD1407" s="12"/>
      <x:c r="AE1407" s="3" t="str">
        <x:v>[13306,"B07-BK-40-Shanhe"]</x:v>
      </x:c>
      <x:c r="AF1407" t="n">
        <x:f>IF(ISNUMBER(H1407),1,0)</x:f>
        <x:v>0</x:v>
      </x:c>
      <x:c r="AG1407" t="n">
        <x:f>IF(ISNUMBER(I1407),1,0)</x:f>
        <x:v>0</x:v>
      </x:c>
      <x:c r="AH1407"/>
      <x:c r="AI1407" t="n">
        <x:f>IF(ISNUMBER(G1407),1,0)</x:f>
        <x:v>0</x:v>
      </x:c>
      <x:c r="AJ1407" t="n">
        <x:f>IF(ISNUMBER(AD1407),1,0)</x:f>
        <x:v>0</x:v>
      </x:c>
    </x:row>
    <x:row r="1408" ht="30" customHeight="1">
      <x:c r="A1408" s="3" t="str">
        <x:v>B07-BK-41-New</x:v>
      </x:c>
      <x:c r="B1408" s="3" t="str">
        <x:v>4店-彬郁-US</x:v>
      </x:c>
      <x:c r="C1408" s="3" t="str">
        <x:v>艾年</x:v>
      </x:c>
      <x:c r="D1408" s="3" t="str">
        <x:v>B07</x:v>
      </x:c>
      <x:c r="E1408" s="3" t="str">
        <x:f>IF(Z1408="移出","已移出",IF(NOT(ISNUMBER(H1408)),"数据待核",IF(H1408=0,"断货",IF(NOT(ISNUMBER(G1408)),"数据待核",IF(G1408=0,"零日销待复核",IF(F1408&lt;60,"补货提醒",IF(F1408&lt;=90,"正常库存",IF(F1408&lt;180,"促销",IF(F1408&lt;=365,"红线促销","考虑清仓")))))))))</x:f>
        <x:v>已移出</x:v>
      </x:c>
      <x:c r="F1408" s="11" t="str">
        <x:f>IF(AND(ISNUMBER(H1408),ISNUMBER(G1408),G1408&gt;0),H1408/G1408,"")</x:f>
      </x:c>
      <x:c r="G1408" s="12" t="str">
        <x:f>IF(AND(COUNT(P1408:R1408)=3,MIN(P1408:R1408)&gt;=0,P1408&lt;=Q1408,Q1408&lt;=R1408),P1408/7*0.5+Q1408/14*0.3+R1408/30*0.2,"")</x:f>
      </x:c>
      <x:c r="H1408" s="10" t="str">
        <x:f>IF(ISNUMBER(U1408),U1408,"")</x:f>
      </x:c>
      <x:c r="I1408" s="10" t="n">
        <x:v>0</x:v>
      </x:c>
      <x:c r="J1408" s="11" t="str">
        <x:f>IF(AND(Z1408="共同",ISNUMBER(F1408),ISNUMBER(M1408)),F1408-M1408,"")</x:f>
      </x:c>
      <x:c r="K1408" s="13" t="str">
        <x:f>IF(AND(ISNUMBER(J1408),M1408&lt;&gt;0),J1408/M1408,"")</x:f>
      </x:c>
      <x:c r="L1408" s="10" t="str">
        <x:v>断货</x:v>
      </x:c>
      <x:c r="M1408" s="11"/>
      <x:c r="N1408" s="10" t="str">
        <x:f>IF(AND(Z1408="共同",COUNT(H1408:I1408)=2),H1408-I1408,"")</x:f>
      </x:c>
      <x:c r="O1408" s="10"/>
      <x:c r="P1408" s="10"/>
      <x:c r="Q1408" s="10"/>
      <x:c r="R1408" s="10"/>
      <x:c r="S1408" s="10"/>
      <x:c r="T1408" s="10"/>
      <x:c r="U1408" s="10" t="str">
        <x:f>IF(AND(ISNUMBER(X1408),X1408&gt;=0,Y1408&lt;&gt;1),X1408,"")</x:f>
      </x:c>
      <x:c r="V1408" s="10"/>
      <x:c r="W1408" s="10"/>
      <x:c r="X1408" s="10"/>
      <x:c r="Y1408" s="3"/>
      <x:c r="Z1408" s="3" t="str">
        <x:v>移出</x:v>
      </x:c>
      <x:c r="AA1408" s="3" t="str">
        <x:v>已移出</x:v>
      </x:c>
      <x:c r="AB1408" s="12" t="str">
        <x:f>IF(AND(Z1408="共同",ISNUMBER(G1408),ISNUMBER(AD1408)),G1408-AD1408,"")</x:f>
      </x:c>
      <x:c r="AC1408" s="3" t="str">
        <x:v>基准清单已移出</x:v>
      </x:c>
      <x:c r="AD1408" s="12"/>
      <x:c r="AE1408" s="3" t="str">
        <x:v>[13306,"B07-BK-41-New"]</x:v>
      </x:c>
      <x:c r="AF1408" t="n">
        <x:f>IF(ISNUMBER(H1408),1,0)</x:f>
        <x:v>0</x:v>
      </x:c>
      <x:c r="AG1408" t="n">
        <x:f>IF(ISNUMBER(I1408),1,0)</x:f>
        <x:v>1</x:v>
      </x:c>
      <x:c r="AH1408"/>
      <x:c r="AI1408" t="n">
        <x:f>IF(ISNUMBER(G1408),1,0)</x:f>
        <x:v>0</x:v>
      </x:c>
      <x:c r="AJ1408" t="n">
        <x:f>IF(ISNUMBER(AD1408),1,0)</x:f>
        <x:v>0</x:v>
      </x:c>
    </x:row>
    <x:row r="1409" ht="30" customHeight="1">
      <x:c r="A1409" s="3" t="str">
        <x:v>B07-BK-42-by</x:v>
      </x:c>
      <x:c r="B1409" s="3" t="str">
        <x:v>4店-彬郁-US</x:v>
      </x:c>
      <x:c r="C1409" s="3" t="str">
        <x:v>艾年</x:v>
      </x:c>
      <x:c r="D1409" s="3" t="str">
        <x:v>B07</x:v>
      </x:c>
      <x:c r="E1409" s="3" t="str">
        <x:f>IF(Z1409="移出","已移出",IF(NOT(ISNUMBER(H1409)),"数据待核",IF(H1409=0,"断货",IF(NOT(ISNUMBER(G1409)),"数据待核",IF(G1409=0,"零日销待复核",IF(F1409&lt;60,"补货提醒",IF(F1409&lt;=90,"正常库存",IF(F1409&lt;180,"促销",IF(F1409&lt;=365,"红线促销","考虑清仓")))))))))</x:f>
        <x:v>已移出</x:v>
      </x:c>
      <x:c r="F1409" s="11" t="str">
        <x:f>IF(AND(ISNUMBER(H1409),ISNUMBER(G1409),G1409&gt;0),H1409/G1409,"")</x:f>
      </x:c>
      <x:c r="G1409" s="12" t="str">
        <x:f>IF(AND(COUNT(P1409:R1409)=3,MIN(P1409:R1409)&gt;=0,P1409&lt;=Q1409,Q1409&lt;=R1409),P1409/7*0.5+Q1409/14*0.3+R1409/30*0.2,"")</x:f>
      </x:c>
      <x:c r="H1409" s="10" t="str">
        <x:f>IF(ISNUMBER(U1409),U1409,"")</x:f>
      </x:c>
      <x:c r="I1409" s="10" t="n">
        <x:v>0</x:v>
      </x:c>
      <x:c r="J1409" s="11" t="str">
        <x:f>IF(AND(Z1409="共同",ISNUMBER(F1409),ISNUMBER(M1409)),F1409-M1409,"")</x:f>
      </x:c>
      <x:c r="K1409" s="13" t="str">
        <x:f>IF(AND(ISNUMBER(J1409),M1409&lt;&gt;0),J1409/M1409,"")</x:f>
      </x:c>
      <x:c r="L1409" s="10" t="str">
        <x:v>断货</x:v>
      </x:c>
      <x:c r="M1409" s="11"/>
      <x:c r="N1409" s="10" t="str">
        <x:f>IF(AND(Z1409="共同",COUNT(H1409:I1409)=2),H1409-I1409,"")</x:f>
      </x:c>
      <x:c r="O1409" s="10"/>
      <x:c r="P1409" s="10"/>
      <x:c r="Q1409" s="10"/>
      <x:c r="R1409" s="10"/>
      <x:c r="S1409" s="10"/>
      <x:c r="T1409" s="10"/>
      <x:c r="U1409" s="10" t="str">
        <x:f>IF(AND(ISNUMBER(X1409),X1409&gt;=0,Y1409&lt;&gt;1),X1409,"")</x:f>
      </x:c>
      <x:c r="V1409" s="10"/>
      <x:c r="W1409" s="10"/>
      <x:c r="X1409" s="10"/>
      <x:c r="Y1409" s="3"/>
      <x:c r="Z1409" s="3" t="str">
        <x:v>移出</x:v>
      </x:c>
      <x:c r="AA1409" s="3" t="str">
        <x:v>已移出</x:v>
      </x:c>
      <x:c r="AB1409" s="12" t="str">
        <x:f>IF(AND(Z1409="共同",ISNUMBER(G1409),ISNUMBER(AD1409)),G1409-AD1409,"")</x:f>
      </x:c>
      <x:c r="AC1409" s="3" t="str">
        <x:v>基准清单已移出</x:v>
      </x:c>
      <x:c r="AD1409" s="12"/>
      <x:c r="AE1409" s="3" t="str">
        <x:v>[13306,"B07-BK-42-by"]</x:v>
      </x:c>
      <x:c r="AF1409" t="n">
        <x:f>IF(ISNUMBER(H1409),1,0)</x:f>
        <x:v>0</x:v>
      </x:c>
      <x:c r="AG1409" t="n">
        <x:f>IF(ISNUMBER(I1409),1,0)</x:f>
        <x:v>1</x:v>
      </x:c>
      <x:c r="AH1409"/>
      <x:c r="AI1409" t="n">
        <x:f>IF(ISNUMBER(G1409),1,0)</x:f>
        <x:v>0</x:v>
      </x:c>
      <x:c r="AJ1409" t="n">
        <x:f>IF(ISNUMBER(AD1409),1,0)</x:f>
        <x:v>0</x:v>
      </x:c>
    </x:row>
    <x:row r="1410" ht="30" customHeight="1">
      <x:c r="A1410" s="3" t="str">
        <x:v>B07-BK-I-0-37</x:v>
      </x:c>
      <x:c r="B1410" s="3" t="str">
        <x:v>4店-彬郁-US</x:v>
      </x:c>
      <x:c r="C1410" s="3" t="str">
        <x:v>艾年</x:v>
      </x:c>
      <x:c r="D1410" s="3" t="str">
        <x:v>B07</x:v>
      </x:c>
      <x:c r="E1410" s="3" t="str">
        <x:f>IF(Z1410="移出","已移出",IF(NOT(ISNUMBER(H1410)),"数据待核",IF(H1410=0,"断货",IF(NOT(ISNUMBER(G1410)),"数据待核",IF(G1410=0,"零日销待复核",IF(F1410&lt;60,"补货提醒",IF(F1410&lt;=90,"正常库存",IF(F1410&lt;180,"促销",IF(F1410&lt;=365,"红线促销","考虑清仓")))))))))</x:f>
        <x:v>已移出</x:v>
      </x:c>
      <x:c r="F1410" s="11" t="str">
        <x:f>IF(AND(ISNUMBER(H1410),ISNUMBER(G1410),G1410&gt;0),H1410/G1410,"")</x:f>
      </x:c>
      <x:c r="G1410" s="12" t="str">
        <x:f>IF(AND(COUNT(P1410:R1410)=3,MIN(P1410:R1410)&gt;=0,P1410&lt;=Q1410,Q1410&lt;=R1410),P1410/7*0.5+Q1410/14*0.3+R1410/30*0.2,"")</x:f>
      </x:c>
      <x:c r="H1410" s="10" t="str">
        <x:f>IF(ISNUMBER(U1410),U1410,"")</x:f>
      </x:c>
      <x:c r="I1410" s="10" t="n">
        <x:v>0</x:v>
      </x:c>
      <x:c r="J1410" s="11" t="str">
        <x:f>IF(AND(Z1410="共同",ISNUMBER(F1410),ISNUMBER(M1410)),F1410-M1410,"")</x:f>
      </x:c>
      <x:c r="K1410" s="13" t="str">
        <x:f>IF(AND(ISNUMBER(J1410),M1410&lt;&gt;0),J1410/M1410,"")</x:f>
      </x:c>
      <x:c r="L1410" s="10" t="str">
        <x:v>断货</x:v>
      </x:c>
      <x:c r="M1410" s="11"/>
      <x:c r="N1410" s="10" t="str">
        <x:f>IF(AND(Z1410="共同",COUNT(H1410:I1410)=2),H1410-I1410,"")</x:f>
      </x:c>
      <x:c r="O1410" s="10"/>
      <x:c r="P1410" s="10"/>
      <x:c r="Q1410" s="10"/>
      <x:c r="R1410" s="10"/>
      <x:c r="S1410" s="10"/>
      <x:c r="T1410" s="10"/>
      <x:c r="U1410" s="10" t="str">
        <x:f>IF(AND(ISNUMBER(X1410),X1410&gt;=0,Y1410&lt;&gt;1),X1410,"")</x:f>
      </x:c>
      <x:c r="V1410" s="10"/>
      <x:c r="W1410" s="10"/>
      <x:c r="X1410" s="10"/>
      <x:c r="Y1410" s="3"/>
      <x:c r="Z1410" s="3" t="str">
        <x:v>移出</x:v>
      </x:c>
      <x:c r="AA1410" s="3" t="str">
        <x:v>已移出</x:v>
      </x:c>
      <x:c r="AB1410" s="12" t="str">
        <x:f>IF(AND(Z1410="共同",ISNUMBER(G1410),ISNUMBER(AD1410)),G1410-AD1410,"")</x:f>
      </x:c>
      <x:c r="AC1410" s="3" t="str">
        <x:v>基准清单已移出</x:v>
      </x:c>
      <x:c r="AD1410" s="12"/>
      <x:c r="AE1410" s="3" t="str">
        <x:v>[13306,"B07-BK-I-0-37"]</x:v>
      </x:c>
      <x:c r="AF1410" t="n">
        <x:f>IF(ISNUMBER(H1410),1,0)</x:f>
        <x:v>0</x:v>
      </x:c>
      <x:c r="AG1410" t="n">
        <x:f>IF(ISNUMBER(I1410),1,0)</x:f>
        <x:v>1</x:v>
      </x:c>
      <x:c r="AH1410"/>
      <x:c r="AI1410" t="n">
        <x:f>IF(ISNUMBER(G1410),1,0)</x:f>
        <x:v>0</x:v>
      </x:c>
      <x:c r="AJ1410" t="n">
        <x:f>IF(ISNUMBER(AD1410),1,0)</x:f>
        <x:v>0</x:v>
      </x:c>
    </x:row>
    <x:row r="1411" ht="30" customHeight="1">
      <x:c r="A1411" s="3" t="str">
        <x:v>B07-BK-I-0-40.5</x:v>
      </x:c>
      <x:c r="B1411" s="3" t="str">
        <x:v>4店-彬郁-US</x:v>
      </x:c>
      <x:c r="C1411" s="3" t="str">
        <x:v>艾年</x:v>
      </x:c>
      <x:c r="D1411" s="3" t="str">
        <x:v>B07</x:v>
      </x:c>
      <x:c r="E1411" s="3" t="str">
        <x:f>IF(Z1411="移出","已移出",IF(NOT(ISNUMBER(H1411)),"数据待核",IF(H1411=0,"断货",IF(NOT(ISNUMBER(G1411)),"数据待核",IF(G1411=0,"零日销待复核",IF(F1411&lt;60,"补货提醒",IF(F1411&lt;=90,"正常库存",IF(F1411&lt;180,"促销",IF(F1411&lt;=365,"红线促销","考虑清仓")))))))))</x:f>
        <x:v>已移出</x:v>
      </x:c>
      <x:c r="F1411" s="11" t="str">
        <x:f>IF(AND(ISNUMBER(H1411),ISNUMBER(G1411),G1411&gt;0),H1411/G1411,"")</x:f>
      </x:c>
      <x:c r="G1411" s="12" t="str">
        <x:f>IF(AND(COUNT(P1411:R1411)=3,MIN(P1411:R1411)&gt;=0,P1411&lt;=Q1411,Q1411&lt;=R1411),P1411/7*0.5+Q1411/14*0.3+R1411/30*0.2,"")</x:f>
      </x:c>
      <x:c r="H1411" s="10" t="str">
        <x:f>IF(ISNUMBER(U1411),U1411,"")</x:f>
      </x:c>
      <x:c r="I1411" s="10" t="n">
        <x:v>0</x:v>
      </x:c>
      <x:c r="J1411" s="11" t="str">
        <x:f>IF(AND(Z1411="共同",ISNUMBER(F1411),ISNUMBER(M1411)),F1411-M1411,"")</x:f>
      </x:c>
      <x:c r="K1411" s="13" t="str">
        <x:f>IF(AND(ISNUMBER(J1411),M1411&lt;&gt;0),J1411/M1411,"")</x:f>
      </x:c>
      <x:c r="L1411" s="10" t="str">
        <x:v>断货</x:v>
      </x:c>
      <x:c r="M1411" s="11"/>
      <x:c r="N1411" s="10" t="str">
        <x:f>IF(AND(Z1411="共同",COUNT(H1411:I1411)=2),H1411-I1411,"")</x:f>
      </x:c>
      <x:c r="O1411" s="10"/>
      <x:c r="P1411" s="10"/>
      <x:c r="Q1411" s="10"/>
      <x:c r="R1411" s="10"/>
      <x:c r="S1411" s="10"/>
      <x:c r="T1411" s="10"/>
      <x:c r="U1411" s="10" t="str">
        <x:f>IF(AND(ISNUMBER(X1411),X1411&gt;=0,Y1411&lt;&gt;1),X1411,"")</x:f>
      </x:c>
      <x:c r="V1411" s="10"/>
      <x:c r="W1411" s="10"/>
      <x:c r="X1411" s="10"/>
      <x:c r="Y1411" s="3"/>
      <x:c r="Z1411" s="3" t="str">
        <x:v>移出</x:v>
      </x:c>
      <x:c r="AA1411" s="3" t="str">
        <x:v>已移出</x:v>
      </x:c>
      <x:c r="AB1411" s="12" t="str">
        <x:f>IF(AND(Z1411="共同",ISNUMBER(G1411),ISNUMBER(AD1411)),G1411-AD1411,"")</x:f>
      </x:c>
      <x:c r="AC1411" s="3" t="str">
        <x:v>基准清单已移出</x:v>
      </x:c>
      <x:c r="AD1411" s="12"/>
      <x:c r="AE1411" s="3" t="str">
        <x:v>[13306,"B07-BK-I-0-40.5"]</x:v>
      </x:c>
      <x:c r="AF1411" t="n">
        <x:f>IF(ISNUMBER(H1411),1,0)</x:f>
        <x:v>0</x:v>
      </x:c>
      <x:c r="AG1411" t="n">
        <x:f>IF(ISNUMBER(I1411),1,0)</x:f>
        <x:v>1</x:v>
      </x:c>
      <x:c r="AH1411"/>
      <x:c r="AI1411" t="n">
        <x:f>IF(ISNUMBER(G1411),1,0)</x:f>
        <x:v>0</x:v>
      </x:c>
      <x:c r="AJ1411" t="n">
        <x:f>IF(ISNUMBER(AD1411),1,0)</x:f>
        <x:v>0</x:v>
      </x:c>
    </x:row>
    <x:row r="1412" ht="30" customHeight="1">
      <x:c r="A1412" s="3" t="str">
        <x:v>B07-BK-I-0-42</x:v>
      </x:c>
      <x:c r="B1412" s="3" t="str">
        <x:v>4店-彬郁-US</x:v>
      </x:c>
      <x:c r="C1412" s="3" t="str">
        <x:v>艾年</x:v>
      </x:c>
      <x:c r="D1412" s="3" t="str">
        <x:v>B07</x:v>
      </x:c>
      <x:c r="E1412" s="3" t="str">
        <x:f>IF(Z1412="移出","已移出",IF(NOT(ISNUMBER(H1412)),"数据待核",IF(H1412=0,"断货",IF(NOT(ISNUMBER(G1412)),"数据待核",IF(G1412=0,"零日销待复核",IF(F1412&lt;60,"补货提醒",IF(F1412&lt;=90,"正常库存",IF(F1412&lt;180,"促销",IF(F1412&lt;=365,"红线促销","考虑清仓")))))))))</x:f>
        <x:v>已移出</x:v>
      </x:c>
      <x:c r="F1412" s="11" t="str">
        <x:f>IF(AND(ISNUMBER(H1412),ISNUMBER(G1412),G1412&gt;0),H1412/G1412,"")</x:f>
      </x:c>
      <x:c r="G1412" s="12" t="str">
        <x:f>IF(AND(COUNT(P1412:R1412)=3,MIN(P1412:R1412)&gt;=0,P1412&lt;=Q1412,Q1412&lt;=R1412),P1412/7*0.5+Q1412/14*0.3+R1412/30*0.2,"")</x:f>
      </x:c>
      <x:c r="H1412" s="10" t="str">
        <x:f>IF(ISNUMBER(U1412),U1412,"")</x:f>
      </x:c>
      <x:c r="I1412" s="10" t="n">
        <x:v>0</x:v>
      </x:c>
      <x:c r="J1412" s="11" t="str">
        <x:f>IF(AND(Z1412="共同",ISNUMBER(F1412),ISNUMBER(M1412)),F1412-M1412,"")</x:f>
      </x:c>
      <x:c r="K1412" s="13" t="str">
        <x:f>IF(AND(ISNUMBER(J1412),M1412&lt;&gt;0),J1412/M1412,"")</x:f>
      </x:c>
      <x:c r="L1412" s="10" t="str">
        <x:v>断货</x:v>
      </x:c>
      <x:c r="M1412" s="11"/>
      <x:c r="N1412" s="10" t="str">
        <x:f>IF(AND(Z1412="共同",COUNT(H1412:I1412)=2),H1412-I1412,"")</x:f>
      </x:c>
      <x:c r="O1412" s="10"/>
      <x:c r="P1412" s="10"/>
      <x:c r="Q1412" s="10"/>
      <x:c r="R1412" s="10"/>
      <x:c r="S1412" s="10"/>
      <x:c r="T1412" s="10"/>
      <x:c r="U1412" s="10" t="str">
        <x:f>IF(AND(ISNUMBER(X1412),X1412&gt;=0,Y1412&lt;&gt;1),X1412,"")</x:f>
      </x:c>
      <x:c r="V1412" s="10"/>
      <x:c r="W1412" s="10"/>
      <x:c r="X1412" s="10"/>
      <x:c r="Y1412" s="3"/>
      <x:c r="Z1412" s="3" t="str">
        <x:v>移出</x:v>
      </x:c>
      <x:c r="AA1412" s="3" t="str">
        <x:v>已移出</x:v>
      </x:c>
      <x:c r="AB1412" s="12" t="str">
        <x:f>IF(AND(Z1412="共同",ISNUMBER(G1412),ISNUMBER(AD1412)),G1412-AD1412,"")</x:f>
      </x:c>
      <x:c r="AC1412" s="3" t="str">
        <x:v>基准清单已移出</x:v>
      </x:c>
      <x:c r="AD1412" s="12"/>
      <x:c r="AE1412" s="3" t="str">
        <x:v>[13306,"B07-BK-I-0-42"]</x:v>
      </x:c>
      <x:c r="AF1412" t="n">
        <x:f>IF(ISNUMBER(H1412),1,0)</x:f>
        <x:v>0</x:v>
      </x:c>
      <x:c r="AG1412" t="n">
        <x:f>IF(ISNUMBER(I1412),1,0)</x:f>
        <x:v>1</x:v>
      </x:c>
      <x:c r="AH1412"/>
      <x:c r="AI1412" t="n">
        <x:f>IF(ISNUMBER(G1412),1,0)</x:f>
        <x:v>0</x:v>
      </x:c>
      <x:c r="AJ1412" t="n">
        <x:f>IF(ISNUMBER(AD1412),1,0)</x:f>
        <x:v>0</x:v>
      </x:c>
    </x:row>
    <x:row r="1413" ht="30" customHeight="1">
      <x:c r="A1413" s="3" t="str">
        <x:v>B07-BKP-38.5</x:v>
      </x:c>
      <x:c r="B1413" s="3" t="str">
        <x:v>4店-彬郁-US</x:v>
      </x:c>
      <x:c r="C1413" s="3" t="str">
        <x:v>艾年</x:v>
      </x:c>
      <x:c r="D1413" s="3" t="str">
        <x:v>B07</x:v>
      </x:c>
      <x:c r="E1413" s="3" t="str">
        <x:f>IF(Z1413="移出","已移出",IF(NOT(ISNUMBER(H1413)),"数据待核",IF(H1413=0,"断货",IF(NOT(ISNUMBER(G1413)),"数据待核",IF(G1413=0,"零日销待复核",IF(F1413&lt;60,"补货提醒",IF(F1413&lt;=90,"正常库存",IF(F1413&lt;180,"促销",IF(F1413&lt;=365,"红线促销","考虑清仓")))))))))</x:f>
        <x:v>已移出</x:v>
      </x:c>
      <x:c r="F1413" s="11" t="str">
        <x:f>IF(AND(ISNUMBER(H1413),ISNUMBER(G1413),G1413&gt;0),H1413/G1413,"")</x:f>
      </x:c>
      <x:c r="G1413" s="12" t="str">
        <x:f>IF(AND(COUNT(P1413:R1413)=3,MIN(P1413:R1413)&gt;=0,P1413&lt;=Q1413,Q1413&lt;=R1413),P1413/7*0.5+Q1413/14*0.3+R1413/30*0.2,"")</x:f>
      </x:c>
      <x:c r="H1413" s="10" t="str">
        <x:f>IF(ISNUMBER(U1413),U1413,"")</x:f>
      </x:c>
      <x:c r="I1413" s="10" t="n">
        <x:v>0</x:v>
      </x:c>
      <x:c r="J1413" s="11" t="str">
        <x:f>IF(AND(Z1413="共同",ISNUMBER(F1413),ISNUMBER(M1413)),F1413-M1413,"")</x:f>
      </x:c>
      <x:c r="K1413" s="13" t="str">
        <x:f>IF(AND(ISNUMBER(J1413),M1413&lt;&gt;0),J1413/M1413,"")</x:f>
      </x:c>
      <x:c r="L1413" s="10" t="str">
        <x:v>断货</x:v>
      </x:c>
      <x:c r="M1413" s="11"/>
      <x:c r="N1413" s="10" t="str">
        <x:f>IF(AND(Z1413="共同",COUNT(H1413:I1413)=2),H1413-I1413,"")</x:f>
      </x:c>
      <x:c r="O1413" s="10"/>
      <x:c r="P1413" s="10"/>
      <x:c r="Q1413" s="10"/>
      <x:c r="R1413" s="10"/>
      <x:c r="S1413" s="10"/>
      <x:c r="T1413" s="10"/>
      <x:c r="U1413" s="10" t="str">
        <x:f>IF(AND(ISNUMBER(X1413),X1413&gt;=0,Y1413&lt;&gt;1),X1413,"")</x:f>
      </x:c>
      <x:c r="V1413" s="10"/>
      <x:c r="W1413" s="10"/>
      <x:c r="X1413" s="10"/>
      <x:c r="Y1413" s="3"/>
      <x:c r="Z1413" s="3" t="str">
        <x:v>移出</x:v>
      </x:c>
      <x:c r="AA1413" s="3" t="str">
        <x:v>已移出</x:v>
      </x:c>
      <x:c r="AB1413" s="12" t="str">
        <x:f>IF(AND(Z1413="共同",ISNUMBER(G1413),ISNUMBER(AD1413)),G1413-AD1413,"")</x:f>
      </x:c>
      <x:c r="AC1413" s="3" t="str">
        <x:v>基准清单已移出</x:v>
      </x:c>
      <x:c r="AD1413" s="12"/>
      <x:c r="AE1413" s="3" t="str">
        <x:v>[13306,"B07-BKP-38.5"]</x:v>
      </x:c>
      <x:c r="AF1413" t="n">
        <x:f>IF(ISNUMBER(H1413),1,0)</x:f>
        <x:v>0</x:v>
      </x:c>
      <x:c r="AG1413" t="n">
        <x:f>IF(ISNUMBER(I1413),1,0)</x:f>
        <x:v>1</x:v>
      </x:c>
      <x:c r="AH1413"/>
      <x:c r="AI1413" t="n">
        <x:f>IF(ISNUMBER(G1413),1,0)</x:f>
        <x:v>0</x:v>
      </x:c>
      <x:c r="AJ1413" t="n">
        <x:f>IF(ISNUMBER(AD1413),1,0)</x:f>
        <x:v>0</x:v>
      </x:c>
    </x:row>
    <x:row r="1414" ht="30" customHeight="1">
      <x:c r="A1414" s="3" t="str">
        <x:v>B07-BKP-40.5</x:v>
      </x:c>
      <x:c r="B1414" s="3" t="str">
        <x:v>4店-彬郁-US</x:v>
      </x:c>
      <x:c r="C1414" s="3" t="str">
        <x:v>艾年</x:v>
      </x:c>
      <x:c r="D1414" s="3" t="str">
        <x:v>B07</x:v>
      </x:c>
      <x:c r="E1414" s="3" t="str">
        <x:f>IF(Z1414="移出","已移出",IF(NOT(ISNUMBER(H1414)),"数据待核",IF(H1414=0,"断货",IF(NOT(ISNUMBER(G1414)),"数据待核",IF(G1414=0,"零日销待复核",IF(F1414&lt;60,"补货提醒",IF(F1414&lt;=90,"正常库存",IF(F1414&lt;180,"促销",IF(F1414&lt;=365,"红线促销","考虑清仓")))))))))</x:f>
        <x:v>已移出</x:v>
      </x:c>
      <x:c r="F1414" s="11" t="str">
        <x:f>IF(AND(ISNUMBER(H1414),ISNUMBER(G1414),G1414&gt;0),H1414/G1414,"")</x:f>
      </x:c>
      <x:c r="G1414" s="12" t="str">
        <x:f>IF(AND(COUNT(P1414:R1414)=3,MIN(P1414:R1414)&gt;=0,P1414&lt;=Q1414,Q1414&lt;=R1414),P1414/7*0.5+Q1414/14*0.3+R1414/30*0.2,"")</x:f>
      </x:c>
      <x:c r="H1414" s="10" t="str">
        <x:f>IF(ISNUMBER(U1414),U1414,"")</x:f>
      </x:c>
      <x:c r="I1414" s="10" t="n">
        <x:v>0</x:v>
      </x:c>
      <x:c r="J1414" s="11" t="str">
        <x:f>IF(AND(Z1414="共同",ISNUMBER(F1414),ISNUMBER(M1414)),F1414-M1414,"")</x:f>
      </x:c>
      <x:c r="K1414" s="13" t="str">
        <x:f>IF(AND(ISNUMBER(J1414),M1414&lt;&gt;0),J1414/M1414,"")</x:f>
      </x:c>
      <x:c r="L1414" s="10" t="str">
        <x:v>断货</x:v>
      </x:c>
      <x:c r="M1414" s="11"/>
      <x:c r="N1414" s="10" t="str">
        <x:f>IF(AND(Z1414="共同",COUNT(H1414:I1414)=2),H1414-I1414,"")</x:f>
      </x:c>
      <x:c r="O1414" s="10"/>
      <x:c r="P1414" s="10"/>
      <x:c r="Q1414" s="10"/>
      <x:c r="R1414" s="10"/>
      <x:c r="S1414" s="10"/>
      <x:c r="T1414" s="10"/>
      <x:c r="U1414" s="10" t="str">
        <x:f>IF(AND(ISNUMBER(X1414),X1414&gt;=0,Y1414&lt;&gt;1),X1414,"")</x:f>
      </x:c>
      <x:c r="V1414" s="10"/>
      <x:c r="W1414" s="10"/>
      <x:c r="X1414" s="10"/>
      <x:c r="Y1414" s="3"/>
      <x:c r="Z1414" s="3" t="str">
        <x:v>移出</x:v>
      </x:c>
      <x:c r="AA1414" s="3" t="str">
        <x:v>已移出</x:v>
      </x:c>
      <x:c r="AB1414" s="12" t="str">
        <x:f>IF(AND(Z1414="共同",ISNUMBER(G1414),ISNUMBER(AD1414)),G1414-AD1414,"")</x:f>
      </x:c>
      <x:c r="AC1414" s="3" t="str">
        <x:v>基准清单已移出</x:v>
      </x:c>
      <x:c r="AD1414" s="12"/>
      <x:c r="AE1414" s="3" t="str">
        <x:v>[13306,"B07-BKP-40.5"]</x:v>
      </x:c>
      <x:c r="AF1414" t="n">
        <x:f>IF(ISNUMBER(H1414),1,0)</x:f>
        <x:v>0</x:v>
      </x:c>
      <x:c r="AG1414" t="n">
        <x:f>IF(ISNUMBER(I1414),1,0)</x:f>
        <x:v>1</x:v>
      </x:c>
      <x:c r="AH1414"/>
      <x:c r="AI1414" t="n">
        <x:f>IF(ISNUMBER(G1414),1,0)</x:f>
        <x:v>0</x:v>
      </x:c>
      <x:c r="AJ1414" t="n">
        <x:f>IF(ISNUMBER(AD1414),1,0)</x:f>
        <x:v>0</x:v>
      </x:c>
    </x:row>
    <x:row r="1415" ht="30" customHeight="1">
      <x:c r="A1415" s="3" t="str">
        <x:v>B07-CF-38.5</x:v>
      </x:c>
      <x:c r="B1415" s="3" t="str">
        <x:v>4店-彬郁-US</x:v>
      </x:c>
      <x:c r="C1415" s="3" t="str">
        <x:v>艾年</x:v>
      </x:c>
      <x:c r="D1415" s="3" t="str">
        <x:v>B07</x:v>
      </x:c>
      <x:c r="E1415" s="3" t="str">
        <x:f>IF(Z1415="移出","已移出",IF(NOT(ISNUMBER(H1415)),"数据待核",IF(H1415=0,"断货",IF(NOT(ISNUMBER(G1415)),"数据待核",IF(G1415=0,"零日销待复核",IF(F1415&lt;60,"补货提醒",IF(F1415&lt;=90,"正常库存",IF(F1415&lt;180,"促销",IF(F1415&lt;=365,"红线促销","考虑清仓")))))))))</x:f>
        <x:v>已移出</x:v>
      </x:c>
      <x:c r="F1415" s="11" t="str">
        <x:f>IF(AND(ISNUMBER(H1415),ISNUMBER(G1415),G1415&gt;0),H1415/G1415,"")</x:f>
      </x:c>
      <x:c r="G1415" s="12" t="str">
        <x:f>IF(AND(COUNT(P1415:R1415)=3,MIN(P1415:R1415)&gt;=0,P1415&lt;=Q1415,Q1415&lt;=R1415),P1415/7*0.5+Q1415/14*0.3+R1415/30*0.2,"")</x:f>
      </x:c>
      <x:c r="H1415" s="10" t="str">
        <x:f>IF(ISNUMBER(U1415),U1415,"")</x:f>
      </x:c>
      <x:c r="I1415" s="10" t="n">
        <x:v>0</x:v>
      </x:c>
      <x:c r="J1415" s="11" t="str">
        <x:f>IF(AND(Z1415="共同",ISNUMBER(F1415),ISNUMBER(M1415)),F1415-M1415,"")</x:f>
      </x:c>
      <x:c r="K1415" s="13" t="str">
        <x:f>IF(AND(ISNUMBER(J1415),M1415&lt;&gt;0),J1415/M1415,"")</x:f>
      </x:c>
      <x:c r="L1415" s="10" t="str">
        <x:v>断货</x:v>
      </x:c>
      <x:c r="M1415" s="11"/>
      <x:c r="N1415" s="10" t="str">
        <x:f>IF(AND(Z1415="共同",COUNT(H1415:I1415)=2),H1415-I1415,"")</x:f>
      </x:c>
      <x:c r="O1415" s="10"/>
      <x:c r="P1415" s="10"/>
      <x:c r="Q1415" s="10"/>
      <x:c r="R1415" s="10"/>
      <x:c r="S1415" s="10"/>
      <x:c r="T1415" s="10"/>
      <x:c r="U1415" s="10" t="str">
        <x:f>IF(AND(ISNUMBER(X1415),X1415&gt;=0,Y1415&lt;&gt;1),X1415,"")</x:f>
      </x:c>
      <x:c r="V1415" s="10"/>
      <x:c r="W1415" s="10"/>
      <x:c r="X1415" s="10"/>
      <x:c r="Y1415" s="3"/>
      <x:c r="Z1415" s="3" t="str">
        <x:v>移出</x:v>
      </x:c>
      <x:c r="AA1415" s="3" t="str">
        <x:v>已移出</x:v>
      </x:c>
      <x:c r="AB1415" s="12" t="str">
        <x:f>IF(AND(Z1415="共同",ISNUMBER(G1415),ISNUMBER(AD1415)),G1415-AD1415,"")</x:f>
      </x:c>
      <x:c r="AC1415" s="3" t="str">
        <x:v>基准清单已移出</x:v>
      </x:c>
      <x:c r="AD1415" s="12"/>
      <x:c r="AE1415" s="3" t="str">
        <x:v>[13306,"B07-CF-38.5"]</x:v>
      </x:c>
      <x:c r="AF1415" t="n">
        <x:f>IF(ISNUMBER(H1415),1,0)</x:f>
        <x:v>0</x:v>
      </x:c>
      <x:c r="AG1415" t="n">
        <x:f>IF(ISNUMBER(I1415),1,0)</x:f>
        <x:v>1</x:v>
      </x:c>
      <x:c r="AH1415"/>
      <x:c r="AI1415" t="n">
        <x:f>IF(ISNUMBER(G1415),1,0)</x:f>
        <x:v>0</x:v>
      </x:c>
      <x:c r="AJ1415" t="n">
        <x:f>IF(ISNUMBER(AD1415),1,0)</x:f>
        <x:v>0</x:v>
      </x:c>
    </x:row>
    <x:row r="1416" ht="30" customHeight="1">
      <x:c r="A1416" s="3" t="str">
        <x:v>B07-GY-37.5</x:v>
      </x:c>
      <x:c r="B1416" s="3" t="str">
        <x:v>4店-彬郁-US</x:v>
      </x:c>
      <x:c r="C1416" s="3" t="str">
        <x:v>艾年</x:v>
      </x:c>
      <x:c r="D1416" s="3" t="str">
        <x:v>B07</x:v>
      </x:c>
      <x:c r="E1416" s="3" t="str">
        <x:f>IF(Z1416="移出","已移出",IF(NOT(ISNUMBER(H1416)),"数据待核",IF(H1416=0,"断货",IF(NOT(ISNUMBER(G1416)),"数据待核",IF(G1416=0,"零日销待复核",IF(F1416&lt;60,"补货提醒",IF(F1416&lt;=90,"正常库存",IF(F1416&lt;180,"促销",IF(F1416&lt;=365,"红线促销","考虑清仓")))))))))</x:f>
        <x:v>已移出</x:v>
      </x:c>
      <x:c r="F1416" s="11" t="str">
        <x:f>IF(AND(ISNUMBER(H1416),ISNUMBER(G1416),G1416&gt;0),H1416/G1416,"")</x:f>
      </x:c>
      <x:c r="G1416" s="12" t="str">
        <x:f>IF(AND(COUNT(P1416:R1416)=3,MIN(P1416:R1416)&gt;=0,P1416&lt;=Q1416,Q1416&lt;=R1416),P1416/7*0.5+Q1416/14*0.3+R1416/30*0.2,"")</x:f>
      </x:c>
      <x:c r="H1416" s="10" t="str">
        <x:f>IF(ISNUMBER(U1416),U1416,"")</x:f>
      </x:c>
      <x:c r="I1416" s="10" t="n">
        <x:v>0</x:v>
      </x:c>
      <x:c r="J1416" s="11" t="str">
        <x:f>IF(AND(Z1416="共同",ISNUMBER(F1416),ISNUMBER(M1416)),F1416-M1416,"")</x:f>
      </x:c>
      <x:c r="K1416" s="13" t="str">
        <x:f>IF(AND(ISNUMBER(J1416),M1416&lt;&gt;0),J1416/M1416,"")</x:f>
      </x:c>
      <x:c r="L1416" s="10" t="str">
        <x:v>断货</x:v>
      </x:c>
      <x:c r="M1416" s="11"/>
      <x:c r="N1416" s="10" t="str">
        <x:f>IF(AND(Z1416="共同",COUNT(H1416:I1416)=2),H1416-I1416,"")</x:f>
      </x:c>
      <x:c r="O1416" s="10"/>
      <x:c r="P1416" s="10"/>
      <x:c r="Q1416" s="10"/>
      <x:c r="R1416" s="10"/>
      <x:c r="S1416" s="10"/>
      <x:c r="T1416" s="10"/>
      <x:c r="U1416" s="10" t="str">
        <x:f>IF(AND(ISNUMBER(X1416),X1416&gt;=0,Y1416&lt;&gt;1),X1416,"")</x:f>
      </x:c>
      <x:c r="V1416" s="10"/>
      <x:c r="W1416" s="10"/>
      <x:c r="X1416" s="10"/>
      <x:c r="Y1416" s="3"/>
      <x:c r="Z1416" s="3" t="str">
        <x:v>移出</x:v>
      </x:c>
      <x:c r="AA1416" s="3" t="str">
        <x:v>已移出</x:v>
      </x:c>
      <x:c r="AB1416" s="12" t="str">
        <x:f>IF(AND(Z1416="共同",ISNUMBER(G1416),ISNUMBER(AD1416)),G1416-AD1416,"")</x:f>
      </x:c>
      <x:c r="AC1416" s="3" t="str">
        <x:v>基准清单已移出</x:v>
      </x:c>
      <x:c r="AD1416" s="12"/>
      <x:c r="AE1416" s="3" t="str">
        <x:v>[13306,"B07-GY-37.5"]</x:v>
      </x:c>
      <x:c r="AF1416" t="n">
        <x:f>IF(ISNUMBER(H1416),1,0)</x:f>
        <x:v>0</x:v>
      </x:c>
      <x:c r="AG1416" t="n">
        <x:f>IF(ISNUMBER(I1416),1,0)</x:f>
        <x:v>1</x:v>
      </x:c>
      <x:c r="AH1416"/>
      <x:c r="AI1416" t="n">
        <x:f>IF(ISNUMBER(G1416),1,0)</x:f>
        <x:v>0</x:v>
      </x:c>
      <x:c r="AJ1416" t="n">
        <x:f>IF(ISNUMBER(AD1416),1,0)</x:f>
        <x:v>0</x:v>
      </x:c>
    </x:row>
    <x:row r="1417" ht="30" customHeight="1">
      <x:c r="A1417" s="3" t="str">
        <x:v>B07-GY-38-by</x:v>
      </x:c>
      <x:c r="B1417" s="3" t="str">
        <x:v>4店-彬郁-US</x:v>
      </x:c>
      <x:c r="C1417" s="3" t="str">
        <x:v>艾年</x:v>
      </x:c>
      <x:c r="D1417" s="3" t="str">
        <x:v>B07</x:v>
      </x:c>
      <x:c r="E1417" s="3" t="str">
        <x:f>IF(Z1417="移出","已移出",IF(NOT(ISNUMBER(H1417)),"数据待核",IF(H1417=0,"断货",IF(NOT(ISNUMBER(G1417)),"数据待核",IF(G1417=0,"零日销待复核",IF(F1417&lt;60,"补货提醒",IF(F1417&lt;=90,"正常库存",IF(F1417&lt;180,"促销",IF(F1417&lt;=365,"红线促销","考虑清仓")))))))))</x:f>
        <x:v>已移出</x:v>
      </x:c>
      <x:c r="F1417" s="11" t="str">
        <x:f>IF(AND(ISNUMBER(H1417),ISNUMBER(G1417),G1417&gt;0),H1417/G1417,"")</x:f>
      </x:c>
      <x:c r="G1417" s="12" t="str">
        <x:f>IF(AND(COUNT(P1417:R1417)=3,MIN(P1417:R1417)&gt;=0,P1417&lt;=Q1417,Q1417&lt;=R1417),P1417/7*0.5+Q1417/14*0.3+R1417/30*0.2,"")</x:f>
      </x:c>
      <x:c r="H1417" s="10" t="str">
        <x:f>IF(ISNUMBER(U1417),U1417,"")</x:f>
      </x:c>
      <x:c r="I1417" s="10" t="n">
        <x:v>0</x:v>
      </x:c>
      <x:c r="J1417" s="11" t="str">
        <x:f>IF(AND(Z1417="共同",ISNUMBER(F1417),ISNUMBER(M1417)),F1417-M1417,"")</x:f>
      </x:c>
      <x:c r="K1417" s="13" t="str">
        <x:f>IF(AND(ISNUMBER(J1417),M1417&lt;&gt;0),J1417/M1417,"")</x:f>
      </x:c>
      <x:c r="L1417" s="10" t="str">
        <x:v>断货</x:v>
      </x:c>
      <x:c r="M1417" s="11"/>
      <x:c r="N1417" s="10" t="str">
        <x:f>IF(AND(Z1417="共同",COUNT(H1417:I1417)=2),H1417-I1417,"")</x:f>
      </x:c>
      <x:c r="O1417" s="10"/>
      <x:c r="P1417" s="10"/>
      <x:c r="Q1417" s="10"/>
      <x:c r="R1417" s="10"/>
      <x:c r="S1417" s="10"/>
      <x:c r="T1417" s="10"/>
      <x:c r="U1417" s="10" t="str">
        <x:f>IF(AND(ISNUMBER(X1417),X1417&gt;=0,Y1417&lt;&gt;1),X1417,"")</x:f>
      </x:c>
      <x:c r="V1417" s="10"/>
      <x:c r="W1417" s="10"/>
      <x:c r="X1417" s="10"/>
      <x:c r="Y1417" s="3"/>
      <x:c r="Z1417" s="3" t="str">
        <x:v>移出</x:v>
      </x:c>
      <x:c r="AA1417" s="3" t="str">
        <x:v>已移出</x:v>
      </x:c>
      <x:c r="AB1417" s="12" t="str">
        <x:f>IF(AND(Z1417="共同",ISNUMBER(G1417),ISNUMBER(AD1417)),G1417-AD1417,"")</x:f>
      </x:c>
      <x:c r="AC1417" s="3" t="str">
        <x:v>基准清单已移出</x:v>
      </x:c>
      <x:c r="AD1417" s="12"/>
      <x:c r="AE1417" s="3" t="str">
        <x:v>[13306,"B07-GY-38-by"]</x:v>
      </x:c>
      <x:c r="AF1417" t="n">
        <x:f>IF(ISNUMBER(H1417),1,0)</x:f>
        <x:v>0</x:v>
      </x:c>
      <x:c r="AG1417" t="n">
        <x:f>IF(ISNUMBER(I1417),1,0)</x:f>
        <x:v>1</x:v>
      </x:c>
      <x:c r="AH1417"/>
      <x:c r="AI1417" t="n">
        <x:f>IF(ISNUMBER(G1417),1,0)</x:f>
        <x:v>0</x:v>
      </x:c>
      <x:c r="AJ1417" t="n">
        <x:f>IF(ISNUMBER(AD1417),1,0)</x:f>
        <x:v>0</x:v>
      </x:c>
    </x:row>
    <x:row r="1418" ht="30" customHeight="1">
      <x:c r="A1418" s="3" t="str">
        <x:v>B07-GY-40-by</x:v>
      </x:c>
      <x:c r="B1418" s="3" t="str">
        <x:v>4店-彬郁-US</x:v>
      </x:c>
      <x:c r="C1418" s="3" t="str">
        <x:v>艾年</x:v>
      </x:c>
      <x:c r="D1418" s="3" t="str">
        <x:v>B07</x:v>
      </x:c>
      <x:c r="E1418" s="3" t="str">
        <x:f>IF(Z1418="移出","已移出",IF(NOT(ISNUMBER(H1418)),"数据待核",IF(H1418=0,"断货",IF(NOT(ISNUMBER(G1418)),"数据待核",IF(G1418=0,"零日销待复核",IF(F1418&lt;60,"补货提醒",IF(F1418&lt;=90,"正常库存",IF(F1418&lt;180,"促销",IF(F1418&lt;=365,"红线促销","考虑清仓")))))))))</x:f>
        <x:v>已移出</x:v>
      </x:c>
      <x:c r="F1418" s="11" t="str">
        <x:f>IF(AND(ISNUMBER(H1418),ISNUMBER(G1418),G1418&gt;0),H1418/G1418,"")</x:f>
      </x:c>
      <x:c r="G1418" s="12" t="str">
        <x:f>IF(AND(COUNT(P1418:R1418)=3,MIN(P1418:R1418)&gt;=0,P1418&lt;=Q1418,Q1418&lt;=R1418),P1418/7*0.5+Q1418/14*0.3+R1418/30*0.2,"")</x:f>
      </x:c>
      <x:c r="H1418" s="10" t="str">
        <x:f>IF(ISNUMBER(U1418),U1418,"")</x:f>
      </x:c>
      <x:c r="I1418" s="10" t="n">
        <x:v>0</x:v>
      </x:c>
      <x:c r="J1418" s="11" t="str">
        <x:f>IF(AND(Z1418="共同",ISNUMBER(F1418),ISNUMBER(M1418)),F1418-M1418,"")</x:f>
      </x:c>
      <x:c r="K1418" s="13" t="str">
        <x:f>IF(AND(ISNUMBER(J1418),M1418&lt;&gt;0),J1418/M1418,"")</x:f>
      </x:c>
      <x:c r="L1418" s="10" t="str">
        <x:v>断货</x:v>
      </x:c>
      <x:c r="M1418" s="11"/>
      <x:c r="N1418" s="10" t="str">
        <x:f>IF(AND(Z1418="共同",COUNT(H1418:I1418)=2),H1418-I1418,"")</x:f>
      </x:c>
      <x:c r="O1418" s="10"/>
      <x:c r="P1418" s="10"/>
      <x:c r="Q1418" s="10"/>
      <x:c r="R1418" s="10"/>
      <x:c r="S1418" s="10"/>
      <x:c r="T1418" s="10"/>
      <x:c r="U1418" s="10" t="str">
        <x:f>IF(AND(ISNUMBER(X1418),X1418&gt;=0,Y1418&lt;&gt;1),X1418,"")</x:f>
      </x:c>
      <x:c r="V1418" s="10"/>
      <x:c r="W1418" s="10"/>
      <x:c r="X1418" s="10"/>
      <x:c r="Y1418" s="3"/>
      <x:c r="Z1418" s="3" t="str">
        <x:v>移出</x:v>
      </x:c>
      <x:c r="AA1418" s="3" t="str">
        <x:v>已移出</x:v>
      </x:c>
      <x:c r="AB1418" s="12" t="str">
        <x:f>IF(AND(Z1418="共同",ISNUMBER(G1418),ISNUMBER(AD1418)),G1418-AD1418,"")</x:f>
      </x:c>
      <x:c r="AC1418" s="3" t="str">
        <x:v>基准清单已移出</x:v>
      </x:c>
      <x:c r="AD1418" s="12"/>
      <x:c r="AE1418" s="3" t="str">
        <x:v>[13306,"B07-GY-40-by"]</x:v>
      </x:c>
      <x:c r="AF1418" t="n">
        <x:f>IF(ISNUMBER(H1418),1,0)</x:f>
        <x:v>0</x:v>
      </x:c>
      <x:c r="AG1418" t="n">
        <x:f>IF(ISNUMBER(I1418),1,0)</x:f>
        <x:v>1</x:v>
      </x:c>
      <x:c r="AH1418"/>
      <x:c r="AI1418" t="n">
        <x:f>IF(ISNUMBER(G1418),1,0)</x:f>
        <x:v>0</x:v>
      </x:c>
      <x:c r="AJ1418" t="n">
        <x:f>IF(ISNUMBER(AD1418),1,0)</x:f>
        <x:v>0</x:v>
      </x:c>
    </x:row>
    <x:row r="1419" ht="30" customHeight="1">
      <x:c r="A1419" s="3" t="str">
        <x:v>B07-GY-41-New</x:v>
      </x:c>
      <x:c r="B1419" s="3" t="str">
        <x:v>4店-彬郁-US</x:v>
      </x:c>
      <x:c r="C1419" s="3" t="str">
        <x:v>艾年</x:v>
      </x:c>
      <x:c r="D1419" s="3" t="str">
        <x:v>B07</x:v>
      </x:c>
      <x:c r="E1419" s="3" t="str">
        <x:f>IF(Z1419="移出","已移出",IF(NOT(ISNUMBER(H1419)),"数据待核",IF(H1419=0,"断货",IF(NOT(ISNUMBER(G1419)),"数据待核",IF(G1419=0,"零日销待复核",IF(F1419&lt;60,"补货提醒",IF(F1419&lt;=90,"正常库存",IF(F1419&lt;180,"促销",IF(F1419&lt;=365,"红线促销","考虑清仓")))))))))</x:f>
        <x:v>已移出</x:v>
      </x:c>
      <x:c r="F1419" s="11" t="str">
        <x:f>IF(AND(ISNUMBER(H1419),ISNUMBER(G1419),G1419&gt;0),H1419/G1419,"")</x:f>
      </x:c>
      <x:c r="G1419" s="12" t="str">
        <x:f>IF(AND(COUNT(P1419:R1419)=3,MIN(P1419:R1419)&gt;=0,P1419&lt;=Q1419,Q1419&lt;=R1419),P1419/7*0.5+Q1419/14*0.3+R1419/30*0.2,"")</x:f>
      </x:c>
      <x:c r="H1419" s="10" t="str">
        <x:f>IF(ISNUMBER(U1419),U1419,"")</x:f>
      </x:c>
      <x:c r="I1419" s="10" t="n">
        <x:v>0</x:v>
      </x:c>
      <x:c r="J1419" s="11" t="str">
        <x:f>IF(AND(Z1419="共同",ISNUMBER(F1419),ISNUMBER(M1419)),F1419-M1419,"")</x:f>
      </x:c>
      <x:c r="K1419" s="13" t="str">
        <x:f>IF(AND(ISNUMBER(J1419),M1419&lt;&gt;0),J1419/M1419,"")</x:f>
      </x:c>
      <x:c r="L1419" s="10" t="str">
        <x:v>断货</x:v>
      </x:c>
      <x:c r="M1419" s="11"/>
      <x:c r="N1419" s="10" t="str">
        <x:f>IF(AND(Z1419="共同",COUNT(H1419:I1419)=2),H1419-I1419,"")</x:f>
      </x:c>
      <x:c r="O1419" s="10"/>
      <x:c r="P1419" s="10"/>
      <x:c r="Q1419" s="10"/>
      <x:c r="R1419" s="10"/>
      <x:c r="S1419" s="10"/>
      <x:c r="T1419" s="10"/>
      <x:c r="U1419" s="10" t="str">
        <x:f>IF(AND(ISNUMBER(X1419),X1419&gt;=0,Y1419&lt;&gt;1),X1419,"")</x:f>
      </x:c>
      <x:c r="V1419" s="10"/>
      <x:c r="W1419" s="10"/>
      <x:c r="X1419" s="10"/>
      <x:c r="Y1419" s="3"/>
      <x:c r="Z1419" s="3" t="str">
        <x:v>移出</x:v>
      </x:c>
      <x:c r="AA1419" s="3" t="str">
        <x:v>已移出</x:v>
      </x:c>
      <x:c r="AB1419" s="12" t="str">
        <x:f>IF(AND(Z1419="共同",ISNUMBER(G1419),ISNUMBER(AD1419)),G1419-AD1419,"")</x:f>
      </x:c>
      <x:c r="AC1419" s="3" t="str">
        <x:v>基准清单已移出</x:v>
      </x:c>
      <x:c r="AD1419" s="12"/>
      <x:c r="AE1419" s="3" t="str">
        <x:v>[13306,"B07-GY-41-New"]</x:v>
      </x:c>
      <x:c r="AF1419" t="n">
        <x:f>IF(ISNUMBER(H1419),1,0)</x:f>
        <x:v>0</x:v>
      </x:c>
      <x:c r="AG1419" t="n">
        <x:f>IF(ISNUMBER(I1419),1,0)</x:f>
        <x:v>1</x:v>
      </x:c>
      <x:c r="AH1419"/>
      <x:c r="AI1419" t="n">
        <x:f>IF(ISNUMBER(G1419),1,0)</x:f>
        <x:v>0</x:v>
      </x:c>
      <x:c r="AJ1419" t="n">
        <x:f>IF(ISNUMBER(AD1419),1,0)</x:f>
        <x:v>0</x:v>
      </x:c>
    </x:row>
    <x:row r="1420" ht="30" customHeight="1">
      <x:c r="A1420" s="3" t="str">
        <x:v>B07-IV-P-38.5</x:v>
      </x:c>
      <x:c r="B1420" s="3" t="str">
        <x:v>4店-彬郁-US</x:v>
      </x:c>
      <x:c r="C1420" s="3" t="str">
        <x:v>艾年</x:v>
      </x:c>
      <x:c r="D1420" s="3" t="str">
        <x:v>B07</x:v>
      </x:c>
      <x:c r="E1420" s="3" t="str">
        <x:f>IF(Z1420="移出","已移出",IF(NOT(ISNUMBER(H1420)),"数据待核",IF(H1420=0,"断货",IF(NOT(ISNUMBER(G1420)),"数据待核",IF(G1420=0,"零日销待复核",IF(F1420&lt;60,"补货提醒",IF(F1420&lt;=90,"正常库存",IF(F1420&lt;180,"促销",IF(F1420&lt;=365,"红线促销","考虑清仓")))))))))</x:f>
        <x:v>已移出</x:v>
      </x:c>
      <x:c r="F1420" s="11" t="str">
        <x:f>IF(AND(ISNUMBER(H1420),ISNUMBER(G1420),G1420&gt;0),H1420/G1420,"")</x:f>
      </x:c>
      <x:c r="G1420" s="12" t="str">
        <x:f>IF(AND(COUNT(P1420:R1420)=3,MIN(P1420:R1420)&gt;=0,P1420&lt;=Q1420,Q1420&lt;=R1420),P1420/7*0.5+Q1420/14*0.3+R1420/30*0.2,"")</x:f>
      </x:c>
      <x:c r="H1420" s="10" t="str">
        <x:f>IF(ISNUMBER(U1420),U1420,"")</x:f>
      </x:c>
      <x:c r="I1420" s="10" t="n">
        <x:v>0</x:v>
      </x:c>
      <x:c r="J1420" s="11" t="str">
        <x:f>IF(AND(Z1420="共同",ISNUMBER(F1420),ISNUMBER(M1420)),F1420-M1420,"")</x:f>
      </x:c>
      <x:c r="K1420" s="13" t="str">
        <x:f>IF(AND(ISNUMBER(J1420),M1420&lt;&gt;0),J1420/M1420,"")</x:f>
      </x:c>
      <x:c r="L1420" s="10" t="str">
        <x:v>断货</x:v>
      </x:c>
      <x:c r="M1420" s="11"/>
      <x:c r="N1420" s="10" t="str">
        <x:f>IF(AND(Z1420="共同",COUNT(H1420:I1420)=2),H1420-I1420,"")</x:f>
      </x:c>
      <x:c r="O1420" s="10"/>
      <x:c r="P1420" s="10"/>
      <x:c r="Q1420" s="10"/>
      <x:c r="R1420" s="10"/>
      <x:c r="S1420" s="10"/>
      <x:c r="T1420" s="10"/>
      <x:c r="U1420" s="10" t="str">
        <x:f>IF(AND(ISNUMBER(X1420),X1420&gt;=0,Y1420&lt;&gt;1),X1420,"")</x:f>
      </x:c>
      <x:c r="V1420" s="10"/>
      <x:c r="W1420" s="10"/>
      <x:c r="X1420" s="10"/>
      <x:c r="Y1420" s="3"/>
      <x:c r="Z1420" s="3" t="str">
        <x:v>移出</x:v>
      </x:c>
      <x:c r="AA1420" s="3" t="str">
        <x:v>已移出</x:v>
      </x:c>
      <x:c r="AB1420" s="12" t="str">
        <x:f>IF(AND(Z1420="共同",ISNUMBER(G1420),ISNUMBER(AD1420)),G1420-AD1420,"")</x:f>
      </x:c>
      <x:c r="AC1420" s="3" t="str">
        <x:v>基准清单已移出</x:v>
      </x:c>
      <x:c r="AD1420" s="12"/>
      <x:c r="AE1420" s="3" t="str">
        <x:v>[13306,"B07-IV-P-38.5"]</x:v>
      </x:c>
      <x:c r="AF1420" t="n">
        <x:f>IF(ISNUMBER(H1420),1,0)</x:f>
        <x:v>0</x:v>
      </x:c>
      <x:c r="AG1420" t="n">
        <x:f>IF(ISNUMBER(I1420),1,0)</x:f>
        <x:v>1</x:v>
      </x:c>
      <x:c r="AH1420"/>
      <x:c r="AI1420" t="n">
        <x:f>IF(ISNUMBER(G1420),1,0)</x:f>
        <x:v>0</x:v>
      </x:c>
      <x:c r="AJ1420" t="n">
        <x:f>IF(ISNUMBER(AD1420),1,0)</x:f>
        <x:v>0</x:v>
      </x:c>
    </x:row>
    <x:row r="1421" ht="30" customHeight="1">
      <x:c r="A1421" s="3" t="str">
        <x:v>B07-LP-42-JM</x:v>
      </x:c>
      <x:c r="B1421" s="3" t="str">
        <x:v>4店-彬郁-US</x:v>
      </x:c>
      <x:c r="C1421" s="3" t="str">
        <x:v>艾年</x:v>
      </x:c>
      <x:c r="D1421" s="3" t="str">
        <x:v>B07</x:v>
      </x:c>
      <x:c r="E1421" s="3" t="str">
        <x:f>IF(Z1421="移出","已移出",IF(NOT(ISNUMBER(H1421)),"数据待核",IF(H1421=0,"断货",IF(NOT(ISNUMBER(G1421)),"数据待核",IF(G1421=0,"零日销待复核",IF(F1421&lt;60,"补货提醒",IF(F1421&lt;=90,"正常库存",IF(F1421&lt;180,"促销",IF(F1421&lt;=365,"红线促销","考虑清仓")))))))))</x:f>
        <x:v>已移出</x:v>
      </x:c>
      <x:c r="F1421" s="11" t="str">
        <x:f>IF(AND(ISNUMBER(H1421),ISNUMBER(G1421),G1421&gt;0),H1421/G1421,"")</x:f>
      </x:c>
      <x:c r="G1421" s="12" t="str">
        <x:f>IF(AND(COUNT(P1421:R1421)=3,MIN(P1421:R1421)&gt;=0,P1421&lt;=Q1421,Q1421&lt;=R1421),P1421/7*0.5+Q1421/14*0.3+R1421/30*0.2,"")</x:f>
      </x:c>
      <x:c r="H1421" s="10" t="str">
        <x:f>IF(ISNUMBER(U1421),U1421,"")</x:f>
      </x:c>
      <x:c r="I1421" s="10"/>
      <x:c r="J1421" s="11" t="str">
        <x:f>IF(AND(Z1421="共同",ISNUMBER(F1421),ISNUMBER(M1421)),F1421-M1421,"")</x:f>
      </x:c>
      <x:c r="K1421" s="13" t="str">
        <x:f>IF(AND(ISNUMBER(J1421),M1421&lt;&gt;0),J1421/M1421,"")</x:f>
      </x:c>
      <x:c r="L1421" s="10" t="str">
        <x:v>数据待核</x:v>
      </x:c>
      <x:c r="M1421" s="11"/>
      <x:c r="N1421" s="10" t="str">
        <x:f>IF(AND(Z1421="共同",COUNT(H1421:I1421)=2),H1421-I1421,"")</x:f>
      </x:c>
      <x:c r="O1421" s="10"/>
      <x:c r="P1421" s="10"/>
      <x:c r="Q1421" s="10"/>
      <x:c r="R1421" s="10"/>
      <x:c r="S1421" s="10"/>
      <x:c r="T1421" s="10"/>
      <x:c r="U1421" s="10" t="str">
        <x:f>IF(AND(ISNUMBER(X1421),X1421&gt;=0,Y1421&lt;&gt;1),X1421,"")</x:f>
      </x:c>
      <x:c r="V1421" s="10"/>
      <x:c r="W1421" s="10"/>
      <x:c r="X1421" s="10"/>
      <x:c r="Y1421" s="3"/>
      <x:c r="Z1421" s="3" t="str">
        <x:v>移出</x:v>
      </x:c>
      <x:c r="AA1421" s="3" t="str">
        <x:v>已移出</x:v>
      </x:c>
      <x:c r="AB1421" s="12" t="str">
        <x:f>IF(AND(Z1421="共同",ISNUMBER(G1421),ISNUMBER(AD1421)),G1421-AD1421,"")</x:f>
      </x:c>
      <x:c r="AC1421" s="3" t="str">
        <x:v>基准清单已移出</x:v>
      </x:c>
      <x:c r="AD1421" s="12"/>
      <x:c r="AE1421" s="3" t="str">
        <x:v>[13306,"B07-LP-42-JM"]</x:v>
      </x:c>
      <x:c r="AF1421" t="n">
        <x:f>IF(ISNUMBER(H1421),1,0)</x:f>
        <x:v>0</x:v>
      </x:c>
      <x:c r="AG1421" t="n">
        <x:f>IF(ISNUMBER(I1421),1,0)</x:f>
        <x:v>0</x:v>
      </x:c>
      <x:c r="AH1421"/>
      <x:c r="AI1421" t="n">
        <x:f>IF(ISNUMBER(G1421),1,0)</x:f>
        <x:v>0</x:v>
      </x:c>
      <x:c r="AJ1421" t="n">
        <x:f>IF(ISNUMBER(AD1421),1,0)</x:f>
        <x:v>0</x:v>
      </x:c>
    </x:row>
    <x:row r="1422" ht="30" customHeight="1">
      <x:c r="A1422" s="3" t="str">
        <x:v>B07-MT-37</x:v>
      </x:c>
      <x:c r="B1422" s="3" t="str">
        <x:v>4店-彬郁-US</x:v>
      </x:c>
      <x:c r="C1422" s="3" t="str">
        <x:v>艾年</x:v>
      </x:c>
      <x:c r="D1422" s="3" t="str">
        <x:v>B07</x:v>
      </x:c>
      <x:c r="E1422" s="3" t="str">
        <x:f>IF(Z1422="移出","已移出",IF(NOT(ISNUMBER(H1422)),"数据待核",IF(H1422=0,"断货",IF(NOT(ISNUMBER(G1422)),"数据待核",IF(G1422=0,"零日销待复核",IF(F1422&lt;60,"补货提醒",IF(F1422&lt;=90,"正常库存",IF(F1422&lt;180,"促销",IF(F1422&lt;=365,"红线促销","考虑清仓")))))))))</x:f>
        <x:v>已移出</x:v>
      </x:c>
      <x:c r="F1422" s="11" t="str">
        <x:f>IF(AND(ISNUMBER(H1422),ISNUMBER(G1422),G1422&gt;0),H1422/G1422,"")</x:f>
      </x:c>
      <x:c r="G1422" s="12" t="str">
        <x:f>IF(AND(COUNT(P1422:R1422)=3,MIN(P1422:R1422)&gt;=0,P1422&lt;=Q1422,Q1422&lt;=R1422),P1422/7*0.5+Q1422/14*0.3+R1422/30*0.2,"")</x:f>
      </x:c>
      <x:c r="H1422" s="10" t="str">
        <x:f>IF(ISNUMBER(U1422),U1422,"")</x:f>
      </x:c>
      <x:c r="I1422" s="10"/>
      <x:c r="J1422" s="11" t="str">
        <x:f>IF(AND(Z1422="共同",ISNUMBER(F1422),ISNUMBER(M1422)),F1422-M1422,"")</x:f>
      </x:c>
      <x:c r="K1422" s="13" t="str">
        <x:f>IF(AND(ISNUMBER(J1422),M1422&lt;&gt;0),J1422/M1422,"")</x:f>
      </x:c>
      <x:c r="L1422" s="10" t="str">
        <x:v>数据待核</x:v>
      </x:c>
      <x:c r="M1422" s="11"/>
      <x:c r="N1422" s="10" t="str">
        <x:f>IF(AND(Z1422="共同",COUNT(H1422:I1422)=2),H1422-I1422,"")</x:f>
      </x:c>
      <x:c r="O1422" s="10"/>
      <x:c r="P1422" s="10"/>
      <x:c r="Q1422" s="10"/>
      <x:c r="R1422" s="10"/>
      <x:c r="S1422" s="10"/>
      <x:c r="T1422" s="10"/>
      <x:c r="U1422" s="10" t="str">
        <x:f>IF(AND(ISNUMBER(X1422),X1422&gt;=0,Y1422&lt;&gt;1),X1422,"")</x:f>
      </x:c>
      <x:c r="V1422" s="10"/>
      <x:c r="W1422" s="10"/>
      <x:c r="X1422" s="10"/>
      <x:c r="Y1422" s="3"/>
      <x:c r="Z1422" s="3" t="str">
        <x:v>移出</x:v>
      </x:c>
      <x:c r="AA1422" s="3" t="str">
        <x:v>已移出</x:v>
      </x:c>
      <x:c r="AB1422" s="12" t="str">
        <x:f>IF(AND(Z1422="共同",ISNUMBER(G1422),ISNUMBER(AD1422)),G1422-AD1422,"")</x:f>
      </x:c>
      <x:c r="AC1422" s="3" t="str">
        <x:v>基准清单已移出</x:v>
      </x:c>
      <x:c r="AD1422" s="12"/>
      <x:c r="AE1422" s="3" t="str">
        <x:v>[13306,"B07-MT-37"]</x:v>
      </x:c>
      <x:c r="AF1422" t="n">
        <x:f>IF(ISNUMBER(H1422),1,0)</x:f>
        <x:v>0</x:v>
      </x:c>
      <x:c r="AG1422" t="n">
        <x:f>IF(ISNUMBER(I1422),1,0)</x:f>
        <x:v>0</x:v>
      </x:c>
      <x:c r="AH1422"/>
      <x:c r="AI1422" t="n">
        <x:f>IF(ISNUMBER(G1422),1,0)</x:f>
        <x:v>0</x:v>
      </x:c>
      <x:c r="AJ1422" t="n">
        <x:f>IF(ISNUMBER(AD1422),1,0)</x:f>
        <x:v>0</x:v>
      </x:c>
    </x:row>
    <x:row r="1423" ht="30" customHeight="1">
      <x:c r="A1423" s="3" t="str">
        <x:v>B07-MT-38.5</x:v>
      </x:c>
      <x:c r="B1423" s="3" t="str">
        <x:v>4店-彬郁-US</x:v>
      </x:c>
      <x:c r="C1423" s="3" t="str">
        <x:v>艾年</x:v>
      </x:c>
      <x:c r="D1423" s="3" t="str">
        <x:v>B07</x:v>
      </x:c>
      <x:c r="E1423" s="3" t="str">
        <x:f>IF(Z1423="移出","已移出",IF(NOT(ISNUMBER(H1423)),"数据待核",IF(H1423=0,"断货",IF(NOT(ISNUMBER(G1423)),"数据待核",IF(G1423=0,"零日销待复核",IF(F1423&lt;60,"补货提醒",IF(F1423&lt;=90,"正常库存",IF(F1423&lt;180,"促销",IF(F1423&lt;=365,"红线促销","考虑清仓")))))))))</x:f>
        <x:v>已移出</x:v>
      </x:c>
      <x:c r="F1423" s="11" t="str">
        <x:f>IF(AND(ISNUMBER(H1423),ISNUMBER(G1423),G1423&gt;0),H1423/G1423,"")</x:f>
      </x:c>
      <x:c r="G1423" s="12" t="str">
        <x:f>IF(AND(COUNT(P1423:R1423)=3,MIN(P1423:R1423)&gt;=0,P1423&lt;=Q1423,Q1423&lt;=R1423),P1423/7*0.5+Q1423/14*0.3+R1423/30*0.2,"")</x:f>
      </x:c>
      <x:c r="H1423" s="10" t="str">
        <x:f>IF(ISNUMBER(U1423),U1423,"")</x:f>
      </x:c>
      <x:c r="I1423" s="10" t="n">
        <x:v>0</x:v>
      </x:c>
      <x:c r="J1423" s="11" t="str">
        <x:f>IF(AND(Z1423="共同",ISNUMBER(F1423),ISNUMBER(M1423)),F1423-M1423,"")</x:f>
      </x:c>
      <x:c r="K1423" s="13" t="str">
        <x:f>IF(AND(ISNUMBER(J1423),M1423&lt;&gt;0),J1423/M1423,"")</x:f>
      </x:c>
      <x:c r="L1423" s="10" t="str">
        <x:v>断货</x:v>
      </x:c>
      <x:c r="M1423" s="11"/>
      <x:c r="N1423" s="10" t="str">
        <x:f>IF(AND(Z1423="共同",COUNT(H1423:I1423)=2),H1423-I1423,"")</x:f>
      </x:c>
      <x:c r="O1423" s="10"/>
      <x:c r="P1423" s="10"/>
      <x:c r="Q1423" s="10"/>
      <x:c r="R1423" s="10"/>
      <x:c r="S1423" s="10"/>
      <x:c r="T1423" s="10"/>
      <x:c r="U1423" s="10" t="str">
        <x:f>IF(AND(ISNUMBER(X1423),X1423&gt;=0,Y1423&lt;&gt;1),X1423,"")</x:f>
      </x:c>
      <x:c r="V1423" s="10"/>
      <x:c r="W1423" s="10"/>
      <x:c r="X1423" s="10"/>
      <x:c r="Y1423" s="3"/>
      <x:c r="Z1423" s="3" t="str">
        <x:v>移出</x:v>
      </x:c>
      <x:c r="AA1423" s="3" t="str">
        <x:v>已移出</x:v>
      </x:c>
      <x:c r="AB1423" s="12" t="str">
        <x:f>IF(AND(Z1423="共同",ISNUMBER(G1423),ISNUMBER(AD1423)),G1423-AD1423,"")</x:f>
      </x:c>
      <x:c r="AC1423" s="3" t="str">
        <x:v>基准清单已移出</x:v>
      </x:c>
      <x:c r="AD1423" s="12"/>
      <x:c r="AE1423" s="3" t="str">
        <x:v>[13306,"B07-MT-38.5"]</x:v>
      </x:c>
      <x:c r="AF1423" t="n">
        <x:f>IF(ISNUMBER(H1423),1,0)</x:f>
        <x:v>0</x:v>
      </x:c>
      <x:c r="AG1423" t="n">
        <x:f>IF(ISNUMBER(I1423),1,0)</x:f>
        <x:v>1</x:v>
      </x:c>
      <x:c r="AH1423"/>
      <x:c r="AI1423" t="n">
        <x:f>IF(ISNUMBER(G1423),1,0)</x:f>
        <x:v>0</x:v>
      </x:c>
      <x:c r="AJ1423" t="n">
        <x:f>IF(ISNUMBER(AD1423),1,0)</x:f>
        <x:v>0</x:v>
      </x:c>
    </x:row>
    <x:row r="1424" ht="30" customHeight="1">
      <x:c r="A1424" s="3" t="str">
        <x:v>B07-MT-39.5</x:v>
      </x:c>
      <x:c r="B1424" s="3" t="str">
        <x:v>4店-彬郁-US</x:v>
      </x:c>
      <x:c r="C1424" s="3" t="str">
        <x:v>艾年</x:v>
      </x:c>
      <x:c r="D1424" s="3" t="str">
        <x:v>B07</x:v>
      </x:c>
      <x:c r="E1424" s="3" t="str">
        <x:f>IF(Z1424="移出","已移出",IF(NOT(ISNUMBER(H1424)),"数据待核",IF(H1424=0,"断货",IF(NOT(ISNUMBER(G1424)),"数据待核",IF(G1424=0,"零日销待复核",IF(F1424&lt;60,"补货提醒",IF(F1424&lt;=90,"正常库存",IF(F1424&lt;180,"促销",IF(F1424&lt;=365,"红线促销","考虑清仓")))))))))</x:f>
        <x:v>已移出</x:v>
      </x:c>
      <x:c r="F1424" s="11" t="str">
        <x:f>IF(AND(ISNUMBER(H1424),ISNUMBER(G1424),G1424&gt;0),H1424/G1424,"")</x:f>
      </x:c>
      <x:c r="G1424" s="12" t="str">
        <x:f>IF(AND(COUNT(P1424:R1424)=3,MIN(P1424:R1424)&gt;=0,P1424&lt;=Q1424,Q1424&lt;=R1424),P1424/7*0.5+Q1424/14*0.3+R1424/30*0.2,"")</x:f>
      </x:c>
      <x:c r="H1424" s="10" t="str">
        <x:f>IF(ISNUMBER(U1424),U1424,"")</x:f>
      </x:c>
      <x:c r="I1424" s="10" t="n">
        <x:v>0</x:v>
      </x:c>
      <x:c r="J1424" s="11" t="str">
        <x:f>IF(AND(Z1424="共同",ISNUMBER(F1424),ISNUMBER(M1424)),F1424-M1424,"")</x:f>
      </x:c>
      <x:c r="K1424" s="13" t="str">
        <x:f>IF(AND(ISNUMBER(J1424),M1424&lt;&gt;0),J1424/M1424,"")</x:f>
      </x:c>
      <x:c r="L1424" s="10" t="str">
        <x:v>断货</x:v>
      </x:c>
      <x:c r="M1424" s="11"/>
      <x:c r="N1424" s="10" t="str">
        <x:f>IF(AND(Z1424="共同",COUNT(H1424:I1424)=2),H1424-I1424,"")</x:f>
      </x:c>
      <x:c r="O1424" s="10"/>
      <x:c r="P1424" s="10"/>
      <x:c r="Q1424" s="10"/>
      <x:c r="R1424" s="10"/>
      <x:c r="S1424" s="10"/>
      <x:c r="T1424" s="10"/>
      <x:c r="U1424" s="10" t="str">
        <x:f>IF(AND(ISNUMBER(X1424),X1424&gt;=0,Y1424&lt;&gt;1),X1424,"")</x:f>
      </x:c>
      <x:c r="V1424" s="10"/>
      <x:c r="W1424" s="10"/>
      <x:c r="X1424" s="10"/>
      <x:c r="Y1424" s="3"/>
      <x:c r="Z1424" s="3" t="str">
        <x:v>移出</x:v>
      </x:c>
      <x:c r="AA1424" s="3" t="str">
        <x:v>已移出</x:v>
      </x:c>
      <x:c r="AB1424" s="12" t="str">
        <x:f>IF(AND(Z1424="共同",ISNUMBER(G1424),ISNUMBER(AD1424)),G1424-AD1424,"")</x:f>
      </x:c>
      <x:c r="AC1424" s="3" t="str">
        <x:v>基准清单已移出</x:v>
      </x:c>
      <x:c r="AD1424" s="12"/>
      <x:c r="AE1424" s="3" t="str">
        <x:v>[13306,"B07-MT-39.5"]</x:v>
      </x:c>
      <x:c r="AF1424" t="n">
        <x:f>IF(ISNUMBER(H1424),1,0)</x:f>
        <x:v>0</x:v>
      </x:c>
      <x:c r="AG1424" t="n">
        <x:f>IF(ISNUMBER(I1424),1,0)</x:f>
        <x:v>1</x:v>
      </x:c>
      <x:c r="AH1424"/>
      <x:c r="AI1424" t="n">
        <x:f>IF(ISNUMBER(G1424),1,0)</x:f>
        <x:v>0</x:v>
      </x:c>
      <x:c r="AJ1424" t="n">
        <x:f>IF(ISNUMBER(AD1424),1,0)</x:f>
        <x:v>0</x:v>
      </x:c>
    </x:row>
    <x:row r="1425" ht="30" customHeight="1">
      <x:c r="A1425" s="3" t="str">
        <x:v>B07-MT-40.5</x:v>
      </x:c>
      <x:c r="B1425" s="3" t="str">
        <x:v>4店-彬郁-US</x:v>
      </x:c>
      <x:c r="C1425" s="3" t="str">
        <x:v>艾年</x:v>
      </x:c>
      <x:c r="D1425" s="3" t="str">
        <x:v>B07</x:v>
      </x:c>
      <x:c r="E1425" s="3" t="str">
        <x:f>IF(Z1425="移出","已移出",IF(NOT(ISNUMBER(H1425)),"数据待核",IF(H1425=0,"断货",IF(NOT(ISNUMBER(G1425)),"数据待核",IF(G1425=0,"零日销待复核",IF(F1425&lt;60,"补货提醒",IF(F1425&lt;=90,"正常库存",IF(F1425&lt;180,"促销",IF(F1425&lt;=365,"红线促销","考虑清仓")))))))))</x:f>
        <x:v>已移出</x:v>
      </x:c>
      <x:c r="F1425" s="11" t="str">
        <x:f>IF(AND(ISNUMBER(H1425),ISNUMBER(G1425),G1425&gt;0),H1425/G1425,"")</x:f>
      </x:c>
      <x:c r="G1425" s="12" t="str">
        <x:f>IF(AND(COUNT(P1425:R1425)=3,MIN(P1425:R1425)&gt;=0,P1425&lt;=Q1425,Q1425&lt;=R1425),P1425/7*0.5+Q1425/14*0.3+R1425/30*0.2,"")</x:f>
      </x:c>
      <x:c r="H1425" s="10" t="str">
        <x:f>IF(ISNUMBER(U1425),U1425,"")</x:f>
      </x:c>
      <x:c r="I1425" s="10" t="n">
        <x:v>0</x:v>
      </x:c>
      <x:c r="J1425" s="11" t="str">
        <x:f>IF(AND(Z1425="共同",ISNUMBER(F1425),ISNUMBER(M1425)),F1425-M1425,"")</x:f>
      </x:c>
      <x:c r="K1425" s="13" t="str">
        <x:f>IF(AND(ISNUMBER(J1425),M1425&lt;&gt;0),J1425/M1425,"")</x:f>
      </x:c>
      <x:c r="L1425" s="10" t="str">
        <x:v>断货</x:v>
      </x:c>
      <x:c r="M1425" s="11"/>
      <x:c r="N1425" s="10" t="str">
        <x:f>IF(AND(Z1425="共同",COUNT(H1425:I1425)=2),H1425-I1425,"")</x:f>
      </x:c>
      <x:c r="O1425" s="10"/>
      <x:c r="P1425" s="10"/>
      <x:c r="Q1425" s="10"/>
      <x:c r="R1425" s="10"/>
      <x:c r="S1425" s="10"/>
      <x:c r="T1425" s="10"/>
      <x:c r="U1425" s="10" t="str">
        <x:f>IF(AND(ISNUMBER(X1425),X1425&gt;=0,Y1425&lt;&gt;1),X1425,"")</x:f>
      </x:c>
      <x:c r="V1425" s="10"/>
      <x:c r="W1425" s="10"/>
      <x:c r="X1425" s="10"/>
      <x:c r="Y1425" s="3"/>
      <x:c r="Z1425" s="3" t="str">
        <x:v>移出</x:v>
      </x:c>
      <x:c r="AA1425" s="3" t="str">
        <x:v>已移出</x:v>
      </x:c>
      <x:c r="AB1425" s="12" t="str">
        <x:f>IF(AND(Z1425="共同",ISNUMBER(G1425),ISNUMBER(AD1425)),G1425-AD1425,"")</x:f>
      </x:c>
      <x:c r="AC1425" s="3" t="str">
        <x:v>基准清单已移出</x:v>
      </x:c>
      <x:c r="AD1425" s="12"/>
      <x:c r="AE1425" s="3" t="str">
        <x:v>[13306,"B07-MT-40.5"]</x:v>
      </x:c>
      <x:c r="AF1425" t="n">
        <x:f>IF(ISNUMBER(H1425),1,0)</x:f>
        <x:v>0</x:v>
      </x:c>
      <x:c r="AG1425" t="n">
        <x:f>IF(ISNUMBER(I1425),1,0)</x:f>
        <x:v>1</x:v>
      </x:c>
      <x:c r="AH1425"/>
      <x:c r="AI1425" t="n">
        <x:f>IF(ISNUMBER(G1425),1,0)</x:f>
        <x:v>0</x:v>
      </x:c>
      <x:c r="AJ1425" t="n">
        <x:f>IF(ISNUMBER(AD1425),1,0)</x:f>
        <x:v>0</x:v>
      </x:c>
    </x:row>
    <x:row r="1426" ht="30" customHeight="1">
      <x:c r="A1426" s="3" t="str">
        <x:v>B07-MT-40-by</x:v>
      </x:c>
      <x:c r="B1426" s="3" t="str">
        <x:v>4店-彬郁-US</x:v>
      </x:c>
      <x:c r="C1426" s="3" t="str">
        <x:v>艾年</x:v>
      </x:c>
      <x:c r="D1426" s="3" t="str">
        <x:v>B07</x:v>
      </x:c>
      <x:c r="E1426" s="3" t="str">
        <x:f>IF(Z1426="移出","已移出",IF(NOT(ISNUMBER(H1426)),"数据待核",IF(H1426=0,"断货",IF(NOT(ISNUMBER(G1426)),"数据待核",IF(G1426=0,"零日销待复核",IF(F1426&lt;60,"补货提醒",IF(F1426&lt;=90,"正常库存",IF(F1426&lt;180,"促销",IF(F1426&lt;=365,"红线促销","考虑清仓")))))))))</x:f>
        <x:v>已移出</x:v>
      </x:c>
      <x:c r="F1426" s="11" t="str">
        <x:f>IF(AND(ISNUMBER(H1426),ISNUMBER(G1426),G1426&gt;0),H1426/G1426,"")</x:f>
      </x:c>
      <x:c r="G1426" s="12" t="str">
        <x:f>IF(AND(COUNT(P1426:R1426)=3,MIN(P1426:R1426)&gt;=0,P1426&lt;=Q1426,Q1426&lt;=R1426),P1426/7*0.5+Q1426/14*0.3+R1426/30*0.2,"")</x:f>
      </x:c>
      <x:c r="H1426" s="10" t="str">
        <x:f>IF(ISNUMBER(U1426),U1426,"")</x:f>
      </x:c>
      <x:c r="I1426" s="10" t="n">
        <x:v>0</x:v>
      </x:c>
      <x:c r="J1426" s="11" t="str">
        <x:f>IF(AND(Z1426="共同",ISNUMBER(F1426),ISNUMBER(M1426)),F1426-M1426,"")</x:f>
      </x:c>
      <x:c r="K1426" s="13" t="str">
        <x:f>IF(AND(ISNUMBER(J1426),M1426&lt;&gt;0),J1426/M1426,"")</x:f>
      </x:c>
      <x:c r="L1426" s="10" t="str">
        <x:v>断货</x:v>
      </x:c>
      <x:c r="M1426" s="11"/>
      <x:c r="N1426" s="10" t="str">
        <x:f>IF(AND(Z1426="共同",COUNT(H1426:I1426)=2),H1426-I1426,"")</x:f>
      </x:c>
      <x:c r="O1426" s="10"/>
      <x:c r="P1426" s="10"/>
      <x:c r="Q1426" s="10"/>
      <x:c r="R1426" s="10"/>
      <x:c r="S1426" s="10"/>
      <x:c r="T1426" s="10"/>
      <x:c r="U1426" s="10" t="str">
        <x:f>IF(AND(ISNUMBER(X1426),X1426&gt;=0,Y1426&lt;&gt;1),X1426,"")</x:f>
      </x:c>
      <x:c r="V1426" s="10"/>
      <x:c r="W1426" s="10"/>
      <x:c r="X1426" s="10"/>
      <x:c r="Y1426" s="3"/>
      <x:c r="Z1426" s="3" t="str">
        <x:v>移出</x:v>
      </x:c>
      <x:c r="AA1426" s="3" t="str">
        <x:v>已移出</x:v>
      </x:c>
      <x:c r="AB1426" s="12" t="str">
        <x:f>IF(AND(Z1426="共同",ISNUMBER(G1426),ISNUMBER(AD1426)),G1426-AD1426,"")</x:f>
      </x:c>
      <x:c r="AC1426" s="3" t="str">
        <x:v>基准清单已移出</x:v>
      </x:c>
      <x:c r="AD1426" s="12"/>
      <x:c r="AE1426" s="3" t="str">
        <x:v>[13306,"B07-MT-40-by"]</x:v>
      </x:c>
      <x:c r="AF1426" t="n">
        <x:f>IF(ISNUMBER(H1426),1,0)</x:f>
        <x:v>0</x:v>
      </x:c>
      <x:c r="AG1426" t="n">
        <x:f>IF(ISNUMBER(I1426),1,0)</x:f>
        <x:v>1</x:v>
      </x:c>
      <x:c r="AH1426"/>
      <x:c r="AI1426" t="n">
        <x:f>IF(ISNUMBER(G1426),1,0)</x:f>
        <x:v>0</x:v>
      </x:c>
      <x:c r="AJ1426" t="n">
        <x:f>IF(ISNUMBER(AD1426),1,0)</x:f>
        <x:v>0</x:v>
      </x:c>
    </x:row>
    <x:row r="1427" ht="30" customHeight="1">
      <x:c r="A1427" s="3" t="str">
        <x:v>B07-MT-41-by</x:v>
      </x:c>
      <x:c r="B1427" s="3" t="str">
        <x:v>4店-彬郁-US</x:v>
      </x:c>
      <x:c r="C1427" s="3" t="str">
        <x:v>艾年</x:v>
      </x:c>
      <x:c r="D1427" s="3" t="str">
        <x:v>B07</x:v>
      </x:c>
      <x:c r="E1427" s="3" t="str">
        <x:f>IF(Z1427="移出","已移出",IF(NOT(ISNUMBER(H1427)),"数据待核",IF(H1427=0,"断货",IF(NOT(ISNUMBER(G1427)),"数据待核",IF(G1427=0,"零日销待复核",IF(F1427&lt;60,"补货提醒",IF(F1427&lt;=90,"正常库存",IF(F1427&lt;180,"促销",IF(F1427&lt;=365,"红线促销","考虑清仓")))))))))</x:f>
        <x:v>已移出</x:v>
      </x:c>
      <x:c r="F1427" s="11" t="str">
        <x:f>IF(AND(ISNUMBER(H1427),ISNUMBER(G1427),G1427&gt;0),H1427/G1427,"")</x:f>
      </x:c>
      <x:c r="G1427" s="12" t="str">
        <x:f>IF(AND(COUNT(P1427:R1427)=3,MIN(P1427:R1427)&gt;=0,P1427&lt;=Q1427,Q1427&lt;=R1427),P1427/7*0.5+Q1427/14*0.3+R1427/30*0.2,"")</x:f>
      </x:c>
      <x:c r="H1427" s="10" t="str">
        <x:f>IF(ISNUMBER(U1427),U1427,"")</x:f>
      </x:c>
      <x:c r="I1427" s="10" t="n">
        <x:v>0</x:v>
      </x:c>
      <x:c r="J1427" s="11" t="str">
        <x:f>IF(AND(Z1427="共同",ISNUMBER(F1427),ISNUMBER(M1427)),F1427-M1427,"")</x:f>
      </x:c>
      <x:c r="K1427" s="13" t="str">
        <x:f>IF(AND(ISNUMBER(J1427),M1427&lt;&gt;0),J1427/M1427,"")</x:f>
      </x:c>
      <x:c r="L1427" s="10" t="str">
        <x:v>断货</x:v>
      </x:c>
      <x:c r="M1427" s="11"/>
      <x:c r="N1427" s="10" t="str">
        <x:f>IF(AND(Z1427="共同",COUNT(H1427:I1427)=2),H1427-I1427,"")</x:f>
      </x:c>
      <x:c r="O1427" s="10"/>
      <x:c r="P1427" s="10"/>
      <x:c r="Q1427" s="10"/>
      <x:c r="R1427" s="10"/>
      <x:c r="S1427" s="10"/>
      <x:c r="T1427" s="10"/>
      <x:c r="U1427" s="10" t="str">
        <x:f>IF(AND(ISNUMBER(X1427),X1427&gt;=0,Y1427&lt;&gt;1),X1427,"")</x:f>
      </x:c>
      <x:c r="V1427" s="10"/>
      <x:c r="W1427" s="10"/>
      <x:c r="X1427" s="10"/>
      <x:c r="Y1427" s="3"/>
      <x:c r="Z1427" s="3" t="str">
        <x:v>移出</x:v>
      </x:c>
      <x:c r="AA1427" s="3" t="str">
        <x:v>已移出</x:v>
      </x:c>
      <x:c r="AB1427" s="12" t="str">
        <x:f>IF(AND(Z1427="共同",ISNUMBER(G1427),ISNUMBER(AD1427)),G1427-AD1427,"")</x:f>
      </x:c>
      <x:c r="AC1427" s="3" t="str">
        <x:v>基准清单已移出</x:v>
      </x:c>
      <x:c r="AD1427" s="12"/>
      <x:c r="AE1427" s="3" t="str">
        <x:v>[13306,"B07-MT-41-by"]</x:v>
      </x:c>
      <x:c r="AF1427" t="n">
        <x:f>IF(ISNUMBER(H1427),1,0)</x:f>
        <x:v>0</x:v>
      </x:c>
      <x:c r="AG1427" t="n">
        <x:f>IF(ISNUMBER(I1427),1,0)</x:f>
        <x:v>1</x:v>
      </x:c>
      <x:c r="AH1427"/>
      <x:c r="AI1427" t="n">
        <x:f>IF(ISNUMBER(G1427),1,0)</x:f>
        <x:v>0</x:v>
      </x:c>
      <x:c r="AJ1427" t="n">
        <x:f>IF(ISNUMBER(AD1427),1,0)</x:f>
        <x:v>0</x:v>
      </x:c>
    </x:row>
    <x:row r="1428" ht="30" customHeight="1">
      <x:c r="A1428" s="3" t="str">
        <x:v>B07-ND-I-0-38.5</x:v>
      </x:c>
      <x:c r="B1428" s="3" t="str">
        <x:v>4店-彬郁-US</x:v>
      </x:c>
      <x:c r="C1428" s="3" t="str">
        <x:v>艾年</x:v>
      </x:c>
      <x:c r="D1428" s="3" t="str">
        <x:v>B07</x:v>
      </x:c>
      <x:c r="E1428" s="3" t="str">
        <x:f>IF(Z1428="移出","已移出",IF(NOT(ISNUMBER(H1428)),"数据待核",IF(H1428=0,"断货",IF(NOT(ISNUMBER(G1428)),"数据待核",IF(G1428=0,"零日销待复核",IF(F1428&lt;60,"补货提醒",IF(F1428&lt;=90,"正常库存",IF(F1428&lt;180,"促销",IF(F1428&lt;=365,"红线促销","考虑清仓")))))))))</x:f>
        <x:v>已移出</x:v>
      </x:c>
      <x:c r="F1428" s="11" t="str">
        <x:f>IF(AND(ISNUMBER(H1428),ISNUMBER(G1428),G1428&gt;0),H1428/G1428,"")</x:f>
      </x:c>
      <x:c r="G1428" s="12" t="str">
        <x:f>IF(AND(COUNT(P1428:R1428)=3,MIN(P1428:R1428)&gt;=0,P1428&lt;=Q1428,Q1428&lt;=R1428),P1428/7*0.5+Q1428/14*0.3+R1428/30*0.2,"")</x:f>
      </x:c>
      <x:c r="H1428" s="10" t="str">
        <x:f>IF(ISNUMBER(U1428),U1428,"")</x:f>
      </x:c>
      <x:c r="I1428" s="10" t="n">
        <x:v>0</x:v>
      </x:c>
      <x:c r="J1428" s="11" t="str">
        <x:f>IF(AND(Z1428="共同",ISNUMBER(F1428),ISNUMBER(M1428)),F1428-M1428,"")</x:f>
      </x:c>
      <x:c r="K1428" s="13" t="str">
        <x:f>IF(AND(ISNUMBER(J1428),M1428&lt;&gt;0),J1428/M1428,"")</x:f>
      </x:c>
      <x:c r="L1428" s="10" t="str">
        <x:v>断货</x:v>
      </x:c>
      <x:c r="M1428" s="11"/>
      <x:c r="N1428" s="10" t="str">
        <x:f>IF(AND(Z1428="共同",COUNT(H1428:I1428)=2),H1428-I1428,"")</x:f>
      </x:c>
      <x:c r="O1428" s="10"/>
      <x:c r="P1428" s="10"/>
      <x:c r="Q1428" s="10"/>
      <x:c r="R1428" s="10"/>
      <x:c r="S1428" s="10"/>
      <x:c r="T1428" s="10"/>
      <x:c r="U1428" s="10" t="str">
        <x:f>IF(AND(ISNUMBER(X1428),X1428&gt;=0,Y1428&lt;&gt;1),X1428,"")</x:f>
      </x:c>
      <x:c r="V1428" s="10"/>
      <x:c r="W1428" s="10"/>
      <x:c r="X1428" s="10"/>
      <x:c r="Y1428" s="3"/>
      <x:c r="Z1428" s="3" t="str">
        <x:v>移出</x:v>
      </x:c>
      <x:c r="AA1428" s="3" t="str">
        <x:v>已移出</x:v>
      </x:c>
      <x:c r="AB1428" s="12" t="str">
        <x:f>IF(AND(Z1428="共同",ISNUMBER(G1428),ISNUMBER(AD1428)),G1428-AD1428,"")</x:f>
      </x:c>
      <x:c r="AC1428" s="3" t="str">
        <x:v>基准清单已移出</x:v>
      </x:c>
      <x:c r="AD1428" s="12"/>
      <x:c r="AE1428" s="3" t="str">
        <x:v>[13306,"B07-ND-I-0-38.5"]</x:v>
      </x:c>
      <x:c r="AF1428" t="n">
        <x:f>IF(ISNUMBER(H1428),1,0)</x:f>
        <x:v>0</x:v>
      </x:c>
      <x:c r="AG1428" t="n">
        <x:f>IF(ISNUMBER(I1428),1,0)</x:f>
        <x:v>1</x:v>
      </x:c>
      <x:c r="AH1428"/>
      <x:c r="AI1428" t="n">
        <x:f>IF(ISNUMBER(G1428),1,0)</x:f>
        <x:v>0</x:v>
      </x:c>
      <x:c r="AJ1428" t="n">
        <x:f>IF(ISNUMBER(AD1428),1,0)</x:f>
        <x:v>0</x:v>
      </x:c>
    </x:row>
    <x:row r="1429" ht="30" customHeight="1">
      <x:c r="A1429" s="3" t="str">
        <x:v>B07-ND-I-0-41.5</x:v>
      </x:c>
      <x:c r="B1429" s="3" t="str">
        <x:v>4店-彬郁-US</x:v>
      </x:c>
      <x:c r="C1429" s="3" t="str">
        <x:v>艾年</x:v>
      </x:c>
      <x:c r="D1429" s="3" t="str">
        <x:v>B07</x:v>
      </x:c>
      <x:c r="E1429" s="3" t="str">
        <x:f>IF(Z1429="移出","已移出",IF(NOT(ISNUMBER(H1429)),"数据待核",IF(H1429=0,"断货",IF(NOT(ISNUMBER(G1429)),"数据待核",IF(G1429=0,"零日销待复核",IF(F1429&lt;60,"补货提醒",IF(F1429&lt;=90,"正常库存",IF(F1429&lt;180,"促销",IF(F1429&lt;=365,"红线促销","考虑清仓")))))))))</x:f>
        <x:v>已移出</x:v>
      </x:c>
      <x:c r="F1429" s="11" t="str">
        <x:f>IF(AND(ISNUMBER(H1429),ISNUMBER(G1429),G1429&gt;0),H1429/G1429,"")</x:f>
      </x:c>
      <x:c r="G1429" s="12" t="str">
        <x:f>IF(AND(COUNT(P1429:R1429)=3,MIN(P1429:R1429)&gt;=0,P1429&lt;=Q1429,Q1429&lt;=R1429),P1429/7*0.5+Q1429/14*0.3+R1429/30*0.2,"")</x:f>
      </x:c>
      <x:c r="H1429" s="10" t="str">
        <x:f>IF(ISNUMBER(U1429),U1429,"")</x:f>
      </x:c>
      <x:c r="I1429" s="10" t="n">
        <x:v>0</x:v>
      </x:c>
      <x:c r="J1429" s="11" t="str">
        <x:f>IF(AND(Z1429="共同",ISNUMBER(F1429),ISNUMBER(M1429)),F1429-M1429,"")</x:f>
      </x:c>
      <x:c r="K1429" s="13" t="str">
        <x:f>IF(AND(ISNUMBER(J1429),M1429&lt;&gt;0),J1429/M1429,"")</x:f>
      </x:c>
      <x:c r="L1429" s="10" t="str">
        <x:v>断货</x:v>
      </x:c>
      <x:c r="M1429" s="11"/>
      <x:c r="N1429" s="10" t="str">
        <x:f>IF(AND(Z1429="共同",COUNT(H1429:I1429)=2),H1429-I1429,"")</x:f>
      </x:c>
      <x:c r="O1429" s="10"/>
      <x:c r="P1429" s="10"/>
      <x:c r="Q1429" s="10"/>
      <x:c r="R1429" s="10"/>
      <x:c r="S1429" s="10"/>
      <x:c r="T1429" s="10"/>
      <x:c r="U1429" s="10" t="str">
        <x:f>IF(AND(ISNUMBER(X1429),X1429&gt;=0,Y1429&lt;&gt;1),X1429,"")</x:f>
      </x:c>
      <x:c r="V1429" s="10"/>
      <x:c r="W1429" s="10"/>
      <x:c r="X1429" s="10"/>
      <x:c r="Y1429" s="3"/>
      <x:c r="Z1429" s="3" t="str">
        <x:v>移出</x:v>
      </x:c>
      <x:c r="AA1429" s="3" t="str">
        <x:v>已移出</x:v>
      </x:c>
      <x:c r="AB1429" s="12" t="str">
        <x:f>IF(AND(Z1429="共同",ISNUMBER(G1429),ISNUMBER(AD1429)),G1429-AD1429,"")</x:f>
      </x:c>
      <x:c r="AC1429" s="3" t="str">
        <x:v>基准清单已移出</x:v>
      </x:c>
      <x:c r="AD1429" s="12"/>
      <x:c r="AE1429" s="3" t="str">
        <x:v>[13306,"B07-ND-I-0-41.5"]</x:v>
      </x:c>
      <x:c r="AF1429" t="n">
        <x:f>IF(ISNUMBER(H1429),1,0)</x:f>
        <x:v>0</x:v>
      </x:c>
      <x:c r="AG1429" t="n">
        <x:f>IF(ISNUMBER(I1429),1,0)</x:f>
        <x:v>1</x:v>
      </x:c>
      <x:c r="AH1429"/>
      <x:c r="AI1429" t="n">
        <x:f>IF(ISNUMBER(G1429),1,0)</x:f>
        <x:v>0</x:v>
      </x:c>
      <x:c r="AJ1429" t="n">
        <x:f>IF(ISNUMBER(AD1429),1,0)</x:f>
        <x:v>0</x:v>
      </x:c>
    </x:row>
    <x:row r="1430" ht="30" customHeight="1">
      <x:c r="A1430" s="3" t="str">
        <x:v>B07-ND-I-0-42</x:v>
      </x:c>
      <x:c r="B1430" s="3" t="str">
        <x:v>4店-彬郁-US</x:v>
      </x:c>
      <x:c r="C1430" s="3" t="str">
        <x:v>艾年</x:v>
      </x:c>
      <x:c r="D1430" s="3" t="str">
        <x:v>B07</x:v>
      </x:c>
      <x:c r="E1430" s="3" t="str">
        <x:f>IF(Z1430="移出","已移出",IF(NOT(ISNUMBER(H1430)),"数据待核",IF(H1430=0,"断货",IF(NOT(ISNUMBER(G1430)),"数据待核",IF(G1430=0,"零日销待复核",IF(F1430&lt;60,"补货提醒",IF(F1430&lt;=90,"正常库存",IF(F1430&lt;180,"促销",IF(F1430&lt;=365,"红线促销","考虑清仓")))))))))</x:f>
        <x:v>已移出</x:v>
      </x:c>
      <x:c r="F1430" s="11" t="str">
        <x:f>IF(AND(ISNUMBER(H1430),ISNUMBER(G1430),G1430&gt;0),H1430/G1430,"")</x:f>
      </x:c>
      <x:c r="G1430" s="12" t="str">
        <x:f>IF(AND(COUNT(P1430:R1430)=3,MIN(P1430:R1430)&gt;=0,P1430&lt;=Q1430,Q1430&lt;=R1430),P1430/7*0.5+Q1430/14*0.3+R1430/30*0.2,"")</x:f>
      </x:c>
      <x:c r="H1430" s="10" t="str">
        <x:f>IF(ISNUMBER(U1430),U1430,"")</x:f>
      </x:c>
      <x:c r="I1430" s="10" t="n">
        <x:v>0</x:v>
      </x:c>
      <x:c r="J1430" s="11" t="str">
        <x:f>IF(AND(Z1430="共同",ISNUMBER(F1430),ISNUMBER(M1430)),F1430-M1430,"")</x:f>
      </x:c>
      <x:c r="K1430" s="13" t="str">
        <x:f>IF(AND(ISNUMBER(J1430),M1430&lt;&gt;0),J1430/M1430,"")</x:f>
      </x:c>
      <x:c r="L1430" s="10" t="str">
        <x:v>断货</x:v>
      </x:c>
      <x:c r="M1430" s="11"/>
      <x:c r="N1430" s="10" t="str">
        <x:f>IF(AND(Z1430="共同",COUNT(H1430:I1430)=2),H1430-I1430,"")</x:f>
      </x:c>
      <x:c r="O1430" s="10"/>
      <x:c r="P1430" s="10"/>
      <x:c r="Q1430" s="10"/>
      <x:c r="R1430" s="10"/>
      <x:c r="S1430" s="10"/>
      <x:c r="T1430" s="10"/>
      <x:c r="U1430" s="10" t="str">
        <x:f>IF(AND(ISNUMBER(X1430),X1430&gt;=0,Y1430&lt;&gt;1),X1430,"")</x:f>
      </x:c>
      <x:c r="V1430" s="10"/>
      <x:c r="W1430" s="10"/>
      <x:c r="X1430" s="10"/>
      <x:c r="Y1430" s="3"/>
      <x:c r="Z1430" s="3" t="str">
        <x:v>移出</x:v>
      </x:c>
      <x:c r="AA1430" s="3" t="str">
        <x:v>已移出</x:v>
      </x:c>
      <x:c r="AB1430" s="12" t="str">
        <x:f>IF(AND(Z1430="共同",ISNUMBER(G1430),ISNUMBER(AD1430)),G1430-AD1430,"")</x:f>
      </x:c>
      <x:c r="AC1430" s="3" t="str">
        <x:v>基准清单已移出</x:v>
      </x:c>
      <x:c r="AD1430" s="12"/>
      <x:c r="AE1430" s="3" t="str">
        <x:v>[13306,"B07-ND-I-0-42"]</x:v>
      </x:c>
      <x:c r="AF1430" t="n">
        <x:f>IF(ISNUMBER(H1430),1,0)</x:f>
        <x:v>0</x:v>
      </x:c>
      <x:c r="AG1430" t="n">
        <x:f>IF(ISNUMBER(I1430),1,0)</x:f>
        <x:v>1</x:v>
      </x:c>
      <x:c r="AH1430"/>
      <x:c r="AI1430" t="n">
        <x:f>IF(ISNUMBER(G1430),1,0)</x:f>
        <x:v>0</x:v>
      </x:c>
      <x:c r="AJ1430" t="n">
        <x:f>IF(ISNUMBER(AD1430),1,0)</x:f>
        <x:v>0</x:v>
      </x:c>
    </x:row>
    <x:row r="1431" ht="30" customHeight="1">
      <x:c r="A1431" s="3" t="str">
        <x:v>B07-ND-Z-0-37</x:v>
      </x:c>
      <x:c r="B1431" s="3" t="str">
        <x:v>4店-彬郁-US</x:v>
      </x:c>
      <x:c r="C1431" s="3" t="str">
        <x:v>艾年</x:v>
      </x:c>
      <x:c r="D1431" s="3" t="str">
        <x:v>B07</x:v>
      </x:c>
      <x:c r="E1431" s="3" t="str">
        <x:f>IF(Z1431="移出","已移出",IF(NOT(ISNUMBER(H1431)),"数据待核",IF(H1431=0,"断货",IF(NOT(ISNUMBER(G1431)),"数据待核",IF(G1431=0,"零日销待复核",IF(F1431&lt;60,"补货提醒",IF(F1431&lt;=90,"正常库存",IF(F1431&lt;180,"促销",IF(F1431&lt;=365,"红线促销","考虑清仓")))))))))</x:f>
        <x:v>已移出</x:v>
      </x:c>
      <x:c r="F1431" s="11" t="str">
        <x:f>IF(AND(ISNUMBER(H1431),ISNUMBER(G1431),G1431&gt;0),H1431/G1431,"")</x:f>
      </x:c>
      <x:c r="G1431" s="12" t="str">
        <x:f>IF(AND(COUNT(P1431:R1431)=3,MIN(P1431:R1431)&gt;=0,P1431&lt;=Q1431,Q1431&lt;=R1431),P1431/7*0.5+Q1431/14*0.3+R1431/30*0.2,"")</x:f>
      </x:c>
      <x:c r="H1431" s="10" t="str">
        <x:f>IF(ISNUMBER(U1431),U1431,"")</x:f>
      </x:c>
      <x:c r="I1431" s="10" t="n">
        <x:v>0</x:v>
      </x:c>
      <x:c r="J1431" s="11" t="str">
        <x:f>IF(AND(Z1431="共同",ISNUMBER(F1431),ISNUMBER(M1431)),F1431-M1431,"")</x:f>
      </x:c>
      <x:c r="K1431" s="13" t="str">
        <x:f>IF(AND(ISNUMBER(J1431),M1431&lt;&gt;0),J1431/M1431,"")</x:f>
      </x:c>
      <x:c r="L1431" s="10" t="str">
        <x:v>断货</x:v>
      </x:c>
      <x:c r="M1431" s="11"/>
      <x:c r="N1431" s="10" t="str">
        <x:f>IF(AND(Z1431="共同",COUNT(H1431:I1431)=2),H1431-I1431,"")</x:f>
      </x:c>
      <x:c r="O1431" s="10"/>
      <x:c r="P1431" s="10"/>
      <x:c r="Q1431" s="10"/>
      <x:c r="R1431" s="10"/>
      <x:c r="S1431" s="10"/>
      <x:c r="T1431" s="10"/>
      <x:c r="U1431" s="10" t="str">
        <x:f>IF(AND(ISNUMBER(X1431),X1431&gt;=0,Y1431&lt;&gt;1),X1431,"")</x:f>
      </x:c>
      <x:c r="V1431" s="10"/>
      <x:c r="W1431" s="10"/>
      <x:c r="X1431" s="10"/>
      <x:c r="Y1431" s="3"/>
      <x:c r="Z1431" s="3" t="str">
        <x:v>移出</x:v>
      </x:c>
      <x:c r="AA1431" s="3" t="str">
        <x:v>已移出</x:v>
      </x:c>
      <x:c r="AB1431" s="12" t="str">
        <x:f>IF(AND(Z1431="共同",ISNUMBER(G1431),ISNUMBER(AD1431)),G1431-AD1431,"")</x:f>
      </x:c>
      <x:c r="AC1431" s="3" t="str">
        <x:v>基准清单已移出</x:v>
      </x:c>
      <x:c r="AD1431" s="12"/>
      <x:c r="AE1431" s="3" t="str">
        <x:v>[13306,"B07-ND-Z-0-37"]</x:v>
      </x:c>
      <x:c r="AF1431" t="n">
        <x:f>IF(ISNUMBER(H1431),1,0)</x:f>
        <x:v>0</x:v>
      </x:c>
      <x:c r="AG1431" t="n">
        <x:f>IF(ISNUMBER(I1431),1,0)</x:f>
        <x:v>1</x:v>
      </x:c>
      <x:c r="AH1431"/>
      <x:c r="AI1431" t="n">
        <x:f>IF(ISNUMBER(G1431),1,0)</x:f>
        <x:v>0</x:v>
      </x:c>
      <x:c r="AJ1431" t="n">
        <x:f>IF(ISNUMBER(AD1431),1,0)</x:f>
        <x:v>0</x:v>
      </x:c>
    </x:row>
    <x:row r="1432" ht="30" customHeight="1">
      <x:c r="A1432" s="3" t="str">
        <x:v>B07-ND-Z-0-37.5</x:v>
      </x:c>
      <x:c r="B1432" s="3" t="str">
        <x:v>4店-彬郁-US</x:v>
      </x:c>
      <x:c r="C1432" s="3" t="str">
        <x:v>艾年</x:v>
      </x:c>
      <x:c r="D1432" s="3" t="str">
        <x:v>B07</x:v>
      </x:c>
      <x:c r="E1432" s="3" t="str">
        <x:f>IF(Z1432="移出","已移出",IF(NOT(ISNUMBER(H1432)),"数据待核",IF(H1432=0,"断货",IF(NOT(ISNUMBER(G1432)),"数据待核",IF(G1432=0,"零日销待复核",IF(F1432&lt;60,"补货提醒",IF(F1432&lt;=90,"正常库存",IF(F1432&lt;180,"促销",IF(F1432&lt;=365,"红线促销","考虑清仓")))))))))</x:f>
        <x:v>已移出</x:v>
      </x:c>
      <x:c r="F1432" s="11" t="str">
        <x:f>IF(AND(ISNUMBER(H1432),ISNUMBER(G1432),G1432&gt;0),H1432/G1432,"")</x:f>
      </x:c>
      <x:c r="G1432" s="12" t="str">
        <x:f>IF(AND(COUNT(P1432:R1432)=3,MIN(P1432:R1432)&gt;=0,P1432&lt;=Q1432,Q1432&lt;=R1432),P1432/7*0.5+Q1432/14*0.3+R1432/30*0.2,"")</x:f>
      </x:c>
      <x:c r="H1432" s="10" t="str">
        <x:f>IF(ISNUMBER(U1432),U1432,"")</x:f>
      </x:c>
      <x:c r="I1432" s="10" t="n">
        <x:v>0</x:v>
      </x:c>
      <x:c r="J1432" s="11" t="str">
        <x:f>IF(AND(Z1432="共同",ISNUMBER(F1432),ISNUMBER(M1432)),F1432-M1432,"")</x:f>
      </x:c>
      <x:c r="K1432" s="13" t="str">
        <x:f>IF(AND(ISNUMBER(J1432),M1432&lt;&gt;0),J1432/M1432,"")</x:f>
      </x:c>
      <x:c r="L1432" s="10" t="str">
        <x:v>断货</x:v>
      </x:c>
      <x:c r="M1432" s="11"/>
      <x:c r="N1432" s="10" t="str">
        <x:f>IF(AND(Z1432="共同",COUNT(H1432:I1432)=2),H1432-I1432,"")</x:f>
      </x:c>
      <x:c r="O1432" s="10"/>
      <x:c r="P1432" s="10"/>
      <x:c r="Q1432" s="10"/>
      <x:c r="R1432" s="10"/>
      <x:c r="S1432" s="10"/>
      <x:c r="T1432" s="10"/>
      <x:c r="U1432" s="10" t="str">
        <x:f>IF(AND(ISNUMBER(X1432),X1432&gt;=0,Y1432&lt;&gt;1),X1432,"")</x:f>
      </x:c>
      <x:c r="V1432" s="10"/>
      <x:c r="W1432" s="10"/>
      <x:c r="X1432" s="10"/>
      <x:c r="Y1432" s="3"/>
      <x:c r="Z1432" s="3" t="str">
        <x:v>移出</x:v>
      </x:c>
      <x:c r="AA1432" s="3" t="str">
        <x:v>已移出</x:v>
      </x:c>
      <x:c r="AB1432" s="12" t="str">
        <x:f>IF(AND(Z1432="共同",ISNUMBER(G1432),ISNUMBER(AD1432)),G1432-AD1432,"")</x:f>
      </x:c>
      <x:c r="AC1432" s="3" t="str">
        <x:v>基准清单已移出</x:v>
      </x:c>
      <x:c r="AD1432" s="12"/>
      <x:c r="AE1432" s="3" t="str">
        <x:v>[13306,"B07-ND-Z-0-37.5"]</x:v>
      </x:c>
      <x:c r="AF1432" t="n">
        <x:f>IF(ISNUMBER(H1432),1,0)</x:f>
        <x:v>0</x:v>
      </x:c>
      <x:c r="AG1432" t="n">
        <x:f>IF(ISNUMBER(I1432),1,0)</x:f>
        <x:v>1</x:v>
      </x:c>
      <x:c r="AH1432"/>
      <x:c r="AI1432" t="n">
        <x:f>IF(ISNUMBER(G1432),1,0)</x:f>
        <x:v>0</x:v>
      </x:c>
      <x:c r="AJ1432" t="n">
        <x:f>IF(ISNUMBER(AD1432),1,0)</x:f>
        <x:v>0</x:v>
      </x:c>
    </x:row>
    <x:row r="1433" ht="30" customHeight="1">
      <x:c r="A1433" s="3" t="str">
        <x:v>B07-ND-Z-0-40</x:v>
      </x:c>
      <x:c r="B1433" s="3" t="str">
        <x:v>4店-彬郁-US</x:v>
      </x:c>
      <x:c r="C1433" s="3" t="str">
        <x:v>艾年</x:v>
      </x:c>
      <x:c r="D1433" s="3" t="str">
        <x:v>B07</x:v>
      </x:c>
      <x:c r="E1433" s="3" t="str">
        <x:f>IF(Z1433="移出","已移出",IF(NOT(ISNUMBER(H1433)),"数据待核",IF(H1433=0,"断货",IF(NOT(ISNUMBER(G1433)),"数据待核",IF(G1433=0,"零日销待复核",IF(F1433&lt;60,"补货提醒",IF(F1433&lt;=90,"正常库存",IF(F1433&lt;180,"促销",IF(F1433&lt;=365,"红线促销","考虑清仓")))))))))</x:f>
        <x:v>已移出</x:v>
      </x:c>
      <x:c r="F1433" s="11" t="str">
        <x:f>IF(AND(ISNUMBER(H1433),ISNUMBER(G1433),G1433&gt;0),H1433/G1433,"")</x:f>
      </x:c>
      <x:c r="G1433" s="12" t="str">
        <x:f>IF(AND(COUNT(P1433:R1433)=3,MIN(P1433:R1433)&gt;=0,P1433&lt;=Q1433,Q1433&lt;=R1433),P1433/7*0.5+Q1433/14*0.3+R1433/30*0.2,"")</x:f>
      </x:c>
      <x:c r="H1433" s="10" t="str">
        <x:f>IF(ISNUMBER(U1433),U1433,"")</x:f>
      </x:c>
      <x:c r="I1433" s="10" t="n">
        <x:v>1</x:v>
      </x:c>
      <x:c r="J1433" s="11" t="str">
        <x:f>IF(AND(Z1433="共同",ISNUMBER(F1433),ISNUMBER(M1433)),F1433-M1433,"")</x:f>
      </x:c>
      <x:c r="K1433" s="13" t="str">
        <x:f>IF(AND(ISNUMBER(J1433),M1433&lt;&gt;0),J1433/M1433,"")</x:f>
      </x:c>
      <x:c r="L1433" s="10" t="str">
        <x:v>数据待核</x:v>
      </x:c>
      <x:c r="M1433" s="11"/>
      <x:c r="N1433" s="10" t="str">
        <x:f>IF(AND(Z1433="共同",COUNT(H1433:I1433)=2),H1433-I1433,"")</x:f>
      </x:c>
      <x:c r="O1433" s="10"/>
      <x:c r="P1433" s="10"/>
      <x:c r="Q1433" s="10"/>
      <x:c r="R1433" s="10"/>
      <x:c r="S1433" s="10"/>
      <x:c r="T1433" s="10"/>
      <x:c r="U1433" s="10" t="str">
        <x:f>IF(AND(ISNUMBER(X1433),X1433&gt;=0,Y1433&lt;&gt;1),X1433,"")</x:f>
      </x:c>
      <x:c r="V1433" s="10"/>
      <x:c r="W1433" s="10"/>
      <x:c r="X1433" s="10"/>
      <x:c r="Y1433" s="3"/>
      <x:c r="Z1433" s="3" t="str">
        <x:v>移出</x:v>
      </x:c>
      <x:c r="AA1433" s="3" t="str">
        <x:v>已移出</x:v>
      </x:c>
      <x:c r="AB1433" s="12" t="str">
        <x:f>IF(AND(Z1433="共同",ISNUMBER(G1433),ISNUMBER(AD1433)),G1433-AD1433,"")</x:f>
      </x:c>
      <x:c r="AC1433" s="3" t="str">
        <x:v>基准清单已移出</x:v>
      </x:c>
      <x:c r="AD1433" s="12"/>
      <x:c r="AE1433" s="3" t="str">
        <x:v>[13306,"B07-ND-Z-0-40"]</x:v>
      </x:c>
      <x:c r="AF1433" t="n">
        <x:f>IF(ISNUMBER(H1433),1,0)</x:f>
        <x:v>0</x:v>
      </x:c>
      <x:c r="AG1433" t="n">
        <x:f>IF(ISNUMBER(I1433),1,0)</x:f>
        <x:v>1</x:v>
      </x:c>
      <x:c r="AH1433"/>
      <x:c r="AI1433" t="n">
        <x:f>IF(ISNUMBER(G1433),1,0)</x:f>
        <x:v>0</x:v>
      </x:c>
      <x:c r="AJ1433" t="n">
        <x:f>IF(ISNUMBER(AD1433),1,0)</x:f>
        <x:v>0</x:v>
      </x:c>
    </x:row>
    <x:row r="1434" ht="30" customHeight="1">
      <x:c r="A1434" s="3" t="str">
        <x:v>B07-NY-38-by</x:v>
      </x:c>
      <x:c r="B1434" s="3" t="str">
        <x:v>4店-彬郁-US</x:v>
      </x:c>
      <x:c r="C1434" s="3" t="str">
        <x:v>艾年</x:v>
      </x:c>
      <x:c r="D1434" s="3" t="str">
        <x:v>B07</x:v>
      </x:c>
      <x:c r="E1434" s="3" t="str">
        <x:f>IF(Z1434="移出","已移出",IF(NOT(ISNUMBER(H1434)),"数据待核",IF(H1434=0,"断货",IF(NOT(ISNUMBER(G1434)),"数据待核",IF(G1434=0,"零日销待复核",IF(F1434&lt;60,"补货提醒",IF(F1434&lt;=90,"正常库存",IF(F1434&lt;180,"促销",IF(F1434&lt;=365,"红线促销","考虑清仓")))))))))</x:f>
        <x:v>已移出</x:v>
      </x:c>
      <x:c r="F1434" s="11" t="str">
        <x:f>IF(AND(ISNUMBER(H1434),ISNUMBER(G1434),G1434&gt;0),H1434/G1434,"")</x:f>
      </x:c>
      <x:c r="G1434" s="12" t="str">
        <x:f>IF(AND(COUNT(P1434:R1434)=3,MIN(P1434:R1434)&gt;=0,P1434&lt;=Q1434,Q1434&lt;=R1434),P1434/7*0.5+Q1434/14*0.3+R1434/30*0.2,"")</x:f>
      </x:c>
      <x:c r="H1434" s="10" t="str">
        <x:f>IF(ISNUMBER(U1434),U1434,"")</x:f>
      </x:c>
      <x:c r="I1434" s="10" t="n">
        <x:v>1</x:v>
      </x:c>
      <x:c r="J1434" s="11" t="str">
        <x:f>IF(AND(Z1434="共同",ISNUMBER(F1434),ISNUMBER(M1434)),F1434-M1434,"")</x:f>
      </x:c>
      <x:c r="K1434" s="13" t="str">
        <x:f>IF(AND(ISNUMBER(J1434),M1434&lt;&gt;0),J1434/M1434,"")</x:f>
      </x:c>
      <x:c r="L1434" s="10" t="str">
        <x:v>数据待核</x:v>
      </x:c>
      <x:c r="M1434" s="11"/>
      <x:c r="N1434" s="10" t="str">
        <x:f>IF(AND(Z1434="共同",COUNT(H1434:I1434)=2),H1434-I1434,"")</x:f>
      </x:c>
      <x:c r="O1434" s="10"/>
      <x:c r="P1434" s="10"/>
      <x:c r="Q1434" s="10"/>
      <x:c r="R1434" s="10"/>
      <x:c r="S1434" s="10"/>
      <x:c r="T1434" s="10"/>
      <x:c r="U1434" s="10" t="str">
        <x:f>IF(AND(ISNUMBER(X1434),X1434&gt;=0,Y1434&lt;&gt;1),X1434,"")</x:f>
      </x:c>
      <x:c r="V1434" s="10"/>
      <x:c r="W1434" s="10"/>
      <x:c r="X1434" s="10"/>
      <x:c r="Y1434" s="3"/>
      <x:c r="Z1434" s="3" t="str">
        <x:v>移出</x:v>
      </x:c>
      <x:c r="AA1434" s="3" t="str">
        <x:v>已移出</x:v>
      </x:c>
      <x:c r="AB1434" s="12" t="str">
        <x:f>IF(AND(Z1434="共同",ISNUMBER(G1434),ISNUMBER(AD1434)),G1434-AD1434,"")</x:f>
      </x:c>
      <x:c r="AC1434" s="3" t="str">
        <x:v>基准清单已移出</x:v>
      </x:c>
      <x:c r="AD1434" s="12"/>
      <x:c r="AE1434" s="3" t="str">
        <x:v>[13306,"B07-NY-38-by"]</x:v>
      </x:c>
      <x:c r="AF1434" t="n">
        <x:f>IF(ISNUMBER(H1434),1,0)</x:f>
        <x:v>0</x:v>
      </x:c>
      <x:c r="AG1434" t="n">
        <x:f>IF(ISNUMBER(I1434),1,0)</x:f>
        <x:v>1</x:v>
      </x:c>
      <x:c r="AH1434"/>
      <x:c r="AI1434" t="n">
        <x:f>IF(ISNUMBER(G1434),1,0)</x:f>
        <x:v>0</x:v>
      </x:c>
      <x:c r="AJ1434" t="n">
        <x:f>IF(ISNUMBER(AD1434),1,0)</x:f>
        <x:v>0</x:v>
      </x:c>
    </x:row>
    <x:row r="1435" ht="30" customHeight="1">
      <x:c r="A1435" s="3" t="str">
        <x:v>B07-NY-39-by</x:v>
      </x:c>
      <x:c r="B1435" s="3" t="str">
        <x:v>4店-彬郁-US</x:v>
      </x:c>
      <x:c r="C1435" s="3" t="str">
        <x:v>艾年</x:v>
      </x:c>
      <x:c r="D1435" s="3" t="str">
        <x:v>B07</x:v>
      </x:c>
      <x:c r="E1435" s="3" t="str">
        <x:f>IF(Z1435="移出","已移出",IF(NOT(ISNUMBER(H1435)),"数据待核",IF(H1435=0,"断货",IF(NOT(ISNUMBER(G1435)),"数据待核",IF(G1435=0,"零日销待复核",IF(F1435&lt;60,"补货提醒",IF(F1435&lt;=90,"正常库存",IF(F1435&lt;180,"促销",IF(F1435&lt;=365,"红线促销","考虑清仓")))))))))</x:f>
        <x:v>已移出</x:v>
      </x:c>
      <x:c r="F1435" s="11" t="str">
        <x:f>IF(AND(ISNUMBER(H1435),ISNUMBER(G1435),G1435&gt;0),H1435/G1435,"")</x:f>
      </x:c>
      <x:c r="G1435" s="12" t="str">
        <x:f>IF(AND(COUNT(P1435:R1435)=3,MIN(P1435:R1435)&gt;=0,P1435&lt;=Q1435,Q1435&lt;=R1435),P1435/7*0.5+Q1435/14*0.3+R1435/30*0.2,"")</x:f>
      </x:c>
      <x:c r="H1435" s="10" t="str">
        <x:f>IF(ISNUMBER(U1435),U1435,"")</x:f>
      </x:c>
      <x:c r="I1435" s="10" t="n">
        <x:v>0</x:v>
      </x:c>
      <x:c r="J1435" s="11" t="str">
        <x:f>IF(AND(Z1435="共同",ISNUMBER(F1435),ISNUMBER(M1435)),F1435-M1435,"")</x:f>
      </x:c>
      <x:c r="K1435" s="13" t="str">
        <x:f>IF(AND(ISNUMBER(J1435),M1435&lt;&gt;0),J1435/M1435,"")</x:f>
      </x:c>
      <x:c r="L1435" s="10" t="str">
        <x:v>断货</x:v>
      </x:c>
      <x:c r="M1435" s="11"/>
      <x:c r="N1435" s="10" t="str">
        <x:f>IF(AND(Z1435="共同",COUNT(H1435:I1435)=2),H1435-I1435,"")</x:f>
      </x:c>
      <x:c r="O1435" s="10"/>
      <x:c r="P1435" s="10"/>
      <x:c r="Q1435" s="10"/>
      <x:c r="R1435" s="10"/>
      <x:c r="S1435" s="10"/>
      <x:c r="T1435" s="10"/>
      <x:c r="U1435" s="10" t="str">
        <x:f>IF(AND(ISNUMBER(X1435),X1435&gt;=0,Y1435&lt;&gt;1),X1435,"")</x:f>
      </x:c>
      <x:c r="V1435" s="10"/>
      <x:c r="W1435" s="10"/>
      <x:c r="X1435" s="10"/>
      <x:c r="Y1435" s="3"/>
      <x:c r="Z1435" s="3" t="str">
        <x:v>移出</x:v>
      </x:c>
      <x:c r="AA1435" s="3" t="str">
        <x:v>已移出</x:v>
      </x:c>
      <x:c r="AB1435" s="12" t="str">
        <x:f>IF(AND(Z1435="共同",ISNUMBER(G1435),ISNUMBER(AD1435)),G1435-AD1435,"")</x:f>
      </x:c>
      <x:c r="AC1435" s="3" t="str">
        <x:v>基准清单已移出</x:v>
      </x:c>
      <x:c r="AD1435" s="12"/>
      <x:c r="AE1435" s="3" t="str">
        <x:v>[13306,"B07-NY-39-by"]</x:v>
      </x:c>
      <x:c r="AF1435" t="n">
        <x:f>IF(ISNUMBER(H1435),1,0)</x:f>
        <x:v>0</x:v>
      </x:c>
      <x:c r="AG1435" t="n">
        <x:f>IF(ISNUMBER(I1435),1,0)</x:f>
        <x:v>1</x:v>
      </x:c>
      <x:c r="AH1435"/>
      <x:c r="AI1435" t="n">
        <x:f>IF(ISNUMBER(G1435),1,0)</x:f>
        <x:v>0</x:v>
      </x:c>
      <x:c r="AJ1435" t="n">
        <x:f>IF(ISNUMBER(AD1435),1,0)</x:f>
        <x:v>0</x:v>
      </x:c>
    </x:row>
    <x:row r="1436" ht="30" customHeight="1">
      <x:c r="A1436" s="3" t="str">
        <x:v>B07-NY-40-by</x:v>
      </x:c>
      <x:c r="B1436" s="3" t="str">
        <x:v>4店-彬郁-US</x:v>
      </x:c>
      <x:c r="C1436" s="3" t="str">
        <x:v>艾年</x:v>
      </x:c>
      <x:c r="D1436" s="3" t="str">
        <x:v>B07</x:v>
      </x:c>
      <x:c r="E1436" s="3" t="str">
        <x:f>IF(Z1436="移出","已移出",IF(NOT(ISNUMBER(H1436)),"数据待核",IF(H1436=0,"断货",IF(NOT(ISNUMBER(G1436)),"数据待核",IF(G1436=0,"零日销待复核",IF(F1436&lt;60,"补货提醒",IF(F1436&lt;=90,"正常库存",IF(F1436&lt;180,"促销",IF(F1436&lt;=365,"红线促销","考虑清仓")))))))))</x:f>
        <x:v>已移出</x:v>
      </x:c>
      <x:c r="F1436" s="11" t="str">
        <x:f>IF(AND(ISNUMBER(H1436),ISNUMBER(G1436),G1436&gt;0),H1436/G1436,"")</x:f>
      </x:c>
      <x:c r="G1436" s="12" t="str">
        <x:f>IF(AND(COUNT(P1436:R1436)=3,MIN(P1436:R1436)&gt;=0,P1436&lt;=Q1436,Q1436&lt;=R1436),P1436/7*0.5+Q1436/14*0.3+R1436/30*0.2,"")</x:f>
      </x:c>
      <x:c r="H1436" s="10" t="str">
        <x:f>IF(ISNUMBER(U1436),U1436,"")</x:f>
      </x:c>
      <x:c r="I1436" s="10" t="n">
        <x:v>0</x:v>
      </x:c>
      <x:c r="J1436" s="11" t="str">
        <x:f>IF(AND(Z1436="共同",ISNUMBER(F1436),ISNUMBER(M1436)),F1436-M1436,"")</x:f>
      </x:c>
      <x:c r="K1436" s="13" t="str">
        <x:f>IF(AND(ISNUMBER(J1436),M1436&lt;&gt;0),J1436/M1436,"")</x:f>
      </x:c>
      <x:c r="L1436" s="10" t="str">
        <x:v>断货</x:v>
      </x:c>
      <x:c r="M1436" s="11"/>
      <x:c r="N1436" s="10" t="str">
        <x:f>IF(AND(Z1436="共同",COUNT(H1436:I1436)=2),H1436-I1436,"")</x:f>
      </x:c>
      <x:c r="O1436" s="10"/>
      <x:c r="P1436" s="10"/>
      <x:c r="Q1436" s="10"/>
      <x:c r="R1436" s="10"/>
      <x:c r="S1436" s="10"/>
      <x:c r="T1436" s="10"/>
      <x:c r="U1436" s="10" t="str">
        <x:f>IF(AND(ISNUMBER(X1436),X1436&gt;=0,Y1436&lt;&gt;1),X1436,"")</x:f>
      </x:c>
      <x:c r="V1436" s="10"/>
      <x:c r="W1436" s="10"/>
      <x:c r="X1436" s="10"/>
      <x:c r="Y1436" s="3"/>
      <x:c r="Z1436" s="3" t="str">
        <x:v>移出</x:v>
      </x:c>
      <x:c r="AA1436" s="3" t="str">
        <x:v>已移出</x:v>
      </x:c>
      <x:c r="AB1436" s="12" t="str">
        <x:f>IF(AND(Z1436="共同",ISNUMBER(G1436),ISNUMBER(AD1436)),G1436-AD1436,"")</x:f>
      </x:c>
      <x:c r="AC1436" s="3" t="str">
        <x:v>基准清单已移出</x:v>
      </x:c>
      <x:c r="AD1436" s="12"/>
      <x:c r="AE1436" s="3" t="str">
        <x:v>[13306,"B07-NY-40-by"]</x:v>
      </x:c>
      <x:c r="AF1436" t="n">
        <x:f>IF(ISNUMBER(H1436),1,0)</x:f>
        <x:v>0</x:v>
      </x:c>
      <x:c r="AG1436" t="n">
        <x:f>IF(ISNUMBER(I1436),1,0)</x:f>
        <x:v>1</x:v>
      </x:c>
      <x:c r="AH1436"/>
      <x:c r="AI1436" t="n">
        <x:f>IF(ISNUMBER(G1436),1,0)</x:f>
        <x:v>0</x:v>
      </x:c>
      <x:c r="AJ1436" t="n">
        <x:f>IF(ISNUMBER(AD1436),1,0)</x:f>
        <x:v>0</x:v>
      </x:c>
    </x:row>
    <x:row r="1437" ht="30" customHeight="1">
      <x:c r="A1437" s="3" t="str">
        <x:v>B07-PK-37-by</x:v>
      </x:c>
      <x:c r="B1437" s="3" t="str">
        <x:v>4店-彬郁-US</x:v>
      </x:c>
      <x:c r="C1437" s="3" t="str">
        <x:v>艾年</x:v>
      </x:c>
      <x:c r="D1437" s="3" t="str">
        <x:v>B07</x:v>
      </x:c>
      <x:c r="E1437" s="3" t="str">
        <x:f>IF(Z1437="移出","已移出",IF(NOT(ISNUMBER(H1437)),"数据待核",IF(H1437=0,"断货",IF(NOT(ISNUMBER(G1437)),"数据待核",IF(G1437=0,"零日销待复核",IF(F1437&lt;60,"补货提醒",IF(F1437&lt;=90,"正常库存",IF(F1437&lt;180,"促销",IF(F1437&lt;=365,"红线促销","考虑清仓")))))))))</x:f>
        <x:v>已移出</x:v>
      </x:c>
      <x:c r="F1437" s="11" t="str">
        <x:f>IF(AND(ISNUMBER(H1437),ISNUMBER(G1437),G1437&gt;0),H1437/G1437,"")</x:f>
      </x:c>
      <x:c r="G1437" s="12" t="str">
        <x:f>IF(AND(COUNT(P1437:R1437)=3,MIN(P1437:R1437)&gt;=0,P1437&lt;=Q1437,Q1437&lt;=R1437),P1437/7*0.5+Q1437/14*0.3+R1437/30*0.2,"")</x:f>
      </x:c>
      <x:c r="H1437" s="10" t="str">
        <x:f>IF(ISNUMBER(U1437),U1437,"")</x:f>
      </x:c>
      <x:c r="I1437" s="10" t="n">
        <x:v>0</x:v>
      </x:c>
      <x:c r="J1437" s="11" t="str">
        <x:f>IF(AND(Z1437="共同",ISNUMBER(F1437),ISNUMBER(M1437)),F1437-M1437,"")</x:f>
      </x:c>
      <x:c r="K1437" s="13" t="str">
        <x:f>IF(AND(ISNUMBER(J1437),M1437&lt;&gt;0),J1437/M1437,"")</x:f>
      </x:c>
      <x:c r="L1437" s="10" t="str">
        <x:v>断货</x:v>
      </x:c>
      <x:c r="M1437" s="11"/>
      <x:c r="N1437" s="10" t="str">
        <x:f>IF(AND(Z1437="共同",COUNT(H1437:I1437)=2),H1437-I1437,"")</x:f>
      </x:c>
      <x:c r="O1437" s="10"/>
      <x:c r="P1437" s="10"/>
      <x:c r="Q1437" s="10"/>
      <x:c r="R1437" s="10"/>
      <x:c r="S1437" s="10"/>
      <x:c r="T1437" s="10"/>
      <x:c r="U1437" s="10" t="str">
        <x:f>IF(AND(ISNUMBER(X1437),X1437&gt;=0,Y1437&lt;&gt;1),X1437,"")</x:f>
      </x:c>
      <x:c r="V1437" s="10"/>
      <x:c r="W1437" s="10"/>
      <x:c r="X1437" s="10"/>
      <x:c r="Y1437" s="3"/>
      <x:c r="Z1437" s="3" t="str">
        <x:v>移出</x:v>
      </x:c>
      <x:c r="AA1437" s="3" t="str">
        <x:v>已移出</x:v>
      </x:c>
      <x:c r="AB1437" s="12" t="str">
        <x:f>IF(AND(Z1437="共同",ISNUMBER(G1437),ISNUMBER(AD1437)),G1437-AD1437,"")</x:f>
      </x:c>
      <x:c r="AC1437" s="3" t="str">
        <x:v>基准清单已移出</x:v>
      </x:c>
      <x:c r="AD1437" s="12"/>
      <x:c r="AE1437" s="3" t="str">
        <x:v>[13306,"B07-PK-37-by"]</x:v>
      </x:c>
      <x:c r="AF1437" t="n">
        <x:f>IF(ISNUMBER(H1437),1,0)</x:f>
        <x:v>0</x:v>
      </x:c>
      <x:c r="AG1437" t="n">
        <x:f>IF(ISNUMBER(I1437),1,0)</x:f>
        <x:v>1</x:v>
      </x:c>
      <x:c r="AH1437"/>
      <x:c r="AI1437" t="n">
        <x:f>IF(ISNUMBER(G1437),1,0)</x:f>
        <x:v>0</x:v>
      </x:c>
      <x:c r="AJ1437" t="n">
        <x:f>IF(ISNUMBER(AD1437),1,0)</x:f>
        <x:v>0</x:v>
      </x:c>
    </x:row>
    <x:row r="1438" ht="30" customHeight="1">
      <x:c r="A1438" s="3" t="str">
        <x:v>B07-PK-40-New</x:v>
      </x:c>
      <x:c r="B1438" s="3" t="str">
        <x:v>4店-彬郁-US</x:v>
      </x:c>
      <x:c r="C1438" s="3" t="str">
        <x:v>艾年</x:v>
      </x:c>
      <x:c r="D1438" s="3" t="str">
        <x:v>B07</x:v>
      </x:c>
      <x:c r="E1438" s="3" t="str">
        <x:f>IF(Z1438="移出","已移出",IF(NOT(ISNUMBER(H1438)),"数据待核",IF(H1438=0,"断货",IF(NOT(ISNUMBER(G1438)),"数据待核",IF(G1438=0,"零日销待复核",IF(F1438&lt;60,"补货提醒",IF(F1438&lt;=90,"正常库存",IF(F1438&lt;180,"促销",IF(F1438&lt;=365,"红线促销","考虑清仓")))))))))</x:f>
        <x:v>已移出</x:v>
      </x:c>
      <x:c r="F1438" s="11" t="str">
        <x:f>IF(AND(ISNUMBER(H1438),ISNUMBER(G1438),G1438&gt;0),H1438/G1438,"")</x:f>
      </x:c>
      <x:c r="G1438" s="12" t="str">
        <x:f>IF(AND(COUNT(P1438:R1438)=3,MIN(P1438:R1438)&gt;=0,P1438&lt;=Q1438,Q1438&lt;=R1438),P1438/7*0.5+Q1438/14*0.3+R1438/30*0.2,"")</x:f>
      </x:c>
      <x:c r="H1438" s="10" t="str">
        <x:f>IF(ISNUMBER(U1438),U1438,"")</x:f>
      </x:c>
      <x:c r="I1438" s="10" t="n">
        <x:v>0</x:v>
      </x:c>
      <x:c r="J1438" s="11" t="str">
        <x:f>IF(AND(Z1438="共同",ISNUMBER(F1438),ISNUMBER(M1438)),F1438-M1438,"")</x:f>
      </x:c>
      <x:c r="K1438" s="13" t="str">
        <x:f>IF(AND(ISNUMBER(J1438),M1438&lt;&gt;0),J1438/M1438,"")</x:f>
      </x:c>
      <x:c r="L1438" s="10" t="str">
        <x:v>断货</x:v>
      </x:c>
      <x:c r="M1438" s="11"/>
      <x:c r="N1438" s="10" t="str">
        <x:f>IF(AND(Z1438="共同",COUNT(H1438:I1438)=2),H1438-I1438,"")</x:f>
      </x:c>
      <x:c r="O1438" s="10"/>
      <x:c r="P1438" s="10"/>
      <x:c r="Q1438" s="10"/>
      <x:c r="R1438" s="10"/>
      <x:c r="S1438" s="10"/>
      <x:c r="T1438" s="10"/>
      <x:c r="U1438" s="10" t="str">
        <x:f>IF(AND(ISNUMBER(X1438),X1438&gt;=0,Y1438&lt;&gt;1),X1438,"")</x:f>
      </x:c>
      <x:c r="V1438" s="10"/>
      <x:c r="W1438" s="10"/>
      <x:c r="X1438" s="10"/>
      <x:c r="Y1438" s="3"/>
      <x:c r="Z1438" s="3" t="str">
        <x:v>移出</x:v>
      </x:c>
      <x:c r="AA1438" s="3" t="str">
        <x:v>已移出</x:v>
      </x:c>
      <x:c r="AB1438" s="12" t="str">
        <x:f>IF(AND(Z1438="共同",ISNUMBER(G1438),ISNUMBER(AD1438)),G1438-AD1438,"")</x:f>
      </x:c>
      <x:c r="AC1438" s="3" t="str">
        <x:v>基准清单已移出</x:v>
      </x:c>
      <x:c r="AD1438" s="12"/>
      <x:c r="AE1438" s="3" t="str">
        <x:v>[13306,"B07-PK-40-New"]</x:v>
      </x:c>
      <x:c r="AF1438" t="n">
        <x:f>IF(ISNUMBER(H1438),1,0)</x:f>
        <x:v>0</x:v>
      </x:c>
      <x:c r="AG1438" t="n">
        <x:f>IF(ISNUMBER(I1438),1,0)</x:f>
        <x:v>1</x:v>
      </x:c>
      <x:c r="AH1438"/>
      <x:c r="AI1438" t="n">
        <x:f>IF(ISNUMBER(G1438),1,0)</x:f>
        <x:v>0</x:v>
      </x:c>
      <x:c r="AJ1438" t="n">
        <x:f>IF(ISNUMBER(AD1438),1,0)</x:f>
        <x:v>0</x:v>
      </x:c>
    </x:row>
    <x:row r="1439" ht="30" customHeight="1">
      <x:c r="A1439" s="3" t="str">
        <x:v>B07-RD-37.5</x:v>
      </x:c>
      <x:c r="B1439" s="3" t="str">
        <x:v>4店-彬郁-US</x:v>
      </x:c>
      <x:c r="C1439" s="3" t="str">
        <x:v>艾年</x:v>
      </x:c>
      <x:c r="D1439" s="3" t="str">
        <x:v>B07</x:v>
      </x:c>
      <x:c r="E1439" s="3" t="str">
        <x:f>IF(Z1439="移出","已移出",IF(NOT(ISNUMBER(H1439)),"数据待核",IF(H1439=0,"断货",IF(NOT(ISNUMBER(G1439)),"数据待核",IF(G1439=0,"零日销待复核",IF(F1439&lt;60,"补货提醒",IF(F1439&lt;=90,"正常库存",IF(F1439&lt;180,"促销",IF(F1439&lt;=365,"红线促销","考虑清仓")))))))))</x:f>
        <x:v>已移出</x:v>
      </x:c>
      <x:c r="F1439" s="11" t="str">
        <x:f>IF(AND(ISNUMBER(H1439),ISNUMBER(G1439),G1439&gt;0),H1439/G1439,"")</x:f>
      </x:c>
      <x:c r="G1439" s="12" t="str">
        <x:f>IF(AND(COUNT(P1439:R1439)=3,MIN(P1439:R1439)&gt;=0,P1439&lt;=Q1439,Q1439&lt;=R1439),P1439/7*0.5+Q1439/14*0.3+R1439/30*0.2,"")</x:f>
      </x:c>
      <x:c r="H1439" s="10" t="str">
        <x:f>IF(ISNUMBER(U1439),U1439,"")</x:f>
      </x:c>
      <x:c r="I1439" s="10" t="n">
        <x:v>0</x:v>
      </x:c>
      <x:c r="J1439" s="11" t="str">
        <x:f>IF(AND(Z1439="共同",ISNUMBER(F1439),ISNUMBER(M1439)),F1439-M1439,"")</x:f>
      </x:c>
      <x:c r="K1439" s="13" t="str">
        <x:f>IF(AND(ISNUMBER(J1439),M1439&lt;&gt;0),J1439/M1439,"")</x:f>
      </x:c>
      <x:c r="L1439" s="10" t="str">
        <x:v>断货</x:v>
      </x:c>
      <x:c r="M1439" s="11"/>
      <x:c r="N1439" s="10" t="str">
        <x:f>IF(AND(Z1439="共同",COUNT(H1439:I1439)=2),H1439-I1439,"")</x:f>
      </x:c>
      <x:c r="O1439" s="10"/>
      <x:c r="P1439" s="10"/>
      <x:c r="Q1439" s="10"/>
      <x:c r="R1439" s="10"/>
      <x:c r="S1439" s="10"/>
      <x:c r="T1439" s="10"/>
      <x:c r="U1439" s="10" t="str">
        <x:f>IF(AND(ISNUMBER(X1439),X1439&gt;=0,Y1439&lt;&gt;1),X1439,"")</x:f>
      </x:c>
      <x:c r="V1439" s="10"/>
      <x:c r="W1439" s="10"/>
      <x:c r="X1439" s="10"/>
      <x:c r="Y1439" s="3"/>
      <x:c r="Z1439" s="3" t="str">
        <x:v>移出</x:v>
      </x:c>
      <x:c r="AA1439" s="3" t="str">
        <x:v>已移出</x:v>
      </x:c>
      <x:c r="AB1439" s="12" t="str">
        <x:f>IF(AND(Z1439="共同",ISNUMBER(G1439),ISNUMBER(AD1439)),G1439-AD1439,"")</x:f>
      </x:c>
      <x:c r="AC1439" s="3" t="str">
        <x:v>基准清单已移出</x:v>
      </x:c>
      <x:c r="AD1439" s="12"/>
      <x:c r="AE1439" s="3" t="str">
        <x:v>[13306,"B07-RD-37.5"]</x:v>
      </x:c>
      <x:c r="AF1439" t="n">
        <x:f>IF(ISNUMBER(H1439),1,0)</x:f>
        <x:v>0</x:v>
      </x:c>
      <x:c r="AG1439" t="n">
        <x:f>IF(ISNUMBER(I1439),1,0)</x:f>
        <x:v>1</x:v>
      </x:c>
      <x:c r="AH1439"/>
      <x:c r="AI1439" t="n">
        <x:f>IF(ISNUMBER(G1439),1,0)</x:f>
        <x:v>0</x:v>
      </x:c>
      <x:c r="AJ1439" t="n">
        <x:f>IF(ISNUMBER(AD1439),1,0)</x:f>
        <x:v>0</x:v>
      </x:c>
    </x:row>
    <x:row r="1440" ht="30" customHeight="1">
      <x:c r="A1440" s="3" t="str">
        <x:v>B07-RD-39.5</x:v>
      </x:c>
      <x:c r="B1440" s="3" t="str">
        <x:v>4店-彬郁-US</x:v>
      </x:c>
      <x:c r="C1440" s="3" t="str">
        <x:v>艾年</x:v>
      </x:c>
      <x:c r="D1440" s="3" t="str">
        <x:v>B07</x:v>
      </x:c>
      <x:c r="E1440" s="3" t="str">
        <x:f>IF(Z1440="移出","已移出",IF(NOT(ISNUMBER(H1440)),"数据待核",IF(H1440=0,"断货",IF(NOT(ISNUMBER(G1440)),"数据待核",IF(G1440=0,"零日销待复核",IF(F1440&lt;60,"补货提醒",IF(F1440&lt;=90,"正常库存",IF(F1440&lt;180,"促销",IF(F1440&lt;=365,"红线促销","考虑清仓")))))))))</x:f>
        <x:v>已移出</x:v>
      </x:c>
      <x:c r="F1440" s="11" t="str">
        <x:f>IF(AND(ISNUMBER(H1440),ISNUMBER(G1440),G1440&gt;0),H1440/G1440,"")</x:f>
      </x:c>
      <x:c r="G1440" s="12" t="str">
        <x:f>IF(AND(COUNT(P1440:R1440)=3,MIN(P1440:R1440)&gt;=0,P1440&lt;=Q1440,Q1440&lt;=R1440),P1440/7*0.5+Q1440/14*0.3+R1440/30*0.2,"")</x:f>
      </x:c>
      <x:c r="H1440" s="10" t="str">
        <x:f>IF(ISNUMBER(U1440),U1440,"")</x:f>
      </x:c>
      <x:c r="I1440" s="10" t="n">
        <x:v>0</x:v>
      </x:c>
      <x:c r="J1440" s="11" t="str">
        <x:f>IF(AND(Z1440="共同",ISNUMBER(F1440),ISNUMBER(M1440)),F1440-M1440,"")</x:f>
      </x:c>
      <x:c r="K1440" s="13" t="str">
        <x:f>IF(AND(ISNUMBER(J1440),M1440&lt;&gt;0),J1440/M1440,"")</x:f>
      </x:c>
      <x:c r="L1440" s="10" t="str">
        <x:v>断货</x:v>
      </x:c>
      <x:c r="M1440" s="11"/>
      <x:c r="N1440" s="10" t="str">
        <x:f>IF(AND(Z1440="共同",COUNT(H1440:I1440)=2),H1440-I1440,"")</x:f>
      </x:c>
      <x:c r="O1440" s="10"/>
      <x:c r="P1440" s="10"/>
      <x:c r="Q1440" s="10"/>
      <x:c r="R1440" s="10"/>
      <x:c r="S1440" s="10"/>
      <x:c r="T1440" s="10"/>
      <x:c r="U1440" s="10" t="str">
        <x:f>IF(AND(ISNUMBER(X1440),X1440&gt;=0,Y1440&lt;&gt;1),X1440,"")</x:f>
      </x:c>
      <x:c r="V1440" s="10"/>
      <x:c r="W1440" s="10"/>
      <x:c r="X1440" s="10"/>
      <x:c r="Y1440" s="3"/>
      <x:c r="Z1440" s="3" t="str">
        <x:v>移出</x:v>
      </x:c>
      <x:c r="AA1440" s="3" t="str">
        <x:v>已移出</x:v>
      </x:c>
      <x:c r="AB1440" s="12" t="str">
        <x:f>IF(AND(Z1440="共同",ISNUMBER(G1440),ISNUMBER(AD1440)),G1440-AD1440,"")</x:f>
      </x:c>
      <x:c r="AC1440" s="3" t="str">
        <x:v>基准清单已移出</x:v>
      </x:c>
      <x:c r="AD1440" s="12"/>
      <x:c r="AE1440" s="3" t="str">
        <x:v>[13306,"B07-RD-39.5"]</x:v>
      </x:c>
      <x:c r="AF1440" t="n">
        <x:f>IF(ISNUMBER(H1440),1,0)</x:f>
        <x:v>0</x:v>
      </x:c>
      <x:c r="AG1440" t="n">
        <x:f>IF(ISNUMBER(I1440),1,0)</x:f>
        <x:v>1</x:v>
      </x:c>
      <x:c r="AH1440"/>
      <x:c r="AI1440" t="n">
        <x:f>IF(ISNUMBER(G1440),1,0)</x:f>
        <x:v>0</x:v>
      </x:c>
      <x:c r="AJ1440" t="n">
        <x:f>IF(ISNUMBER(AD1440),1,0)</x:f>
        <x:v>0</x:v>
      </x:c>
    </x:row>
    <x:row r="1441" ht="30" customHeight="1">
      <x:c r="A1441" s="3" t="str">
        <x:v>B07-RD-39-by</x:v>
      </x:c>
      <x:c r="B1441" s="3" t="str">
        <x:v>4店-彬郁-US</x:v>
      </x:c>
      <x:c r="C1441" s="3" t="str">
        <x:v>艾年</x:v>
      </x:c>
      <x:c r="D1441" s="3" t="str">
        <x:v>B07</x:v>
      </x:c>
      <x:c r="E1441" s="3" t="str">
        <x:f>IF(Z1441="移出","已移出",IF(NOT(ISNUMBER(H1441)),"数据待核",IF(H1441=0,"断货",IF(NOT(ISNUMBER(G1441)),"数据待核",IF(G1441=0,"零日销待复核",IF(F1441&lt;60,"补货提醒",IF(F1441&lt;=90,"正常库存",IF(F1441&lt;180,"促销",IF(F1441&lt;=365,"红线促销","考虑清仓")))))))))</x:f>
        <x:v>已移出</x:v>
      </x:c>
      <x:c r="F1441" s="11" t="str">
        <x:f>IF(AND(ISNUMBER(H1441),ISNUMBER(G1441),G1441&gt;0),H1441/G1441,"")</x:f>
      </x:c>
      <x:c r="G1441" s="12" t="str">
        <x:f>IF(AND(COUNT(P1441:R1441)=3,MIN(P1441:R1441)&gt;=0,P1441&lt;=Q1441,Q1441&lt;=R1441),P1441/7*0.5+Q1441/14*0.3+R1441/30*0.2,"")</x:f>
      </x:c>
      <x:c r="H1441" s="10" t="str">
        <x:f>IF(ISNUMBER(U1441),U1441,"")</x:f>
      </x:c>
      <x:c r="I1441" s="10" t="n">
        <x:v>0</x:v>
      </x:c>
      <x:c r="J1441" s="11" t="str">
        <x:f>IF(AND(Z1441="共同",ISNUMBER(F1441),ISNUMBER(M1441)),F1441-M1441,"")</x:f>
      </x:c>
      <x:c r="K1441" s="13" t="str">
        <x:f>IF(AND(ISNUMBER(J1441),M1441&lt;&gt;0),J1441/M1441,"")</x:f>
      </x:c>
      <x:c r="L1441" s="10" t="str">
        <x:v>断货</x:v>
      </x:c>
      <x:c r="M1441" s="11"/>
      <x:c r="N1441" s="10" t="str">
        <x:f>IF(AND(Z1441="共同",COUNT(H1441:I1441)=2),H1441-I1441,"")</x:f>
      </x:c>
      <x:c r="O1441" s="10"/>
      <x:c r="P1441" s="10"/>
      <x:c r="Q1441" s="10"/>
      <x:c r="R1441" s="10"/>
      <x:c r="S1441" s="10"/>
      <x:c r="T1441" s="10"/>
      <x:c r="U1441" s="10" t="str">
        <x:f>IF(AND(ISNUMBER(X1441),X1441&gt;=0,Y1441&lt;&gt;1),X1441,"")</x:f>
      </x:c>
      <x:c r="V1441" s="10"/>
      <x:c r="W1441" s="10"/>
      <x:c r="X1441" s="10"/>
      <x:c r="Y1441" s="3"/>
      <x:c r="Z1441" s="3" t="str">
        <x:v>移出</x:v>
      </x:c>
      <x:c r="AA1441" s="3" t="str">
        <x:v>已移出</x:v>
      </x:c>
      <x:c r="AB1441" s="12" t="str">
        <x:f>IF(AND(Z1441="共同",ISNUMBER(G1441),ISNUMBER(AD1441)),G1441-AD1441,"")</x:f>
      </x:c>
      <x:c r="AC1441" s="3" t="str">
        <x:v>基准清单已移出</x:v>
      </x:c>
      <x:c r="AD1441" s="12"/>
      <x:c r="AE1441" s="3" t="str">
        <x:v>[13306,"B07-RD-39-by"]</x:v>
      </x:c>
      <x:c r="AF1441" t="n">
        <x:f>IF(ISNUMBER(H1441),1,0)</x:f>
        <x:v>0</x:v>
      </x:c>
      <x:c r="AG1441" t="n">
        <x:f>IF(ISNUMBER(I1441),1,0)</x:f>
        <x:v>1</x:v>
      </x:c>
      <x:c r="AH1441"/>
      <x:c r="AI1441" t="n">
        <x:f>IF(ISNUMBER(G1441),1,0)</x:f>
        <x:v>0</x:v>
      </x:c>
      <x:c r="AJ1441" t="n">
        <x:f>IF(ISNUMBER(AD1441),1,0)</x:f>
        <x:v>0</x:v>
      </x:c>
    </x:row>
    <x:row r="1442" ht="30" customHeight="1">
      <x:c r="A1442" s="3" t="str">
        <x:v>B07-RD-40.5</x:v>
      </x:c>
      <x:c r="B1442" s="3" t="str">
        <x:v>4店-彬郁-US</x:v>
      </x:c>
      <x:c r="C1442" s="3" t="str">
        <x:v>艾年</x:v>
      </x:c>
      <x:c r="D1442" s="3" t="str">
        <x:v>B07</x:v>
      </x:c>
      <x:c r="E1442" s="3" t="str">
        <x:f>IF(Z1442="移出","已移出",IF(NOT(ISNUMBER(H1442)),"数据待核",IF(H1442=0,"断货",IF(NOT(ISNUMBER(G1442)),"数据待核",IF(G1442=0,"零日销待复核",IF(F1442&lt;60,"补货提醒",IF(F1442&lt;=90,"正常库存",IF(F1442&lt;180,"促销",IF(F1442&lt;=365,"红线促销","考虑清仓")))))))))</x:f>
        <x:v>已移出</x:v>
      </x:c>
      <x:c r="F1442" s="11" t="str">
        <x:f>IF(AND(ISNUMBER(H1442),ISNUMBER(G1442),G1442&gt;0),H1442/G1442,"")</x:f>
      </x:c>
      <x:c r="G1442" s="12" t="str">
        <x:f>IF(AND(COUNT(P1442:R1442)=3,MIN(P1442:R1442)&gt;=0,P1442&lt;=Q1442,Q1442&lt;=R1442),P1442/7*0.5+Q1442/14*0.3+R1442/30*0.2,"")</x:f>
      </x:c>
      <x:c r="H1442" s="10" t="str">
        <x:f>IF(ISNUMBER(U1442),U1442,"")</x:f>
      </x:c>
      <x:c r="I1442" s="10" t="n">
        <x:v>0</x:v>
      </x:c>
      <x:c r="J1442" s="11" t="str">
        <x:f>IF(AND(Z1442="共同",ISNUMBER(F1442),ISNUMBER(M1442)),F1442-M1442,"")</x:f>
      </x:c>
      <x:c r="K1442" s="13" t="str">
        <x:f>IF(AND(ISNUMBER(J1442),M1442&lt;&gt;0),J1442/M1442,"")</x:f>
      </x:c>
      <x:c r="L1442" s="10" t="str">
        <x:v>断货</x:v>
      </x:c>
      <x:c r="M1442" s="11"/>
      <x:c r="N1442" s="10" t="str">
        <x:f>IF(AND(Z1442="共同",COUNT(H1442:I1442)=2),H1442-I1442,"")</x:f>
      </x:c>
      <x:c r="O1442" s="10"/>
      <x:c r="P1442" s="10"/>
      <x:c r="Q1442" s="10"/>
      <x:c r="R1442" s="10"/>
      <x:c r="S1442" s="10"/>
      <x:c r="T1442" s="10"/>
      <x:c r="U1442" s="10" t="str">
        <x:f>IF(AND(ISNUMBER(X1442),X1442&gt;=0,Y1442&lt;&gt;1),X1442,"")</x:f>
      </x:c>
      <x:c r="V1442" s="10"/>
      <x:c r="W1442" s="10"/>
      <x:c r="X1442" s="10"/>
      <x:c r="Y1442" s="3"/>
      <x:c r="Z1442" s="3" t="str">
        <x:v>移出</x:v>
      </x:c>
      <x:c r="AA1442" s="3" t="str">
        <x:v>已移出</x:v>
      </x:c>
      <x:c r="AB1442" s="12" t="str">
        <x:f>IF(AND(Z1442="共同",ISNUMBER(G1442),ISNUMBER(AD1442)),G1442-AD1442,"")</x:f>
      </x:c>
      <x:c r="AC1442" s="3" t="str">
        <x:v>基准清单已移出</x:v>
      </x:c>
      <x:c r="AD1442" s="12"/>
      <x:c r="AE1442" s="3" t="str">
        <x:v>[13306,"B07-RD-40.5"]</x:v>
      </x:c>
      <x:c r="AF1442" t="n">
        <x:f>IF(ISNUMBER(H1442),1,0)</x:f>
        <x:v>0</x:v>
      </x:c>
      <x:c r="AG1442" t="n">
        <x:f>IF(ISNUMBER(I1442),1,0)</x:f>
        <x:v>1</x:v>
      </x:c>
      <x:c r="AH1442"/>
      <x:c r="AI1442" t="n">
        <x:f>IF(ISNUMBER(G1442),1,0)</x:f>
        <x:v>0</x:v>
      </x:c>
      <x:c r="AJ1442" t="n">
        <x:f>IF(ISNUMBER(AD1442),1,0)</x:f>
        <x:v>0</x:v>
      </x:c>
    </x:row>
    <x:row r="1443" ht="30" customHeight="1">
      <x:c r="A1443" s="3" t="str">
        <x:v>B07-RD-40-by</x:v>
      </x:c>
      <x:c r="B1443" s="3" t="str">
        <x:v>4店-彬郁-US</x:v>
      </x:c>
      <x:c r="C1443" s="3" t="str">
        <x:v>艾年</x:v>
      </x:c>
      <x:c r="D1443" s="3" t="str">
        <x:v>B07</x:v>
      </x:c>
      <x:c r="E1443" s="3" t="str">
        <x:f>IF(Z1443="移出","已移出",IF(NOT(ISNUMBER(H1443)),"数据待核",IF(H1443=0,"断货",IF(NOT(ISNUMBER(G1443)),"数据待核",IF(G1443=0,"零日销待复核",IF(F1443&lt;60,"补货提醒",IF(F1443&lt;=90,"正常库存",IF(F1443&lt;180,"促销",IF(F1443&lt;=365,"红线促销","考虑清仓")))))))))</x:f>
        <x:v>已移出</x:v>
      </x:c>
      <x:c r="F1443" s="11" t="str">
        <x:f>IF(AND(ISNUMBER(H1443),ISNUMBER(G1443),G1443&gt;0),H1443/G1443,"")</x:f>
      </x:c>
      <x:c r="G1443" s="12" t="str">
        <x:f>IF(AND(COUNT(P1443:R1443)=3,MIN(P1443:R1443)&gt;=0,P1443&lt;=Q1443,Q1443&lt;=R1443),P1443/7*0.5+Q1443/14*0.3+R1443/30*0.2,"")</x:f>
      </x:c>
      <x:c r="H1443" s="10" t="str">
        <x:f>IF(ISNUMBER(U1443),U1443,"")</x:f>
      </x:c>
      <x:c r="I1443" s="10" t="n">
        <x:v>0</x:v>
      </x:c>
      <x:c r="J1443" s="11" t="str">
        <x:f>IF(AND(Z1443="共同",ISNUMBER(F1443),ISNUMBER(M1443)),F1443-M1443,"")</x:f>
      </x:c>
      <x:c r="K1443" s="13" t="str">
        <x:f>IF(AND(ISNUMBER(J1443),M1443&lt;&gt;0),J1443/M1443,"")</x:f>
      </x:c>
      <x:c r="L1443" s="10" t="str">
        <x:v>断货</x:v>
      </x:c>
      <x:c r="M1443" s="11"/>
      <x:c r="N1443" s="10" t="str">
        <x:f>IF(AND(Z1443="共同",COUNT(H1443:I1443)=2),H1443-I1443,"")</x:f>
      </x:c>
      <x:c r="O1443" s="10"/>
      <x:c r="P1443" s="10"/>
      <x:c r="Q1443" s="10"/>
      <x:c r="R1443" s="10"/>
      <x:c r="S1443" s="10"/>
      <x:c r="T1443" s="10"/>
      <x:c r="U1443" s="10" t="str">
        <x:f>IF(AND(ISNUMBER(X1443),X1443&gt;=0,Y1443&lt;&gt;1),X1443,"")</x:f>
      </x:c>
      <x:c r="V1443" s="10"/>
      <x:c r="W1443" s="10"/>
      <x:c r="X1443" s="10"/>
      <x:c r="Y1443" s="3"/>
      <x:c r="Z1443" s="3" t="str">
        <x:v>移出</x:v>
      </x:c>
      <x:c r="AA1443" s="3" t="str">
        <x:v>已移出</x:v>
      </x:c>
      <x:c r="AB1443" s="12" t="str">
        <x:f>IF(AND(Z1443="共同",ISNUMBER(G1443),ISNUMBER(AD1443)),G1443-AD1443,"")</x:f>
      </x:c>
      <x:c r="AC1443" s="3" t="str">
        <x:v>基准清单已移出</x:v>
      </x:c>
      <x:c r="AD1443" s="12"/>
      <x:c r="AE1443" s="3" t="str">
        <x:v>[13306,"B07-RD-40-by"]</x:v>
      </x:c>
      <x:c r="AF1443" t="n">
        <x:f>IF(ISNUMBER(H1443),1,0)</x:f>
        <x:v>0</x:v>
      </x:c>
      <x:c r="AG1443" t="n">
        <x:f>IF(ISNUMBER(I1443),1,0)</x:f>
        <x:v>1</x:v>
      </x:c>
      <x:c r="AH1443"/>
      <x:c r="AI1443" t="n">
        <x:f>IF(ISNUMBER(G1443),1,0)</x:f>
        <x:v>0</x:v>
      </x:c>
      <x:c r="AJ1443" t="n">
        <x:f>IF(ISNUMBER(AD1443),1,0)</x:f>
        <x:v>0</x:v>
      </x:c>
    </x:row>
    <x:row r="1444" ht="30" customHeight="1">
      <x:c r="A1444" s="3" t="str">
        <x:v>B07-RD-41-by</x:v>
      </x:c>
      <x:c r="B1444" s="3" t="str">
        <x:v>4店-彬郁-US</x:v>
      </x:c>
      <x:c r="C1444" s="3" t="str">
        <x:v>艾年</x:v>
      </x:c>
      <x:c r="D1444" s="3" t="str">
        <x:v>B07</x:v>
      </x:c>
      <x:c r="E1444" s="3" t="str">
        <x:f>IF(Z1444="移出","已移出",IF(NOT(ISNUMBER(H1444)),"数据待核",IF(H1444=0,"断货",IF(NOT(ISNUMBER(G1444)),"数据待核",IF(G1444=0,"零日销待复核",IF(F1444&lt;60,"补货提醒",IF(F1444&lt;=90,"正常库存",IF(F1444&lt;180,"促销",IF(F1444&lt;=365,"红线促销","考虑清仓")))))))))</x:f>
        <x:v>已移出</x:v>
      </x:c>
      <x:c r="F1444" s="11" t="str">
        <x:f>IF(AND(ISNUMBER(H1444),ISNUMBER(G1444),G1444&gt;0),H1444/G1444,"")</x:f>
      </x:c>
      <x:c r="G1444" s="12" t="str">
        <x:f>IF(AND(COUNT(P1444:R1444)=3,MIN(P1444:R1444)&gt;=0,P1444&lt;=Q1444,Q1444&lt;=R1444),P1444/7*0.5+Q1444/14*0.3+R1444/30*0.2,"")</x:f>
      </x:c>
      <x:c r="H1444" s="10" t="str">
        <x:f>IF(ISNUMBER(U1444),U1444,"")</x:f>
      </x:c>
      <x:c r="I1444" s="10" t="n">
        <x:v>0</x:v>
      </x:c>
      <x:c r="J1444" s="11" t="str">
        <x:f>IF(AND(Z1444="共同",ISNUMBER(F1444),ISNUMBER(M1444)),F1444-M1444,"")</x:f>
      </x:c>
      <x:c r="K1444" s="13" t="str">
        <x:f>IF(AND(ISNUMBER(J1444),M1444&lt;&gt;0),J1444/M1444,"")</x:f>
      </x:c>
      <x:c r="L1444" s="10" t="str">
        <x:v>断货</x:v>
      </x:c>
      <x:c r="M1444" s="11"/>
      <x:c r="N1444" s="10" t="str">
        <x:f>IF(AND(Z1444="共同",COUNT(H1444:I1444)=2),H1444-I1444,"")</x:f>
      </x:c>
      <x:c r="O1444" s="10"/>
      <x:c r="P1444" s="10"/>
      <x:c r="Q1444" s="10"/>
      <x:c r="R1444" s="10"/>
      <x:c r="S1444" s="10"/>
      <x:c r="T1444" s="10"/>
      <x:c r="U1444" s="10" t="str">
        <x:f>IF(AND(ISNUMBER(X1444),X1444&gt;=0,Y1444&lt;&gt;1),X1444,"")</x:f>
      </x:c>
      <x:c r="V1444" s="10"/>
      <x:c r="W1444" s="10"/>
      <x:c r="X1444" s="10"/>
      <x:c r="Y1444" s="3"/>
      <x:c r="Z1444" s="3" t="str">
        <x:v>移出</x:v>
      </x:c>
      <x:c r="AA1444" s="3" t="str">
        <x:v>已移出</x:v>
      </x:c>
      <x:c r="AB1444" s="12" t="str">
        <x:f>IF(AND(Z1444="共同",ISNUMBER(G1444),ISNUMBER(AD1444)),G1444-AD1444,"")</x:f>
      </x:c>
      <x:c r="AC1444" s="3" t="str">
        <x:v>基准清单已移出</x:v>
      </x:c>
      <x:c r="AD1444" s="12"/>
      <x:c r="AE1444" s="3" t="str">
        <x:v>[13306,"B07-RD-41-by"]</x:v>
      </x:c>
      <x:c r="AF1444" t="n">
        <x:f>IF(ISNUMBER(H1444),1,0)</x:f>
        <x:v>0</x:v>
      </x:c>
      <x:c r="AG1444" t="n">
        <x:f>IF(ISNUMBER(I1444),1,0)</x:f>
        <x:v>1</x:v>
      </x:c>
      <x:c r="AH1444"/>
      <x:c r="AI1444" t="n">
        <x:f>IF(ISNUMBER(G1444),1,0)</x:f>
        <x:v>0</x:v>
      </x:c>
      <x:c r="AJ1444" t="n">
        <x:f>IF(ISNUMBER(AD1444),1,0)</x:f>
        <x:v>0</x:v>
      </x:c>
    </x:row>
    <x:row r="1445" ht="30" customHeight="1">
      <x:c r="A1445" s="3" t="str">
        <x:v>B07-RD-42-by</x:v>
      </x:c>
      <x:c r="B1445" s="3" t="str">
        <x:v>4店-彬郁-US</x:v>
      </x:c>
      <x:c r="C1445" s="3" t="str">
        <x:v>艾年</x:v>
      </x:c>
      <x:c r="D1445" s="3" t="str">
        <x:v>B07</x:v>
      </x:c>
      <x:c r="E1445" s="3" t="str">
        <x:f>IF(Z1445="移出","已移出",IF(NOT(ISNUMBER(H1445)),"数据待核",IF(H1445=0,"断货",IF(NOT(ISNUMBER(G1445)),"数据待核",IF(G1445=0,"零日销待复核",IF(F1445&lt;60,"补货提醒",IF(F1445&lt;=90,"正常库存",IF(F1445&lt;180,"促销",IF(F1445&lt;=365,"红线促销","考虑清仓")))))))))</x:f>
        <x:v>已移出</x:v>
      </x:c>
      <x:c r="F1445" s="11" t="str">
        <x:f>IF(AND(ISNUMBER(H1445),ISNUMBER(G1445),G1445&gt;0),H1445/G1445,"")</x:f>
      </x:c>
      <x:c r="G1445" s="12" t="str">
        <x:f>IF(AND(COUNT(P1445:R1445)=3,MIN(P1445:R1445)&gt;=0,P1445&lt;=Q1445,Q1445&lt;=R1445),P1445/7*0.5+Q1445/14*0.3+R1445/30*0.2,"")</x:f>
      </x:c>
      <x:c r="H1445" s="10" t="str">
        <x:f>IF(ISNUMBER(U1445),U1445,"")</x:f>
      </x:c>
      <x:c r="I1445" s="10" t="n">
        <x:v>0</x:v>
      </x:c>
      <x:c r="J1445" s="11" t="str">
        <x:f>IF(AND(Z1445="共同",ISNUMBER(F1445),ISNUMBER(M1445)),F1445-M1445,"")</x:f>
      </x:c>
      <x:c r="K1445" s="13" t="str">
        <x:f>IF(AND(ISNUMBER(J1445),M1445&lt;&gt;0),J1445/M1445,"")</x:f>
      </x:c>
      <x:c r="L1445" s="10" t="str">
        <x:v>断货</x:v>
      </x:c>
      <x:c r="M1445" s="11"/>
      <x:c r="N1445" s="10" t="str">
        <x:f>IF(AND(Z1445="共同",COUNT(H1445:I1445)=2),H1445-I1445,"")</x:f>
      </x:c>
      <x:c r="O1445" s="10"/>
      <x:c r="P1445" s="10"/>
      <x:c r="Q1445" s="10"/>
      <x:c r="R1445" s="10"/>
      <x:c r="S1445" s="10"/>
      <x:c r="T1445" s="10"/>
      <x:c r="U1445" s="10" t="str">
        <x:f>IF(AND(ISNUMBER(X1445),X1445&gt;=0,Y1445&lt;&gt;1),X1445,"")</x:f>
      </x:c>
      <x:c r="V1445" s="10"/>
      <x:c r="W1445" s="10"/>
      <x:c r="X1445" s="10"/>
      <x:c r="Y1445" s="3"/>
      <x:c r="Z1445" s="3" t="str">
        <x:v>移出</x:v>
      </x:c>
      <x:c r="AA1445" s="3" t="str">
        <x:v>已移出</x:v>
      </x:c>
      <x:c r="AB1445" s="12" t="str">
        <x:f>IF(AND(Z1445="共同",ISNUMBER(G1445),ISNUMBER(AD1445)),G1445-AD1445,"")</x:f>
      </x:c>
      <x:c r="AC1445" s="3" t="str">
        <x:v>基准清单已移出</x:v>
      </x:c>
      <x:c r="AD1445" s="12"/>
      <x:c r="AE1445" s="3" t="str">
        <x:v>[13306,"B07-RD-42-by"]</x:v>
      </x:c>
      <x:c r="AF1445" t="n">
        <x:f>IF(ISNUMBER(H1445),1,0)</x:f>
        <x:v>0</x:v>
      </x:c>
      <x:c r="AG1445" t="n">
        <x:f>IF(ISNUMBER(I1445),1,0)</x:f>
        <x:v>1</x:v>
      </x:c>
      <x:c r="AH1445"/>
      <x:c r="AI1445" t="n">
        <x:f>IF(ISNUMBER(G1445),1,0)</x:f>
        <x:v>0</x:v>
      </x:c>
      <x:c r="AJ1445" t="n">
        <x:f>IF(ISNUMBER(AD1445),1,0)</x:f>
        <x:v>0</x:v>
      </x:c>
    </x:row>
    <x:row r="1446" ht="30" customHeight="1">
      <x:c r="A1446" s="3" t="str">
        <x:v>B07-RD-I-0-37</x:v>
      </x:c>
      <x:c r="B1446" s="3" t="str">
        <x:v>4店-彬郁-US</x:v>
      </x:c>
      <x:c r="C1446" s="3" t="str">
        <x:v>艾年</x:v>
      </x:c>
      <x:c r="D1446" s="3" t="str">
        <x:v>B07</x:v>
      </x:c>
      <x:c r="E1446" s="3" t="str">
        <x:f>IF(Z1446="移出","已移出",IF(NOT(ISNUMBER(H1446)),"数据待核",IF(H1446=0,"断货",IF(NOT(ISNUMBER(G1446)),"数据待核",IF(G1446=0,"零日销待复核",IF(F1446&lt;60,"补货提醒",IF(F1446&lt;=90,"正常库存",IF(F1446&lt;180,"促销",IF(F1446&lt;=365,"红线促销","考虑清仓")))))))))</x:f>
        <x:v>已移出</x:v>
      </x:c>
      <x:c r="F1446" s="11" t="str">
        <x:f>IF(AND(ISNUMBER(H1446),ISNUMBER(G1446),G1446&gt;0),H1446/G1446,"")</x:f>
      </x:c>
      <x:c r="G1446" s="12" t="str">
        <x:f>IF(AND(COUNT(P1446:R1446)=3,MIN(P1446:R1446)&gt;=0,P1446&lt;=Q1446,Q1446&lt;=R1446),P1446/7*0.5+Q1446/14*0.3+R1446/30*0.2,"")</x:f>
      </x:c>
      <x:c r="H1446" s="10" t="str">
        <x:f>IF(ISNUMBER(U1446),U1446,"")</x:f>
      </x:c>
      <x:c r="I1446" s="10" t="n">
        <x:v>0</x:v>
      </x:c>
      <x:c r="J1446" s="11" t="str">
        <x:f>IF(AND(Z1446="共同",ISNUMBER(F1446),ISNUMBER(M1446)),F1446-M1446,"")</x:f>
      </x:c>
      <x:c r="K1446" s="13" t="str">
        <x:f>IF(AND(ISNUMBER(J1446),M1446&lt;&gt;0),J1446/M1446,"")</x:f>
      </x:c>
      <x:c r="L1446" s="10" t="str">
        <x:v>断货</x:v>
      </x:c>
      <x:c r="M1446" s="11"/>
      <x:c r="N1446" s="10" t="str">
        <x:f>IF(AND(Z1446="共同",COUNT(H1446:I1446)=2),H1446-I1446,"")</x:f>
      </x:c>
      <x:c r="O1446" s="10"/>
      <x:c r="P1446" s="10"/>
      <x:c r="Q1446" s="10"/>
      <x:c r="R1446" s="10"/>
      <x:c r="S1446" s="10"/>
      <x:c r="T1446" s="10"/>
      <x:c r="U1446" s="10" t="str">
        <x:f>IF(AND(ISNUMBER(X1446),X1446&gt;=0,Y1446&lt;&gt;1),X1446,"")</x:f>
      </x:c>
      <x:c r="V1446" s="10"/>
      <x:c r="W1446" s="10"/>
      <x:c r="X1446" s="10"/>
      <x:c r="Y1446" s="3"/>
      <x:c r="Z1446" s="3" t="str">
        <x:v>移出</x:v>
      </x:c>
      <x:c r="AA1446" s="3" t="str">
        <x:v>已移出</x:v>
      </x:c>
      <x:c r="AB1446" s="12" t="str">
        <x:f>IF(AND(Z1446="共同",ISNUMBER(G1446),ISNUMBER(AD1446)),G1446-AD1446,"")</x:f>
      </x:c>
      <x:c r="AC1446" s="3" t="str">
        <x:v>基准清单已移出</x:v>
      </x:c>
      <x:c r="AD1446" s="12"/>
      <x:c r="AE1446" s="3" t="str">
        <x:v>[13306,"B07-RD-I-0-37"]</x:v>
      </x:c>
      <x:c r="AF1446" t="n">
        <x:f>IF(ISNUMBER(H1446),1,0)</x:f>
        <x:v>0</x:v>
      </x:c>
      <x:c r="AG1446" t="n">
        <x:f>IF(ISNUMBER(I1446),1,0)</x:f>
        <x:v>1</x:v>
      </x:c>
      <x:c r="AH1446"/>
      <x:c r="AI1446" t="n">
        <x:f>IF(ISNUMBER(G1446),1,0)</x:f>
        <x:v>0</x:v>
      </x:c>
      <x:c r="AJ1446" t="n">
        <x:f>IF(ISNUMBER(AD1446),1,0)</x:f>
        <x:v>0</x:v>
      </x:c>
    </x:row>
    <x:row r="1447" ht="30" customHeight="1">
      <x:c r="A1447" s="3" t="str">
        <x:v>B07-RD-I-0-37.5</x:v>
      </x:c>
      <x:c r="B1447" s="3" t="str">
        <x:v>4店-彬郁-US</x:v>
      </x:c>
      <x:c r="C1447" s="3" t="str">
        <x:v>艾年</x:v>
      </x:c>
      <x:c r="D1447" s="3" t="str">
        <x:v>B07</x:v>
      </x:c>
      <x:c r="E1447" s="3" t="str">
        <x:f>IF(Z1447="移出","已移出",IF(NOT(ISNUMBER(H1447)),"数据待核",IF(H1447=0,"断货",IF(NOT(ISNUMBER(G1447)),"数据待核",IF(G1447=0,"零日销待复核",IF(F1447&lt;60,"补货提醒",IF(F1447&lt;=90,"正常库存",IF(F1447&lt;180,"促销",IF(F1447&lt;=365,"红线促销","考虑清仓")))))))))</x:f>
        <x:v>已移出</x:v>
      </x:c>
      <x:c r="F1447" s="11" t="str">
        <x:f>IF(AND(ISNUMBER(H1447),ISNUMBER(G1447),G1447&gt;0),H1447/G1447,"")</x:f>
      </x:c>
      <x:c r="G1447" s="12" t="str">
        <x:f>IF(AND(COUNT(P1447:R1447)=3,MIN(P1447:R1447)&gt;=0,P1447&lt;=Q1447,Q1447&lt;=R1447),P1447/7*0.5+Q1447/14*0.3+R1447/30*0.2,"")</x:f>
      </x:c>
      <x:c r="H1447" s="10" t="str">
        <x:f>IF(ISNUMBER(U1447),U1447,"")</x:f>
      </x:c>
      <x:c r="I1447" s="10" t="n">
        <x:v>0</x:v>
      </x:c>
      <x:c r="J1447" s="11" t="str">
        <x:f>IF(AND(Z1447="共同",ISNUMBER(F1447),ISNUMBER(M1447)),F1447-M1447,"")</x:f>
      </x:c>
      <x:c r="K1447" s="13" t="str">
        <x:f>IF(AND(ISNUMBER(J1447),M1447&lt;&gt;0),J1447/M1447,"")</x:f>
      </x:c>
      <x:c r="L1447" s="10" t="str">
        <x:v>断货</x:v>
      </x:c>
      <x:c r="M1447" s="11"/>
      <x:c r="N1447" s="10" t="str">
        <x:f>IF(AND(Z1447="共同",COUNT(H1447:I1447)=2),H1447-I1447,"")</x:f>
      </x:c>
      <x:c r="O1447" s="10"/>
      <x:c r="P1447" s="10"/>
      <x:c r="Q1447" s="10"/>
      <x:c r="R1447" s="10"/>
      <x:c r="S1447" s="10"/>
      <x:c r="T1447" s="10"/>
      <x:c r="U1447" s="10" t="str">
        <x:f>IF(AND(ISNUMBER(X1447),X1447&gt;=0,Y1447&lt;&gt;1),X1447,"")</x:f>
      </x:c>
      <x:c r="V1447" s="10"/>
      <x:c r="W1447" s="10"/>
      <x:c r="X1447" s="10"/>
      <x:c r="Y1447" s="3"/>
      <x:c r="Z1447" s="3" t="str">
        <x:v>移出</x:v>
      </x:c>
      <x:c r="AA1447" s="3" t="str">
        <x:v>已移出</x:v>
      </x:c>
      <x:c r="AB1447" s="12" t="str">
        <x:f>IF(AND(Z1447="共同",ISNUMBER(G1447),ISNUMBER(AD1447)),G1447-AD1447,"")</x:f>
      </x:c>
      <x:c r="AC1447" s="3" t="str">
        <x:v>基准清单已移出</x:v>
      </x:c>
      <x:c r="AD1447" s="12"/>
      <x:c r="AE1447" s="3" t="str">
        <x:v>[13306,"B07-RD-I-0-37.5"]</x:v>
      </x:c>
      <x:c r="AF1447" t="n">
        <x:f>IF(ISNUMBER(H1447),1,0)</x:f>
        <x:v>0</x:v>
      </x:c>
      <x:c r="AG1447" t="n">
        <x:f>IF(ISNUMBER(I1447),1,0)</x:f>
        <x:v>1</x:v>
      </x:c>
      <x:c r="AH1447"/>
      <x:c r="AI1447" t="n">
        <x:f>IF(ISNUMBER(G1447),1,0)</x:f>
        <x:v>0</x:v>
      </x:c>
      <x:c r="AJ1447" t="n">
        <x:f>IF(ISNUMBER(AD1447),1,0)</x:f>
        <x:v>0</x:v>
      </x:c>
    </x:row>
    <x:row r="1448" ht="30" customHeight="1">
      <x:c r="A1448" s="3" t="str">
        <x:v>B07-RD-I-0-38</x:v>
      </x:c>
      <x:c r="B1448" s="3" t="str">
        <x:v>4店-彬郁-US</x:v>
      </x:c>
      <x:c r="C1448" s="3" t="str">
        <x:v>艾年</x:v>
      </x:c>
      <x:c r="D1448" s="3" t="str">
        <x:v>B07</x:v>
      </x:c>
      <x:c r="E1448" s="3" t="str">
        <x:f>IF(Z1448="移出","已移出",IF(NOT(ISNUMBER(H1448)),"数据待核",IF(H1448=0,"断货",IF(NOT(ISNUMBER(G1448)),"数据待核",IF(G1448=0,"零日销待复核",IF(F1448&lt;60,"补货提醒",IF(F1448&lt;=90,"正常库存",IF(F1448&lt;180,"促销",IF(F1448&lt;=365,"红线促销","考虑清仓")))))))))</x:f>
        <x:v>已移出</x:v>
      </x:c>
      <x:c r="F1448" s="11" t="str">
        <x:f>IF(AND(ISNUMBER(H1448),ISNUMBER(G1448),G1448&gt;0),H1448/G1448,"")</x:f>
      </x:c>
      <x:c r="G1448" s="12" t="str">
        <x:f>IF(AND(COUNT(P1448:R1448)=3,MIN(P1448:R1448)&gt;=0,P1448&lt;=Q1448,Q1448&lt;=R1448),P1448/7*0.5+Q1448/14*0.3+R1448/30*0.2,"")</x:f>
      </x:c>
      <x:c r="H1448" s="10" t="str">
        <x:f>IF(ISNUMBER(U1448),U1448,"")</x:f>
      </x:c>
      <x:c r="I1448" s="10" t="n">
        <x:v>0</x:v>
      </x:c>
      <x:c r="J1448" s="11" t="str">
        <x:f>IF(AND(Z1448="共同",ISNUMBER(F1448),ISNUMBER(M1448)),F1448-M1448,"")</x:f>
      </x:c>
      <x:c r="K1448" s="13" t="str">
        <x:f>IF(AND(ISNUMBER(J1448),M1448&lt;&gt;0),J1448/M1448,"")</x:f>
      </x:c>
      <x:c r="L1448" s="10" t="str">
        <x:v>断货</x:v>
      </x:c>
      <x:c r="M1448" s="11"/>
      <x:c r="N1448" s="10" t="str">
        <x:f>IF(AND(Z1448="共同",COUNT(H1448:I1448)=2),H1448-I1448,"")</x:f>
      </x:c>
      <x:c r="O1448" s="10"/>
      <x:c r="P1448" s="10"/>
      <x:c r="Q1448" s="10"/>
      <x:c r="R1448" s="10"/>
      <x:c r="S1448" s="10"/>
      <x:c r="T1448" s="10"/>
      <x:c r="U1448" s="10" t="str">
        <x:f>IF(AND(ISNUMBER(X1448),X1448&gt;=0,Y1448&lt;&gt;1),X1448,"")</x:f>
      </x:c>
      <x:c r="V1448" s="10"/>
      <x:c r="W1448" s="10"/>
      <x:c r="X1448" s="10"/>
      <x:c r="Y1448" s="3"/>
      <x:c r="Z1448" s="3" t="str">
        <x:v>移出</x:v>
      </x:c>
      <x:c r="AA1448" s="3" t="str">
        <x:v>已移出</x:v>
      </x:c>
      <x:c r="AB1448" s="12" t="str">
        <x:f>IF(AND(Z1448="共同",ISNUMBER(G1448),ISNUMBER(AD1448)),G1448-AD1448,"")</x:f>
      </x:c>
      <x:c r="AC1448" s="3" t="str">
        <x:v>基准清单已移出</x:v>
      </x:c>
      <x:c r="AD1448" s="12"/>
      <x:c r="AE1448" s="3" t="str">
        <x:v>[13306,"B07-RD-I-0-38"]</x:v>
      </x:c>
      <x:c r="AF1448" t="n">
        <x:f>IF(ISNUMBER(H1448),1,0)</x:f>
        <x:v>0</x:v>
      </x:c>
      <x:c r="AG1448" t="n">
        <x:f>IF(ISNUMBER(I1448),1,0)</x:f>
        <x:v>1</x:v>
      </x:c>
      <x:c r="AH1448"/>
      <x:c r="AI1448" t="n">
        <x:f>IF(ISNUMBER(G1448),1,0)</x:f>
        <x:v>0</x:v>
      </x:c>
      <x:c r="AJ1448" t="n">
        <x:f>IF(ISNUMBER(AD1448),1,0)</x:f>
        <x:v>0</x:v>
      </x:c>
    </x:row>
    <x:row r="1449" ht="30" customHeight="1">
      <x:c r="A1449" s="3" t="str">
        <x:v>B07-RD-I-0-38.5</x:v>
      </x:c>
      <x:c r="B1449" s="3" t="str">
        <x:v>4店-彬郁-US</x:v>
      </x:c>
      <x:c r="C1449" s="3" t="str">
        <x:v>艾年</x:v>
      </x:c>
      <x:c r="D1449" s="3" t="str">
        <x:v>B07</x:v>
      </x:c>
      <x:c r="E1449" s="3" t="str">
        <x:f>IF(Z1449="移出","已移出",IF(NOT(ISNUMBER(H1449)),"数据待核",IF(H1449=0,"断货",IF(NOT(ISNUMBER(G1449)),"数据待核",IF(G1449=0,"零日销待复核",IF(F1449&lt;60,"补货提醒",IF(F1449&lt;=90,"正常库存",IF(F1449&lt;180,"促销",IF(F1449&lt;=365,"红线促销","考虑清仓")))))))))</x:f>
        <x:v>已移出</x:v>
      </x:c>
      <x:c r="F1449" s="11" t="str">
        <x:f>IF(AND(ISNUMBER(H1449),ISNUMBER(G1449),G1449&gt;0),H1449/G1449,"")</x:f>
      </x:c>
      <x:c r="G1449" s="12" t="str">
        <x:f>IF(AND(COUNT(P1449:R1449)=3,MIN(P1449:R1449)&gt;=0,P1449&lt;=Q1449,Q1449&lt;=R1449),P1449/7*0.5+Q1449/14*0.3+R1449/30*0.2,"")</x:f>
      </x:c>
      <x:c r="H1449" s="10" t="str">
        <x:f>IF(ISNUMBER(U1449),U1449,"")</x:f>
      </x:c>
      <x:c r="I1449" s="10" t="n">
        <x:v>0</x:v>
      </x:c>
      <x:c r="J1449" s="11" t="str">
        <x:f>IF(AND(Z1449="共同",ISNUMBER(F1449),ISNUMBER(M1449)),F1449-M1449,"")</x:f>
      </x:c>
      <x:c r="K1449" s="13" t="str">
        <x:f>IF(AND(ISNUMBER(J1449),M1449&lt;&gt;0),J1449/M1449,"")</x:f>
      </x:c>
      <x:c r="L1449" s="10" t="str">
        <x:v>断货</x:v>
      </x:c>
      <x:c r="M1449" s="11"/>
      <x:c r="N1449" s="10" t="str">
        <x:f>IF(AND(Z1449="共同",COUNT(H1449:I1449)=2),H1449-I1449,"")</x:f>
      </x:c>
      <x:c r="O1449" s="10"/>
      <x:c r="P1449" s="10"/>
      <x:c r="Q1449" s="10"/>
      <x:c r="R1449" s="10"/>
      <x:c r="S1449" s="10"/>
      <x:c r="T1449" s="10"/>
      <x:c r="U1449" s="10" t="str">
        <x:f>IF(AND(ISNUMBER(X1449),X1449&gt;=0,Y1449&lt;&gt;1),X1449,"")</x:f>
      </x:c>
      <x:c r="V1449" s="10"/>
      <x:c r="W1449" s="10"/>
      <x:c r="X1449" s="10"/>
      <x:c r="Y1449" s="3"/>
      <x:c r="Z1449" s="3" t="str">
        <x:v>移出</x:v>
      </x:c>
      <x:c r="AA1449" s="3" t="str">
        <x:v>已移出</x:v>
      </x:c>
      <x:c r="AB1449" s="12" t="str">
        <x:f>IF(AND(Z1449="共同",ISNUMBER(G1449),ISNUMBER(AD1449)),G1449-AD1449,"")</x:f>
      </x:c>
      <x:c r="AC1449" s="3" t="str">
        <x:v>基准清单已移出</x:v>
      </x:c>
      <x:c r="AD1449" s="12"/>
      <x:c r="AE1449" s="3" t="str">
        <x:v>[13306,"B07-RD-I-0-38.5"]</x:v>
      </x:c>
      <x:c r="AF1449" t="n">
        <x:f>IF(ISNUMBER(H1449),1,0)</x:f>
        <x:v>0</x:v>
      </x:c>
      <x:c r="AG1449" t="n">
        <x:f>IF(ISNUMBER(I1449),1,0)</x:f>
        <x:v>1</x:v>
      </x:c>
      <x:c r="AH1449"/>
      <x:c r="AI1449" t="n">
        <x:f>IF(ISNUMBER(G1449),1,0)</x:f>
        <x:v>0</x:v>
      </x:c>
      <x:c r="AJ1449" t="n">
        <x:f>IF(ISNUMBER(AD1449),1,0)</x:f>
        <x:v>0</x:v>
      </x:c>
    </x:row>
    <x:row r="1450" ht="30" customHeight="1">
      <x:c r="A1450" s="3" t="str">
        <x:v>B07-RD-I-0-39</x:v>
      </x:c>
      <x:c r="B1450" s="3" t="str">
        <x:v>4店-彬郁-US</x:v>
      </x:c>
      <x:c r="C1450" s="3" t="str">
        <x:v>艾年</x:v>
      </x:c>
      <x:c r="D1450" s="3" t="str">
        <x:v>B07</x:v>
      </x:c>
      <x:c r="E1450" s="3" t="str">
        <x:f>IF(Z1450="移出","已移出",IF(NOT(ISNUMBER(H1450)),"数据待核",IF(H1450=0,"断货",IF(NOT(ISNUMBER(G1450)),"数据待核",IF(G1450=0,"零日销待复核",IF(F1450&lt;60,"补货提醒",IF(F1450&lt;=90,"正常库存",IF(F1450&lt;180,"促销",IF(F1450&lt;=365,"红线促销","考虑清仓")))))))))</x:f>
        <x:v>已移出</x:v>
      </x:c>
      <x:c r="F1450" s="11" t="str">
        <x:f>IF(AND(ISNUMBER(H1450),ISNUMBER(G1450),G1450&gt;0),H1450/G1450,"")</x:f>
      </x:c>
      <x:c r="G1450" s="12" t="str">
        <x:f>IF(AND(COUNT(P1450:R1450)=3,MIN(P1450:R1450)&gt;=0,P1450&lt;=Q1450,Q1450&lt;=R1450),P1450/7*0.5+Q1450/14*0.3+R1450/30*0.2,"")</x:f>
      </x:c>
      <x:c r="H1450" s="10" t="str">
        <x:f>IF(ISNUMBER(U1450),U1450,"")</x:f>
      </x:c>
      <x:c r="I1450" s="10" t="n">
        <x:v>0</x:v>
      </x:c>
      <x:c r="J1450" s="11" t="str">
        <x:f>IF(AND(Z1450="共同",ISNUMBER(F1450),ISNUMBER(M1450)),F1450-M1450,"")</x:f>
      </x:c>
      <x:c r="K1450" s="13" t="str">
        <x:f>IF(AND(ISNUMBER(J1450),M1450&lt;&gt;0),J1450/M1450,"")</x:f>
      </x:c>
      <x:c r="L1450" s="10" t="str">
        <x:v>断货</x:v>
      </x:c>
      <x:c r="M1450" s="11"/>
      <x:c r="N1450" s="10" t="str">
        <x:f>IF(AND(Z1450="共同",COUNT(H1450:I1450)=2),H1450-I1450,"")</x:f>
      </x:c>
      <x:c r="O1450" s="10"/>
      <x:c r="P1450" s="10"/>
      <x:c r="Q1450" s="10"/>
      <x:c r="R1450" s="10"/>
      <x:c r="S1450" s="10"/>
      <x:c r="T1450" s="10"/>
      <x:c r="U1450" s="10" t="str">
        <x:f>IF(AND(ISNUMBER(X1450),X1450&gt;=0,Y1450&lt;&gt;1),X1450,"")</x:f>
      </x:c>
      <x:c r="V1450" s="10"/>
      <x:c r="W1450" s="10"/>
      <x:c r="X1450" s="10"/>
      <x:c r="Y1450" s="3"/>
      <x:c r="Z1450" s="3" t="str">
        <x:v>移出</x:v>
      </x:c>
      <x:c r="AA1450" s="3" t="str">
        <x:v>已移出</x:v>
      </x:c>
      <x:c r="AB1450" s="12" t="str">
        <x:f>IF(AND(Z1450="共同",ISNUMBER(G1450),ISNUMBER(AD1450)),G1450-AD1450,"")</x:f>
      </x:c>
      <x:c r="AC1450" s="3" t="str">
        <x:v>基准清单已移出</x:v>
      </x:c>
      <x:c r="AD1450" s="12"/>
      <x:c r="AE1450" s="3" t="str">
        <x:v>[13306,"B07-RD-I-0-39"]</x:v>
      </x:c>
      <x:c r="AF1450" t="n">
        <x:f>IF(ISNUMBER(H1450),1,0)</x:f>
        <x:v>0</x:v>
      </x:c>
      <x:c r="AG1450" t="n">
        <x:f>IF(ISNUMBER(I1450),1,0)</x:f>
        <x:v>1</x:v>
      </x:c>
      <x:c r="AH1450"/>
      <x:c r="AI1450" t="n">
        <x:f>IF(ISNUMBER(G1450),1,0)</x:f>
        <x:v>0</x:v>
      </x:c>
      <x:c r="AJ1450" t="n">
        <x:f>IF(ISNUMBER(AD1450),1,0)</x:f>
        <x:v>0</x:v>
      </x:c>
    </x:row>
    <x:row r="1451" ht="30" customHeight="1">
      <x:c r="A1451" s="3" t="str">
        <x:v>B07-RD-I-0-40</x:v>
      </x:c>
      <x:c r="B1451" s="3" t="str">
        <x:v>4店-彬郁-US</x:v>
      </x:c>
      <x:c r="C1451" s="3" t="str">
        <x:v>艾年</x:v>
      </x:c>
      <x:c r="D1451" s="3" t="str">
        <x:v>B07</x:v>
      </x:c>
      <x:c r="E1451" s="3" t="str">
        <x:f>IF(Z1451="移出","已移出",IF(NOT(ISNUMBER(H1451)),"数据待核",IF(H1451=0,"断货",IF(NOT(ISNUMBER(G1451)),"数据待核",IF(G1451=0,"零日销待复核",IF(F1451&lt;60,"补货提醒",IF(F1451&lt;=90,"正常库存",IF(F1451&lt;180,"促销",IF(F1451&lt;=365,"红线促销","考虑清仓")))))))))</x:f>
        <x:v>已移出</x:v>
      </x:c>
      <x:c r="F1451" s="11" t="str">
        <x:f>IF(AND(ISNUMBER(H1451),ISNUMBER(G1451),G1451&gt;0),H1451/G1451,"")</x:f>
      </x:c>
      <x:c r="G1451" s="12" t="str">
        <x:f>IF(AND(COUNT(P1451:R1451)=3,MIN(P1451:R1451)&gt;=0,P1451&lt;=Q1451,Q1451&lt;=R1451),P1451/7*0.5+Q1451/14*0.3+R1451/30*0.2,"")</x:f>
      </x:c>
      <x:c r="H1451" s="10" t="str">
        <x:f>IF(ISNUMBER(U1451),U1451,"")</x:f>
      </x:c>
      <x:c r="I1451" s="10" t="n">
        <x:v>0</x:v>
      </x:c>
      <x:c r="J1451" s="11" t="str">
        <x:f>IF(AND(Z1451="共同",ISNUMBER(F1451),ISNUMBER(M1451)),F1451-M1451,"")</x:f>
      </x:c>
      <x:c r="K1451" s="13" t="str">
        <x:f>IF(AND(ISNUMBER(J1451),M1451&lt;&gt;0),J1451/M1451,"")</x:f>
      </x:c>
      <x:c r="L1451" s="10" t="str">
        <x:v>断货</x:v>
      </x:c>
      <x:c r="M1451" s="11"/>
      <x:c r="N1451" s="10" t="str">
        <x:f>IF(AND(Z1451="共同",COUNT(H1451:I1451)=2),H1451-I1451,"")</x:f>
      </x:c>
      <x:c r="O1451" s="10"/>
      <x:c r="P1451" s="10"/>
      <x:c r="Q1451" s="10"/>
      <x:c r="R1451" s="10"/>
      <x:c r="S1451" s="10"/>
      <x:c r="T1451" s="10"/>
      <x:c r="U1451" s="10" t="str">
        <x:f>IF(AND(ISNUMBER(X1451),X1451&gt;=0,Y1451&lt;&gt;1),X1451,"")</x:f>
      </x:c>
      <x:c r="V1451" s="10"/>
      <x:c r="W1451" s="10"/>
      <x:c r="X1451" s="10"/>
      <x:c r="Y1451" s="3"/>
      <x:c r="Z1451" s="3" t="str">
        <x:v>移出</x:v>
      </x:c>
      <x:c r="AA1451" s="3" t="str">
        <x:v>已移出</x:v>
      </x:c>
      <x:c r="AB1451" s="12" t="str">
        <x:f>IF(AND(Z1451="共同",ISNUMBER(G1451),ISNUMBER(AD1451)),G1451-AD1451,"")</x:f>
      </x:c>
      <x:c r="AC1451" s="3" t="str">
        <x:v>基准清单已移出</x:v>
      </x:c>
      <x:c r="AD1451" s="12"/>
      <x:c r="AE1451" s="3" t="str">
        <x:v>[13306,"B07-RD-I-0-40"]</x:v>
      </x:c>
      <x:c r="AF1451" t="n">
        <x:f>IF(ISNUMBER(H1451),1,0)</x:f>
        <x:v>0</x:v>
      </x:c>
      <x:c r="AG1451" t="n">
        <x:f>IF(ISNUMBER(I1451),1,0)</x:f>
        <x:v>1</x:v>
      </x:c>
      <x:c r="AH1451"/>
      <x:c r="AI1451" t="n">
        <x:f>IF(ISNUMBER(G1451),1,0)</x:f>
        <x:v>0</x:v>
      </x:c>
      <x:c r="AJ1451" t="n">
        <x:f>IF(ISNUMBER(AD1451),1,0)</x:f>
        <x:v>0</x:v>
      </x:c>
    </x:row>
    <x:row r="1452" ht="30" customHeight="1">
      <x:c r="A1452" s="3" t="str">
        <x:v>B07-RD-Z-0-37</x:v>
      </x:c>
      <x:c r="B1452" s="3" t="str">
        <x:v>4店-彬郁-US</x:v>
      </x:c>
      <x:c r="C1452" s="3" t="str">
        <x:v>艾年</x:v>
      </x:c>
      <x:c r="D1452" s="3" t="str">
        <x:v>B07</x:v>
      </x:c>
      <x:c r="E1452" s="3" t="str">
        <x:f>IF(Z1452="移出","已移出",IF(NOT(ISNUMBER(H1452)),"数据待核",IF(H1452=0,"断货",IF(NOT(ISNUMBER(G1452)),"数据待核",IF(G1452=0,"零日销待复核",IF(F1452&lt;60,"补货提醒",IF(F1452&lt;=90,"正常库存",IF(F1452&lt;180,"促销",IF(F1452&lt;=365,"红线促销","考虑清仓")))))))))</x:f>
        <x:v>已移出</x:v>
      </x:c>
      <x:c r="F1452" s="11" t="str">
        <x:f>IF(AND(ISNUMBER(H1452),ISNUMBER(G1452),G1452&gt;0),H1452/G1452,"")</x:f>
      </x:c>
      <x:c r="G1452" s="12" t="str">
        <x:f>IF(AND(COUNT(P1452:R1452)=3,MIN(P1452:R1452)&gt;=0,P1452&lt;=Q1452,Q1452&lt;=R1452),P1452/7*0.5+Q1452/14*0.3+R1452/30*0.2,"")</x:f>
      </x:c>
      <x:c r="H1452" s="10" t="str">
        <x:f>IF(ISNUMBER(U1452),U1452,"")</x:f>
      </x:c>
      <x:c r="I1452" s="10" t="n">
        <x:v>0</x:v>
      </x:c>
      <x:c r="J1452" s="11" t="str">
        <x:f>IF(AND(Z1452="共同",ISNUMBER(F1452),ISNUMBER(M1452)),F1452-M1452,"")</x:f>
      </x:c>
      <x:c r="K1452" s="13" t="str">
        <x:f>IF(AND(ISNUMBER(J1452),M1452&lt;&gt;0),J1452/M1452,"")</x:f>
      </x:c>
      <x:c r="L1452" s="10" t="str">
        <x:v>断货</x:v>
      </x:c>
      <x:c r="M1452" s="11"/>
      <x:c r="N1452" s="10" t="str">
        <x:f>IF(AND(Z1452="共同",COUNT(H1452:I1452)=2),H1452-I1452,"")</x:f>
      </x:c>
      <x:c r="O1452" s="10"/>
      <x:c r="P1452" s="10"/>
      <x:c r="Q1452" s="10"/>
      <x:c r="R1452" s="10"/>
      <x:c r="S1452" s="10"/>
      <x:c r="T1452" s="10"/>
      <x:c r="U1452" s="10" t="str">
        <x:f>IF(AND(ISNUMBER(X1452),X1452&gt;=0,Y1452&lt;&gt;1),X1452,"")</x:f>
      </x:c>
      <x:c r="V1452" s="10"/>
      <x:c r="W1452" s="10"/>
      <x:c r="X1452" s="10"/>
      <x:c r="Y1452" s="3"/>
      <x:c r="Z1452" s="3" t="str">
        <x:v>移出</x:v>
      </x:c>
      <x:c r="AA1452" s="3" t="str">
        <x:v>已移出</x:v>
      </x:c>
      <x:c r="AB1452" s="12" t="str">
        <x:f>IF(AND(Z1452="共同",ISNUMBER(G1452),ISNUMBER(AD1452)),G1452-AD1452,"")</x:f>
      </x:c>
      <x:c r="AC1452" s="3" t="str">
        <x:v>基准清单已移出</x:v>
      </x:c>
      <x:c r="AD1452" s="12"/>
      <x:c r="AE1452" s="3" t="str">
        <x:v>[13306,"B07-RD-Z-0-37"]</x:v>
      </x:c>
      <x:c r="AF1452" t="n">
        <x:f>IF(ISNUMBER(H1452),1,0)</x:f>
        <x:v>0</x:v>
      </x:c>
      <x:c r="AG1452" t="n">
        <x:f>IF(ISNUMBER(I1452),1,0)</x:f>
        <x:v>1</x:v>
      </x:c>
      <x:c r="AH1452"/>
      <x:c r="AI1452" t="n">
        <x:f>IF(ISNUMBER(G1452),1,0)</x:f>
        <x:v>0</x:v>
      </x:c>
      <x:c r="AJ1452" t="n">
        <x:f>IF(ISNUMBER(AD1452),1,0)</x:f>
        <x:v>0</x:v>
      </x:c>
    </x:row>
    <x:row r="1453" ht="30" customHeight="1">
      <x:c r="A1453" s="3" t="str">
        <x:v>B07-RD-Z-0-37.5</x:v>
      </x:c>
      <x:c r="B1453" s="3" t="str">
        <x:v>4店-彬郁-US</x:v>
      </x:c>
      <x:c r="C1453" s="3" t="str">
        <x:v>艾年</x:v>
      </x:c>
      <x:c r="D1453" s="3" t="str">
        <x:v>B07</x:v>
      </x:c>
      <x:c r="E1453" s="3" t="str">
        <x:f>IF(Z1453="移出","已移出",IF(NOT(ISNUMBER(H1453)),"数据待核",IF(H1453=0,"断货",IF(NOT(ISNUMBER(G1453)),"数据待核",IF(G1453=0,"零日销待复核",IF(F1453&lt;60,"补货提醒",IF(F1453&lt;=90,"正常库存",IF(F1453&lt;180,"促销",IF(F1453&lt;=365,"红线促销","考虑清仓")))))))))</x:f>
        <x:v>已移出</x:v>
      </x:c>
      <x:c r="F1453" s="11" t="str">
        <x:f>IF(AND(ISNUMBER(H1453),ISNUMBER(G1453),G1453&gt;0),H1453/G1453,"")</x:f>
      </x:c>
      <x:c r="G1453" s="12" t="str">
        <x:f>IF(AND(COUNT(P1453:R1453)=3,MIN(P1453:R1453)&gt;=0,P1453&lt;=Q1453,Q1453&lt;=R1453),P1453/7*0.5+Q1453/14*0.3+R1453/30*0.2,"")</x:f>
      </x:c>
      <x:c r="H1453" s="10" t="str">
        <x:f>IF(ISNUMBER(U1453),U1453,"")</x:f>
      </x:c>
      <x:c r="I1453" s="10" t="n">
        <x:v>0</x:v>
      </x:c>
      <x:c r="J1453" s="11" t="str">
        <x:f>IF(AND(Z1453="共同",ISNUMBER(F1453),ISNUMBER(M1453)),F1453-M1453,"")</x:f>
      </x:c>
      <x:c r="K1453" s="13" t="str">
        <x:f>IF(AND(ISNUMBER(J1453),M1453&lt;&gt;0),J1453/M1453,"")</x:f>
      </x:c>
      <x:c r="L1453" s="10" t="str">
        <x:v>断货</x:v>
      </x:c>
      <x:c r="M1453" s="11"/>
      <x:c r="N1453" s="10" t="str">
        <x:f>IF(AND(Z1453="共同",COUNT(H1453:I1453)=2),H1453-I1453,"")</x:f>
      </x:c>
      <x:c r="O1453" s="10"/>
      <x:c r="P1453" s="10"/>
      <x:c r="Q1453" s="10"/>
      <x:c r="R1453" s="10"/>
      <x:c r="S1453" s="10"/>
      <x:c r="T1453" s="10"/>
      <x:c r="U1453" s="10" t="str">
        <x:f>IF(AND(ISNUMBER(X1453),X1453&gt;=0,Y1453&lt;&gt;1),X1453,"")</x:f>
      </x:c>
      <x:c r="V1453" s="10"/>
      <x:c r="W1453" s="10"/>
      <x:c r="X1453" s="10"/>
      <x:c r="Y1453" s="3"/>
      <x:c r="Z1453" s="3" t="str">
        <x:v>移出</x:v>
      </x:c>
      <x:c r="AA1453" s="3" t="str">
        <x:v>已移出</x:v>
      </x:c>
      <x:c r="AB1453" s="12" t="str">
        <x:f>IF(AND(Z1453="共同",ISNUMBER(G1453),ISNUMBER(AD1453)),G1453-AD1453,"")</x:f>
      </x:c>
      <x:c r="AC1453" s="3" t="str">
        <x:v>基准清单已移出</x:v>
      </x:c>
      <x:c r="AD1453" s="12"/>
      <x:c r="AE1453" s="3" t="str">
        <x:v>[13306,"B07-RD-Z-0-37.5"]</x:v>
      </x:c>
      <x:c r="AF1453" t="n">
        <x:f>IF(ISNUMBER(H1453),1,0)</x:f>
        <x:v>0</x:v>
      </x:c>
      <x:c r="AG1453" t="n">
        <x:f>IF(ISNUMBER(I1453),1,0)</x:f>
        <x:v>1</x:v>
      </x:c>
      <x:c r="AH1453"/>
      <x:c r="AI1453" t="n">
        <x:f>IF(ISNUMBER(G1453),1,0)</x:f>
        <x:v>0</x:v>
      </x:c>
      <x:c r="AJ1453" t="n">
        <x:f>IF(ISNUMBER(AD1453),1,0)</x:f>
        <x:v>0</x:v>
      </x:c>
    </x:row>
    <x:row r="1454" ht="30" customHeight="1">
      <x:c r="A1454" s="3" t="str">
        <x:v>B07-RD-Z-0-38.5</x:v>
      </x:c>
      <x:c r="B1454" s="3" t="str">
        <x:v>4店-彬郁-US</x:v>
      </x:c>
      <x:c r="C1454" s="3" t="str">
        <x:v>艾年</x:v>
      </x:c>
      <x:c r="D1454" s="3" t="str">
        <x:v>B07</x:v>
      </x:c>
      <x:c r="E1454" s="3" t="str">
        <x:f>IF(Z1454="移出","已移出",IF(NOT(ISNUMBER(H1454)),"数据待核",IF(H1454=0,"断货",IF(NOT(ISNUMBER(G1454)),"数据待核",IF(G1454=0,"零日销待复核",IF(F1454&lt;60,"补货提醒",IF(F1454&lt;=90,"正常库存",IF(F1454&lt;180,"促销",IF(F1454&lt;=365,"红线促销","考虑清仓")))))))))</x:f>
        <x:v>已移出</x:v>
      </x:c>
      <x:c r="F1454" s="11" t="str">
        <x:f>IF(AND(ISNUMBER(H1454),ISNUMBER(G1454),G1454&gt;0),H1454/G1454,"")</x:f>
      </x:c>
      <x:c r="G1454" s="12" t="str">
        <x:f>IF(AND(COUNT(P1454:R1454)=3,MIN(P1454:R1454)&gt;=0,P1454&lt;=Q1454,Q1454&lt;=R1454),P1454/7*0.5+Q1454/14*0.3+R1454/30*0.2,"")</x:f>
      </x:c>
      <x:c r="H1454" s="10" t="str">
        <x:f>IF(ISNUMBER(U1454),U1454,"")</x:f>
      </x:c>
      <x:c r="I1454" s="10" t="n">
        <x:v>0</x:v>
      </x:c>
      <x:c r="J1454" s="11" t="str">
        <x:f>IF(AND(Z1454="共同",ISNUMBER(F1454),ISNUMBER(M1454)),F1454-M1454,"")</x:f>
      </x:c>
      <x:c r="K1454" s="13" t="str">
        <x:f>IF(AND(ISNUMBER(J1454),M1454&lt;&gt;0),J1454/M1454,"")</x:f>
      </x:c>
      <x:c r="L1454" s="10" t="str">
        <x:v>断货</x:v>
      </x:c>
      <x:c r="M1454" s="11"/>
      <x:c r="N1454" s="10" t="str">
        <x:f>IF(AND(Z1454="共同",COUNT(H1454:I1454)=2),H1454-I1454,"")</x:f>
      </x:c>
      <x:c r="O1454" s="10"/>
      <x:c r="P1454" s="10"/>
      <x:c r="Q1454" s="10"/>
      <x:c r="R1454" s="10"/>
      <x:c r="S1454" s="10"/>
      <x:c r="T1454" s="10"/>
      <x:c r="U1454" s="10" t="str">
        <x:f>IF(AND(ISNUMBER(X1454),X1454&gt;=0,Y1454&lt;&gt;1),X1454,"")</x:f>
      </x:c>
      <x:c r="V1454" s="10"/>
      <x:c r="W1454" s="10"/>
      <x:c r="X1454" s="10"/>
      <x:c r="Y1454" s="3"/>
      <x:c r="Z1454" s="3" t="str">
        <x:v>移出</x:v>
      </x:c>
      <x:c r="AA1454" s="3" t="str">
        <x:v>已移出</x:v>
      </x:c>
      <x:c r="AB1454" s="12" t="str">
        <x:f>IF(AND(Z1454="共同",ISNUMBER(G1454),ISNUMBER(AD1454)),G1454-AD1454,"")</x:f>
      </x:c>
      <x:c r="AC1454" s="3" t="str">
        <x:v>基准清单已移出</x:v>
      </x:c>
      <x:c r="AD1454" s="12"/>
      <x:c r="AE1454" s="3" t="str">
        <x:v>[13306,"B07-RD-Z-0-38.5"]</x:v>
      </x:c>
      <x:c r="AF1454" t="n">
        <x:f>IF(ISNUMBER(H1454),1,0)</x:f>
        <x:v>0</x:v>
      </x:c>
      <x:c r="AG1454" t="n">
        <x:f>IF(ISNUMBER(I1454),1,0)</x:f>
        <x:v>1</x:v>
      </x:c>
      <x:c r="AH1454"/>
      <x:c r="AI1454" t="n">
        <x:f>IF(ISNUMBER(G1454),1,0)</x:f>
        <x:v>0</x:v>
      </x:c>
      <x:c r="AJ1454" t="n">
        <x:f>IF(ISNUMBER(AD1454),1,0)</x:f>
        <x:v>0</x:v>
      </x:c>
    </x:row>
    <x:row r="1455" ht="30" customHeight="1">
      <x:c r="A1455" s="3" t="str">
        <x:v>B07-RD-Z-0-40</x:v>
      </x:c>
      <x:c r="B1455" s="3" t="str">
        <x:v>4店-彬郁-US</x:v>
      </x:c>
      <x:c r="C1455" s="3" t="str">
        <x:v>艾年</x:v>
      </x:c>
      <x:c r="D1455" s="3" t="str">
        <x:v>B07</x:v>
      </x:c>
      <x:c r="E1455" s="3" t="str">
        <x:f>IF(Z1455="移出","已移出",IF(NOT(ISNUMBER(H1455)),"数据待核",IF(H1455=0,"断货",IF(NOT(ISNUMBER(G1455)),"数据待核",IF(G1455=0,"零日销待复核",IF(F1455&lt;60,"补货提醒",IF(F1455&lt;=90,"正常库存",IF(F1455&lt;180,"促销",IF(F1455&lt;=365,"红线促销","考虑清仓")))))))))</x:f>
        <x:v>已移出</x:v>
      </x:c>
      <x:c r="F1455" s="11" t="str">
        <x:f>IF(AND(ISNUMBER(H1455),ISNUMBER(G1455),G1455&gt;0),H1455/G1455,"")</x:f>
      </x:c>
      <x:c r="G1455" s="12" t="str">
        <x:f>IF(AND(COUNT(P1455:R1455)=3,MIN(P1455:R1455)&gt;=0,P1455&lt;=Q1455,Q1455&lt;=R1455),P1455/7*0.5+Q1455/14*0.3+R1455/30*0.2,"")</x:f>
      </x:c>
      <x:c r="H1455" s="10" t="str">
        <x:f>IF(ISNUMBER(U1455),U1455,"")</x:f>
      </x:c>
      <x:c r="I1455" s="10" t="n">
        <x:v>0</x:v>
      </x:c>
      <x:c r="J1455" s="11" t="str">
        <x:f>IF(AND(Z1455="共同",ISNUMBER(F1455),ISNUMBER(M1455)),F1455-M1455,"")</x:f>
      </x:c>
      <x:c r="K1455" s="13" t="str">
        <x:f>IF(AND(ISNUMBER(J1455),M1455&lt;&gt;0),J1455/M1455,"")</x:f>
      </x:c>
      <x:c r="L1455" s="10" t="str">
        <x:v>断货</x:v>
      </x:c>
      <x:c r="M1455" s="11"/>
      <x:c r="N1455" s="10" t="str">
        <x:f>IF(AND(Z1455="共同",COUNT(H1455:I1455)=2),H1455-I1455,"")</x:f>
      </x:c>
      <x:c r="O1455" s="10"/>
      <x:c r="P1455" s="10"/>
      <x:c r="Q1455" s="10"/>
      <x:c r="R1455" s="10"/>
      <x:c r="S1455" s="10"/>
      <x:c r="T1455" s="10"/>
      <x:c r="U1455" s="10" t="str">
        <x:f>IF(AND(ISNUMBER(X1455),X1455&gt;=0,Y1455&lt;&gt;1),X1455,"")</x:f>
      </x:c>
      <x:c r="V1455" s="10"/>
      <x:c r="W1455" s="10"/>
      <x:c r="X1455" s="10"/>
      <x:c r="Y1455" s="3"/>
      <x:c r="Z1455" s="3" t="str">
        <x:v>移出</x:v>
      </x:c>
      <x:c r="AA1455" s="3" t="str">
        <x:v>已移出</x:v>
      </x:c>
      <x:c r="AB1455" s="12" t="str">
        <x:f>IF(AND(Z1455="共同",ISNUMBER(G1455),ISNUMBER(AD1455)),G1455-AD1455,"")</x:f>
      </x:c>
      <x:c r="AC1455" s="3" t="str">
        <x:v>基准清单已移出</x:v>
      </x:c>
      <x:c r="AD1455" s="12"/>
      <x:c r="AE1455" s="3" t="str">
        <x:v>[13306,"B07-RD-Z-0-40"]</x:v>
      </x:c>
      <x:c r="AF1455" t="n">
        <x:f>IF(ISNUMBER(H1455),1,0)</x:f>
        <x:v>0</x:v>
      </x:c>
      <x:c r="AG1455" t="n">
        <x:f>IF(ISNUMBER(I1455),1,0)</x:f>
        <x:v>1</x:v>
      </x:c>
      <x:c r="AH1455"/>
      <x:c r="AI1455" t="n">
        <x:f>IF(ISNUMBER(G1455),1,0)</x:f>
        <x:v>0</x:v>
      </x:c>
      <x:c r="AJ1455" t="n">
        <x:f>IF(ISNUMBER(AD1455),1,0)</x:f>
        <x:v>0</x:v>
      </x:c>
    </x:row>
    <x:row r="1456" ht="30" customHeight="1">
      <x:c r="A1456" s="3" t="str">
        <x:v>B07-RD-Z-0-40.5</x:v>
      </x:c>
      <x:c r="B1456" s="3" t="str">
        <x:v>4店-彬郁-US</x:v>
      </x:c>
      <x:c r="C1456" s="3" t="str">
        <x:v>艾年</x:v>
      </x:c>
      <x:c r="D1456" s="3" t="str">
        <x:v>B07</x:v>
      </x:c>
      <x:c r="E1456" s="3" t="str">
        <x:f>IF(Z1456="移出","已移出",IF(NOT(ISNUMBER(H1456)),"数据待核",IF(H1456=0,"断货",IF(NOT(ISNUMBER(G1456)),"数据待核",IF(G1456=0,"零日销待复核",IF(F1456&lt;60,"补货提醒",IF(F1456&lt;=90,"正常库存",IF(F1456&lt;180,"促销",IF(F1456&lt;=365,"红线促销","考虑清仓")))))))))</x:f>
        <x:v>已移出</x:v>
      </x:c>
      <x:c r="F1456" s="11" t="str">
        <x:f>IF(AND(ISNUMBER(H1456),ISNUMBER(G1456),G1456&gt;0),H1456/G1456,"")</x:f>
      </x:c>
      <x:c r="G1456" s="12" t="str">
        <x:f>IF(AND(COUNT(P1456:R1456)=3,MIN(P1456:R1456)&gt;=0,P1456&lt;=Q1456,Q1456&lt;=R1456),P1456/7*0.5+Q1456/14*0.3+R1456/30*0.2,"")</x:f>
      </x:c>
      <x:c r="H1456" s="10" t="str">
        <x:f>IF(ISNUMBER(U1456),U1456,"")</x:f>
      </x:c>
      <x:c r="I1456" s="10" t="n">
        <x:v>0</x:v>
      </x:c>
      <x:c r="J1456" s="11" t="str">
        <x:f>IF(AND(Z1456="共同",ISNUMBER(F1456),ISNUMBER(M1456)),F1456-M1456,"")</x:f>
      </x:c>
      <x:c r="K1456" s="13" t="str">
        <x:f>IF(AND(ISNUMBER(J1456),M1456&lt;&gt;0),J1456/M1456,"")</x:f>
      </x:c>
      <x:c r="L1456" s="10" t="str">
        <x:v>断货</x:v>
      </x:c>
      <x:c r="M1456" s="11"/>
      <x:c r="N1456" s="10" t="str">
        <x:f>IF(AND(Z1456="共同",COUNT(H1456:I1456)=2),H1456-I1456,"")</x:f>
      </x:c>
      <x:c r="O1456" s="10"/>
      <x:c r="P1456" s="10"/>
      <x:c r="Q1456" s="10"/>
      <x:c r="R1456" s="10"/>
      <x:c r="S1456" s="10"/>
      <x:c r="T1456" s="10"/>
      <x:c r="U1456" s="10" t="str">
        <x:f>IF(AND(ISNUMBER(X1456),X1456&gt;=0,Y1456&lt;&gt;1),X1456,"")</x:f>
      </x:c>
      <x:c r="V1456" s="10"/>
      <x:c r="W1456" s="10"/>
      <x:c r="X1456" s="10"/>
      <x:c r="Y1456" s="3"/>
      <x:c r="Z1456" s="3" t="str">
        <x:v>移出</x:v>
      </x:c>
      <x:c r="AA1456" s="3" t="str">
        <x:v>已移出</x:v>
      </x:c>
      <x:c r="AB1456" s="12" t="str">
        <x:f>IF(AND(Z1456="共同",ISNUMBER(G1456),ISNUMBER(AD1456)),G1456-AD1456,"")</x:f>
      </x:c>
      <x:c r="AC1456" s="3" t="str">
        <x:v>基准清单已移出</x:v>
      </x:c>
      <x:c r="AD1456" s="12"/>
      <x:c r="AE1456" s="3" t="str">
        <x:v>[13306,"B07-RD-Z-0-40.5"]</x:v>
      </x:c>
      <x:c r="AF1456" t="n">
        <x:f>IF(ISNUMBER(H1456),1,0)</x:f>
        <x:v>0</x:v>
      </x:c>
      <x:c r="AG1456" t="n">
        <x:f>IF(ISNUMBER(I1456),1,0)</x:f>
        <x:v>1</x:v>
      </x:c>
      <x:c r="AH1456"/>
      <x:c r="AI1456" t="n">
        <x:f>IF(ISNUMBER(G1456),1,0)</x:f>
        <x:v>0</x:v>
      </x:c>
      <x:c r="AJ1456" t="n">
        <x:f>IF(ISNUMBER(AD1456),1,0)</x:f>
        <x:v>0</x:v>
      </x:c>
    </x:row>
    <x:row r="1457" ht="30" customHeight="1">
      <x:c r="A1457" s="3" t="str">
        <x:v>B07-RD-Z-0-41</x:v>
      </x:c>
      <x:c r="B1457" s="3" t="str">
        <x:v>4店-彬郁-US</x:v>
      </x:c>
      <x:c r="C1457" s="3" t="str">
        <x:v>艾年</x:v>
      </x:c>
      <x:c r="D1457" s="3" t="str">
        <x:v>B07</x:v>
      </x:c>
      <x:c r="E1457" s="3" t="str">
        <x:f>IF(Z1457="移出","已移出",IF(NOT(ISNUMBER(H1457)),"数据待核",IF(H1457=0,"断货",IF(NOT(ISNUMBER(G1457)),"数据待核",IF(G1457=0,"零日销待复核",IF(F1457&lt;60,"补货提醒",IF(F1457&lt;=90,"正常库存",IF(F1457&lt;180,"促销",IF(F1457&lt;=365,"红线促销","考虑清仓")))))))))</x:f>
        <x:v>已移出</x:v>
      </x:c>
      <x:c r="F1457" s="11" t="str">
        <x:f>IF(AND(ISNUMBER(H1457),ISNUMBER(G1457),G1457&gt;0),H1457/G1457,"")</x:f>
      </x:c>
      <x:c r="G1457" s="12" t="str">
        <x:f>IF(AND(COUNT(P1457:R1457)=3,MIN(P1457:R1457)&gt;=0,P1457&lt;=Q1457,Q1457&lt;=R1457),P1457/7*0.5+Q1457/14*0.3+R1457/30*0.2,"")</x:f>
      </x:c>
      <x:c r="H1457" s="10" t="str">
        <x:f>IF(ISNUMBER(U1457),U1457,"")</x:f>
      </x:c>
      <x:c r="I1457" s="10" t="n">
        <x:v>0</x:v>
      </x:c>
      <x:c r="J1457" s="11" t="str">
        <x:f>IF(AND(Z1457="共同",ISNUMBER(F1457),ISNUMBER(M1457)),F1457-M1457,"")</x:f>
      </x:c>
      <x:c r="K1457" s="13" t="str">
        <x:f>IF(AND(ISNUMBER(J1457),M1457&lt;&gt;0),J1457/M1457,"")</x:f>
      </x:c>
      <x:c r="L1457" s="10" t="str">
        <x:v>断货</x:v>
      </x:c>
      <x:c r="M1457" s="11"/>
      <x:c r="N1457" s="10" t="str">
        <x:f>IF(AND(Z1457="共同",COUNT(H1457:I1457)=2),H1457-I1457,"")</x:f>
      </x:c>
      <x:c r="O1457" s="10"/>
      <x:c r="P1457" s="10"/>
      <x:c r="Q1457" s="10"/>
      <x:c r="R1457" s="10"/>
      <x:c r="S1457" s="10"/>
      <x:c r="T1457" s="10"/>
      <x:c r="U1457" s="10" t="str">
        <x:f>IF(AND(ISNUMBER(X1457),X1457&gt;=0,Y1457&lt;&gt;1),X1457,"")</x:f>
      </x:c>
      <x:c r="V1457" s="10"/>
      <x:c r="W1457" s="10"/>
      <x:c r="X1457" s="10"/>
      <x:c r="Y1457" s="3"/>
      <x:c r="Z1457" s="3" t="str">
        <x:v>移出</x:v>
      </x:c>
      <x:c r="AA1457" s="3" t="str">
        <x:v>已移出</x:v>
      </x:c>
      <x:c r="AB1457" s="12" t="str">
        <x:f>IF(AND(Z1457="共同",ISNUMBER(G1457),ISNUMBER(AD1457)),G1457-AD1457,"")</x:f>
      </x:c>
      <x:c r="AC1457" s="3" t="str">
        <x:v>基准清单已移出</x:v>
      </x:c>
      <x:c r="AD1457" s="12"/>
      <x:c r="AE1457" s="3" t="str">
        <x:v>[13306,"B07-RD-Z-0-41"]</x:v>
      </x:c>
      <x:c r="AF1457" t="n">
        <x:f>IF(ISNUMBER(H1457),1,0)</x:f>
        <x:v>0</x:v>
      </x:c>
      <x:c r="AG1457" t="n">
        <x:f>IF(ISNUMBER(I1457),1,0)</x:f>
        <x:v>1</x:v>
      </x:c>
      <x:c r="AH1457"/>
      <x:c r="AI1457" t="n">
        <x:f>IF(ISNUMBER(G1457),1,0)</x:f>
        <x:v>0</x:v>
      </x:c>
      <x:c r="AJ1457" t="n">
        <x:f>IF(ISNUMBER(AD1457),1,0)</x:f>
        <x:v>0</x:v>
      </x:c>
    </x:row>
    <x:row r="1458" ht="30" customHeight="1">
      <x:c r="A1458" s="3" t="str">
        <x:v>B07-RD-Z-0-41.5</x:v>
      </x:c>
      <x:c r="B1458" s="3" t="str">
        <x:v>4店-彬郁-US</x:v>
      </x:c>
      <x:c r="C1458" s="3" t="str">
        <x:v>艾年</x:v>
      </x:c>
      <x:c r="D1458" s="3" t="str">
        <x:v>B07</x:v>
      </x:c>
      <x:c r="E1458" s="3" t="str">
        <x:f>IF(Z1458="移出","已移出",IF(NOT(ISNUMBER(H1458)),"数据待核",IF(H1458=0,"断货",IF(NOT(ISNUMBER(G1458)),"数据待核",IF(G1458=0,"零日销待复核",IF(F1458&lt;60,"补货提醒",IF(F1458&lt;=90,"正常库存",IF(F1458&lt;180,"促销",IF(F1458&lt;=365,"红线促销","考虑清仓")))))))))</x:f>
        <x:v>已移出</x:v>
      </x:c>
      <x:c r="F1458" s="11" t="str">
        <x:f>IF(AND(ISNUMBER(H1458),ISNUMBER(G1458),G1458&gt;0),H1458/G1458,"")</x:f>
      </x:c>
      <x:c r="G1458" s="12" t="str">
        <x:f>IF(AND(COUNT(P1458:R1458)=3,MIN(P1458:R1458)&gt;=0,P1458&lt;=Q1458,Q1458&lt;=R1458),P1458/7*0.5+Q1458/14*0.3+R1458/30*0.2,"")</x:f>
      </x:c>
      <x:c r="H1458" s="10" t="str">
        <x:f>IF(ISNUMBER(U1458),U1458,"")</x:f>
      </x:c>
      <x:c r="I1458" s="10" t="n">
        <x:v>0</x:v>
      </x:c>
      <x:c r="J1458" s="11" t="str">
        <x:f>IF(AND(Z1458="共同",ISNUMBER(F1458),ISNUMBER(M1458)),F1458-M1458,"")</x:f>
      </x:c>
      <x:c r="K1458" s="13" t="str">
        <x:f>IF(AND(ISNUMBER(J1458),M1458&lt;&gt;0),J1458/M1458,"")</x:f>
      </x:c>
      <x:c r="L1458" s="10" t="str">
        <x:v>断货</x:v>
      </x:c>
      <x:c r="M1458" s="11"/>
      <x:c r="N1458" s="10" t="str">
        <x:f>IF(AND(Z1458="共同",COUNT(H1458:I1458)=2),H1458-I1458,"")</x:f>
      </x:c>
      <x:c r="O1458" s="10"/>
      <x:c r="P1458" s="10"/>
      <x:c r="Q1458" s="10"/>
      <x:c r="R1458" s="10"/>
      <x:c r="S1458" s="10"/>
      <x:c r="T1458" s="10"/>
      <x:c r="U1458" s="10" t="str">
        <x:f>IF(AND(ISNUMBER(X1458),X1458&gt;=0,Y1458&lt;&gt;1),X1458,"")</x:f>
      </x:c>
      <x:c r="V1458" s="10"/>
      <x:c r="W1458" s="10"/>
      <x:c r="X1458" s="10"/>
      <x:c r="Y1458" s="3"/>
      <x:c r="Z1458" s="3" t="str">
        <x:v>移出</x:v>
      </x:c>
      <x:c r="AA1458" s="3" t="str">
        <x:v>已移出</x:v>
      </x:c>
      <x:c r="AB1458" s="12" t="str">
        <x:f>IF(AND(Z1458="共同",ISNUMBER(G1458),ISNUMBER(AD1458)),G1458-AD1458,"")</x:f>
      </x:c>
      <x:c r="AC1458" s="3" t="str">
        <x:v>基准清单已移出</x:v>
      </x:c>
      <x:c r="AD1458" s="12"/>
      <x:c r="AE1458" s="3" t="str">
        <x:v>[13306,"B07-RD-Z-0-41.5"]</x:v>
      </x:c>
      <x:c r="AF1458" t="n">
        <x:f>IF(ISNUMBER(H1458),1,0)</x:f>
        <x:v>0</x:v>
      </x:c>
      <x:c r="AG1458" t="n">
        <x:f>IF(ISNUMBER(I1458),1,0)</x:f>
        <x:v>1</x:v>
      </x:c>
      <x:c r="AH1458"/>
      <x:c r="AI1458" t="n">
        <x:f>IF(ISNUMBER(G1458),1,0)</x:f>
        <x:v>0</x:v>
      </x:c>
      <x:c r="AJ1458" t="n">
        <x:f>IF(ISNUMBER(AD1458),1,0)</x:f>
        <x:v>0</x:v>
      </x:c>
    </x:row>
    <x:row r="1459" ht="30" customHeight="1">
      <x:c r="A1459" s="3" t="str">
        <x:v>B07-RD-Z-0-42</x:v>
      </x:c>
      <x:c r="B1459" s="3" t="str">
        <x:v>4店-彬郁-US</x:v>
      </x:c>
      <x:c r="C1459" s="3" t="str">
        <x:v>艾年</x:v>
      </x:c>
      <x:c r="D1459" s="3" t="str">
        <x:v>B07</x:v>
      </x:c>
      <x:c r="E1459" s="3" t="str">
        <x:f>IF(Z1459="移出","已移出",IF(NOT(ISNUMBER(H1459)),"数据待核",IF(H1459=0,"断货",IF(NOT(ISNUMBER(G1459)),"数据待核",IF(G1459=0,"零日销待复核",IF(F1459&lt;60,"补货提醒",IF(F1459&lt;=90,"正常库存",IF(F1459&lt;180,"促销",IF(F1459&lt;=365,"红线促销","考虑清仓")))))))))</x:f>
        <x:v>已移出</x:v>
      </x:c>
      <x:c r="F1459" s="11" t="str">
        <x:f>IF(AND(ISNUMBER(H1459),ISNUMBER(G1459),G1459&gt;0),H1459/G1459,"")</x:f>
      </x:c>
      <x:c r="G1459" s="12" t="str">
        <x:f>IF(AND(COUNT(P1459:R1459)=3,MIN(P1459:R1459)&gt;=0,P1459&lt;=Q1459,Q1459&lt;=R1459),P1459/7*0.5+Q1459/14*0.3+R1459/30*0.2,"")</x:f>
      </x:c>
      <x:c r="H1459" s="10" t="str">
        <x:f>IF(ISNUMBER(U1459),U1459,"")</x:f>
      </x:c>
      <x:c r="I1459" s="10" t="n">
        <x:v>0</x:v>
      </x:c>
      <x:c r="J1459" s="11" t="str">
        <x:f>IF(AND(Z1459="共同",ISNUMBER(F1459),ISNUMBER(M1459)),F1459-M1459,"")</x:f>
      </x:c>
      <x:c r="K1459" s="13" t="str">
        <x:f>IF(AND(ISNUMBER(J1459),M1459&lt;&gt;0),J1459/M1459,"")</x:f>
      </x:c>
      <x:c r="L1459" s="10" t="str">
        <x:v>断货</x:v>
      </x:c>
      <x:c r="M1459" s="11"/>
      <x:c r="N1459" s="10" t="str">
        <x:f>IF(AND(Z1459="共同",COUNT(H1459:I1459)=2),H1459-I1459,"")</x:f>
      </x:c>
      <x:c r="O1459" s="10"/>
      <x:c r="P1459" s="10"/>
      <x:c r="Q1459" s="10"/>
      <x:c r="R1459" s="10"/>
      <x:c r="S1459" s="10"/>
      <x:c r="T1459" s="10"/>
      <x:c r="U1459" s="10" t="str">
        <x:f>IF(AND(ISNUMBER(X1459),X1459&gt;=0,Y1459&lt;&gt;1),X1459,"")</x:f>
      </x:c>
      <x:c r="V1459" s="10"/>
      <x:c r="W1459" s="10"/>
      <x:c r="X1459" s="10"/>
      <x:c r="Y1459" s="3"/>
      <x:c r="Z1459" s="3" t="str">
        <x:v>移出</x:v>
      </x:c>
      <x:c r="AA1459" s="3" t="str">
        <x:v>已移出</x:v>
      </x:c>
      <x:c r="AB1459" s="12" t="str">
        <x:f>IF(AND(Z1459="共同",ISNUMBER(G1459),ISNUMBER(AD1459)),G1459-AD1459,"")</x:f>
      </x:c>
      <x:c r="AC1459" s="3" t="str">
        <x:v>基准清单已移出</x:v>
      </x:c>
      <x:c r="AD1459" s="12"/>
      <x:c r="AE1459" s="3" t="str">
        <x:v>[13306,"B07-RD-Z-0-42"]</x:v>
      </x:c>
      <x:c r="AF1459" t="n">
        <x:f>IF(ISNUMBER(H1459),1,0)</x:f>
        <x:v>0</x:v>
      </x:c>
      <x:c r="AG1459" t="n">
        <x:f>IF(ISNUMBER(I1459),1,0)</x:f>
        <x:v>1</x:v>
      </x:c>
      <x:c r="AH1459"/>
      <x:c r="AI1459" t="n">
        <x:f>IF(ISNUMBER(G1459),1,0)</x:f>
        <x:v>0</x:v>
      </x:c>
      <x:c r="AJ1459" t="n">
        <x:f>IF(ISNUMBER(AD1459),1,0)</x:f>
        <x:v>0</x:v>
      </x:c>
    </x:row>
    <x:row r="1460" ht="30" customHeight="1">
      <x:c r="A1460" s="3" t="str">
        <x:v>B07-RG-38.5</x:v>
      </x:c>
      <x:c r="B1460" s="3" t="str">
        <x:v>4店-彬郁-US</x:v>
      </x:c>
      <x:c r="C1460" s="3" t="str">
        <x:v>艾年</x:v>
      </x:c>
      <x:c r="D1460" s="3" t="str">
        <x:v>B07</x:v>
      </x:c>
      <x:c r="E1460" s="3" t="str">
        <x:f>IF(Z1460="移出","已移出",IF(NOT(ISNUMBER(H1460)),"数据待核",IF(H1460=0,"断货",IF(NOT(ISNUMBER(G1460)),"数据待核",IF(G1460=0,"零日销待复核",IF(F1460&lt;60,"补货提醒",IF(F1460&lt;=90,"正常库存",IF(F1460&lt;180,"促销",IF(F1460&lt;=365,"红线促销","考虑清仓")))))))))</x:f>
        <x:v>已移出</x:v>
      </x:c>
      <x:c r="F1460" s="11" t="str">
        <x:f>IF(AND(ISNUMBER(H1460),ISNUMBER(G1460),G1460&gt;0),H1460/G1460,"")</x:f>
      </x:c>
      <x:c r="G1460" s="12" t="str">
        <x:f>IF(AND(COUNT(P1460:R1460)=3,MIN(P1460:R1460)&gt;=0,P1460&lt;=Q1460,Q1460&lt;=R1460),P1460/7*0.5+Q1460/14*0.3+R1460/30*0.2,"")</x:f>
      </x:c>
      <x:c r="H1460" s="10" t="str">
        <x:f>IF(ISNUMBER(U1460),U1460,"")</x:f>
      </x:c>
      <x:c r="I1460" s="10" t="n">
        <x:v>0</x:v>
      </x:c>
      <x:c r="J1460" s="11" t="str">
        <x:f>IF(AND(Z1460="共同",ISNUMBER(F1460),ISNUMBER(M1460)),F1460-M1460,"")</x:f>
      </x:c>
      <x:c r="K1460" s="13" t="str">
        <x:f>IF(AND(ISNUMBER(J1460),M1460&lt;&gt;0),J1460/M1460,"")</x:f>
      </x:c>
      <x:c r="L1460" s="10" t="str">
        <x:v>断货</x:v>
      </x:c>
      <x:c r="M1460" s="11"/>
      <x:c r="N1460" s="10" t="str">
        <x:f>IF(AND(Z1460="共同",COUNT(H1460:I1460)=2),H1460-I1460,"")</x:f>
      </x:c>
      <x:c r="O1460" s="10"/>
      <x:c r="P1460" s="10"/>
      <x:c r="Q1460" s="10"/>
      <x:c r="R1460" s="10"/>
      <x:c r="S1460" s="10"/>
      <x:c r="T1460" s="10"/>
      <x:c r="U1460" s="10" t="str">
        <x:f>IF(AND(ISNUMBER(X1460),X1460&gt;=0,Y1460&lt;&gt;1),X1460,"")</x:f>
      </x:c>
      <x:c r="V1460" s="10"/>
      <x:c r="W1460" s="10"/>
      <x:c r="X1460" s="10"/>
      <x:c r="Y1460" s="3"/>
      <x:c r="Z1460" s="3" t="str">
        <x:v>移出</x:v>
      </x:c>
      <x:c r="AA1460" s="3" t="str">
        <x:v>已移出</x:v>
      </x:c>
      <x:c r="AB1460" s="12" t="str">
        <x:f>IF(AND(Z1460="共同",ISNUMBER(G1460),ISNUMBER(AD1460)),G1460-AD1460,"")</x:f>
      </x:c>
      <x:c r="AC1460" s="3" t="str">
        <x:v>基准清单已移出</x:v>
      </x:c>
      <x:c r="AD1460" s="12"/>
      <x:c r="AE1460" s="3" t="str">
        <x:v>[13306,"B07-RG-38.5"]</x:v>
      </x:c>
      <x:c r="AF1460" t="n">
        <x:f>IF(ISNUMBER(H1460),1,0)</x:f>
        <x:v>0</x:v>
      </x:c>
      <x:c r="AG1460" t="n">
        <x:f>IF(ISNUMBER(I1460),1,0)</x:f>
        <x:v>1</x:v>
      </x:c>
      <x:c r="AH1460"/>
      <x:c r="AI1460" t="n">
        <x:f>IF(ISNUMBER(G1460),1,0)</x:f>
        <x:v>0</x:v>
      </x:c>
      <x:c r="AJ1460" t="n">
        <x:f>IF(ISNUMBER(AD1460),1,0)</x:f>
        <x:v>0</x:v>
      </x:c>
    </x:row>
    <x:row r="1461" ht="30" customHeight="1">
      <x:c r="A1461" s="3" t="str">
        <x:v>B07-RG-39-New</x:v>
      </x:c>
      <x:c r="B1461" s="3" t="str">
        <x:v>4店-彬郁-US</x:v>
      </x:c>
      <x:c r="C1461" s="3" t="str">
        <x:v>艾年</x:v>
      </x:c>
      <x:c r="D1461" s="3" t="str">
        <x:v>B07</x:v>
      </x:c>
      <x:c r="E1461" s="3" t="str">
        <x:f>IF(Z1461="移出","已移出",IF(NOT(ISNUMBER(H1461)),"数据待核",IF(H1461=0,"断货",IF(NOT(ISNUMBER(G1461)),"数据待核",IF(G1461=0,"零日销待复核",IF(F1461&lt;60,"补货提醒",IF(F1461&lt;=90,"正常库存",IF(F1461&lt;180,"促销",IF(F1461&lt;=365,"红线促销","考虑清仓")))))))))</x:f>
        <x:v>已移出</x:v>
      </x:c>
      <x:c r="F1461" s="11" t="str">
        <x:f>IF(AND(ISNUMBER(H1461),ISNUMBER(G1461),G1461&gt;0),H1461/G1461,"")</x:f>
      </x:c>
      <x:c r="G1461" s="12" t="str">
        <x:f>IF(AND(COUNT(P1461:R1461)=3,MIN(P1461:R1461)&gt;=0,P1461&lt;=Q1461,Q1461&lt;=R1461),P1461/7*0.5+Q1461/14*0.3+R1461/30*0.2,"")</x:f>
      </x:c>
      <x:c r="H1461" s="10" t="str">
        <x:f>IF(ISNUMBER(U1461),U1461,"")</x:f>
      </x:c>
      <x:c r="I1461" s="10" t="n">
        <x:v>0</x:v>
      </x:c>
      <x:c r="J1461" s="11" t="str">
        <x:f>IF(AND(Z1461="共同",ISNUMBER(F1461),ISNUMBER(M1461)),F1461-M1461,"")</x:f>
      </x:c>
      <x:c r="K1461" s="13" t="str">
        <x:f>IF(AND(ISNUMBER(J1461),M1461&lt;&gt;0),J1461/M1461,"")</x:f>
      </x:c>
      <x:c r="L1461" s="10" t="str">
        <x:v>断货</x:v>
      </x:c>
      <x:c r="M1461" s="11"/>
      <x:c r="N1461" s="10" t="str">
        <x:f>IF(AND(Z1461="共同",COUNT(H1461:I1461)=2),H1461-I1461,"")</x:f>
      </x:c>
      <x:c r="O1461" s="10"/>
      <x:c r="P1461" s="10"/>
      <x:c r="Q1461" s="10"/>
      <x:c r="R1461" s="10"/>
      <x:c r="S1461" s="10"/>
      <x:c r="T1461" s="10"/>
      <x:c r="U1461" s="10" t="str">
        <x:f>IF(AND(ISNUMBER(X1461),X1461&gt;=0,Y1461&lt;&gt;1),X1461,"")</x:f>
      </x:c>
      <x:c r="V1461" s="10"/>
      <x:c r="W1461" s="10"/>
      <x:c r="X1461" s="10"/>
      <x:c r="Y1461" s="3"/>
      <x:c r="Z1461" s="3" t="str">
        <x:v>移出</x:v>
      </x:c>
      <x:c r="AA1461" s="3" t="str">
        <x:v>已移出</x:v>
      </x:c>
      <x:c r="AB1461" s="12" t="str">
        <x:f>IF(AND(Z1461="共同",ISNUMBER(G1461),ISNUMBER(AD1461)),G1461-AD1461,"")</x:f>
      </x:c>
      <x:c r="AC1461" s="3" t="str">
        <x:v>基准清单已移出</x:v>
      </x:c>
      <x:c r="AD1461" s="12"/>
      <x:c r="AE1461" s="3" t="str">
        <x:v>[13306,"B07-RG-39-New"]</x:v>
      </x:c>
      <x:c r="AF1461" t="n">
        <x:f>IF(ISNUMBER(H1461),1,0)</x:f>
        <x:v>0</x:v>
      </x:c>
      <x:c r="AG1461" t="n">
        <x:f>IF(ISNUMBER(I1461),1,0)</x:f>
        <x:v>1</x:v>
      </x:c>
      <x:c r="AH1461"/>
      <x:c r="AI1461" t="n">
        <x:f>IF(ISNUMBER(G1461),1,0)</x:f>
        <x:v>0</x:v>
      </x:c>
      <x:c r="AJ1461" t="n">
        <x:f>IF(ISNUMBER(AD1461),1,0)</x:f>
        <x:v>0</x:v>
      </x:c>
    </x:row>
    <x:row r="1462" ht="30" customHeight="1">
      <x:c r="A1462" s="3" t="str">
        <x:v>B07-SK-37.5</x:v>
      </x:c>
      <x:c r="B1462" s="3" t="str">
        <x:v>4店-彬郁-US</x:v>
      </x:c>
      <x:c r="C1462" s="3" t="str">
        <x:v>艾年</x:v>
      </x:c>
      <x:c r="D1462" s="3" t="str">
        <x:v>B07</x:v>
      </x:c>
      <x:c r="E1462" s="3" t="str">
        <x:f>IF(Z1462="移出","已移出",IF(NOT(ISNUMBER(H1462)),"数据待核",IF(H1462=0,"断货",IF(NOT(ISNUMBER(G1462)),"数据待核",IF(G1462=0,"零日销待复核",IF(F1462&lt;60,"补货提醒",IF(F1462&lt;=90,"正常库存",IF(F1462&lt;180,"促销",IF(F1462&lt;=365,"红线促销","考虑清仓")))))))))</x:f>
        <x:v>已移出</x:v>
      </x:c>
      <x:c r="F1462" s="11" t="str">
        <x:f>IF(AND(ISNUMBER(H1462),ISNUMBER(G1462),G1462&gt;0),H1462/G1462,"")</x:f>
      </x:c>
      <x:c r="G1462" s="12" t="str">
        <x:f>IF(AND(COUNT(P1462:R1462)=3,MIN(P1462:R1462)&gt;=0,P1462&lt;=Q1462,Q1462&lt;=R1462),P1462/7*0.5+Q1462/14*0.3+R1462/30*0.2,"")</x:f>
      </x:c>
      <x:c r="H1462" s="10" t="str">
        <x:f>IF(ISNUMBER(U1462),U1462,"")</x:f>
      </x:c>
      <x:c r="I1462" s="10" t="n">
        <x:v>0</x:v>
      </x:c>
      <x:c r="J1462" s="11" t="str">
        <x:f>IF(AND(Z1462="共同",ISNUMBER(F1462),ISNUMBER(M1462)),F1462-M1462,"")</x:f>
      </x:c>
      <x:c r="K1462" s="13" t="str">
        <x:f>IF(AND(ISNUMBER(J1462),M1462&lt;&gt;0),J1462/M1462,"")</x:f>
      </x:c>
      <x:c r="L1462" s="10" t="str">
        <x:v>断货</x:v>
      </x:c>
      <x:c r="M1462" s="11"/>
      <x:c r="N1462" s="10" t="str">
        <x:f>IF(AND(Z1462="共同",COUNT(H1462:I1462)=2),H1462-I1462,"")</x:f>
      </x:c>
      <x:c r="O1462" s="10"/>
      <x:c r="P1462" s="10"/>
      <x:c r="Q1462" s="10"/>
      <x:c r="R1462" s="10"/>
      <x:c r="S1462" s="10"/>
      <x:c r="T1462" s="10"/>
      <x:c r="U1462" s="10" t="str">
        <x:f>IF(AND(ISNUMBER(X1462),X1462&gt;=0,Y1462&lt;&gt;1),X1462,"")</x:f>
      </x:c>
      <x:c r="V1462" s="10"/>
      <x:c r="W1462" s="10"/>
      <x:c r="X1462" s="10"/>
      <x:c r="Y1462" s="3"/>
      <x:c r="Z1462" s="3" t="str">
        <x:v>移出</x:v>
      </x:c>
      <x:c r="AA1462" s="3" t="str">
        <x:v>已移出</x:v>
      </x:c>
      <x:c r="AB1462" s="12" t="str">
        <x:f>IF(AND(Z1462="共同",ISNUMBER(G1462),ISNUMBER(AD1462)),G1462-AD1462,"")</x:f>
      </x:c>
      <x:c r="AC1462" s="3" t="str">
        <x:v>基准清单已移出</x:v>
      </x:c>
      <x:c r="AD1462" s="12"/>
      <x:c r="AE1462" s="3" t="str">
        <x:v>[13306,"B07-SK-37.5"]</x:v>
      </x:c>
      <x:c r="AF1462" t="n">
        <x:f>IF(ISNUMBER(H1462),1,0)</x:f>
        <x:v>0</x:v>
      </x:c>
      <x:c r="AG1462" t="n">
        <x:f>IF(ISNUMBER(I1462),1,0)</x:f>
        <x:v>1</x:v>
      </x:c>
      <x:c r="AH1462"/>
      <x:c r="AI1462" t="n">
        <x:f>IF(ISNUMBER(G1462),1,0)</x:f>
        <x:v>0</x:v>
      </x:c>
      <x:c r="AJ1462" t="n">
        <x:f>IF(ISNUMBER(AD1462),1,0)</x:f>
        <x:v>0</x:v>
      </x:c>
    </x:row>
    <x:row r="1463" ht="30" customHeight="1">
      <x:c r="A1463" s="3" t="str">
        <x:v>B07-SK-37-JM</x:v>
      </x:c>
      <x:c r="B1463" s="3" t="str">
        <x:v>4店-彬郁-US</x:v>
      </x:c>
      <x:c r="C1463" s="3" t="str">
        <x:v>艾年</x:v>
      </x:c>
      <x:c r="D1463" s="3" t="str">
        <x:v>B07</x:v>
      </x:c>
      <x:c r="E1463" s="3" t="str">
        <x:f>IF(Z1463="移出","已移出",IF(NOT(ISNUMBER(H1463)),"数据待核",IF(H1463=0,"断货",IF(NOT(ISNUMBER(G1463)),"数据待核",IF(G1463=0,"零日销待复核",IF(F1463&lt;60,"补货提醒",IF(F1463&lt;=90,"正常库存",IF(F1463&lt;180,"促销",IF(F1463&lt;=365,"红线促销","考虑清仓")))))))))</x:f>
        <x:v>已移出</x:v>
      </x:c>
      <x:c r="F1463" s="11" t="str">
        <x:f>IF(AND(ISNUMBER(H1463),ISNUMBER(G1463),G1463&gt;0),H1463/G1463,"")</x:f>
      </x:c>
      <x:c r="G1463" s="12" t="str">
        <x:f>IF(AND(COUNT(P1463:R1463)=3,MIN(P1463:R1463)&gt;=0,P1463&lt;=Q1463,Q1463&lt;=R1463),P1463/7*0.5+Q1463/14*0.3+R1463/30*0.2,"")</x:f>
      </x:c>
      <x:c r="H1463" s="10" t="str">
        <x:f>IF(ISNUMBER(U1463),U1463,"")</x:f>
      </x:c>
      <x:c r="I1463" s="10"/>
      <x:c r="J1463" s="11" t="str">
        <x:f>IF(AND(Z1463="共同",ISNUMBER(F1463),ISNUMBER(M1463)),F1463-M1463,"")</x:f>
      </x:c>
      <x:c r="K1463" s="13" t="str">
        <x:f>IF(AND(ISNUMBER(J1463),M1463&lt;&gt;0),J1463/M1463,"")</x:f>
      </x:c>
      <x:c r="L1463" s="10" t="str">
        <x:v>数据待核</x:v>
      </x:c>
      <x:c r="M1463" s="11"/>
      <x:c r="N1463" s="10" t="str">
        <x:f>IF(AND(Z1463="共同",COUNT(H1463:I1463)=2),H1463-I1463,"")</x:f>
      </x:c>
      <x:c r="O1463" s="10"/>
      <x:c r="P1463" s="10"/>
      <x:c r="Q1463" s="10"/>
      <x:c r="R1463" s="10"/>
      <x:c r="S1463" s="10"/>
      <x:c r="T1463" s="10"/>
      <x:c r="U1463" s="10" t="str">
        <x:f>IF(AND(ISNUMBER(X1463),X1463&gt;=0,Y1463&lt;&gt;1),X1463,"")</x:f>
      </x:c>
      <x:c r="V1463" s="10"/>
      <x:c r="W1463" s="10"/>
      <x:c r="X1463" s="10"/>
      <x:c r="Y1463" s="3"/>
      <x:c r="Z1463" s="3" t="str">
        <x:v>移出</x:v>
      </x:c>
      <x:c r="AA1463" s="3" t="str">
        <x:v>已移出</x:v>
      </x:c>
      <x:c r="AB1463" s="12" t="str">
        <x:f>IF(AND(Z1463="共同",ISNUMBER(G1463),ISNUMBER(AD1463)),G1463-AD1463,"")</x:f>
      </x:c>
      <x:c r="AC1463" s="3" t="str">
        <x:v>基准清单已移出</x:v>
      </x:c>
      <x:c r="AD1463" s="12"/>
      <x:c r="AE1463" s="3" t="str">
        <x:v>[13306,"B07-SK-37-JM"]</x:v>
      </x:c>
      <x:c r="AF1463" t="n">
        <x:f>IF(ISNUMBER(H1463),1,0)</x:f>
        <x:v>0</x:v>
      </x:c>
      <x:c r="AG1463" t="n">
        <x:f>IF(ISNUMBER(I1463),1,0)</x:f>
        <x:v>0</x:v>
      </x:c>
      <x:c r="AH1463"/>
      <x:c r="AI1463" t="n">
        <x:f>IF(ISNUMBER(G1463),1,0)</x:f>
        <x:v>0</x:v>
      </x:c>
      <x:c r="AJ1463" t="n">
        <x:f>IF(ISNUMBER(AD1463),1,0)</x:f>
        <x:v>0</x:v>
      </x:c>
    </x:row>
    <x:row r="1464" ht="30" customHeight="1">
      <x:c r="A1464" s="3" t="str">
        <x:v>B07-SK-38.5</x:v>
      </x:c>
      <x:c r="B1464" s="3" t="str">
        <x:v>4店-彬郁-US</x:v>
      </x:c>
      <x:c r="C1464" s="3" t="str">
        <x:v>艾年</x:v>
      </x:c>
      <x:c r="D1464" s="3" t="str">
        <x:v>B07</x:v>
      </x:c>
      <x:c r="E1464" s="3" t="str">
        <x:f>IF(Z1464="移出","已移出",IF(NOT(ISNUMBER(H1464)),"数据待核",IF(H1464=0,"断货",IF(NOT(ISNUMBER(G1464)),"数据待核",IF(G1464=0,"零日销待复核",IF(F1464&lt;60,"补货提醒",IF(F1464&lt;=90,"正常库存",IF(F1464&lt;180,"促销",IF(F1464&lt;=365,"红线促销","考虑清仓")))))))))</x:f>
        <x:v>已移出</x:v>
      </x:c>
      <x:c r="F1464" s="11" t="str">
        <x:f>IF(AND(ISNUMBER(H1464),ISNUMBER(G1464),G1464&gt;0),H1464/G1464,"")</x:f>
      </x:c>
      <x:c r="G1464" s="12" t="str">
        <x:f>IF(AND(COUNT(P1464:R1464)=3,MIN(P1464:R1464)&gt;=0,P1464&lt;=Q1464,Q1464&lt;=R1464),P1464/7*0.5+Q1464/14*0.3+R1464/30*0.2,"")</x:f>
      </x:c>
      <x:c r="H1464" s="10" t="str">
        <x:f>IF(ISNUMBER(U1464),U1464,"")</x:f>
      </x:c>
      <x:c r="I1464" s="10" t="n">
        <x:v>0</x:v>
      </x:c>
      <x:c r="J1464" s="11" t="str">
        <x:f>IF(AND(Z1464="共同",ISNUMBER(F1464),ISNUMBER(M1464)),F1464-M1464,"")</x:f>
      </x:c>
      <x:c r="K1464" s="13" t="str">
        <x:f>IF(AND(ISNUMBER(J1464),M1464&lt;&gt;0),J1464/M1464,"")</x:f>
      </x:c>
      <x:c r="L1464" s="10" t="str">
        <x:v>断货</x:v>
      </x:c>
      <x:c r="M1464" s="11"/>
      <x:c r="N1464" s="10" t="str">
        <x:f>IF(AND(Z1464="共同",COUNT(H1464:I1464)=2),H1464-I1464,"")</x:f>
      </x:c>
      <x:c r="O1464" s="10"/>
      <x:c r="P1464" s="10"/>
      <x:c r="Q1464" s="10"/>
      <x:c r="R1464" s="10"/>
      <x:c r="S1464" s="10"/>
      <x:c r="T1464" s="10"/>
      <x:c r="U1464" s="10" t="str">
        <x:f>IF(AND(ISNUMBER(X1464),X1464&gt;=0,Y1464&lt;&gt;1),X1464,"")</x:f>
      </x:c>
      <x:c r="V1464" s="10"/>
      <x:c r="W1464" s="10"/>
      <x:c r="X1464" s="10"/>
      <x:c r="Y1464" s="3"/>
      <x:c r="Z1464" s="3" t="str">
        <x:v>移出</x:v>
      </x:c>
      <x:c r="AA1464" s="3" t="str">
        <x:v>已移出</x:v>
      </x:c>
      <x:c r="AB1464" s="12" t="str">
        <x:f>IF(AND(Z1464="共同",ISNUMBER(G1464),ISNUMBER(AD1464)),G1464-AD1464,"")</x:f>
      </x:c>
      <x:c r="AC1464" s="3" t="str">
        <x:v>基准清单已移出</x:v>
      </x:c>
      <x:c r="AD1464" s="12"/>
      <x:c r="AE1464" s="3" t="str">
        <x:v>[13306,"B07-SK-38.5"]</x:v>
      </x:c>
      <x:c r="AF1464" t="n">
        <x:f>IF(ISNUMBER(H1464),1,0)</x:f>
        <x:v>0</x:v>
      </x:c>
      <x:c r="AG1464" t="n">
        <x:f>IF(ISNUMBER(I1464),1,0)</x:f>
        <x:v>1</x:v>
      </x:c>
      <x:c r="AH1464"/>
      <x:c r="AI1464" t="n">
        <x:f>IF(ISNUMBER(G1464),1,0)</x:f>
        <x:v>0</x:v>
      </x:c>
      <x:c r="AJ1464" t="n">
        <x:f>IF(ISNUMBER(AD1464),1,0)</x:f>
        <x:v>0</x:v>
      </x:c>
    </x:row>
    <x:row r="1465" ht="30" customHeight="1">
      <x:c r="A1465" s="3" t="str">
        <x:v>B07-SK-39.5</x:v>
      </x:c>
      <x:c r="B1465" s="3" t="str">
        <x:v>4店-彬郁-US</x:v>
      </x:c>
      <x:c r="C1465" s="3" t="str">
        <x:v>艾年</x:v>
      </x:c>
      <x:c r="D1465" s="3" t="str">
        <x:v>B07</x:v>
      </x:c>
      <x:c r="E1465" s="3" t="str">
        <x:f>IF(Z1465="移出","已移出",IF(NOT(ISNUMBER(H1465)),"数据待核",IF(H1465=0,"断货",IF(NOT(ISNUMBER(G1465)),"数据待核",IF(G1465=0,"零日销待复核",IF(F1465&lt;60,"补货提醒",IF(F1465&lt;=90,"正常库存",IF(F1465&lt;180,"促销",IF(F1465&lt;=365,"红线促销","考虑清仓")))))))))</x:f>
        <x:v>已移出</x:v>
      </x:c>
      <x:c r="F1465" s="11" t="str">
        <x:f>IF(AND(ISNUMBER(H1465),ISNUMBER(G1465),G1465&gt;0),H1465/G1465,"")</x:f>
      </x:c>
      <x:c r="G1465" s="12" t="str">
        <x:f>IF(AND(COUNT(P1465:R1465)=3,MIN(P1465:R1465)&gt;=0,P1465&lt;=Q1465,Q1465&lt;=R1465),P1465/7*0.5+Q1465/14*0.3+R1465/30*0.2,"")</x:f>
      </x:c>
      <x:c r="H1465" s="10" t="str">
        <x:f>IF(ISNUMBER(U1465),U1465,"")</x:f>
      </x:c>
      <x:c r="I1465" s="10" t="n">
        <x:v>0</x:v>
      </x:c>
      <x:c r="J1465" s="11" t="str">
        <x:f>IF(AND(Z1465="共同",ISNUMBER(F1465),ISNUMBER(M1465)),F1465-M1465,"")</x:f>
      </x:c>
      <x:c r="K1465" s="13" t="str">
        <x:f>IF(AND(ISNUMBER(J1465),M1465&lt;&gt;0),J1465/M1465,"")</x:f>
      </x:c>
      <x:c r="L1465" s="10" t="str">
        <x:v>断货</x:v>
      </x:c>
      <x:c r="M1465" s="11"/>
      <x:c r="N1465" s="10" t="str">
        <x:f>IF(AND(Z1465="共同",COUNT(H1465:I1465)=2),H1465-I1465,"")</x:f>
      </x:c>
      <x:c r="O1465" s="10"/>
      <x:c r="P1465" s="10"/>
      <x:c r="Q1465" s="10"/>
      <x:c r="R1465" s="10"/>
      <x:c r="S1465" s="10"/>
      <x:c r="T1465" s="10"/>
      <x:c r="U1465" s="10" t="str">
        <x:f>IF(AND(ISNUMBER(X1465),X1465&gt;=0,Y1465&lt;&gt;1),X1465,"")</x:f>
      </x:c>
      <x:c r="V1465" s="10"/>
      <x:c r="W1465" s="10"/>
      <x:c r="X1465" s="10"/>
      <x:c r="Y1465" s="3"/>
      <x:c r="Z1465" s="3" t="str">
        <x:v>移出</x:v>
      </x:c>
      <x:c r="AA1465" s="3" t="str">
        <x:v>已移出</x:v>
      </x:c>
      <x:c r="AB1465" s="12" t="str">
        <x:f>IF(AND(Z1465="共同",ISNUMBER(G1465),ISNUMBER(AD1465)),G1465-AD1465,"")</x:f>
      </x:c>
      <x:c r="AC1465" s="3" t="str">
        <x:v>基准清单已移出</x:v>
      </x:c>
      <x:c r="AD1465" s="12"/>
      <x:c r="AE1465" s="3" t="str">
        <x:v>[13306,"B07-SK-39.5"]</x:v>
      </x:c>
      <x:c r="AF1465" t="n">
        <x:f>IF(ISNUMBER(H1465),1,0)</x:f>
        <x:v>0</x:v>
      </x:c>
      <x:c r="AG1465" t="n">
        <x:f>IF(ISNUMBER(I1465),1,0)</x:f>
        <x:v>1</x:v>
      </x:c>
      <x:c r="AH1465"/>
      <x:c r="AI1465" t="n">
        <x:f>IF(ISNUMBER(G1465),1,0)</x:f>
        <x:v>0</x:v>
      </x:c>
      <x:c r="AJ1465" t="n">
        <x:f>IF(ISNUMBER(AD1465),1,0)</x:f>
        <x:v>0</x:v>
      </x:c>
    </x:row>
    <x:row r="1466" ht="30" customHeight="1">
      <x:c r="A1466" s="3" t="str">
        <x:v>B07-SK-39-by</x:v>
      </x:c>
      <x:c r="B1466" s="3" t="str">
        <x:v>4店-彬郁-US</x:v>
      </x:c>
      <x:c r="C1466" s="3" t="str">
        <x:v>艾年</x:v>
      </x:c>
      <x:c r="D1466" s="3" t="str">
        <x:v>B07</x:v>
      </x:c>
      <x:c r="E1466" s="3" t="str">
        <x:f>IF(Z1466="移出","已移出",IF(NOT(ISNUMBER(H1466)),"数据待核",IF(H1466=0,"断货",IF(NOT(ISNUMBER(G1466)),"数据待核",IF(G1466=0,"零日销待复核",IF(F1466&lt;60,"补货提醒",IF(F1466&lt;=90,"正常库存",IF(F1466&lt;180,"促销",IF(F1466&lt;=365,"红线促销","考虑清仓")))))))))</x:f>
        <x:v>已移出</x:v>
      </x:c>
      <x:c r="F1466" s="11" t="str">
        <x:f>IF(AND(ISNUMBER(H1466),ISNUMBER(G1466),G1466&gt;0),H1466/G1466,"")</x:f>
      </x:c>
      <x:c r="G1466" s="12" t="str">
        <x:f>IF(AND(COUNT(P1466:R1466)=3,MIN(P1466:R1466)&gt;=0,P1466&lt;=Q1466,Q1466&lt;=R1466),P1466/7*0.5+Q1466/14*0.3+R1466/30*0.2,"")</x:f>
      </x:c>
      <x:c r="H1466" s="10" t="str">
        <x:f>IF(ISNUMBER(U1466),U1466,"")</x:f>
      </x:c>
      <x:c r="I1466" s="10" t="n">
        <x:v>0</x:v>
      </x:c>
      <x:c r="J1466" s="11" t="str">
        <x:f>IF(AND(Z1466="共同",ISNUMBER(F1466),ISNUMBER(M1466)),F1466-M1466,"")</x:f>
      </x:c>
      <x:c r="K1466" s="13" t="str">
        <x:f>IF(AND(ISNUMBER(J1466),M1466&lt;&gt;0),J1466/M1466,"")</x:f>
      </x:c>
      <x:c r="L1466" s="10" t="str">
        <x:v>断货</x:v>
      </x:c>
      <x:c r="M1466" s="11"/>
      <x:c r="N1466" s="10" t="str">
        <x:f>IF(AND(Z1466="共同",COUNT(H1466:I1466)=2),H1466-I1466,"")</x:f>
      </x:c>
      <x:c r="O1466" s="10"/>
      <x:c r="P1466" s="10"/>
      <x:c r="Q1466" s="10"/>
      <x:c r="R1466" s="10"/>
      <x:c r="S1466" s="10"/>
      <x:c r="T1466" s="10"/>
      <x:c r="U1466" s="10" t="str">
        <x:f>IF(AND(ISNUMBER(X1466),X1466&gt;=0,Y1466&lt;&gt;1),X1466,"")</x:f>
      </x:c>
      <x:c r="V1466" s="10"/>
      <x:c r="W1466" s="10"/>
      <x:c r="X1466" s="10"/>
      <x:c r="Y1466" s="3"/>
      <x:c r="Z1466" s="3" t="str">
        <x:v>移出</x:v>
      </x:c>
      <x:c r="AA1466" s="3" t="str">
        <x:v>已移出</x:v>
      </x:c>
      <x:c r="AB1466" s="12" t="str">
        <x:f>IF(AND(Z1466="共同",ISNUMBER(G1466),ISNUMBER(AD1466)),G1466-AD1466,"")</x:f>
      </x:c>
      <x:c r="AC1466" s="3" t="str">
        <x:v>基准清单已移出</x:v>
      </x:c>
      <x:c r="AD1466" s="12"/>
      <x:c r="AE1466" s="3" t="str">
        <x:v>[13306,"B07-SK-39-by"]</x:v>
      </x:c>
      <x:c r="AF1466" t="n">
        <x:f>IF(ISNUMBER(H1466),1,0)</x:f>
        <x:v>0</x:v>
      </x:c>
      <x:c r="AG1466" t="n">
        <x:f>IF(ISNUMBER(I1466),1,0)</x:f>
        <x:v>1</x:v>
      </x:c>
      <x:c r="AH1466"/>
      <x:c r="AI1466" t="n">
        <x:f>IF(ISNUMBER(G1466),1,0)</x:f>
        <x:v>0</x:v>
      </x:c>
      <x:c r="AJ1466" t="n">
        <x:f>IF(ISNUMBER(AD1466),1,0)</x:f>
        <x:v>0</x:v>
      </x:c>
    </x:row>
    <x:row r="1467" ht="30" customHeight="1">
      <x:c r="A1467" s="3" t="str">
        <x:v>B07-SK-40.5</x:v>
      </x:c>
      <x:c r="B1467" s="3" t="str">
        <x:v>4店-彬郁-US</x:v>
      </x:c>
      <x:c r="C1467" s="3" t="str">
        <x:v>艾年</x:v>
      </x:c>
      <x:c r="D1467" s="3" t="str">
        <x:v>B07</x:v>
      </x:c>
      <x:c r="E1467" s="3" t="str">
        <x:f>IF(Z1467="移出","已移出",IF(NOT(ISNUMBER(H1467)),"数据待核",IF(H1467=0,"断货",IF(NOT(ISNUMBER(G1467)),"数据待核",IF(G1467=0,"零日销待复核",IF(F1467&lt;60,"补货提醒",IF(F1467&lt;=90,"正常库存",IF(F1467&lt;180,"促销",IF(F1467&lt;=365,"红线促销","考虑清仓")))))))))</x:f>
        <x:v>已移出</x:v>
      </x:c>
      <x:c r="F1467" s="11" t="str">
        <x:f>IF(AND(ISNUMBER(H1467),ISNUMBER(G1467),G1467&gt;0),H1467/G1467,"")</x:f>
      </x:c>
      <x:c r="G1467" s="12" t="str">
        <x:f>IF(AND(COUNT(P1467:R1467)=3,MIN(P1467:R1467)&gt;=0,P1467&lt;=Q1467,Q1467&lt;=R1467),P1467/7*0.5+Q1467/14*0.3+R1467/30*0.2,"")</x:f>
      </x:c>
      <x:c r="H1467" s="10" t="str">
        <x:f>IF(ISNUMBER(U1467),U1467,"")</x:f>
      </x:c>
      <x:c r="I1467" s="10" t="n">
        <x:v>0</x:v>
      </x:c>
      <x:c r="J1467" s="11" t="str">
        <x:f>IF(AND(Z1467="共同",ISNUMBER(F1467),ISNUMBER(M1467)),F1467-M1467,"")</x:f>
      </x:c>
      <x:c r="K1467" s="13" t="str">
        <x:f>IF(AND(ISNUMBER(J1467),M1467&lt;&gt;0),J1467/M1467,"")</x:f>
      </x:c>
      <x:c r="L1467" s="10" t="str">
        <x:v>断货</x:v>
      </x:c>
      <x:c r="M1467" s="11"/>
      <x:c r="N1467" s="10" t="str">
        <x:f>IF(AND(Z1467="共同",COUNT(H1467:I1467)=2),H1467-I1467,"")</x:f>
      </x:c>
      <x:c r="O1467" s="10"/>
      <x:c r="P1467" s="10"/>
      <x:c r="Q1467" s="10"/>
      <x:c r="R1467" s="10"/>
      <x:c r="S1467" s="10"/>
      <x:c r="T1467" s="10"/>
      <x:c r="U1467" s="10" t="str">
        <x:f>IF(AND(ISNUMBER(X1467),X1467&gt;=0,Y1467&lt;&gt;1),X1467,"")</x:f>
      </x:c>
      <x:c r="V1467" s="10"/>
      <x:c r="W1467" s="10"/>
      <x:c r="X1467" s="10"/>
      <x:c r="Y1467" s="3"/>
      <x:c r="Z1467" s="3" t="str">
        <x:v>移出</x:v>
      </x:c>
      <x:c r="AA1467" s="3" t="str">
        <x:v>已移出</x:v>
      </x:c>
      <x:c r="AB1467" s="12" t="str">
        <x:f>IF(AND(Z1467="共同",ISNUMBER(G1467),ISNUMBER(AD1467)),G1467-AD1467,"")</x:f>
      </x:c>
      <x:c r="AC1467" s="3" t="str">
        <x:v>基准清单已移出</x:v>
      </x:c>
      <x:c r="AD1467" s="12"/>
      <x:c r="AE1467" s="3" t="str">
        <x:v>[13306,"B07-SK-40.5"]</x:v>
      </x:c>
      <x:c r="AF1467" t="n">
        <x:f>IF(ISNUMBER(H1467),1,0)</x:f>
        <x:v>0</x:v>
      </x:c>
      <x:c r="AG1467" t="n">
        <x:f>IF(ISNUMBER(I1467),1,0)</x:f>
        <x:v>1</x:v>
      </x:c>
      <x:c r="AH1467"/>
      <x:c r="AI1467" t="n">
        <x:f>IF(ISNUMBER(G1467),1,0)</x:f>
        <x:v>0</x:v>
      </x:c>
      <x:c r="AJ1467" t="n">
        <x:f>IF(ISNUMBER(AD1467),1,0)</x:f>
        <x:v>0</x:v>
      </x:c>
    </x:row>
    <x:row r="1468" ht="30" customHeight="1">
      <x:c r="A1468" s="3" t="str">
        <x:v>B07-SK-40-New</x:v>
      </x:c>
      <x:c r="B1468" s="3" t="str">
        <x:v>4店-彬郁-US</x:v>
      </x:c>
      <x:c r="C1468" s="3" t="str">
        <x:v>艾年</x:v>
      </x:c>
      <x:c r="D1468" s="3" t="str">
        <x:v>B07</x:v>
      </x:c>
      <x:c r="E1468" s="3" t="str">
        <x:f>IF(Z1468="移出","已移出",IF(NOT(ISNUMBER(H1468)),"数据待核",IF(H1468=0,"断货",IF(NOT(ISNUMBER(G1468)),"数据待核",IF(G1468=0,"零日销待复核",IF(F1468&lt;60,"补货提醒",IF(F1468&lt;=90,"正常库存",IF(F1468&lt;180,"促销",IF(F1468&lt;=365,"红线促销","考虑清仓")))))))))</x:f>
        <x:v>已移出</x:v>
      </x:c>
      <x:c r="F1468" s="11" t="str">
        <x:f>IF(AND(ISNUMBER(H1468),ISNUMBER(G1468),G1468&gt;0),H1468/G1468,"")</x:f>
      </x:c>
      <x:c r="G1468" s="12" t="str">
        <x:f>IF(AND(COUNT(P1468:R1468)=3,MIN(P1468:R1468)&gt;=0,P1468&lt;=Q1468,Q1468&lt;=R1468),P1468/7*0.5+Q1468/14*0.3+R1468/30*0.2,"")</x:f>
      </x:c>
      <x:c r="H1468" s="10" t="str">
        <x:f>IF(ISNUMBER(U1468),U1468,"")</x:f>
      </x:c>
      <x:c r="I1468" s="10" t="n">
        <x:v>0</x:v>
      </x:c>
      <x:c r="J1468" s="11" t="str">
        <x:f>IF(AND(Z1468="共同",ISNUMBER(F1468),ISNUMBER(M1468)),F1468-M1468,"")</x:f>
      </x:c>
      <x:c r="K1468" s="13" t="str">
        <x:f>IF(AND(ISNUMBER(J1468),M1468&lt;&gt;0),J1468/M1468,"")</x:f>
      </x:c>
      <x:c r="L1468" s="10" t="str">
        <x:v>断货</x:v>
      </x:c>
      <x:c r="M1468" s="11"/>
      <x:c r="N1468" s="10" t="str">
        <x:f>IF(AND(Z1468="共同",COUNT(H1468:I1468)=2),H1468-I1468,"")</x:f>
      </x:c>
      <x:c r="O1468" s="10"/>
      <x:c r="P1468" s="10"/>
      <x:c r="Q1468" s="10"/>
      <x:c r="R1468" s="10"/>
      <x:c r="S1468" s="10"/>
      <x:c r="T1468" s="10"/>
      <x:c r="U1468" s="10" t="str">
        <x:f>IF(AND(ISNUMBER(X1468),X1468&gt;=0,Y1468&lt;&gt;1),X1468,"")</x:f>
      </x:c>
      <x:c r="V1468" s="10"/>
      <x:c r="W1468" s="10"/>
      <x:c r="X1468" s="10"/>
      <x:c r="Y1468" s="3"/>
      <x:c r="Z1468" s="3" t="str">
        <x:v>移出</x:v>
      </x:c>
      <x:c r="AA1468" s="3" t="str">
        <x:v>已移出</x:v>
      </x:c>
      <x:c r="AB1468" s="12" t="str">
        <x:f>IF(AND(Z1468="共同",ISNUMBER(G1468),ISNUMBER(AD1468)),G1468-AD1468,"")</x:f>
      </x:c>
      <x:c r="AC1468" s="3" t="str">
        <x:v>基准清单已移出</x:v>
      </x:c>
      <x:c r="AD1468" s="12"/>
      <x:c r="AE1468" s="3" t="str">
        <x:v>[13306,"B07-SK-40-New"]</x:v>
      </x:c>
      <x:c r="AF1468" t="n">
        <x:f>IF(ISNUMBER(H1468),1,0)</x:f>
        <x:v>0</x:v>
      </x:c>
      <x:c r="AG1468" t="n">
        <x:f>IF(ISNUMBER(I1468),1,0)</x:f>
        <x:v>1</x:v>
      </x:c>
      <x:c r="AH1468"/>
      <x:c r="AI1468" t="n">
        <x:f>IF(ISNUMBER(G1468),1,0)</x:f>
        <x:v>0</x:v>
      </x:c>
      <x:c r="AJ1468" t="n">
        <x:f>IF(ISNUMBER(AD1468),1,0)</x:f>
        <x:v>0</x:v>
      </x:c>
    </x:row>
    <x:row r="1469" ht="30" customHeight="1">
      <x:c r="A1469" s="3" t="str">
        <x:v>B07-SK-41.5</x:v>
      </x:c>
      <x:c r="B1469" s="3" t="str">
        <x:v>4店-彬郁-US</x:v>
      </x:c>
      <x:c r="C1469" s="3" t="str">
        <x:v>艾年</x:v>
      </x:c>
      <x:c r="D1469" s="3" t="str">
        <x:v>B07</x:v>
      </x:c>
      <x:c r="E1469" s="3" t="str">
        <x:f>IF(Z1469="移出","已移出",IF(NOT(ISNUMBER(H1469)),"数据待核",IF(H1469=0,"断货",IF(NOT(ISNUMBER(G1469)),"数据待核",IF(G1469=0,"零日销待复核",IF(F1469&lt;60,"补货提醒",IF(F1469&lt;=90,"正常库存",IF(F1469&lt;180,"促销",IF(F1469&lt;=365,"红线促销","考虑清仓")))))))))</x:f>
        <x:v>已移出</x:v>
      </x:c>
      <x:c r="F1469" s="11" t="str">
        <x:f>IF(AND(ISNUMBER(H1469),ISNUMBER(G1469),G1469&gt;0),H1469/G1469,"")</x:f>
      </x:c>
      <x:c r="G1469" s="12" t="str">
        <x:f>IF(AND(COUNT(P1469:R1469)=3,MIN(P1469:R1469)&gt;=0,P1469&lt;=Q1469,Q1469&lt;=R1469),P1469/7*0.5+Q1469/14*0.3+R1469/30*0.2,"")</x:f>
      </x:c>
      <x:c r="H1469" s="10" t="str">
        <x:f>IF(ISNUMBER(U1469),U1469,"")</x:f>
      </x:c>
      <x:c r="I1469" s="10" t="n">
        <x:v>0</x:v>
      </x:c>
      <x:c r="J1469" s="11" t="str">
        <x:f>IF(AND(Z1469="共同",ISNUMBER(F1469),ISNUMBER(M1469)),F1469-M1469,"")</x:f>
      </x:c>
      <x:c r="K1469" s="13" t="str">
        <x:f>IF(AND(ISNUMBER(J1469),M1469&lt;&gt;0),J1469/M1469,"")</x:f>
      </x:c>
      <x:c r="L1469" s="10" t="str">
        <x:v>断货</x:v>
      </x:c>
      <x:c r="M1469" s="11"/>
      <x:c r="N1469" s="10" t="str">
        <x:f>IF(AND(Z1469="共同",COUNT(H1469:I1469)=2),H1469-I1469,"")</x:f>
      </x:c>
      <x:c r="O1469" s="10"/>
      <x:c r="P1469" s="10"/>
      <x:c r="Q1469" s="10"/>
      <x:c r="R1469" s="10"/>
      <x:c r="S1469" s="10"/>
      <x:c r="T1469" s="10"/>
      <x:c r="U1469" s="10" t="str">
        <x:f>IF(AND(ISNUMBER(X1469),X1469&gt;=0,Y1469&lt;&gt;1),X1469,"")</x:f>
      </x:c>
      <x:c r="V1469" s="10"/>
      <x:c r="W1469" s="10"/>
      <x:c r="X1469" s="10"/>
      <x:c r="Y1469" s="3"/>
      <x:c r="Z1469" s="3" t="str">
        <x:v>移出</x:v>
      </x:c>
      <x:c r="AA1469" s="3" t="str">
        <x:v>已移出</x:v>
      </x:c>
      <x:c r="AB1469" s="12" t="str">
        <x:f>IF(AND(Z1469="共同",ISNUMBER(G1469),ISNUMBER(AD1469)),G1469-AD1469,"")</x:f>
      </x:c>
      <x:c r="AC1469" s="3" t="str">
        <x:v>基准清单已移出</x:v>
      </x:c>
      <x:c r="AD1469" s="12"/>
      <x:c r="AE1469" s="3" t="str">
        <x:v>[13306,"B07-SK-41.5"]</x:v>
      </x:c>
      <x:c r="AF1469" t="n">
        <x:f>IF(ISNUMBER(H1469),1,0)</x:f>
        <x:v>0</x:v>
      </x:c>
      <x:c r="AG1469" t="n">
        <x:f>IF(ISNUMBER(I1469),1,0)</x:f>
        <x:v>1</x:v>
      </x:c>
      <x:c r="AH1469"/>
      <x:c r="AI1469" t="n">
        <x:f>IF(ISNUMBER(G1469),1,0)</x:f>
        <x:v>0</x:v>
      </x:c>
      <x:c r="AJ1469" t="n">
        <x:f>IF(ISNUMBER(AD1469),1,0)</x:f>
        <x:v>0</x:v>
      </x:c>
    </x:row>
    <x:row r="1470" ht="30" customHeight="1">
      <x:c r="A1470" s="3" t="str">
        <x:v>B07-SK-42-New</x:v>
      </x:c>
      <x:c r="B1470" s="3" t="str">
        <x:v>4店-彬郁-US</x:v>
      </x:c>
      <x:c r="C1470" s="3" t="str">
        <x:v>艾年</x:v>
      </x:c>
      <x:c r="D1470" s="3" t="str">
        <x:v>B07</x:v>
      </x:c>
      <x:c r="E1470" s="3" t="str">
        <x:f>IF(Z1470="移出","已移出",IF(NOT(ISNUMBER(H1470)),"数据待核",IF(H1470=0,"断货",IF(NOT(ISNUMBER(G1470)),"数据待核",IF(G1470=0,"零日销待复核",IF(F1470&lt;60,"补货提醒",IF(F1470&lt;=90,"正常库存",IF(F1470&lt;180,"促销",IF(F1470&lt;=365,"红线促销","考虑清仓")))))))))</x:f>
        <x:v>已移出</x:v>
      </x:c>
      <x:c r="F1470" s="11" t="str">
        <x:f>IF(AND(ISNUMBER(H1470),ISNUMBER(G1470),G1470&gt;0),H1470/G1470,"")</x:f>
      </x:c>
      <x:c r="G1470" s="12" t="str">
        <x:f>IF(AND(COUNT(P1470:R1470)=3,MIN(P1470:R1470)&gt;=0,P1470&lt;=Q1470,Q1470&lt;=R1470),P1470/7*0.5+Q1470/14*0.3+R1470/30*0.2,"")</x:f>
      </x:c>
      <x:c r="H1470" s="10" t="str">
        <x:f>IF(ISNUMBER(U1470),U1470,"")</x:f>
      </x:c>
      <x:c r="I1470" s="10" t="n">
        <x:v>0</x:v>
      </x:c>
      <x:c r="J1470" s="11" t="str">
        <x:f>IF(AND(Z1470="共同",ISNUMBER(F1470),ISNUMBER(M1470)),F1470-M1470,"")</x:f>
      </x:c>
      <x:c r="K1470" s="13" t="str">
        <x:f>IF(AND(ISNUMBER(J1470),M1470&lt;&gt;0),J1470/M1470,"")</x:f>
      </x:c>
      <x:c r="L1470" s="10" t="str">
        <x:v>断货</x:v>
      </x:c>
      <x:c r="M1470" s="11"/>
      <x:c r="N1470" s="10" t="str">
        <x:f>IF(AND(Z1470="共同",COUNT(H1470:I1470)=2),H1470-I1470,"")</x:f>
      </x:c>
      <x:c r="O1470" s="10"/>
      <x:c r="P1470" s="10"/>
      <x:c r="Q1470" s="10"/>
      <x:c r="R1470" s="10"/>
      <x:c r="S1470" s="10"/>
      <x:c r="T1470" s="10"/>
      <x:c r="U1470" s="10" t="str">
        <x:f>IF(AND(ISNUMBER(X1470),X1470&gt;=0,Y1470&lt;&gt;1),X1470,"")</x:f>
      </x:c>
      <x:c r="V1470" s="10"/>
      <x:c r="W1470" s="10"/>
      <x:c r="X1470" s="10"/>
      <x:c r="Y1470" s="3"/>
      <x:c r="Z1470" s="3" t="str">
        <x:v>移出</x:v>
      </x:c>
      <x:c r="AA1470" s="3" t="str">
        <x:v>已移出</x:v>
      </x:c>
      <x:c r="AB1470" s="12" t="str">
        <x:f>IF(AND(Z1470="共同",ISNUMBER(G1470),ISNUMBER(AD1470)),G1470-AD1470,"")</x:f>
      </x:c>
      <x:c r="AC1470" s="3" t="str">
        <x:v>基准清单已移出</x:v>
      </x:c>
      <x:c r="AD1470" s="12"/>
      <x:c r="AE1470" s="3" t="str">
        <x:v>[13306,"B07-SK-42-New"]</x:v>
      </x:c>
      <x:c r="AF1470" t="n">
        <x:f>IF(ISNUMBER(H1470),1,0)</x:f>
        <x:v>0</x:v>
      </x:c>
      <x:c r="AG1470" t="n">
        <x:f>IF(ISNUMBER(I1470),1,0)</x:f>
        <x:v>1</x:v>
      </x:c>
      <x:c r="AH1470"/>
      <x:c r="AI1470" t="n">
        <x:f>IF(ISNUMBER(G1470),1,0)</x:f>
        <x:v>0</x:v>
      </x:c>
      <x:c r="AJ1470" t="n">
        <x:f>IF(ISNUMBER(AD1470),1,0)</x:f>
        <x:v>0</x:v>
      </x:c>
    </x:row>
    <x:row r="1471" ht="30" customHeight="1">
      <x:c r="A1471" s="3" t="str">
        <x:v>B07-TN1-42-by</x:v>
      </x:c>
      <x:c r="B1471" s="3" t="str">
        <x:v>4店-彬郁-US</x:v>
      </x:c>
      <x:c r="C1471" s="3" t="str">
        <x:v>艾年</x:v>
      </x:c>
      <x:c r="D1471" s="3" t="str">
        <x:v>B07</x:v>
      </x:c>
      <x:c r="E1471" s="3" t="str">
        <x:f>IF(Z1471="移出","已移出",IF(NOT(ISNUMBER(H1471)),"数据待核",IF(H1471=0,"断货",IF(NOT(ISNUMBER(G1471)),"数据待核",IF(G1471=0,"零日销待复核",IF(F1471&lt;60,"补货提醒",IF(F1471&lt;=90,"正常库存",IF(F1471&lt;180,"促销",IF(F1471&lt;=365,"红线促销","考虑清仓")))))))))</x:f>
        <x:v>已移出</x:v>
      </x:c>
      <x:c r="F1471" s="11" t="str">
        <x:f>IF(AND(ISNUMBER(H1471),ISNUMBER(G1471),G1471&gt;0),H1471/G1471,"")</x:f>
      </x:c>
      <x:c r="G1471" s="12" t="str">
        <x:f>IF(AND(COUNT(P1471:R1471)=3,MIN(P1471:R1471)&gt;=0,P1471&lt;=Q1471,Q1471&lt;=R1471),P1471/7*0.5+Q1471/14*0.3+R1471/30*0.2,"")</x:f>
      </x:c>
      <x:c r="H1471" s="10" t="str">
        <x:f>IF(ISNUMBER(U1471),U1471,"")</x:f>
      </x:c>
      <x:c r="I1471" s="10" t="n">
        <x:v>0</x:v>
      </x:c>
      <x:c r="J1471" s="11" t="str">
        <x:f>IF(AND(Z1471="共同",ISNUMBER(F1471),ISNUMBER(M1471)),F1471-M1471,"")</x:f>
      </x:c>
      <x:c r="K1471" s="13" t="str">
        <x:f>IF(AND(ISNUMBER(J1471),M1471&lt;&gt;0),J1471/M1471,"")</x:f>
      </x:c>
      <x:c r="L1471" s="10" t="str">
        <x:v>断货</x:v>
      </x:c>
      <x:c r="M1471" s="11"/>
      <x:c r="N1471" s="10" t="str">
        <x:f>IF(AND(Z1471="共同",COUNT(H1471:I1471)=2),H1471-I1471,"")</x:f>
      </x:c>
      <x:c r="O1471" s="10"/>
      <x:c r="P1471" s="10"/>
      <x:c r="Q1471" s="10"/>
      <x:c r="R1471" s="10"/>
      <x:c r="S1471" s="10"/>
      <x:c r="T1471" s="10"/>
      <x:c r="U1471" s="10" t="str">
        <x:f>IF(AND(ISNUMBER(X1471),X1471&gt;=0,Y1471&lt;&gt;1),X1471,"")</x:f>
      </x:c>
      <x:c r="V1471" s="10"/>
      <x:c r="W1471" s="10"/>
      <x:c r="X1471" s="10"/>
      <x:c r="Y1471" s="3"/>
      <x:c r="Z1471" s="3" t="str">
        <x:v>移出</x:v>
      </x:c>
      <x:c r="AA1471" s="3" t="str">
        <x:v>已移出</x:v>
      </x:c>
      <x:c r="AB1471" s="12" t="str">
        <x:f>IF(AND(Z1471="共同",ISNUMBER(G1471),ISNUMBER(AD1471)),G1471-AD1471,"")</x:f>
      </x:c>
      <x:c r="AC1471" s="3" t="str">
        <x:v>基准清单已移出</x:v>
      </x:c>
      <x:c r="AD1471" s="12"/>
      <x:c r="AE1471" s="3" t="str">
        <x:v>[13306,"B07-TN1-42-by"]</x:v>
      </x:c>
      <x:c r="AF1471" t="n">
        <x:f>IF(ISNUMBER(H1471),1,0)</x:f>
        <x:v>0</x:v>
      </x:c>
      <x:c r="AG1471" t="n">
        <x:f>IF(ISNUMBER(I1471),1,0)</x:f>
        <x:v>1</x:v>
      </x:c>
      <x:c r="AH1471"/>
      <x:c r="AI1471" t="n">
        <x:f>IF(ISNUMBER(G1471),1,0)</x:f>
        <x:v>0</x:v>
      </x:c>
      <x:c r="AJ1471" t="n">
        <x:f>IF(ISNUMBER(AD1471),1,0)</x:f>
        <x:v>0</x:v>
      </x:c>
    </x:row>
    <x:row r="1472" ht="30" customHeight="1">
      <x:c r="A1472" s="3" t="str">
        <x:v>B07-TN-40-by</x:v>
      </x:c>
      <x:c r="B1472" s="3" t="str">
        <x:v>4店-彬郁-US</x:v>
      </x:c>
      <x:c r="C1472" s="3" t="str">
        <x:v>艾年</x:v>
      </x:c>
      <x:c r="D1472" s="3" t="str">
        <x:v>B07</x:v>
      </x:c>
      <x:c r="E1472" s="3" t="str">
        <x:f>IF(Z1472="移出","已移出",IF(NOT(ISNUMBER(H1472)),"数据待核",IF(H1472=0,"断货",IF(NOT(ISNUMBER(G1472)),"数据待核",IF(G1472=0,"零日销待复核",IF(F1472&lt;60,"补货提醒",IF(F1472&lt;=90,"正常库存",IF(F1472&lt;180,"促销",IF(F1472&lt;=365,"红线促销","考虑清仓")))))))))</x:f>
        <x:v>已移出</x:v>
      </x:c>
      <x:c r="F1472" s="11" t="str">
        <x:f>IF(AND(ISNUMBER(H1472),ISNUMBER(G1472),G1472&gt;0),H1472/G1472,"")</x:f>
      </x:c>
      <x:c r="G1472" s="12" t="str">
        <x:f>IF(AND(COUNT(P1472:R1472)=3,MIN(P1472:R1472)&gt;=0,P1472&lt;=Q1472,Q1472&lt;=R1472),P1472/7*0.5+Q1472/14*0.3+R1472/30*0.2,"")</x:f>
      </x:c>
      <x:c r="H1472" s="10" t="str">
        <x:f>IF(ISNUMBER(U1472),U1472,"")</x:f>
      </x:c>
      <x:c r="I1472" s="10" t="n">
        <x:v>0</x:v>
      </x:c>
      <x:c r="J1472" s="11" t="str">
        <x:f>IF(AND(Z1472="共同",ISNUMBER(F1472),ISNUMBER(M1472)),F1472-M1472,"")</x:f>
      </x:c>
      <x:c r="K1472" s="13" t="str">
        <x:f>IF(AND(ISNUMBER(J1472),M1472&lt;&gt;0),J1472/M1472,"")</x:f>
      </x:c>
      <x:c r="L1472" s="10" t="str">
        <x:v>断货</x:v>
      </x:c>
      <x:c r="M1472" s="11"/>
      <x:c r="N1472" s="10" t="str">
        <x:f>IF(AND(Z1472="共同",COUNT(H1472:I1472)=2),H1472-I1472,"")</x:f>
      </x:c>
      <x:c r="O1472" s="10"/>
      <x:c r="P1472" s="10"/>
      <x:c r="Q1472" s="10"/>
      <x:c r="R1472" s="10"/>
      <x:c r="S1472" s="10"/>
      <x:c r="T1472" s="10"/>
      <x:c r="U1472" s="10" t="str">
        <x:f>IF(AND(ISNUMBER(X1472),X1472&gt;=0,Y1472&lt;&gt;1),X1472,"")</x:f>
      </x:c>
      <x:c r="V1472" s="10"/>
      <x:c r="W1472" s="10"/>
      <x:c r="X1472" s="10"/>
      <x:c r="Y1472" s="3"/>
      <x:c r="Z1472" s="3" t="str">
        <x:v>移出</x:v>
      </x:c>
      <x:c r="AA1472" s="3" t="str">
        <x:v>已移出</x:v>
      </x:c>
      <x:c r="AB1472" s="12" t="str">
        <x:f>IF(AND(Z1472="共同",ISNUMBER(G1472),ISNUMBER(AD1472)),G1472-AD1472,"")</x:f>
      </x:c>
      <x:c r="AC1472" s="3" t="str">
        <x:v>基准清单已移出</x:v>
      </x:c>
      <x:c r="AD1472" s="12"/>
      <x:c r="AE1472" s="3" t="str">
        <x:v>[13306,"B07-TN-40-by"]</x:v>
      </x:c>
      <x:c r="AF1472" t="n">
        <x:f>IF(ISNUMBER(H1472),1,0)</x:f>
        <x:v>0</x:v>
      </x:c>
      <x:c r="AG1472" t="n">
        <x:f>IF(ISNUMBER(I1472),1,0)</x:f>
        <x:v>1</x:v>
      </x:c>
      <x:c r="AH1472"/>
      <x:c r="AI1472" t="n">
        <x:f>IF(ISNUMBER(G1472),1,0)</x:f>
        <x:v>0</x:v>
      </x:c>
      <x:c r="AJ1472" t="n">
        <x:f>IF(ISNUMBER(AD1472),1,0)</x:f>
        <x:v>0</x:v>
      </x:c>
    </x:row>
    <x:row r="1473" ht="30" customHeight="1">
      <x:c r="A1473" s="3" t="str">
        <x:v>B07-TN-41.5</x:v>
      </x:c>
      <x:c r="B1473" s="3" t="str">
        <x:v>4店-彬郁-US</x:v>
      </x:c>
      <x:c r="C1473" s="3" t="str">
        <x:v>艾年</x:v>
      </x:c>
      <x:c r="D1473" s="3" t="str">
        <x:v>B07</x:v>
      </x:c>
      <x:c r="E1473" s="3" t="str">
        <x:f>IF(Z1473="移出","已移出",IF(NOT(ISNUMBER(H1473)),"数据待核",IF(H1473=0,"断货",IF(NOT(ISNUMBER(G1473)),"数据待核",IF(G1473=0,"零日销待复核",IF(F1473&lt;60,"补货提醒",IF(F1473&lt;=90,"正常库存",IF(F1473&lt;180,"促销",IF(F1473&lt;=365,"红线促销","考虑清仓")))))))))</x:f>
        <x:v>已移出</x:v>
      </x:c>
      <x:c r="F1473" s="11" t="str">
        <x:f>IF(AND(ISNUMBER(H1473),ISNUMBER(G1473),G1473&gt;0),H1473/G1473,"")</x:f>
      </x:c>
      <x:c r="G1473" s="12" t="str">
        <x:f>IF(AND(COUNT(P1473:R1473)=3,MIN(P1473:R1473)&gt;=0,P1473&lt;=Q1473,Q1473&lt;=R1473),P1473/7*0.5+Q1473/14*0.3+R1473/30*0.2,"")</x:f>
      </x:c>
      <x:c r="H1473" s="10" t="str">
        <x:f>IF(ISNUMBER(U1473),U1473,"")</x:f>
      </x:c>
      <x:c r="I1473" s="10" t="n">
        <x:v>0</x:v>
      </x:c>
      <x:c r="J1473" s="11" t="str">
        <x:f>IF(AND(Z1473="共同",ISNUMBER(F1473),ISNUMBER(M1473)),F1473-M1473,"")</x:f>
      </x:c>
      <x:c r="K1473" s="13" t="str">
        <x:f>IF(AND(ISNUMBER(J1473),M1473&lt;&gt;0),J1473/M1473,"")</x:f>
      </x:c>
      <x:c r="L1473" s="10" t="str">
        <x:v>断货</x:v>
      </x:c>
      <x:c r="M1473" s="11"/>
      <x:c r="N1473" s="10" t="str">
        <x:f>IF(AND(Z1473="共同",COUNT(H1473:I1473)=2),H1473-I1473,"")</x:f>
      </x:c>
      <x:c r="O1473" s="10"/>
      <x:c r="P1473" s="10"/>
      <x:c r="Q1473" s="10"/>
      <x:c r="R1473" s="10"/>
      <x:c r="S1473" s="10"/>
      <x:c r="T1473" s="10"/>
      <x:c r="U1473" s="10" t="str">
        <x:f>IF(AND(ISNUMBER(X1473),X1473&gt;=0,Y1473&lt;&gt;1),X1473,"")</x:f>
      </x:c>
      <x:c r="V1473" s="10"/>
      <x:c r="W1473" s="10"/>
      <x:c r="X1473" s="10"/>
      <x:c r="Y1473" s="3"/>
      <x:c r="Z1473" s="3" t="str">
        <x:v>移出</x:v>
      </x:c>
      <x:c r="AA1473" s="3" t="str">
        <x:v>已移出</x:v>
      </x:c>
      <x:c r="AB1473" s="12" t="str">
        <x:f>IF(AND(Z1473="共同",ISNUMBER(G1473),ISNUMBER(AD1473)),G1473-AD1473,"")</x:f>
      </x:c>
      <x:c r="AC1473" s="3" t="str">
        <x:v>基准清单已移出</x:v>
      </x:c>
      <x:c r="AD1473" s="12"/>
      <x:c r="AE1473" s="3" t="str">
        <x:v>[13306,"B07-TN-41.5"]</x:v>
      </x:c>
      <x:c r="AF1473" t="n">
        <x:f>IF(ISNUMBER(H1473),1,0)</x:f>
        <x:v>0</x:v>
      </x:c>
      <x:c r="AG1473" t="n">
        <x:f>IF(ISNUMBER(I1473),1,0)</x:f>
        <x:v>1</x:v>
      </x:c>
      <x:c r="AH1473"/>
      <x:c r="AI1473" t="n">
        <x:f>IF(ISNUMBER(G1473),1,0)</x:f>
        <x:v>0</x:v>
      </x:c>
      <x:c r="AJ1473" t="n">
        <x:f>IF(ISNUMBER(AD1473),1,0)</x:f>
        <x:v>0</x:v>
      </x:c>
    </x:row>
    <x:row r="1474" ht="30" customHeight="1">
      <x:c r="A1474" s="3" t="str">
        <x:v>B07-WT-38.5</x:v>
      </x:c>
      <x:c r="B1474" s="3" t="str">
        <x:v>4店-彬郁-US</x:v>
      </x:c>
      <x:c r="C1474" s="3" t="str">
        <x:v>艾年</x:v>
      </x:c>
      <x:c r="D1474" s="3" t="str">
        <x:v>B07</x:v>
      </x:c>
      <x:c r="E1474" s="3" t="str">
        <x:f>IF(Z1474="移出","已移出",IF(NOT(ISNUMBER(H1474)),"数据待核",IF(H1474=0,"断货",IF(NOT(ISNUMBER(G1474)),"数据待核",IF(G1474=0,"零日销待复核",IF(F1474&lt;60,"补货提醒",IF(F1474&lt;=90,"正常库存",IF(F1474&lt;180,"促销",IF(F1474&lt;=365,"红线促销","考虑清仓")))))))))</x:f>
        <x:v>已移出</x:v>
      </x:c>
      <x:c r="F1474" s="11" t="str">
        <x:f>IF(AND(ISNUMBER(H1474),ISNUMBER(G1474),G1474&gt;0),H1474/G1474,"")</x:f>
      </x:c>
      <x:c r="G1474" s="12" t="str">
        <x:f>IF(AND(COUNT(P1474:R1474)=3,MIN(P1474:R1474)&gt;=0,P1474&lt;=Q1474,Q1474&lt;=R1474),P1474/7*0.5+Q1474/14*0.3+R1474/30*0.2,"")</x:f>
      </x:c>
      <x:c r="H1474" s="10" t="str">
        <x:f>IF(ISNUMBER(U1474),U1474,"")</x:f>
      </x:c>
      <x:c r="I1474" s="10" t="n">
        <x:v>0</x:v>
      </x:c>
      <x:c r="J1474" s="11" t="str">
        <x:f>IF(AND(Z1474="共同",ISNUMBER(F1474),ISNUMBER(M1474)),F1474-M1474,"")</x:f>
      </x:c>
      <x:c r="K1474" s="13" t="str">
        <x:f>IF(AND(ISNUMBER(J1474),M1474&lt;&gt;0),J1474/M1474,"")</x:f>
      </x:c>
      <x:c r="L1474" s="10" t="str">
        <x:v>断货</x:v>
      </x:c>
      <x:c r="M1474" s="11"/>
      <x:c r="N1474" s="10" t="str">
        <x:f>IF(AND(Z1474="共同",COUNT(H1474:I1474)=2),H1474-I1474,"")</x:f>
      </x:c>
      <x:c r="O1474" s="10"/>
      <x:c r="P1474" s="10"/>
      <x:c r="Q1474" s="10"/>
      <x:c r="R1474" s="10"/>
      <x:c r="S1474" s="10"/>
      <x:c r="T1474" s="10"/>
      <x:c r="U1474" s="10" t="str">
        <x:f>IF(AND(ISNUMBER(X1474),X1474&gt;=0,Y1474&lt;&gt;1),X1474,"")</x:f>
      </x:c>
      <x:c r="V1474" s="10"/>
      <x:c r="W1474" s="10"/>
      <x:c r="X1474" s="10"/>
      <x:c r="Y1474" s="3"/>
      <x:c r="Z1474" s="3" t="str">
        <x:v>移出</x:v>
      </x:c>
      <x:c r="AA1474" s="3" t="str">
        <x:v>已移出</x:v>
      </x:c>
      <x:c r="AB1474" s="12" t="str">
        <x:f>IF(AND(Z1474="共同",ISNUMBER(G1474),ISNUMBER(AD1474)),G1474-AD1474,"")</x:f>
      </x:c>
      <x:c r="AC1474" s="3" t="str">
        <x:v>基准清单已移出</x:v>
      </x:c>
      <x:c r="AD1474" s="12"/>
      <x:c r="AE1474" s="3" t="str">
        <x:v>[13306,"B07-WT-38.5"]</x:v>
      </x:c>
      <x:c r="AF1474" t="n">
        <x:f>IF(ISNUMBER(H1474),1,0)</x:f>
        <x:v>0</x:v>
      </x:c>
      <x:c r="AG1474" t="n">
        <x:f>IF(ISNUMBER(I1474),1,0)</x:f>
        <x:v>1</x:v>
      </x:c>
      <x:c r="AH1474"/>
      <x:c r="AI1474" t="n">
        <x:f>IF(ISNUMBER(G1474),1,0)</x:f>
        <x:v>0</x:v>
      </x:c>
      <x:c r="AJ1474" t="n">
        <x:f>IF(ISNUMBER(AD1474),1,0)</x:f>
        <x:v>0</x:v>
      </x:c>
    </x:row>
    <x:row r="1475" ht="30" customHeight="1">
      <x:c r="A1475" s="3" t="str">
        <x:v>B07-WT-39.5</x:v>
      </x:c>
      <x:c r="B1475" s="3" t="str">
        <x:v>4店-彬郁-US</x:v>
      </x:c>
      <x:c r="C1475" s="3" t="str">
        <x:v>艾年</x:v>
      </x:c>
      <x:c r="D1475" s="3" t="str">
        <x:v>B07</x:v>
      </x:c>
      <x:c r="E1475" s="3" t="str">
        <x:f>IF(Z1475="移出","已移出",IF(NOT(ISNUMBER(H1475)),"数据待核",IF(H1475=0,"断货",IF(NOT(ISNUMBER(G1475)),"数据待核",IF(G1475=0,"零日销待复核",IF(F1475&lt;60,"补货提醒",IF(F1475&lt;=90,"正常库存",IF(F1475&lt;180,"促销",IF(F1475&lt;=365,"红线促销","考虑清仓")))))))))</x:f>
        <x:v>已移出</x:v>
      </x:c>
      <x:c r="F1475" s="11" t="str">
        <x:f>IF(AND(ISNUMBER(H1475),ISNUMBER(G1475),G1475&gt;0),H1475/G1475,"")</x:f>
      </x:c>
      <x:c r="G1475" s="12" t="str">
        <x:f>IF(AND(COUNT(P1475:R1475)=3,MIN(P1475:R1475)&gt;=0,P1475&lt;=Q1475,Q1475&lt;=R1475),P1475/7*0.5+Q1475/14*0.3+R1475/30*0.2,"")</x:f>
      </x:c>
      <x:c r="H1475" s="10" t="str">
        <x:f>IF(ISNUMBER(U1475),U1475,"")</x:f>
      </x:c>
      <x:c r="I1475" s="10" t="n">
        <x:v>0</x:v>
      </x:c>
      <x:c r="J1475" s="11" t="str">
        <x:f>IF(AND(Z1475="共同",ISNUMBER(F1475),ISNUMBER(M1475)),F1475-M1475,"")</x:f>
      </x:c>
      <x:c r="K1475" s="13" t="str">
        <x:f>IF(AND(ISNUMBER(J1475),M1475&lt;&gt;0),J1475/M1475,"")</x:f>
      </x:c>
      <x:c r="L1475" s="10" t="str">
        <x:v>断货</x:v>
      </x:c>
      <x:c r="M1475" s="11"/>
      <x:c r="N1475" s="10" t="str">
        <x:f>IF(AND(Z1475="共同",COUNT(H1475:I1475)=2),H1475-I1475,"")</x:f>
      </x:c>
      <x:c r="O1475" s="10"/>
      <x:c r="P1475" s="10"/>
      <x:c r="Q1475" s="10"/>
      <x:c r="R1475" s="10"/>
      <x:c r="S1475" s="10"/>
      <x:c r="T1475" s="10"/>
      <x:c r="U1475" s="10" t="str">
        <x:f>IF(AND(ISNUMBER(X1475),X1475&gt;=0,Y1475&lt;&gt;1),X1475,"")</x:f>
      </x:c>
      <x:c r="V1475" s="10"/>
      <x:c r="W1475" s="10"/>
      <x:c r="X1475" s="10"/>
      <x:c r="Y1475" s="3"/>
      <x:c r="Z1475" s="3" t="str">
        <x:v>移出</x:v>
      </x:c>
      <x:c r="AA1475" s="3" t="str">
        <x:v>已移出</x:v>
      </x:c>
      <x:c r="AB1475" s="12" t="str">
        <x:f>IF(AND(Z1475="共同",ISNUMBER(G1475),ISNUMBER(AD1475)),G1475-AD1475,"")</x:f>
      </x:c>
      <x:c r="AC1475" s="3" t="str">
        <x:v>基准清单已移出</x:v>
      </x:c>
      <x:c r="AD1475" s="12"/>
      <x:c r="AE1475" s="3" t="str">
        <x:v>[13306,"B07-WT-39.5"]</x:v>
      </x:c>
      <x:c r="AF1475" t="n">
        <x:f>IF(ISNUMBER(H1475),1,0)</x:f>
        <x:v>0</x:v>
      </x:c>
      <x:c r="AG1475" t="n">
        <x:f>IF(ISNUMBER(I1475),1,0)</x:f>
        <x:v>1</x:v>
      </x:c>
      <x:c r="AH1475"/>
      <x:c r="AI1475" t="n">
        <x:f>IF(ISNUMBER(G1475),1,0)</x:f>
        <x:v>0</x:v>
      </x:c>
      <x:c r="AJ1475" t="n">
        <x:f>IF(ISNUMBER(AD1475),1,0)</x:f>
        <x:v>0</x:v>
      </x:c>
    </x:row>
    <x:row r="1476" ht="30" customHeight="1">
      <x:c r="A1476" s="3" t="str">
        <x:v>B07-WT-39-by</x:v>
      </x:c>
      <x:c r="B1476" s="3" t="str">
        <x:v>4店-彬郁-US</x:v>
      </x:c>
      <x:c r="C1476" s="3" t="str">
        <x:v>艾年</x:v>
      </x:c>
      <x:c r="D1476" s="3" t="str">
        <x:v>B07</x:v>
      </x:c>
      <x:c r="E1476" s="3" t="str">
        <x:f>IF(Z1476="移出","已移出",IF(NOT(ISNUMBER(H1476)),"数据待核",IF(H1476=0,"断货",IF(NOT(ISNUMBER(G1476)),"数据待核",IF(G1476=0,"零日销待复核",IF(F1476&lt;60,"补货提醒",IF(F1476&lt;=90,"正常库存",IF(F1476&lt;180,"促销",IF(F1476&lt;=365,"红线促销","考虑清仓")))))))))</x:f>
        <x:v>已移出</x:v>
      </x:c>
      <x:c r="F1476" s="11" t="str">
        <x:f>IF(AND(ISNUMBER(H1476),ISNUMBER(G1476),G1476&gt;0),H1476/G1476,"")</x:f>
      </x:c>
      <x:c r="G1476" s="12" t="str">
        <x:f>IF(AND(COUNT(P1476:R1476)=3,MIN(P1476:R1476)&gt;=0,P1476&lt;=Q1476,Q1476&lt;=R1476),P1476/7*0.5+Q1476/14*0.3+R1476/30*0.2,"")</x:f>
      </x:c>
      <x:c r="H1476" s="10" t="str">
        <x:f>IF(ISNUMBER(U1476),U1476,"")</x:f>
      </x:c>
      <x:c r="I1476" s="10" t="n">
        <x:v>0</x:v>
      </x:c>
      <x:c r="J1476" s="11" t="str">
        <x:f>IF(AND(Z1476="共同",ISNUMBER(F1476),ISNUMBER(M1476)),F1476-M1476,"")</x:f>
      </x:c>
      <x:c r="K1476" s="13" t="str">
        <x:f>IF(AND(ISNUMBER(J1476),M1476&lt;&gt;0),J1476/M1476,"")</x:f>
      </x:c>
      <x:c r="L1476" s="10" t="str">
        <x:v>断货</x:v>
      </x:c>
      <x:c r="M1476" s="11"/>
      <x:c r="N1476" s="10" t="str">
        <x:f>IF(AND(Z1476="共同",COUNT(H1476:I1476)=2),H1476-I1476,"")</x:f>
      </x:c>
      <x:c r="O1476" s="10"/>
      <x:c r="P1476" s="10"/>
      <x:c r="Q1476" s="10"/>
      <x:c r="R1476" s="10"/>
      <x:c r="S1476" s="10"/>
      <x:c r="T1476" s="10"/>
      <x:c r="U1476" s="10" t="str">
        <x:f>IF(AND(ISNUMBER(X1476),X1476&gt;=0,Y1476&lt;&gt;1),X1476,"")</x:f>
      </x:c>
      <x:c r="V1476" s="10"/>
      <x:c r="W1476" s="10"/>
      <x:c r="X1476" s="10"/>
      <x:c r="Y1476" s="3"/>
      <x:c r="Z1476" s="3" t="str">
        <x:v>移出</x:v>
      </x:c>
      <x:c r="AA1476" s="3" t="str">
        <x:v>已移出</x:v>
      </x:c>
      <x:c r="AB1476" s="12" t="str">
        <x:f>IF(AND(Z1476="共同",ISNUMBER(G1476),ISNUMBER(AD1476)),G1476-AD1476,"")</x:f>
      </x:c>
      <x:c r="AC1476" s="3" t="str">
        <x:v>基准清单已移出</x:v>
      </x:c>
      <x:c r="AD1476" s="12"/>
      <x:c r="AE1476" s="3" t="str">
        <x:v>[13306,"B07-WT-39-by"]</x:v>
      </x:c>
      <x:c r="AF1476" t="n">
        <x:f>IF(ISNUMBER(H1476),1,0)</x:f>
        <x:v>0</x:v>
      </x:c>
      <x:c r="AG1476" t="n">
        <x:f>IF(ISNUMBER(I1476),1,0)</x:f>
        <x:v>1</x:v>
      </x:c>
      <x:c r="AH1476"/>
      <x:c r="AI1476" t="n">
        <x:f>IF(ISNUMBER(G1476),1,0)</x:f>
        <x:v>0</x:v>
      </x:c>
      <x:c r="AJ1476" t="n">
        <x:f>IF(ISNUMBER(AD1476),1,0)</x:f>
        <x:v>0</x:v>
      </x:c>
    </x:row>
    <x:row r="1477" ht="30" customHeight="1">
      <x:c r="A1477" s="3" t="str">
        <x:v>B07-WT-40-New</x:v>
      </x:c>
      <x:c r="B1477" s="3" t="str">
        <x:v>4店-彬郁-US</x:v>
      </x:c>
      <x:c r="C1477" s="3" t="str">
        <x:v>艾年</x:v>
      </x:c>
      <x:c r="D1477" s="3" t="str">
        <x:v>B07</x:v>
      </x:c>
      <x:c r="E1477" s="3" t="str">
        <x:f>IF(Z1477="移出","已移出",IF(NOT(ISNUMBER(H1477)),"数据待核",IF(H1477=0,"断货",IF(NOT(ISNUMBER(G1477)),"数据待核",IF(G1477=0,"零日销待复核",IF(F1477&lt;60,"补货提醒",IF(F1477&lt;=90,"正常库存",IF(F1477&lt;180,"促销",IF(F1477&lt;=365,"红线促销","考虑清仓")))))))))</x:f>
        <x:v>已移出</x:v>
      </x:c>
      <x:c r="F1477" s="11" t="str">
        <x:f>IF(AND(ISNUMBER(H1477),ISNUMBER(G1477),G1477&gt;0),H1477/G1477,"")</x:f>
      </x:c>
      <x:c r="G1477" s="12" t="str">
        <x:f>IF(AND(COUNT(P1477:R1477)=3,MIN(P1477:R1477)&gt;=0,P1477&lt;=Q1477,Q1477&lt;=R1477),P1477/7*0.5+Q1477/14*0.3+R1477/30*0.2,"")</x:f>
      </x:c>
      <x:c r="H1477" s="10" t="str">
        <x:f>IF(ISNUMBER(U1477),U1477,"")</x:f>
      </x:c>
      <x:c r="I1477" s="10" t="n">
        <x:v>0</x:v>
      </x:c>
      <x:c r="J1477" s="11" t="str">
        <x:f>IF(AND(Z1477="共同",ISNUMBER(F1477),ISNUMBER(M1477)),F1477-M1477,"")</x:f>
      </x:c>
      <x:c r="K1477" s="13" t="str">
        <x:f>IF(AND(ISNUMBER(J1477),M1477&lt;&gt;0),J1477/M1477,"")</x:f>
      </x:c>
      <x:c r="L1477" s="10" t="str">
        <x:v>断货</x:v>
      </x:c>
      <x:c r="M1477" s="11"/>
      <x:c r="N1477" s="10" t="str">
        <x:f>IF(AND(Z1477="共同",COUNT(H1477:I1477)=2),H1477-I1477,"")</x:f>
      </x:c>
      <x:c r="O1477" s="10"/>
      <x:c r="P1477" s="10"/>
      <x:c r="Q1477" s="10"/>
      <x:c r="R1477" s="10"/>
      <x:c r="S1477" s="10"/>
      <x:c r="T1477" s="10"/>
      <x:c r="U1477" s="10" t="str">
        <x:f>IF(AND(ISNUMBER(X1477),X1477&gt;=0,Y1477&lt;&gt;1),X1477,"")</x:f>
      </x:c>
      <x:c r="V1477" s="10"/>
      <x:c r="W1477" s="10"/>
      <x:c r="X1477" s="10"/>
      <x:c r="Y1477" s="3"/>
      <x:c r="Z1477" s="3" t="str">
        <x:v>移出</x:v>
      </x:c>
      <x:c r="AA1477" s="3" t="str">
        <x:v>已移出</x:v>
      </x:c>
      <x:c r="AB1477" s="12" t="str">
        <x:f>IF(AND(Z1477="共同",ISNUMBER(G1477),ISNUMBER(AD1477)),G1477-AD1477,"")</x:f>
      </x:c>
      <x:c r="AC1477" s="3" t="str">
        <x:v>基准清单已移出</x:v>
      </x:c>
      <x:c r="AD1477" s="12"/>
      <x:c r="AE1477" s="3" t="str">
        <x:v>[13306,"B07-WT-40-New"]</x:v>
      </x:c>
      <x:c r="AF1477" t="n">
        <x:f>IF(ISNUMBER(H1477),1,0)</x:f>
        <x:v>0</x:v>
      </x:c>
      <x:c r="AG1477" t="n">
        <x:f>IF(ISNUMBER(I1477),1,0)</x:f>
        <x:v>1</x:v>
      </x:c>
      <x:c r="AH1477"/>
      <x:c r="AI1477" t="n">
        <x:f>IF(ISNUMBER(G1477),1,0)</x:f>
        <x:v>0</x:v>
      </x:c>
      <x:c r="AJ1477" t="n">
        <x:f>IF(ISNUMBER(AD1477),1,0)</x:f>
        <x:v>0</x:v>
      </x:c>
    </x:row>
    <x:row r="1478" ht="30" customHeight="1">
      <x:c r="A1478" s="3" t="str">
        <x:v>B07-WT-40-ZQ</x:v>
      </x:c>
      <x:c r="B1478" s="3" t="str">
        <x:v>4店-彬郁-US</x:v>
      </x:c>
      <x:c r="C1478" s="3" t="str">
        <x:v>艾年</x:v>
      </x:c>
      <x:c r="D1478" s="3" t="str">
        <x:v>B07</x:v>
      </x:c>
      <x:c r="E1478" s="3" t="str">
        <x:f>IF(Z1478="移出","已移出",IF(NOT(ISNUMBER(H1478)),"数据待核",IF(H1478=0,"断货",IF(NOT(ISNUMBER(G1478)),"数据待核",IF(G1478=0,"零日销待复核",IF(F1478&lt;60,"补货提醒",IF(F1478&lt;=90,"正常库存",IF(F1478&lt;180,"促销",IF(F1478&lt;=365,"红线促销","考虑清仓")))))))))</x:f>
        <x:v>已移出</x:v>
      </x:c>
      <x:c r="F1478" s="11" t="str">
        <x:f>IF(AND(ISNUMBER(H1478),ISNUMBER(G1478),G1478&gt;0),H1478/G1478,"")</x:f>
      </x:c>
      <x:c r="G1478" s="12" t="str">
        <x:f>IF(AND(COUNT(P1478:R1478)=3,MIN(P1478:R1478)&gt;=0,P1478&lt;=Q1478,Q1478&lt;=R1478),P1478/7*0.5+Q1478/14*0.3+R1478/30*0.2,"")</x:f>
      </x:c>
      <x:c r="H1478" s="10" t="str">
        <x:f>IF(ISNUMBER(U1478),U1478,"")</x:f>
      </x:c>
      <x:c r="I1478" s="10"/>
      <x:c r="J1478" s="11" t="str">
        <x:f>IF(AND(Z1478="共同",ISNUMBER(F1478),ISNUMBER(M1478)),F1478-M1478,"")</x:f>
      </x:c>
      <x:c r="K1478" s="13" t="str">
        <x:f>IF(AND(ISNUMBER(J1478),M1478&lt;&gt;0),J1478/M1478,"")</x:f>
      </x:c>
      <x:c r="L1478" s="10" t="str">
        <x:v>数据待核</x:v>
      </x:c>
      <x:c r="M1478" s="11"/>
      <x:c r="N1478" s="10" t="str">
        <x:f>IF(AND(Z1478="共同",COUNT(H1478:I1478)=2),H1478-I1478,"")</x:f>
      </x:c>
      <x:c r="O1478" s="10"/>
      <x:c r="P1478" s="10"/>
      <x:c r="Q1478" s="10"/>
      <x:c r="R1478" s="10"/>
      <x:c r="S1478" s="10"/>
      <x:c r="T1478" s="10"/>
      <x:c r="U1478" s="10" t="str">
        <x:f>IF(AND(ISNUMBER(X1478),X1478&gt;=0,Y1478&lt;&gt;1),X1478,"")</x:f>
      </x:c>
      <x:c r="V1478" s="10"/>
      <x:c r="W1478" s="10"/>
      <x:c r="X1478" s="10"/>
      <x:c r="Y1478" s="3"/>
      <x:c r="Z1478" s="3" t="str">
        <x:v>移出</x:v>
      </x:c>
      <x:c r="AA1478" s="3" t="str">
        <x:v>已移出</x:v>
      </x:c>
      <x:c r="AB1478" s="12" t="str">
        <x:f>IF(AND(Z1478="共同",ISNUMBER(G1478),ISNUMBER(AD1478)),G1478-AD1478,"")</x:f>
      </x:c>
      <x:c r="AC1478" s="3" t="str">
        <x:v>基准清单已移出</x:v>
      </x:c>
      <x:c r="AD1478" s="12"/>
      <x:c r="AE1478" s="3" t="str">
        <x:v>[13306,"B07-WT-40-ZQ"]</x:v>
      </x:c>
      <x:c r="AF1478" t="n">
        <x:f>IF(ISNUMBER(H1478),1,0)</x:f>
        <x:v>0</x:v>
      </x:c>
      <x:c r="AG1478" t="n">
        <x:f>IF(ISNUMBER(I1478),1,0)</x:f>
        <x:v>0</x:v>
      </x:c>
      <x:c r="AH1478"/>
      <x:c r="AI1478" t="n">
        <x:f>IF(ISNUMBER(G1478),1,0)</x:f>
        <x:v>0</x:v>
      </x:c>
      <x:c r="AJ1478" t="n">
        <x:f>IF(ISNUMBER(AD1478),1,0)</x:f>
        <x:v>0</x:v>
      </x:c>
    </x:row>
    <x:row r="1479" ht="30" customHeight="1">
      <x:c r="A1479" s="3" t="str">
        <x:v>S02-BK-O-0-40</x:v>
      </x:c>
      <x:c r="B1479" s="3" t="str">
        <x:v>3店-SANDIEX-US</x:v>
      </x:c>
      <x:c r="C1479" s="3" t="str">
        <x:v>陈晨</x:v>
      </x:c>
      <x:c r="D1479" s="3" t="str">
        <x:v>S02</x:v>
      </x:c>
      <x:c r="E1479" s="3" t="str">
        <x:f>IF(Z1479="移出","已移出",IF(NOT(ISNUMBER(H1479)),"数据待核",IF(H1479=0,"断货",IF(NOT(ISNUMBER(G1479)),"数据待核",IF(G1479=0,"零日销待复核",IF(F1479&lt;60,"补货提醒",IF(F1479&lt;=90,"正常库存",IF(F1479&lt;180,"促销",IF(F1479&lt;=365,"红线促销","考虑清仓")))))))))</x:f>
        <x:v>已移出</x:v>
      </x:c>
      <x:c r="F1479" s="11" t="str">
        <x:f>IF(AND(ISNUMBER(H1479),ISNUMBER(G1479),G1479&gt;0),H1479/G1479,"")</x:f>
      </x:c>
      <x:c r="G1479" s="12" t="str">
        <x:f>IF(AND(COUNT(P1479:R1479)=3,MIN(P1479:R1479)&gt;=0,P1479&lt;=Q1479,Q1479&lt;=R1479),P1479/7*0.5+Q1479/14*0.3+R1479/30*0.2,"")</x:f>
      </x:c>
      <x:c r="H1479" s="10" t="str">
        <x:f>IF(ISNUMBER(U1479),U1479,"")</x:f>
      </x:c>
      <x:c r="I1479" s="10" t="n">
        <x:v>0</x:v>
      </x:c>
      <x:c r="J1479" s="11" t="str">
        <x:f>IF(AND(Z1479="共同",ISNUMBER(F1479),ISNUMBER(M1479)),F1479-M1479,"")</x:f>
      </x:c>
      <x:c r="K1479" s="13" t="str">
        <x:f>IF(AND(ISNUMBER(J1479),M1479&lt;&gt;0),J1479/M1479,"")</x:f>
      </x:c>
      <x:c r="L1479" s="10" t="str">
        <x:v>断货</x:v>
      </x:c>
      <x:c r="M1479" s="11"/>
      <x:c r="N1479" s="10" t="str">
        <x:f>IF(AND(Z1479="共同",COUNT(H1479:I1479)=2),H1479-I1479,"")</x:f>
      </x:c>
      <x:c r="O1479" s="10"/>
      <x:c r="P1479" s="10"/>
      <x:c r="Q1479" s="10"/>
      <x:c r="R1479" s="10"/>
      <x:c r="S1479" s="10"/>
      <x:c r="T1479" s="10"/>
      <x:c r="U1479" s="10" t="str">
        <x:f>IF(AND(ISNUMBER(X1479),X1479&gt;=0,Y1479&lt;&gt;1),X1479,"")</x:f>
      </x:c>
      <x:c r="V1479" s="10"/>
      <x:c r="W1479" s="10"/>
      <x:c r="X1479" s="10"/>
      <x:c r="Y1479" s="3"/>
      <x:c r="Z1479" s="3" t="str">
        <x:v>移出</x:v>
      </x:c>
      <x:c r="AA1479" s="3" t="str">
        <x:v>已移出</x:v>
      </x:c>
      <x:c r="AB1479" s="12" t="str">
        <x:f>IF(AND(Z1479="共同",ISNUMBER(G1479),ISNUMBER(AD1479)),G1479-AD1479,"")</x:f>
      </x:c>
      <x:c r="AC1479" s="3" t="str">
        <x:v>基准清单已移出</x:v>
      </x:c>
      <x:c r="AD1479" s="12"/>
      <x:c r="AE1479" s="3" t="str">
        <x:v>[6574,"S02-BK-O-0-40"]</x:v>
      </x:c>
      <x:c r="AF1479" t="n">
        <x:f>IF(ISNUMBER(H1479),1,0)</x:f>
        <x:v>0</x:v>
      </x:c>
      <x:c r="AG1479" t="n">
        <x:f>IF(ISNUMBER(I1479),1,0)</x:f>
        <x:v>1</x:v>
      </x:c>
      <x:c r="AH1479"/>
      <x:c r="AI1479" t="n">
        <x:f>IF(ISNUMBER(G1479),1,0)</x:f>
        <x:v>0</x:v>
      </x:c>
      <x:c r="AJ1479" t="n">
        <x:f>IF(ISNUMBER(AD1479),1,0)</x:f>
        <x:v>0</x:v>
      </x:c>
    </x:row>
    <x:row r="1480" ht="30" customHeight="1">
      <x:c r="A1480" s="3" t="str">
        <x:v>S02b-MT-37</x:v>
      </x:c>
      <x:c r="B1480" s="3" t="str">
        <x:v>3店-SANDIEX-US</x:v>
      </x:c>
      <x:c r="C1480" s="3" t="str">
        <x:v>陈晨</x:v>
      </x:c>
      <x:c r="D1480" s="3" t="str">
        <x:v>S02b</x:v>
      </x:c>
      <x:c r="E1480" s="3" t="str">
        <x:f>IF(Z1480="移出","已移出",IF(NOT(ISNUMBER(H1480)),"数据待核",IF(H1480=0,"断货",IF(NOT(ISNUMBER(G1480)),"数据待核",IF(G1480=0,"零日销待复核",IF(F1480&lt;60,"补货提醒",IF(F1480&lt;=90,"正常库存",IF(F1480&lt;180,"促销",IF(F1480&lt;=365,"红线促销","考虑清仓")))))))))</x:f>
        <x:v>已移出</x:v>
      </x:c>
      <x:c r="F1480" s="11" t="str">
        <x:f>IF(AND(ISNUMBER(H1480),ISNUMBER(G1480),G1480&gt;0),H1480/G1480,"")</x:f>
      </x:c>
      <x:c r="G1480" s="12" t="str">
        <x:f>IF(AND(COUNT(P1480:R1480)=3,MIN(P1480:R1480)&gt;=0,P1480&lt;=Q1480,Q1480&lt;=R1480),P1480/7*0.5+Q1480/14*0.3+R1480/30*0.2,"")</x:f>
      </x:c>
      <x:c r="H1480" s="10" t="str">
        <x:f>IF(ISNUMBER(U1480),U1480,"")</x:f>
      </x:c>
      <x:c r="I1480" s="10" t="n">
        <x:v>10</x:v>
      </x:c>
      <x:c r="J1480" s="11" t="str">
        <x:f>IF(AND(Z1480="共同",ISNUMBER(F1480),ISNUMBER(M1480)),F1480-M1480,"")</x:f>
      </x:c>
      <x:c r="K1480" s="13" t="str">
        <x:f>IF(AND(ISNUMBER(J1480),M1480&lt;&gt;0),J1480/M1480,"")</x:f>
      </x:c>
      <x:c r="L1480" s="10" t="str">
        <x:v>数据待核</x:v>
      </x:c>
      <x:c r="M1480" s="11"/>
      <x:c r="N1480" s="10" t="str">
        <x:f>IF(AND(Z1480="共同",COUNT(H1480:I1480)=2),H1480-I1480,"")</x:f>
      </x:c>
      <x:c r="O1480" s="10"/>
      <x:c r="P1480" s="10"/>
      <x:c r="Q1480" s="10"/>
      <x:c r="R1480" s="10"/>
      <x:c r="S1480" s="10"/>
      <x:c r="T1480" s="10"/>
      <x:c r="U1480" s="10" t="str">
        <x:f>IF(AND(ISNUMBER(X1480),X1480&gt;=0,Y1480&lt;&gt;1),X1480,"")</x:f>
      </x:c>
      <x:c r="V1480" s="10"/>
      <x:c r="W1480" s="10"/>
      <x:c r="X1480" s="10"/>
      <x:c r="Y1480" s="3"/>
      <x:c r="Z1480" s="3" t="str">
        <x:v>移出</x:v>
      </x:c>
      <x:c r="AA1480" s="3" t="str">
        <x:v>已移出</x:v>
      </x:c>
      <x:c r="AB1480" s="12" t="str">
        <x:f>IF(AND(Z1480="共同",ISNUMBER(G1480),ISNUMBER(AD1480)),G1480-AD1480,"")</x:f>
      </x:c>
      <x:c r="AC1480" s="3" t="str">
        <x:v>基准清单已移出</x:v>
      </x:c>
      <x:c r="AD1480" s="12"/>
      <x:c r="AE1480" s="3" t="str">
        <x:v>[6574,"S02b-MT-37"]</x:v>
      </x:c>
      <x:c r="AF1480" t="n">
        <x:f>IF(ISNUMBER(H1480),1,0)</x:f>
        <x:v>0</x:v>
      </x:c>
      <x:c r="AG1480" t="n">
        <x:f>IF(ISNUMBER(I1480),1,0)</x:f>
        <x:v>1</x:v>
      </x:c>
      <x:c r="AH1480"/>
      <x:c r="AI1480" t="n">
        <x:f>IF(ISNUMBER(G1480),1,0)</x:f>
        <x:v>0</x:v>
      </x:c>
      <x:c r="AJ1480" t="n">
        <x:f>IF(ISNUMBER(AD1480),1,0)</x:f>
        <x:v>0</x:v>
      </x:c>
    </x:row>
    <x:row r="1481" ht="30" customHeight="1">
      <x:c r="A1481" s="3" t="str">
        <x:v>S02b-MT-38</x:v>
      </x:c>
      <x:c r="B1481" s="3" t="str">
        <x:v>3店-SANDIEX-US</x:v>
      </x:c>
      <x:c r="C1481" s="3" t="str">
        <x:v>陈晨</x:v>
      </x:c>
      <x:c r="D1481" s="3" t="str">
        <x:v>S02b</x:v>
      </x:c>
      <x:c r="E1481" s="3" t="str">
        <x:f>IF(Z1481="移出","已移出",IF(NOT(ISNUMBER(H1481)),"数据待核",IF(H1481=0,"断货",IF(NOT(ISNUMBER(G1481)),"数据待核",IF(G1481=0,"零日销待复核",IF(F1481&lt;60,"补货提醒",IF(F1481&lt;=90,"正常库存",IF(F1481&lt;180,"促销",IF(F1481&lt;=365,"红线促销","考虑清仓")))))))))</x:f>
        <x:v>已移出</x:v>
      </x:c>
      <x:c r="F1481" s="11" t="str">
        <x:f>IF(AND(ISNUMBER(H1481),ISNUMBER(G1481),G1481&gt;0),H1481/G1481,"")</x:f>
      </x:c>
      <x:c r="G1481" s="12" t="str">
        <x:f>IF(AND(COUNT(P1481:R1481)=3,MIN(P1481:R1481)&gt;=0,P1481&lt;=Q1481,Q1481&lt;=R1481),P1481/7*0.5+Q1481/14*0.3+R1481/30*0.2,"")</x:f>
      </x:c>
      <x:c r="H1481" s="10" t="str">
        <x:f>IF(ISNUMBER(U1481),U1481,"")</x:f>
      </x:c>
      <x:c r="I1481" s="10" t="n">
        <x:v>0</x:v>
      </x:c>
      <x:c r="J1481" s="11" t="str">
        <x:f>IF(AND(Z1481="共同",ISNUMBER(F1481),ISNUMBER(M1481)),F1481-M1481,"")</x:f>
      </x:c>
      <x:c r="K1481" s="13" t="str">
        <x:f>IF(AND(ISNUMBER(J1481),M1481&lt;&gt;0),J1481/M1481,"")</x:f>
      </x:c>
      <x:c r="L1481" s="10" t="str">
        <x:v>断货</x:v>
      </x:c>
      <x:c r="M1481" s="11"/>
      <x:c r="N1481" s="10" t="str">
        <x:f>IF(AND(Z1481="共同",COUNT(H1481:I1481)=2),H1481-I1481,"")</x:f>
      </x:c>
      <x:c r="O1481" s="10"/>
      <x:c r="P1481" s="10"/>
      <x:c r="Q1481" s="10"/>
      <x:c r="R1481" s="10"/>
      <x:c r="S1481" s="10"/>
      <x:c r="T1481" s="10"/>
      <x:c r="U1481" s="10" t="str">
        <x:f>IF(AND(ISNUMBER(X1481),X1481&gt;=0,Y1481&lt;&gt;1),X1481,"")</x:f>
      </x:c>
      <x:c r="V1481" s="10"/>
      <x:c r="W1481" s="10"/>
      <x:c r="X1481" s="10"/>
      <x:c r="Y1481" s="3"/>
      <x:c r="Z1481" s="3" t="str">
        <x:v>移出</x:v>
      </x:c>
      <x:c r="AA1481" s="3" t="str">
        <x:v>已移出</x:v>
      </x:c>
      <x:c r="AB1481" s="12" t="str">
        <x:f>IF(AND(Z1481="共同",ISNUMBER(G1481),ISNUMBER(AD1481)),G1481-AD1481,"")</x:f>
      </x:c>
      <x:c r="AC1481" s="3" t="str">
        <x:v>基准清单已移出</x:v>
      </x:c>
      <x:c r="AD1481" s="12"/>
      <x:c r="AE1481" s="3" t="str">
        <x:v>[6574,"S02b-MT-38"]</x:v>
      </x:c>
      <x:c r="AF1481" t="n">
        <x:f>IF(ISNUMBER(H1481),1,0)</x:f>
        <x:v>0</x:v>
      </x:c>
      <x:c r="AG1481" t="n">
        <x:f>IF(ISNUMBER(I1481),1,0)</x:f>
        <x:v>1</x:v>
      </x:c>
      <x:c r="AH1481"/>
      <x:c r="AI1481" t="n">
        <x:f>IF(ISNUMBER(G1481),1,0)</x:f>
        <x:v>0</x:v>
      </x:c>
      <x:c r="AJ1481" t="n">
        <x:f>IF(ISNUMBER(AD1481),1,0)</x:f>
        <x:v>0</x:v>
      </x:c>
    </x:row>
    <x:row r="1482" ht="30" customHeight="1">
      <x:c r="A1482" s="3" t="str">
        <x:v>S02b-MT-39</x:v>
      </x:c>
      <x:c r="B1482" s="3" t="str">
        <x:v>3店-SANDIEX-US</x:v>
      </x:c>
      <x:c r="C1482" s="3" t="str">
        <x:v>陈晨</x:v>
      </x:c>
      <x:c r="D1482" s="3" t="str">
        <x:v>S02b</x:v>
      </x:c>
      <x:c r="E1482" s="3" t="str">
        <x:f>IF(Z1482="移出","已移出",IF(NOT(ISNUMBER(H1482)),"数据待核",IF(H1482=0,"断货",IF(NOT(ISNUMBER(G1482)),"数据待核",IF(G1482=0,"零日销待复核",IF(F1482&lt;60,"补货提醒",IF(F1482&lt;=90,"正常库存",IF(F1482&lt;180,"促销",IF(F1482&lt;=365,"红线促销","考虑清仓")))))))))</x:f>
        <x:v>已移出</x:v>
      </x:c>
      <x:c r="F1482" s="11" t="str">
        <x:f>IF(AND(ISNUMBER(H1482),ISNUMBER(G1482),G1482&gt;0),H1482/G1482,"")</x:f>
      </x:c>
      <x:c r="G1482" s="12" t="str">
        <x:f>IF(AND(COUNT(P1482:R1482)=3,MIN(P1482:R1482)&gt;=0,P1482&lt;=Q1482,Q1482&lt;=R1482),P1482/7*0.5+Q1482/14*0.3+R1482/30*0.2,"")</x:f>
      </x:c>
      <x:c r="H1482" s="10" t="str">
        <x:f>IF(ISNUMBER(U1482),U1482,"")</x:f>
      </x:c>
      <x:c r="I1482" s="10" t="n">
        <x:v>2</x:v>
      </x:c>
      <x:c r="J1482" s="11" t="str">
        <x:f>IF(AND(Z1482="共同",ISNUMBER(F1482),ISNUMBER(M1482)),F1482-M1482,"")</x:f>
      </x:c>
      <x:c r="K1482" s="13" t="str">
        <x:f>IF(AND(ISNUMBER(J1482),M1482&lt;&gt;0),J1482/M1482,"")</x:f>
      </x:c>
      <x:c r="L1482" s="10" t="str">
        <x:v>数据待核</x:v>
      </x:c>
      <x:c r="M1482" s="11"/>
      <x:c r="N1482" s="10" t="str">
        <x:f>IF(AND(Z1482="共同",COUNT(H1482:I1482)=2),H1482-I1482,"")</x:f>
      </x:c>
      <x:c r="O1482" s="10"/>
      <x:c r="P1482" s="10"/>
      <x:c r="Q1482" s="10"/>
      <x:c r="R1482" s="10"/>
      <x:c r="S1482" s="10"/>
      <x:c r="T1482" s="10"/>
      <x:c r="U1482" s="10" t="str">
        <x:f>IF(AND(ISNUMBER(X1482),X1482&gt;=0,Y1482&lt;&gt;1),X1482,"")</x:f>
      </x:c>
      <x:c r="V1482" s="10"/>
      <x:c r="W1482" s="10"/>
      <x:c r="X1482" s="10"/>
      <x:c r="Y1482" s="3"/>
      <x:c r="Z1482" s="3" t="str">
        <x:v>移出</x:v>
      </x:c>
      <x:c r="AA1482" s="3" t="str">
        <x:v>已移出</x:v>
      </x:c>
      <x:c r="AB1482" s="12" t="str">
        <x:f>IF(AND(Z1482="共同",ISNUMBER(G1482),ISNUMBER(AD1482)),G1482-AD1482,"")</x:f>
      </x:c>
      <x:c r="AC1482" s="3" t="str">
        <x:v>基准清单已移出</x:v>
      </x:c>
      <x:c r="AD1482" s="12"/>
      <x:c r="AE1482" s="3" t="str">
        <x:v>[6574,"S02b-MT-39"]</x:v>
      </x:c>
      <x:c r="AF1482" t="n">
        <x:f>IF(ISNUMBER(H1482),1,0)</x:f>
        <x:v>0</x:v>
      </x:c>
      <x:c r="AG1482" t="n">
        <x:f>IF(ISNUMBER(I1482),1,0)</x:f>
        <x:v>1</x:v>
      </x:c>
      <x:c r="AH1482"/>
      <x:c r="AI1482" t="n">
        <x:f>IF(ISNUMBER(G1482),1,0)</x:f>
        <x:v>0</x:v>
      </x:c>
      <x:c r="AJ1482" t="n">
        <x:f>IF(ISNUMBER(AD1482),1,0)</x:f>
        <x:v>0</x:v>
      </x:c>
    </x:row>
    <x:row r="1483" ht="30" customHeight="1">
      <x:c r="A1483" s="3" t="str">
        <x:v>S02b-MT-40</x:v>
      </x:c>
      <x:c r="B1483" s="3" t="str">
        <x:v>3店-SANDIEX-US</x:v>
      </x:c>
      <x:c r="C1483" s="3" t="str">
        <x:v>陈晨</x:v>
      </x:c>
      <x:c r="D1483" s="3" t="str">
        <x:v>S02b</x:v>
      </x:c>
      <x:c r="E1483" s="3" t="str">
        <x:f>IF(Z1483="移出","已移出",IF(NOT(ISNUMBER(H1483)),"数据待核",IF(H1483=0,"断货",IF(NOT(ISNUMBER(G1483)),"数据待核",IF(G1483=0,"零日销待复核",IF(F1483&lt;60,"补货提醒",IF(F1483&lt;=90,"正常库存",IF(F1483&lt;180,"促销",IF(F1483&lt;=365,"红线促销","考虑清仓")))))))))</x:f>
        <x:v>已移出</x:v>
      </x:c>
      <x:c r="F1483" s="11" t="str">
        <x:f>IF(AND(ISNUMBER(H1483),ISNUMBER(G1483),G1483&gt;0),H1483/G1483,"")</x:f>
      </x:c>
      <x:c r="G1483" s="12" t="str">
        <x:f>IF(AND(COUNT(P1483:R1483)=3,MIN(P1483:R1483)&gt;=0,P1483&lt;=Q1483,Q1483&lt;=R1483),P1483/7*0.5+Q1483/14*0.3+R1483/30*0.2,"")</x:f>
      </x:c>
      <x:c r="H1483" s="10" t="str">
        <x:f>IF(ISNUMBER(U1483),U1483,"")</x:f>
      </x:c>
      <x:c r="I1483" s="10" t="n">
        <x:v>0</x:v>
      </x:c>
      <x:c r="J1483" s="11" t="str">
        <x:f>IF(AND(Z1483="共同",ISNUMBER(F1483),ISNUMBER(M1483)),F1483-M1483,"")</x:f>
      </x:c>
      <x:c r="K1483" s="13" t="str">
        <x:f>IF(AND(ISNUMBER(J1483),M1483&lt;&gt;0),J1483/M1483,"")</x:f>
      </x:c>
      <x:c r="L1483" s="10" t="str">
        <x:v>断货</x:v>
      </x:c>
      <x:c r="M1483" s="11"/>
      <x:c r="N1483" s="10" t="str">
        <x:f>IF(AND(Z1483="共同",COUNT(H1483:I1483)=2),H1483-I1483,"")</x:f>
      </x:c>
      <x:c r="O1483" s="10"/>
      <x:c r="P1483" s="10"/>
      <x:c r="Q1483" s="10"/>
      <x:c r="R1483" s="10"/>
      <x:c r="S1483" s="10"/>
      <x:c r="T1483" s="10"/>
      <x:c r="U1483" s="10" t="str">
        <x:f>IF(AND(ISNUMBER(X1483),X1483&gt;=0,Y1483&lt;&gt;1),X1483,"")</x:f>
      </x:c>
      <x:c r="V1483" s="10"/>
      <x:c r="W1483" s="10"/>
      <x:c r="X1483" s="10"/>
      <x:c r="Y1483" s="3"/>
      <x:c r="Z1483" s="3" t="str">
        <x:v>移出</x:v>
      </x:c>
      <x:c r="AA1483" s="3" t="str">
        <x:v>已移出</x:v>
      </x:c>
      <x:c r="AB1483" s="12" t="str">
        <x:f>IF(AND(Z1483="共同",ISNUMBER(G1483),ISNUMBER(AD1483)),G1483-AD1483,"")</x:f>
      </x:c>
      <x:c r="AC1483" s="3" t="str">
        <x:v>基准清单已移出</x:v>
      </x:c>
      <x:c r="AD1483" s="12"/>
      <x:c r="AE1483" s="3" t="str">
        <x:v>[6574,"S02b-MT-40"]</x:v>
      </x:c>
      <x:c r="AF1483" t="n">
        <x:f>IF(ISNUMBER(H1483),1,0)</x:f>
        <x:v>0</x:v>
      </x:c>
      <x:c r="AG1483" t="n">
        <x:f>IF(ISNUMBER(I1483),1,0)</x:f>
        <x:v>1</x:v>
      </x:c>
      <x:c r="AH1483"/>
      <x:c r="AI1483" t="n">
        <x:f>IF(ISNUMBER(G1483),1,0)</x:f>
        <x:v>0</x:v>
      </x:c>
      <x:c r="AJ1483" t="n">
        <x:f>IF(ISNUMBER(AD1483),1,0)</x:f>
        <x:v>0</x:v>
      </x:c>
    </x:row>
    <x:row r="1484" ht="30" customHeight="1">
      <x:c r="A1484" s="3" t="str">
        <x:v>S02b-MT-41</x:v>
      </x:c>
      <x:c r="B1484" s="3" t="str">
        <x:v>3店-SANDIEX-US</x:v>
      </x:c>
      <x:c r="C1484" s="3" t="str">
        <x:v>陈晨</x:v>
      </x:c>
      <x:c r="D1484" s="3" t="str">
        <x:v>S02b</x:v>
      </x:c>
      <x:c r="E1484" s="3" t="str">
        <x:f>IF(Z1484="移出","已移出",IF(NOT(ISNUMBER(H1484)),"数据待核",IF(H1484=0,"断货",IF(NOT(ISNUMBER(G1484)),"数据待核",IF(G1484=0,"零日销待复核",IF(F1484&lt;60,"补货提醒",IF(F1484&lt;=90,"正常库存",IF(F1484&lt;180,"促销",IF(F1484&lt;=365,"红线促销","考虑清仓")))))))))</x:f>
        <x:v>已移出</x:v>
      </x:c>
      <x:c r="F1484" s="11" t="str">
        <x:f>IF(AND(ISNUMBER(H1484),ISNUMBER(G1484),G1484&gt;0),H1484/G1484,"")</x:f>
      </x:c>
      <x:c r="G1484" s="12" t="str">
        <x:f>IF(AND(COUNT(P1484:R1484)=3,MIN(P1484:R1484)&gt;=0,P1484&lt;=Q1484,Q1484&lt;=R1484),P1484/7*0.5+Q1484/14*0.3+R1484/30*0.2,"")</x:f>
      </x:c>
      <x:c r="H1484" s="10" t="str">
        <x:f>IF(ISNUMBER(U1484),U1484,"")</x:f>
      </x:c>
      <x:c r="I1484" s="10" t="n">
        <x:v>0</x:v>
      </x:c>
      <x:c r="J1484" s="11" t="str">
        <x:f>IF(AND(Z1484="共同",ISNUMBER(F1484),ISNUMBER(M1484)),F1484-M1484,"")</x:f>
      </x:c>
      <x:c r="K1484" s="13" t="str">
        <x:f>IF(AND(ISNUMBER(J1484),M1484&lt;&gt;0),J1484/M1484,"")</x:f>
      </x:c>
      <x:c r="L1484" s="10" t="str">
        <x:v>断货</x:v>
      </x:c>
      <x:c r="M1484" s="11"/>
      <x:c r="N1484" s="10" t="str">
        <x:f>IF(AND(Z1484="共同",COUNT(H1484:I1484)=2),H1484-I1484,"")</x:f>
      </x:c>
      <x:c r="O1484" s="10"/>
      <x:c r="P1484" s="10"/>
      <x:c r="Q1484" s="10"/>
      <x:c r="R1484" s="10"/>
      <x:c r="S1484" s="10"/>
      <x:c r="T1484" s="10"/>
      <x:c r="U1484" s="10" t="str">
        <x:f>IF(AND(ISNUMBER(X1484),X1484&gt;=0,Y1484&lt;&gt;1),X1484,"")</x:f>
      </x:c>
      <x:c r="V1484" s="10"/>
      <x:c r="W1484" s="10"/>
      <x:c r="X1484" s="10"/>
      <x:c r="Y1484" s="3"/>
      <x:c r="Z1484" s="3" t="str">
        <x:v>移出</x:v>
      </x:c>
      <x:c r="AA1484" s="3" t="str">
        <x:v>已移出</x:v>
      </x:c>
      <x:c r="AB1484" s="12" t="str">
        <x:f>IF(AND(Z1484="共同",ISNUMBER(G1484),ISNUMBER(AD1484)),G1484-AD1484,"")</x:f>
      </x:c>
      <x:c r="AC1484" s="3" t="str">
        <x:v>基准清单已移出</x:v>
      </x:c>
      <x:c r="AD1484" s="12"/>
      <x:c r="AE1484" s="3" t="str">
        <x:v>[6574,"S02b-MT-41"]</x:v>
      </x:c>
      <x:c r="AF1484" t="n">
        <x:f>IF(ISNUMBER(H1484),1,0)</x:f>
        <x:v>0</x:v>
      </x:c>
      <x:c r="AG1484" t="n">
        <x:f>IF(ISNUMBER(I1484),1,0)</x:f>
        <x:v>1</x:v>
      </x:c>
      <x:c r="AH1484"/>
      <x:c r="AI1484" t="n">
        <x:f>IF(ISNUMBER(G1484),1,0)</x:f>
        <x:v>0</x:v>
      </x:c>
      <x:c r="AJ1484" t="n">
        <x:f>IF(ISNUMBER(AD1484),1,0)</x:f>
        <x:v>0</x:v>
      </x:c>
    </x:row>
    <x:row r="1485" ht="30" customHeight="1">
      <x:c r="A1485" s="3" t="str">
        <x:v>S02b-MT-42</x:v>
      </x:c>
      <x:c r="B1485" s="3" t="str">
        <x:v>3店-SANDIEX-US</x:v>
      </x:c>
      <x:c r="C1485" s="3" t="str">
        <x:v>陈晨</x:v>
      </x:c>
      <x:c r="D1485" s="3" t="str">
        <x:v>S02b</x:v>
      </x:c>
      <x:c r="E1485" s="3" t="str">
        <x:f>IF(Z1485="移出","已移出",IF(NOT(ISNUMBER(H1485)),"数据待核",IF(H1485=0,"断货",IF(NOT(ISNUMBER(G1485)),"数据待核",IF(G1485=0,"零日销待复核",IF(F1485&lt;60,"补货提醒",IF(F1485&lt;=90,"正常库存",IF(F1485&lt;180,"促销",IF(F1485&lt;=365,"红线促销","考虑清仓")))))))))</x:f>
        <x:v>已移出</x:v>
      </x:c>
      <x:c r="F1485" s="11" t="str">
        <x:f>IF(AND(ISNUMBER(H1485),ISNUMBER(G1485),G1485&gt;0),H1485/G1485,"")</x:f>
      </x:c>
      <x:c r="G1485" s="12" t="str">
        <x:f>IF(AND(COUNT(P1485:R1485)=3,MIN(P1485:R1485)&gt;=0,P1485&lt;=Q1485,Q1485&lt;=R1485),P1485/7*0.5+Q1485/14*0.3+R1485/30*0.2,"")</x:f>
      </x:c>
      <x:c r="H1485" s="10" t="str">
        <x:f>IF(ISNUMBER(U1485),U1485,"")</x:f>
      </x:c>
      <x:c r="I1485" s="10" t="n">
        <x:v>0</x:v>
      </x:c>
      <x:c r="J1485" s="11" t="str">
        <x:f>IF(AND(Z1485="共同",ISNUMBER(F1485),ISNUMBER(M1485)),F1485-M1485,"")</x:f>
      </x:c>
      <x:c r="K1485" s="13" t="str">
        <x:f>IF(AND(ISNUMBER(J1485),M1485&lt;&gt;0),J1485/M1485,"")</x:f>
      </x:c>
      <x:c r="L1485" s="10" t="str">
        <x:v>断货</x:v>
      </x:c>
      <x:c r="M1485" s="11"/>
      <x:c r="N1485" s="10" t="str">
        <x:f>IF(AND(Z1485="共同",COUNT(H1485:I1485)=2),H1485-I1485,"")</x:f>
      </x:c>
      <x:c r="O1485" s="10"/>
      <x:c r="P1485" s="10"/>
      <x:c r="Q1485" s="10"/>
      <x:c r="R1485" s="10"/>
      <x:c r="S1485" s="10"/>
      <x:c r="T1485" s="10"/>
      <x:c r="U1485" s="10" t="str">
        <x:f>IF(AND(ISNUMBER(X1485),X1485&gt;=0,Y1485&lt;&gt;1),X1485,"")</x:f>
      </x:c>
      <x:c r="V1485" s="10"/>
      <x:c r="W1485" s="10"/>
      <x:c r="X1485" s="10"/>
      <x:c r="Y1485" s="3"/>
      <x:c r="Z1485" s="3" t="str">
        <x:v>移出</x:v>
      </x:c>
      <x:c r="AA1485" s="3" t="str">
        <x:v>已移出</x:v>
      </x:c>
      <x:c r="AB1485" s="12" t="str">
        <x:f>IF(AND(Z1485="共同",ISNUMBER(G1485),ISNUMBER(AD1485)),G1485-AD1485,"")</x:f>
      </x:c>
      <x:c r="AC1485" s="3" t="str">
        <x:v>基准清单已移出</x:v>
      </x:c>
      <x:c r="AD1485" s="12"/>
      <x:c r="AE1485" s="3" t="str">
        <x:v>[6574,"S02b-MT-42"]</x:v>
      </x:c>
      <x:c r="AF1485" t="n">
        <x:f>IF(ISNUMBER(H1485),1,0)</x:f>
        <x:v>0</x:v>
      </x:c>
      <x:c r="AG1485" t="n">
        <x:f>IF(ISNUMBER(I1485),1,0)</x:f>
        <x:v>1</x:v>
      </x:c>
      <x:c r="AH1485"/>
      <x:c r="AI1485" t="n">
        <x:f>IF(ISNUMBER(G1485),1,0)</x:f>
        <x:v>0</x:v>
      </x:c>
      <x:c r="AJ1485" t="n">
        <x:f>IF(ISNUMBER(AD1485),1,0)</x:f>
        <x:v>0</x:v>
      </x:c>
    </x:row>
    <x:row r="1486" ht="30" customHeight="1">
      <x:c r="A1486" s="3" t="str">
        <x:v>S02b-PK-37</x:v>
      </x:c>
      <x:c r="B1486" s="3" t="str">
        <x:v>3店-SANDIEX-US</x:v>
      </x:c>
      <x:c r="C1486" s="3" t="str">
        <x:v>陈晨</x:v>
      </x:c>
      <x:c r="D1486" s="3" t="str">
        <x:v>S02b</x:v>
      </x:c>
      <x:c r="E1486" s="3" t="str">
        <x:f>IF(Z1486="移出","已移出",IF(NOT(ISNUMBER(H1486)),"数据待核",IF(H1486=0,"断货",IF(NOT(ISNUMBER(G1486)),"数据待核",IF(G1486=0,"零日销待复核",IF(F1486&lt;60,"补货提醒",IF(F1486&lt;=90,"正常库存",IF(F1486&lt;180,"促销",IF(F1486&lt;=365,"红线促销","考虑清仓")))))))))</x:f>
        <x:v>已移出</x:v>
      </x:c>
      <x:c r="F1486" s="11" t="str">
        <x:f>IF(AND(ISNUMBER(H1486),ISNUMBER(G1486),G1486&gt;0),H1486/G1486,"")</x:f>
      </x:c>
      <x:c r="G1486" s="12" t="str">
        <x:f>IF(AND(COUNT(P1486:R1486)=3,MIN(P1486:R1486)&gt;=0,P1486&lt;=Q1486,Q1486&lt;=R1486),P1486/7*0.5+Q1486/14*0.3+R1486/30*0.2,"")</x:f>
      </x:c>
      <x:c r="H1486" s="10" t="str">
        <x:f>IF(ISNUMBER(U1486),U1486,"")</x:f>
      </x:c>
      <x:c r="I1486" s="10" t="n">
        <x:v>0</x:v>
      </x:c>
      <x:c r="J1486" s="11" t="str">
        <x:f>IF(AND(Z1486="共同",ISNUMBER(F1486),ISNUMBER(M1486)),F1486-M1486,"")</x:f>
      </x:c>
      <x:c r="K1486" s="13" t="str">
        <x:f>IF(AND(ISNUMBER(J1486),M1486&lt;&gt;0),J1486/M1486,"")</x:f>
      </x:c>
      <x:c r="L1486" s="10" t="str">
        <x:v>断货</x:v>
      </x:c>
      <x:c r="M1486" s="11"/>
      <x:c r="N1486" s="10" t="str">
        <x:f>IF(AND(Z1486="共同",COUNT(H1486:I1486)=2),H1486-I1486,"")</x:f>
      </x:c>
      <x:c r="O1486" s="10"/>
      <x:c r="P1486" s="10"/>
      <x:c r="Q1486" s="10"/>
      <x:c r="R1486" s="10"/>
      <x:c r="S1486" s="10"/>
      <x:c r="T1486" s="10"/>
      <x:c r="U1486" s="10" t="str">
        <x:f>IF(AND(ISNUMBER(X1486),X1486&gt;=0,Y1486&lt;&gt;1),X1486,"")</x:f>
      </x:c>
      <x:c r="V1486" s="10"/>
      <x:c r="W1486" s="10"/>
      <x:c r="X1486" s="10"/>
      <x:c r="Y1486" s="3"/>
      <x:c r="Z1486" s="3" t="str">
        <x:v>移出</x:v>
      </x:c>
      <x:c r="AA1486" s="3" t="str">
        <x:v>已移出</x:v>
      </x:c>
      <x:c r="AB1486" s="12" t="str">
        <x:f>IF(AND(Z1486="共同",ISNUMBER(G1486),ISNUMBER(AD1486)),G1486-AD1486,"")</x:f>
      </x:c>
      <x:c r="AC1486" s="3" t="str">
        <x:v>基准清单已移出</x:v>
      </x:c>
      <x:c r="AD1486" s="12"/>
      <x:c r="AE1486" s="3" t="str">
        <x:v>[6574,"S02b-PK-37"]</x:v>
      </x:c>
      <x:c r="AF1486" t="n">
        <x:f>IF(ISNUMBER(H1486),1,0)</x:f>
        <x:v>0</x:v>
      </x:c>
      <x:c r="AG1486" t="n">
        <x:f>IF(ISNUMBER(I1486),1,0)</x:f>
        <x:v>1</x:v>
      </x:c>
      <x:c r="AH1486"/>
      <x:c r="AI1486" t="n">
        <x:f>IF(ISNUMBER(G1486),1,0)</x:f>
        <x:v>0</x:v>
      </x:c>
      <x:c r="AJ1486" t="n">
        <x:f>IF(ISNUMBER(AD1486),1,0)</x:f>
        <x:v>0</x:v>
      </x:c>
    </x:row>
    <x:row r="1487" ht="30" customHeight="1">
      <x:c r="A1487" s="3" t="str">
        <x:v>S02b-PK-38</x:v>
      </x:c>
      <x:c r="B1487" s="3" t="str">
        <x:v>3店-SANDIEX-US</x:v>
      </x:c>
      <x:c r="C1487" s="3" t="str">
        <x:v>陈晨</x:v>
      </x:c>
      <x:c r="D1487" s="3" t="str">
        <x:v>S02b</x:v>
      </x:c>
      <x:c r="E1487" s="3" t="str">
        <x:f>IF(Z1487="移出","已移出",IF(NOT(ISNUMBER(H1487)),"数据待核",IF(H1487=0,"断货",IF(NOT(ISNUMBER(G1487)),"数据待核",IF(G1487=0,"零日销待复核",IF(F1487&lt;60,"补货提醒",IF(F1487&lt;=90,"正常库存",IF(F1487&lt;180,"促销",IF(F1487&lt;=365,"红线促销","考虑清仓")))))))))</x:f>
        <x:v>已移出</x:v>
      </x:c>
      <x:c r="F1487" s="11" t="str">
        <x:f>IF(AND(ISNUMBER(H1487),ISNUMBER(G1487),G1487&gt;0),H1487/G1487,"")</x:f>
      </x:c>
      <x:c r="G1487" s="12" t="str">
        <x:f>IF(AND(COUNT(P1487:R1487)=3,MIN(P1487:R1487)&gt;=0,P1487&lt;=Q1487,Q1487&lt;=R1487),P1487/7*0.5+Q1487/14*0.3+R1487/30*0.2,"")</x:f>
      </x:c>
      <x:c r="H1487" s="10" t="str">
        <x:f>IF(ISNUMBER(U1487),U1487,"")</x:f>
      </x:c>
      <x:c r="I1487" s="10" t="n">
        <x:v>0</x:v>
      </x:c>
      <x:c r="J1487" s="11" t="str">
        <x:f>IF(AND(Z1487="共同",ISNUMBER(F1487),ISNUMBER(M1487)),F1487-M1487,"")</x:f>
      </x:c>
      <x:c r="K1487" s="13" t="str">
        <x:f>IF(AND(ISNUMBER(J1487),M1487&lt;&gt;0),J1487/M1487,"")</x:f>
      </x:c>
      <x:c r="L1487" s="10" t="str">
        <x:v>断货</x:v>
      </x:c>
      <x:c r="M1487" s="11"/>
      <x:c r="N1487" s="10" t="str">
        <x:f>IF(AND(Z1487="共同",COUNT(H1487:I1487)=2),H1487-I1487,"")</x:f>
      </x:c>
      <x:c r="O1487" s="10"/>
      <x:c r="P1487" s="10"/>
      <x:c r="Q1487" s="10"/>
      <x:c r="R1487" s="10"/>
      <x:c r="S1487" s="10"/>
      <x:c r="T1487" s="10"/>
      <x:c r="U1487" s="10" t="str">
        <x:f>IF(AND(ISNUMBER(X1487),X1487&gt;=0,Y1487&lt;&gt;1),X1487,"")</x:f>
      </x:c>
      <x:c r="V1487" s="10"/>
      <x:c r="W1487" s="10"/>
      <x:c r="X1487" s="10"/>
      <x:c r="Y1487" s="3"/>
      <x:c r="Z1487" s="3" t="str">
        <x:v>移出</x:v>
      </x:c>
      <x:c r="AA1487" s="3" t="str">
        <x:v>已移出</x:v>
      </x:c>
      <x:c r="AB1487" s="12" t="str">
        <x:f>IF(AND(Z1487="共同",ISNUMBER(G1487),ISNUMBER(AD1487)),G1487-AD1487,"")</x:f>
      </x:c>
      <x:c r="AC1487" s="3" t="str">
        <x:v>基准清单已移出</x:v>
      </x:c>
      <x:c r="AD1487" s="12"/>
      <x:c r="AE1487" s="3" t="str">
        <x:v>[6574,"S02b-PK-38"]</x:v>
      </x:c>
      <x:c r="AF1487" t="n">
        <x:f>IF(ISNUMBER(H1487),1,0)</x:f>
        <x:v>0</x:v>
      </x:c>
      <x:c r="AG1487" t="n">
        <x:f>IF(ISNUMBER(I1487),1,0)</x:f>
        <x:v>1</x:v>
      </x:c>
      <x:c r="AH1487"/>
      <x:c r="AI1487" t="n">
        <x:f>IF(ISNUMBER(G1487),1,0)</x:f>
        <x:v>0</x:v>
      </x:c>
      <x:c r="AJ1487" t="n">
        <x:f>IF(ISNUMBER(AD1487),1,0)</x:f>
        <x:v>0</x:v>
      </x:c>
    </x:row>
    <x:row r="1488" ht="30" customHeight="1">
      <x:c r="A1488" s="3" t="str">
        <x:v>S02b-PK-39</x:v>
      </x:c>
      <x:c r="B1488" s="3" t="str">
        <x:v>3店-SANDIEX-US</x:v>
      </x:c>
      <x:c r="C1488" s="3" t="str">
        <x:v>陈晨</x:v>
      </x:c>
      <x:c r="D1488" s="3" t="str">
        <x:v>S02b</x:v>
      </x:c>
      <x:c r="E1488" s="3" t="str">
        <x:f>IF(Z1488="移出","已移出",IF(NOT(ISNUMBER(H1488)),"数据待核",IF(H1488=0,"断货",IF(NOT(ISNUMBER(G1488)),"数据待核",IF(G1488=0,"零日销待复核",IF(F1488&lt;60,"补货提醒",IF(F1488&lt;=90,"正常库存",IF(F1488&lt;180,"促销",IF(F1488&lt;=365,"红线促销","考虑清仓")))))))))</x:f>
        <x:v>已移出</x:v>
      </x:c>
      <x:c r="F1488" s="11" t="str">
        <x:f>IF(AND(ISNUMBER(H1488),ISNUMBER(G1488),G1488&gt;0),H1488/G1488,"")</x:f>
      </x:c>
      <x:c r="G1488" s="12" t="str">
        <x:f>IF(AND(COUNT(P1488:R1488)=3,MIN(P1488:R1488)&gt;=0,P1488&lt;=Q1488,Q1488&lt;=R1488),P1488/7*0.5+Q1488/14*0.3+R1488/30*0.2,"")</x:f>
      </x:c>
      <x:c r="H1488" s="10" t="str">
        <x:f>IF(ISNUMBER(U1488),U1488,"")</x:f>
      </x:c>
      <x:c r="I1488" s="10" t="n">
        <x:v>0</x:v>
      </x:c>
      <x:c r="J1488" s="11" t="str">
        <x:f>IF(AND(Z1488="共同",ISNUMBER(F1488),ISNUMBER(M1488)),F1488-M1488,"")</x:f>
      </x:c>
      <x:c r="K1488" s="13" t="str">
        <x:f>IF(AND(ISNUMBER(J1488),M1488&lt;&gt;0),J1488/M1488,"")</x:f>
      </x:c>
      <x:c r="L1488" s="10" t="str">
        <x:v>断货</x:v>
      </x:c>
      <x:c r="M1488" s="11"/>
      <x:c r="N1488" s="10" t="str">
        <x:f>IF(AND(Z1488="共同",COUNT(H1488:I1488)=2),H1488-I1488,"")</x:f>
      </x:c>
      <x:c r="O1488" s="10"/>
      <x:c r="P1488" s="10"/>
      <x:c r="Q1488" s="10"/>
      <x:c r="R1488" s="10"/>
      <x:c r="S1488" s="10"/>
      <x:c r="T1488" s="10"/>
      <x:c r="U1488" s="10" t="str">
        <x:f>IF(AND(ISNUMBER(X1488),X1488&gt;=0,Y1488&lt;&gt;1),X1488,"")</x:f>
      </x:c>
      <x:c r="V1488" s="10"/>
      <x:c r="W1488" s="10"/>
      <x:c r="X1488" s="10"/>
      <x:c r="Y1488" s="3"/>
      <x:c r="Z1488" s="3" t="str">
        <x:v>移出</x:v>
      </x:c>
      <x:c r="AA1488" s="3" t="str">
        <x:v>已移出</x:v>
      </x:c>
      <x:c r="AB1488" s="12" t="str">
        <x:f>IF(AND(Z1488="共同",ISNUMBER(G1488),ISNUMBER(AD1488)),G1488-AD1488,"")</x:f>
      </x:c>
      <x:c r="AC1488" s="3" t="str">
        <x:v>基准清单已移出</x:v>
      </x:c>
      <x:c r="AD1488" s="12"/>
      <x:c r="AE1488" s="3" t="str">
        <x:v>[6574,"S02b-PK-39"]</x:v>
      </x:c>
      <x:c r="AF1488" t="n">
        <x:f>IF(ISNUMBER(H1488),1,0)</x:f>
        <x:v>0</x:v>
      </x:c>
      <x:c r="AG1488" t="n">
        <x:f>IF(ISNUMBER(I1488),1,0)</x:f>
        <x:v>1</x:v>
      </x:c>
      <x:c r="AH1488"/>
      <x:c r="AI1488" t="n">
        <x:f>IF(ISNUMBER(G1488),1,0)</x:f>
        <x:v>0</x:v>
      </x:c>
      <x:c r="AJ1488" t="n">
        <x:f>IF(ISNUMBER(AD1488),1,0)</x:f>
        <x:v>0</x:v>
      </x:c>
    </x:row>
    <x:row r="1489" ht="30" customHeight="1">
      <x:c r="A1489" s="3" t="str">
        <x:v>S02b-PK-40</x:v>
      </x:c>
      <x:c r="B1489" s="3" t="str">
        <x:v>3店-SANDIEX-US</x:v>
      </x:c>
      <x:c r="C1489" s="3" t="str">
        <x:v>陈晨</x:v>
      </x:c>
      <x:c r="D1489" s="3" t="str">
        <x:v>S02b</x:v>
      </x:c>
      <x:c r="E1489" s="3" t="str">
        <x:f>IF(Z1489="移出","已移出",IF(NOT(ISNUMBER(H1489)),"数据待核",IF(H1489=0,"断货",IF(NOT(ISNUMBER(G1489)),"数据待核",IF(G1489=0,"零日销待复核",IF(F1489&lt;60,"补货提醒",IF(F1489&lt;=90,"正常库存",IF(F1489&lt;180,"促销",IF(F1489&lt;=365,"红线促销","考虑清仓")))))))))</x:f>
        <x:v>已移出</x:v>
      </x:c>
      <x:c r="F1489" s="11" t="str">
        <x:f>IF(AND(ISNUMBER(H1489),ISNUMBER(G1489),G1489&gt;0),H1489/G1489,"")</x:f>
      </x:c>
      <x:c r="G1489" s="12" t="str">
        <x:f>IF(AND(COUNT(P1489:R1489)=3,MIN(P1489:R1489)&gt;=0,P1489&lt;=Q1489,Q1489&lt;=R1489),P1489/7*0.5+Q1489/14*0.3+R1489/30*0.2,"")</x:f>
      </x:c>
      <x:c r="H1489" s="10" t="str">
        <x:f>IF(ISNUMBER(U1489),U1489,"")</x:f>
      </x:c>
      <x:c r="I1489" s="10" t="n">
        <x:v>0</x:v>
      </x:c>
      <x:c r="J1489" s="11" t="str">
        <x:f>IF(AND(Z1489="共同",ISNUMBER(F1489),ISNUMBER(M1489)),F1489-M1489,"")</x:f>
      </x:c>
      <x:c r="K1489" s="13" t="str">
        <x:f>IF(AND(ISNUMBER(J1489),M1489&lt;&gt;0),J1489/M1489,"")</x:f>
      </x:c>
      <x:c r="L1489" s="10" t="str">
        <x:v>断货</x:v>
      </x:c>
      <x:c r="M1489" s="11"/>
      <x:c r="N1489" s="10" t="str">
        <x:f>IF(AND(Z1489="共同",COUNT(H1489:I1489)=2),H1489-I1489,"")</x:f>
      </x:c>
      <x:c r="O1489" s="10"/>
      <x:c r="P1489" s="10"/>
      <x:c r="Q1489" s="10"/>
      <x:c r="R1489" s="10"/>
      <x:c r="S1489" s="10"/>
      <x:c r="T1489" s="10"/>
      <x:c r="U1489" s="10" t="str">
        <x:f>IF(AND(ISNUMBER(X1489),X1489&gt;=0,Y1489&lt;&gt;1),X1489,"")</x:f>
      </x:c>
      <x:c r="V1489" s="10"/>
      <x:c r="W1489" s="10"/>
      <x:c r="X1489" s="10"/>
      <x:c r="Y1489" s="3"/>
      <x:c r="Z1489" s="3" t="str">
        <x:v>移出</x:v>
      </x:c>
      <x:c r="AA1489" s="3" t="str">
        <x:v>已移出</x:v>
      </x:c>
      <x:c r="AB1489" s="12" t="str">
        <x:f>IF(AND(Z1489="共同",ISNUMBER(G1489),ISNUMBER(AD1489)),G1489-AD1489,"")</x:f>
      </x:c>
      <x:c r="AC1489" s="3" t="str">
        <x:v>基准清单已移出</x:v>
      </x:c>
      <x:c r="AD1489" s="12"/>
      <x:c r="AE1489" s="3" t="str">
        <x:v>[6574,"S02b-PK-40"]</x:v>
      </x:c>
      <x:c r="AF1489" t="n">
        <x:f>IF(ISNUMBER(H1489),1,0)</x:f>
        <x:v>0</x:v>
      </x:c>
      <x:c r="AG1489" t="n">
        <x:f>IF(ISNUMBER(I1489),1,0)</x:f>
        <x:v>1</x:v>
      </x:c>
      <x:c r="AH1489"/>
      <x:c r="AI1489" t="n">
        <x:f>IF(ISNUMBER(G1489),1,0)</x:f>
        <x:v>0</x:v>
      </x:c>
      <x:c r="AJ1489" t="n">
        <x:f>IF(ISNUMBER(AD1489),1,0)</x:f>
        <x:v>0</x:v>
      </x:c>
    </x:row>
    <x:row r="1490" ht="30" customHeight="1">
      <x:c r="A1490" s="3" t="str">
        <x:v>S02b-PK-41</x:v>
      </x:c>
      <x:c r="B1490" s="3" t="str">
        <x:v>3店-SANDIEX-US</x:v>
      </x:c>
      <x:c r="C1490" s="3" t="str">
        <x:v>陈晨</x:v>
      </x:c>
      <x:c r="D1490" s="3" t="str">
        <x:v>S02b</x:v>
      </x:c>
      <x:c r="E1490" s="3" t="str">
        <x:f>IF(Z1490="移出","已移出",IF(NOT(ISNUMBER(H1490)),"数据待核",IF(H1490=0,"断货",IF(NOT(ISNUMBER(G1490)),"数据待核",IF(G1490=0,"零日销待复核",IF(F1490&lt;60,"补货提醒",IF(F1490&lt;=90,"正常库存",IF(F1490&lt;180,"促销",IF(F1490&lt;=365,"红线促销","考虑清仓")))))))))</x:f>
        <x:v>已移出</x:v>
      </x:c>
      <x:c r="F1490" s="11" t="str">
        <x:f>IF(AND(ISNUMBER(H1490),ISNUMBER(G1490),G1490&gt;0),H1490/G1490,"")</x:f>
      </x:c>
      <x:c r="G1490" s="12" t="str">
        <x:f>IF(AND(COUNT(P1490:R1490)=3,MIN(P1490:R1490)&gt;=0,P1490&lt;=Q1490,Q1490&lt;=R1490),P1490/7*0.5+Q1490/14*0.3+R1490/30*0.2,"")</x:f>
      </x:c>
      <x:c r="H1490" s="10" t="str">
        <x:f>IF(ISNUMBER(U1490),U1490,"")</x:f>
      </x:c>
      <x:c r="I1490" s="10" t="n">
        <x:v>0</x:v>
      </x:c>
      <x:c r="J1490" s="11" t="str">
        <x:f>IF(AND(Z1490="共同",ISNUMBER(F1490),ISNUMBER(M1490)),F1490-M1490,"")</x:f>
      </x:c>
      <x:c r="K1490" s="13" t="str">
        <x:f>IF(AND(ISNUMBER(J1490),M1490&lt;&gt;0),J1490/M1490,"")</x:f>
      </x:c>
      <x:c r="L1490" s="10" t="str">
        <x:v>断货</x:v>
      </x:c>
      <x:c r="M1490" s="11"/>
      <x:c r="N1490" s="10" t="str">
        <x:f>IF(AND(Z1490="共同",COUNT(H1490:I1490)=2),H1490-I1490,"")</x:f>
      </x:c>
      <x:c r="O1490" s="10"/>
      <x:c r="P1490" s="10"/>
      <x:c r="Q1490" s="10"/>
      <x:c r="R1490" s="10"/>
      <x:c r="S1490" s="10"/>
      <x:c r="T1490" s="10"/>
      <x:c r="U1490" s="10" t="str">
        <x:f>IF(AND(ISNUMBER(X1490),X1490&gt;=0,Y1490&lt;&gt;1),X1490,"")</x:f>
      </x:c>
      <x:c r="V1490" s="10"/>
      <x:c r="W1490" s="10"/>
      <x:c r="X1490" s="10"/>
      <x:c r="Y1490" s="3"/>
      <x:c r="Z1490" s="3" t="str">
        <x:v>移出</x:v>
      </x:c>
      <x:c r="AA1490" s="3" t="str">
        <x:v>已移出</x:v>
      </x:c>
      <x:c r="AB1490" s="12" t="str">
        <x:f>IF(AND(Z1490="共同",ISNUMBER(G1490),ISNUMBER(AD1490)),G1490-AD1490,"")</x:f>
      </x:c>
      <x:c r="AC1490" s="3" t="str">
        <x:v>基准清单已移出</x:v>
      </x:c>
      <x:c r="AD1490" s="12"/>
      <x:c r="AE1490" s="3" t="str">
        <x:v>[6574,"S02b-PK-41"]</x:v>
      </x:c>
      <x:c r="AF1490" t="n">
        <x:f>IF(ISNUMBER(H1490),1,0)</x:f>
        <x:v>0</x:v>
      </x:c>
      <x:c r="AG1490" t="n">
        <x:f>IF(ISNUMBER(I1490),1,0)</x:f>
        <x:v>1</x:v>
      </x:c>
      <x:c r="AH1490"/>
      <x:c r="AI1490" t="n">
        <x:f>IF(ISNUMBER(G1490),1,0)</x:f>
        <x:v>0</x:v>
      </x:c>
      <x:c r="AJ1490" t="n">
        <x:f>IF(ISNUMBER(AD1490),1,0)</x:f>
        <x:v>0</x:v>
      </x:c>
    </x:row>
    <x:row r="1491" ht="30" customHeight="1">
      <x:c r="A1491" s="3" t="str">
        <x:v>S02b-PK-42</x:v>
      </x:c>
      <x:c r="B1491" s="3" t="str">
        <x:v>3店-SANDIEX-US</x:v>
      </x:c>
      <x:c r="C1491" s="3" t="str">
        <x:v>陈晨</x:v>
      </x:c>
      <x:c r="D1491" s="3" t="str">
        <x:v>S02b</x:v>
      </x:c>
      <x:c r="E1491" s="3" t="str">
        <x:f>IF(Z1491="移出","已移出",IF(NOT(ISNUMBER(H1491)),"数据待核",IF(H1491=0,"断货",IF(NOT(ISNUMBER(G1491)),"数据待核",IF(G1491=0,"零日销待复核",IF(F1491&lt;60,"补货提醒",IF(F1491&lt;=90,"正常库存",IF(F1491&lt;180,"促销",IF(F1491&lt;=365,"红线促销","考虑清仓")))))))))</x:f>
        <x:v>已移出</x:v>
      </x:c>
      <x:c r="F1491" s="11" t="str">
        <x:f>IF(AND(ISNUMBER(H1491),ISNUMBER(G1491),G1491&gt;0),H1491/G1491,"")</x:f>
      </x:c>
      <x:c r="G1491" s="12" t="str">
        <x:f>IF(AND(COUNT(P1491:R1491)=3,MIN(P1491:R1491)&gt;=0,P1491&lt;=Q1491,Q1491&lt;=R1491),P1491/7*0.5+Q1491/14*0.3+R1491/30*0.2,"")</x:f>
      </x:c>
      <x:c r="H1491" s="10" t="str">
        <x:f>IF(ISNUMBER(U1491),U1491,"")</x:f>
      </x:c>
      <x:c r="I1491" s="10" t="n">
        <x:v>0</x:v>
      </x:c>
      <x:c r="J1491" s="11" t="str">
        <x:f>IF(AND(Z1491="共同",ISNUMBER(F1491),ISNUMBER(M1491)),F1491-M1491,"")</x:f>
      </x:c>
      <x:c r="K1491" s="13" t="str">
        <x:f>IF(AND(ISNUMBER(J1491),M1491&lt;&gt;0),J1491/M1491,"")</x:f>
      </x:c>
      <x:c r="L1491" s="10" t="str">
        <x:v>断货</x:v>
      </x:c>
      <x:c r="M1491" s="11"/>
      <x:c r="N1491" s="10" t="str">
        <x:f>IF(AND(Z1491="共同",COUNT(H1491:I1491)=2),H1491-I1491,"")</x:f>
      </x:c>
      <x:c r="O1491" s="10"/>
      <x:c r="P1491" s="10"/>
      <x:c r="Q1491" s="10"/>
      <x:c r="R1491" s="10"/>
      <x:c r="S1491" s="10"/>
      <x:c r="T1491" s="10"/>
      <x:c r="U1491" s="10" t="str">
        <x:f>IF(AND(ISNUMBER(X1491),X1491&gt;=0,Y1491&lt;&gt;1),X1491,"")</x:f>
      </x:c>
      <x:c r="V1491" s="10"/>
      <x:c r="W1491" s="10"/>
      <x:c r="X1491" s="10"/>
      <x:c r="Y1491" s="3"/>
      <x:c r="Z1491" s="3" t="str">
        <x:v>移出</x:v>
      </x:c>
      <x:c r="AA1491" s="3" t="str">
        <x:v>已移出</x:v>
      </x:c>
      <x:c r="AB1491" s="12" t="str">
        <x:f>IF(AND(Z1491="共同",ISNUMBER(G1491),ISNUMBER(AD1491)),G1491-AD1491,"")</x:f>
      </x:c>
      <x:c r="AC1491" s="3" t="str">
        <x:v>基准清单已移出</x:v>
      </x:c>
      <x:c r="AD1491" s="12"/>
      <x:c r="AE1491" s="3" t="str">
        <x:v>[6574,"S02b-PK-42"]</x:v>
      </x:c>
      <x:c r="AF1491" t="n">
        <x:f>IF(ISNUMBER(H1491),1,0)</x:f>
        <x:v>0</x:v>
      </x:c>
      <x:c r="AG1491" t="n">
        <x:f>IF(ISNUMBER(I1491),1,0)</x:f>
        <x:v>1</x:v>
      </x:c>
      <x:c r="AH1491"/>
      <x:c r="AI1491" t="n">
        <x:f>IF(ISNUMBER(G1491),1,0)</x:f>
        <x:v>0</x:v>
      </x:c>
      <x:c r="AJ1491" t="n">
        <x:f>IF(ISNUMBER(AD1491),1,0)</x:f>
        <x:v>0</x:v>
      </x:c>
    </x:row>
    <x:row r="1492" ht="30" customHeight="1">
      <x:c r="A1492" s="3" t="str">
        <x:v>S02b-RD-37</x:v>
      </x:c>
      <x:c r="B1492" s="3" t="str">
        <x:v>3店-SANDIEX-US</x:v>
      </x:c>
      <x:c r="C1492" s="3" t="str">
        <x:v>陈晨</x:v>
      </x:c>
      <x:c r="D1492" s="3" t="str">
        <x:v>S02b</x:v>
      </x:c>
      <x:c r="E1492" s="3" t="str">
        <x:f>IF(Z1492="移出","已移出",IF(NOT(ISNUMBER(H1492)),"数据待核",IF(H1492=0,"断货",IF(NOT(ISNUMBER(G1492)),"数据待核",IF(G1492=0,"零日销待复核",IF(F1492&lt;60,"补货提醒",IF(F1492&lt;=90,"正常库存",IF(F1492&lt;180,"促销",IF(F1492&lt;=365,"红线促销","考虑清仓")))))))))</x:f>
        <x:v>已移出</x:v>
      </x:c>
      <x:c r="F1492" s="11" t="str">
        <x:f>IF(AND(ISNUMBER(H1492),ISNUMBER(G1492),G1492&gt;0),H1492/G1492,"")</x:f>
      </x:c>
      <x:c r="G1492" s="12" t="str">
        <x:f>IF(AND(COUNT(P1492:R1492)=3,MIN(P1492:R1492)&gt;=0,P1492&lt;=Q1492,Q1492&lt;=R1492),P1492/7*0.5+Q1492/14*0.3+R1492/30*0.2,"")</x:f>
      </x:c>
      <x:c r="H1492" s="10" t="str">
        <x:f>IF(ISNUMBER(U1492),U1492,"")</x:f>
      </x:c>
      <x:c r="I1492" s="10" t="n">
        <x:v>0</x:v>
      </x:c>
      <x:c r="J1492" s="11" t="str">
        <x:f>IF(AND(Z1492="共同",ISNUMBER(F1492),ISNUMBER(M1492)),F1492-M1492,"")</x:f>
      </x:c>
      <x:c r="K1492" s="13" t="str">
        <x:f>IF(AND(ISNUMBER(J1492),M1492&lt;&gt;0),J1492/M1492,"")</x:f>
      </x:c>
      <x:c r="L1492" s="10" t="str">
        <x:v>断货</x:v>
      </x:c>
      <x:c r="M1492" s="11"/>
      <x:c r="N1492" s="10" t="str">
        <x:f>IF(AND(Z1492="共同",COUNT(H1492:I1492)=2),H1492-I1492,"")</x:f>
      </x:c>
      <x:c r="O1492" s="10"/>
      <x:c r="P1492" s="10"/>
      <x:c r="Q1492" s="10"/>
      <x:c r="R1492" s="10"/>
      <x:c r="S1492" s="10"/>
      <x:c r="T1492" s="10"/>
      <x:c r="U1492" s="10" t="str">
        <x:f>IF(AND(ISNUMBER(X1492),X1492&gt;=0,Y1492&lt;&gt;1),X1492,"")</x:f>
      </x:c>
      <x:c r="V1492" s="10"/>
      <x:c r="W1492" s="10"/>
      <x:c r="X1492" s="10"/>
      <x:c r="Y1492" s="3"/>
      <x:c r="Z1492" s="3" t="str">
        <x:v>移出</x:v>
      </x:c>
      <x:c r="AA1492" s="3" t="str">
        <x:v>已移出</x:v>
      </x:c>
      <x:c r="AB1492" s="12" t="str">
        <x:f>IF(AND(Z1492="共同",ISNUMBER(G1492),ISNUMBER(AD1492)),G1492-AD1492,"")</x:f>
      </x:c>
      <x:c r="AC1492" s="3" t="str">
        <x:v>基准清单已移出</x:v>
      </x:c>
      <x:c r="AD1492" s="12"/>
      <x:c r="AE1492" s="3" t="str">
        <x:v>[6574,"S02b-RD-37"]</x:v>
      </x:c>
      <x:c r="AF1492" t="n">
        <x:f>IF(ISNUMBER(H1492),1,0)</x:f>
        <x:v>0</x:v>
      </x:c>
      <x:c r="AG1492" t="n">
        <x:f>IF(ISNUMBER(I1492),1,0)</x:f>
        <x:v>1</x:v>
      </x:c>
      <x:c r="AH1492"/>
      <x:c r="AI1492" t="n">
        <x:f>IF(ISNUMBER(G1492),1,0)</x:f>
        <x:v>0</x:v>
      </x:c>
      <x:c r="AJ1492" t="n">
        <x:f>IF(ISNUMBER(AD1492),1,0)</x:f>
        <x:v>0</x:v>
      </x:c>
    </x:row>
    <x:row r="1493" ht="30" customHeight="1">
      <x:c r="A1493" s="3" t="str">
        <x:v>S02b-RD-38</x:v>
      </x:c>
      <x:c r="B1493" s="3" t="str">
        <x:v>3店-SANDIEX-US</x:v>
      </x:c>
      <x:c r="C1493" s="3" t="str">
        <x:v>陈晨</x:v>
      </x:c>
      <x:c r="D1493" s="3" t="str">
        <x:v>S02b</x:v>
      </x:c>
      <x:c r="E1493" s="3" t="str">
        <x:f>IF(Z1493="移出","已移出",IF(NOT(ISNUMBER(H1493)),"数据待核",IF(H1493=0,"断货",IF(NOT(ISNUMBER(G1493)),"数据待核",IF(G1493=0,"零日销待复核",IF(F1493&lt;60,"补货提醒",IF(F1493&lt;=90,"正常库存",IF(F1493&lt;180,"促销",IF(F1493&lt;=365,"红线促销","考虑清仓")))))))))</x:f>
        <x:v>已移出</x:v>
      </x:c>
      <x:c r="F1493" s="11" t="str">
        <x:f>IF(AND(ISNUMBER(H1493),ISNUMBER(G1493),G1493&gt;0),H1493/G1493,"")</x:f>
      </x:c>
      <x:c r="G1493" s="12" t="str">
        <x:f>IF(AND(COUNT(P1493:R1493)=3,MIN(P1493:R1493)&gt;=0,P1493&lt;=Q1493,Q1493&lt;=R1493),P1493/7*0.5+Q1493/14*0.3+R1493/30*0.2,"")</x:f>
      </x:c>
      <x:c r="H1493" s="10" t="str">
        <x:f>IF(ISNUMBER(U1493),U1493,"")</x:f>
      </x:c>
      <x:c r="I1493" s="10" t="n">
        <x:v>0</x:v>
      </x:c>
      <x:c r="J1493" s="11" t="str">
        <x:f>IF(AND(Z1493="共同",ISNUMBER(F1493),ISNUMBER(M1493)),F1493-M1493,"")</x:f>
      </x:c>
      <x:c r="K1493" s="13" t="str">
        <x:f>IF(AND(ISNUMBER(J1493),M1493&lt;&gt;0),J1493/M1493,"")</x:f>
      </x:c>
      <x:c r="L1493" s="10" t="str">
        <x:v>断货</x:v>
      </x:c>
      <x:c r="M1493" s="11"/>
      <x:c r="N1493" s="10" t="str">
        <x:f>IF(AND(Z1493="共同",COUNT(H1493:I1493)=2),H1493-I1493,"")</x:f>
      </x:c>
      <x:c r="O1493" s="10"/>
      <x:c r="P1493" s="10"/>
      <x:c r="Q1493" s="10"/>
      <x:c r="R1493" s="10"/>
      <x:c r="S1493" s="10"/>
      <x:c r="T1493" s="10"/>
      <x:c r="U1493" s="10" t="str">
        <x:f>IF(AND(ISNUMBER(X1493),X1493&gt;=0,Y1493&lt;&gt;1),X1493,"")</x:f>
      </x:c>
      <x:c r="V1493" s="10"/>
      <x:c r="W1493" s="10"/>
      <x:c r="X1493" s="10"/>
      <x:c r="Y1493" s="3"/>
      <x:c r="Z1493" s="3" t="str">
        <x:v>移出</x:v>
      </x:c>
      <x:c r="AA1493" s="3" t="str">
        <x:v>已移出</x:v>
      </x:c>
      <x:c r="AB1493" s="12" t="str">
        <x:f>IF(AND(Z1493="共同",ISNUMBER(G1493),ISNUMBER(AD1493)),G1493-AD1493,"")</x:f>
      </x:c>
      <x:c r="AC1493" s="3" t="str">
        <x:v>基准清单已移出</x:v>
      </x:c>
      <x:c r="AD1493" s="12"/>
      <x:c r="AE1493" s="3" t="str">
        <x:v>[6574,"S02b-RD-38"]</x:v>
      </x:c>
      <x:c r="AF1493" t="n">
        <x:f>IF(ISNUMBER(H1493),1,0)</x:f>
        <x:v>0</x:v>
      </x:c>
      <x:c r="AG1493" t="n">
        <x:f>IF(ISNUMBER(I1493),1,0)</x:f>
        <x:v>1</x:v>
      </x:c>
      <x:c r="AH1493"/>
      <x:c r="AI1493" t="n">
        <x:f>IF(ISNUMBER(G1493),1,0)</x:f>
        <x:v>0</x:v>
      </x:c>
      <x:c r="AJ1493" t="n">
        <x:f>IF(ISNUMBER(AD1493),1,0)</x:f>
        <x:v>0</x:v>
      </x:c>
    </x:row>
    <x:row r="1494" ht="30" customHeight="1">
      <x:c r="A1494" s="3" t="str">
        <x:v>S02b-RD-39</x:v>
      </x:c>
      <x:c r="B1494" s="3" t="str">
        <x:v>3店-SANDIEX-US</x:v>
      </x:c>
      <x:c r="C1494" s="3" t="str">
        <x:v>陈晨</x:v>
      </x:c>
      <x:c r="D1494" s="3" t="str">
        <x:v>S02b</x:v>
      </x:c>
      <x:c r="E1494" s="3" t="str">
        <x:f>IF(Z1494="移出","已移出",IF(NOT(ISNUMBER(H1494)),"数据待核",IF(H1494=0,"断货",IF(NOT(ISNUMBER(G1494)),"数据待核",IF(G1494=0,"零日销待复核",IF(F1494&lt;60,"补货提醒",IF(F1494&lt;=90,"正常库存",IF(F1494&lt;180,"促销",IF(F1494&lt;=365,"红线促销","考虑清仓")))))))))</x:f>
        <x:v>已移出</x:v>
      </x:c>
      <x:c r="F1494" s="11" t="str">
        <x:f>IF(AND(ISNUMBER(H1494),ISNUMBER(G1494),G1494&gt;0),H1494/G1494,"")</x:f>
      </x:c>
      <x:c r="G1494" s="12" t="str">
        <x:f>IF(AND(COUNT(P1494:R1494)=3,MIN(P1494:R1494)&gt;=0,P1494&lt;=Q1494,Q1494&lt;=R1494),P1494/7*0.5+Q1494/14*0.3+R1494/30*0.2,"")</x:f>
      </x:c>
      <x:c r="H1494" s="10" t="str">
        <x:f>IF(ISNUMBER(U1494),U1494,"")</x:f>
      </x:c>
      <x:c r="I1494" s="10" t="n">
        <x:v>0</x:v>
      </x:c>
      <x:c r="J1494" s="11" t="str">
        <x:f>IF(AND(Z1494="共同",ISNUMBER(F1494),ISNUMBER(M1494)),F1494-M1494,"")</x:f>
      </x:c>
      <x:c r="K1494" s="13" t="str">
        <x:f>IF(AND(ISNUMBER(J1494),M1494&lt;&gt;0),J1494/M1494,"")</x:f>
      </x:c>
      <x:c r="L1494" s="10" t="str">
        <x:v>断货</x:v>
      </x:c>
      <x:c r="M1494" s="11"/>
      <x:c r="N1494" s="10" t="str">
        <x:f>IF(AND(Z1494="共同",COUNT(H1494:I1494)=2),H1494-I1494,"")</x:f>
      </x:c>
      <x:c r="O1494" s="10"/>
      <x:c r="P1494" s="10"/>
      <x:c r="Q1494" s="10"/>
      <x:c r="R1494" s="10"/>
      <x:c r="S1494" s="10"/>
      <x:c r="T1494" s="10"/>
      <x:c r="U1494" s="10" t="str">
        <x:f>IF(AND(ISNUMBER(X1494),X1494&gt;=0,Y1494&lt;&gt;1),X1494,"")</x:f>
      </x:c>
      <x:c r="V1494" s="10"/>
      <x:c r="W1494" s="10"/>
      <x:c r="X1494" s="10"/>
      <x:c r="Y1494" s="3"/>
      <x:c r="Z1494" s="3" t="str">
        <x:v>移出</x:v>
      </x:c>
      <x:c r="AA1494" s="3" t="str">
        <x:v>已移出</x:v>
      </x:c>
      <x:c r="AB1494" s="12" t="str">
        <x:f>IF(AND(Z1494="共同",ISNUMBER(G1494),ISNUMBER(AD1494)),G1494-AD1494,"")</x:f>
      </x:c>
      <x:c r="AC1494" s="3" t="str">
        <x:v>基准清单已移出</x:v>
      </x:c>
      <x:c r="AD1494" s="12"/>
      <x:c r="AE1494" s="3" t="str">
        <x:v>[6574,"S02b-RD-39"]</x:v>
      </x:c>
      <x:c r="AF1494" t="n">
        <x:f>IF(ISNUMBER(H1494),1,0)</x:f>
        <x:v>0</x:v>
      </x:c>
      <x:c r="AG1494" t="n">
        <x:f>IF(ISNUMBER(I1494),1,0)</x:f>
        <x:v>1</x:v>
      </x:c>
      <x:c r="AH1494"/>
      <x:c r="AI1494" t="n">
        <x:f>IF(ISNUMBER(G1494),1,0)</x:f>
        <x:v>0</x:v>
      </x:c>
      <x:c r="AJ1494" t="n">
        <x:f>IF(ISNUMBER(AD1494),1,0)</x:f>
        <x:v>0</x:v>
      </x:c>
    </x:row>
    <x:row r="1495" ht="30" customHeight="1">
      <x:c r="A1495" s="3" t="str">
        <x:v>S02b-RD-40</x:v>
      </x:c>
      <x:c r="B1495" s="3" t="str">
        <x:v>3店-SANDIEX-US</x:v>
      </x:c>
      <x:c r="C1495" s="3" t="str">
        <x:v>陈晨</x:v>
      </x:c>
      <x:c r="D1495" s="3" t="str">
        <x:v>S02b</x:v>
      </x:c>
      <x:c r="E1495" s="3" t="str">
        <x:f>IF(Z1495="移出","已移出",IF(NOT(ISNUMBER(H1495)),"数据待核",IF(H1495=0,"断货",IF(NOT(ISNUMBER(G1495)),"数据待核",IF(G1495=0,"零日销待复核",IF(F1495&lt;60,"补货提醒",IF(F1495&lt;=90,"正常库存",IF(F1495&lt;180,"促销",IF(F1495&lt;=365,"红线促销","考虑清仓")))))))))</x:f>
        <x:v>已移出</x:v>
      </x:c>
      <x:c r="F1495" s="11" t="str">
        <x:f>IF(AND(ISNUMBER(H1495),ISNUMBER(G1495),G1495&gt;0),H1495/G1495,"")</x:f>
      </x:c>
      <x:c r="G1495" s="12" t="str">
        <x:f>IF(AND(COUNT(P1495:R1495)=3,MIN(P1495:R1495)&gt;=0,P1495&lt;=Q1495,Q1495&lt;=R1495),P1495/7*0.5+Q1495/14*0.3+R1495/30*0.2,"")</x:f>
      </x:c>
      <x:c r="H1495" s="10" t="str">
        <x:f>IF(ISNUMBER(U1495),U1495,"")</x:f>
      </x:c>
      <x:c r="I1495" s="10" t="n">
        <x:v>0</x:v>
      </x:c>
      <x:c r="J1495" s="11" t="str">
        <x:f>IF(AND(Z1495="共同",ISNUMBER(F1495),ISNUMBER(M1495)),F1495-M1495,"")</x:f>
      </x:c>
      <x:c r="K1495" s="13" t="str">
        <x:f>IF(AND(ISNUMBER(J1495),M1495&lt;&gt;0),J1495/M1495,"")</x:f>
      </x:c>
      <x:c r="L1495" s="10" t="str">
        <x:v>断货</x:v>
      </x:c>
      <x:c r="M1495" s="11"/>
      <x:c r="N1495" s="10" t="str">
        <x:f>IF(AND(Z1495="共同",COUNT(H1495:I1495)=2),H1495-I1495,"")</x:f>
      </x:c>
      <x:c r="O1495" s="10"/>
      <x:c r="P1495" s="10"/>
      <x:c r="Q1495" s="10"/>
      <x:c r="R1495" s="10"/>
      <x:c r="S1495" s="10"/>
      <x:c r="T1495" s="10"/>
      <x:c r="U1495" s="10" t="str">
        <x:f>IF(AND(ISNUMBER(X1495),X1495&gt;=0,Y1495&lt;&gt;1),X1495,"")</x:f>
      </x:c>
      <x:c r="V1495" s="10"/>
      <x:c r="W1495" s="10"/>
      <x:c r="X1495" s="10"/>
      <x:c r="Y1495" s="3"/>
      <x:c r="Z1495" s="3" t="str">
        <x:v>移出</x:v>
      </x:c>
      <x:c r="AA1495" s="3" t="str">
        <x:v>已移出</x:v>
      </x:c>
      <x:c r="AB1495" s="12" t="str">
        <x:f>IF(AND(Z1495="共同",ISNUMBER(G1495),ISNUMBER(AD1495)),G1495-AD1495,"")</x:f>
      </x:c>
      <x:c r="AC1495" s="3" t="str">
        <x:v>基准清单已移出</x:v>
      </x:c>
      <x:c r="AD1495" s="12"/>
      <x:c r="AE1495" s="3" t="str">
        <x:v>[6574,"S02b-RD-40"]</x:v>
      </x:c>
      <x:c r="AF1495" t="n">
        <x:f>IF(ISNUMBER(H1495),1,0)</x:f>
        <x:v>0</x:v>
      </x:c>
      <x:c r="AG1495" t="n">
        <x:f>IF(ISNUMBER(I1495),1,0)</x:f>
        <x:v>1</x:v>
      </x:c>
      <x:c r="AH1495"/>
      <x:c r="AI1495" t="n">
        <x:f>IF(ISNUMBER(G1495),1,0)</x:f>
        <x:v>0</x:v>
      </x:c>
      <x:c r="AJ1495" t="n">
        <x:f>IF(ISNUMBER(AD1495),1,0)</x:f>
        <x:v>0</x:v>
      </x:c>
    </x:row>
    <x:row r="1496" ht="30" customHeight="1">
      <x:c r="A1496" s="3" t="str">
        <x:v>S02b-RD-41</x:v>
      </x:c>
      <x:c r="B1496" s="3" t="str">
        <x:v>3店-SANDIEX-US</x:v>
      </x:c>
      <x:c r="C1496" s="3" t="str">
        <x:v>陈晨</x:v>
      </x:c>
      <x:c r="D1496" s="3" t="str">
        <x:v>S02b</x:v>
      </x:c>
      <x:c r="E1496" s="3" t="str">
        <x:f>IF(Z1496="移出","已移出",IF(NOT(ISNUMBER(H1496)),"数据待核",IF(H1496=0,"断货",IF(NOT(ISNUMBER(G1496)),"数据待核",IF(G1496=0,"零日销待复核",IF(F1496&lt;60,"补货提醒",IF(F1496&lt;=90,"正常库存",IF(F1496&lt;180,"促销",IF(F1496&lt;=365,"红线促销","考虑清仓")))))))))</x:f>
        <x:v>已移出</x:v>
      </x:c>
      <x:c r="F1496" s="11" t="str">
        <x:f>IF(AND(ISNUMBER(H1496),ISNUMBER(G1496),G1496&gt;0),H1496/G1496,"")</x:f>
      </x:c>
      <x:c r="G1496" s="12" t="str">
        <x:f>IF(AND(COUNT(P1496:R1496)=3,MIN(P1496:R1496)&gt;=0,P1496&lt;=Q1496,Q1496&lt;=R1496),P1496/7*0.5+Q1496/14*0.3+R1496/30*0.2,"")</x:f>
      </x:c>
      <x:c r="H1496" s="10" t="str">
        <x:f>IF(ISNUMBER(U1496),U1496,"")</x:f>
      </x:c>
      <x:c r="I1496" s="10" t="n">
        <x:v>0</x:v>
      </x:c>
      <x:c r="J1496" s="11" t="str">
        <x:f>IF(AND(Z1496="共同",ISNUMBER(F1496),ISNUMBER(M1496)),F1496-M1496,"")</x:f>
      </x:c>
      <x:c r="K1496" s="13" t="str">
        <x:f>IF(AND(ISNUMBER(J1496),M1496&lt;&gt;0),J1496/M1496,"")</x:f>
      </x:c>
      <x:c r="L1496" s="10" t="str">
        <x:v>断货</x:v>
      </x:c>
      <x:c r="M1496" s="11"/>
      <x:c r="N1496" s="10" t="str">
        <x:f>IF(AND(Z1496="共同",COUNT(H1496:I1496)=2),H1496-I1496,"")</x:f>
      </x:c>
      <x:c r="O1496" s="10"/>
      <x:c r="P1496" s="10"/>
      <x:c r="Q1496" s="10"/>
      <x:c r="R1496" s="10"/>
      <x:c r="S1496" s="10"/>
      <x:c r="T1496" s="10"/>
      <x:c r="U1496" s="10" t="str">
        <x:f>IF(AND(ISNUMBER(X1496),X1496&gt;=0,Y1496&lt;&gt;1),X1496,"")</x:f>
      </x:c>
      <x:c r="V1496" s="10"/>
      <x:c r="W1496" s="10"/>
      <x:c r="X1496" s="10"/>
      <x:c r="Y1496" s="3"/>
      <x:c r="Z1496" s="3" t="str">
        <x:v>移出</x:v>
      </x:c>
      <x:c r="AA1496" s="3" t="str">
        <x:v>已移出</x:v>
      </x:c>
      <x:c r="AB1496" s="12" t="str">
        <x:f>IF(AND(Z1496="共同",ISNUMBER(G1496),ISNUMBER(AD1496)),G1496-AD1496,"")</x:f>
      </x:c>
      <x:c r="AC1496" s="3" t="str">
        <x:v>基准清单已移出</x:v>
      </x:c>
      <x:c r="AD1496" s="12"/>
      <x:c r="AE1496" s="3" t="str">
        <x:v>[6574,"S02b-RD-41"]</x:v>
      </x:c>
      <x:c r="AF1496" t="n">
        <x:f>IF(ISNUMBER(H1496),1,0)</x:f>
        <x:v>0</x:v>
      </x:c>
      <x:c r="AG1496" t="n">
        <x:f>IF(ISNUMBER(I1496),1,0)</x:f>
        <x:v>1</x:v>
      </x:c>
      <x:c r="AH1496"/>
      <x:c r="AI1496" t="n">
        <x:f>IF(ISNUMBER(G1496),1,0)</x:f>
        <x:v>0</x:v>
      </x:c>
      <x:c r="AJ1496" t="n">
        <x:f>IF(ISNUMBER(AD1496),1,0)</x:f>
        <x:v>0</x:v>
      </x:c>
    </x:row>
    <x:row r="1497" ht="30" customHeight="1">
      <x:c r="A1497" s="3" t="str">
        <x:v>S02b-RD-42</x:v>
      </x:c>
      <x:c r="B1497" s="3" t="str">
        <x:v>3店-SANDIEX-US</x:v>
      </x:c>
      <x:c r="C1497" s="3" t="str">
        <x:v>陈晨</x:v>
      </x:c>
      <x:c r="D1497" s="3" t="str">
        <x:v>S02b</x:v>
      </x:c>
      <x:c r="E1497" s="3" t="str">
        <x:f>IF(Z1497="移出","已移出",IF(NOT(ISNUMBER(H1497)),"数据待核",IF(H1497=0,"断货",IF(NOT(ISNUMBER(G1497)),"数据待核",IF(G1497=0,"零日销待复核",IF(F1497&lt;60,"补货提醒",IF(F1497&lt;=90,"正常库存",IF(F1497&lt;180,"促销",IF(F1497&lt;=365,"红线促销","考虑清仓")))))))))</x:f>
        <x:v>已移出</x:v>
      </x:c>
      <x:c r="F1497" s="11" t="str">
        <x:f>IF(AND(ISNUMBER(H1497),ISNUMBER(G1497),G1497&gt;0),H1497/G1497,"")</x:f>
      </x:c>
      <x:c r="G1497" s="12" t="str">
        <x:f>IF(AND(COUNT(P1497:R1497)=3,MIN(P1497:R1497)&gt;=0,P1497&lt;=Q1497,Q1497&lt;=R1497),P1497/7*0.5+Q1497/14*0.3+R1497/30*0.2,"")</x:f>
      </x:c>
      <x:c r="H1497" s="10" t="str">
        <x:f>IF(ISNUMBER(U1497),U1497,"")</x:f>
      </x:c>
      <x:c r="I1497" s="10" t="n">
        <x:v>0</x:v>
      </x:c>
      <x:c r="J1497" s="11" t="str">
        <x:f>IF(AND(Z1497="共同",ISNUMBER(F1497),ISNUMBER(M1497)),F1497-M1497,"")</x:f>
      </x:c>
      <x:c r="K1497" s="13" t="str">
        <x:f>IF(AND(ISNUMBER(J1497),M1497&lt;&gt;0),J1497/M1497,"")</x:f>
      </x:c>
      <x:c r="L1497" s="10" t="str">
        <x:v>断货</x:v>
      </x:c>
      <x:c r="M1497" s="11"/>
      <x:c r="N1497" s="10" t="str">
        <x:f>IF(AND(Z1497="共同",COUNT(H1497:I1497)=2),H1497-I1497,"")</x:f>
      </x:c>
      <x:c r="O1497" s="10"/>
      <x:c r="P1497" s="10"/>
      <x:c r="Q1497" s="10"/>
      <x:c r="R1497" s="10"/>
      <x:c r="S1497" s="10"/>
      <x:c r="T1497" s="10"/>
      <x:c r="U1497" s="10" t="str">
        <x:f>IF(AND(ISNUMBER(X1497),X1497&gt;=0,Y1497&lt;&gt;1),X1497,"")</x:f>
      </x:c>
      <x:c r="V1497" s="10"/>
      <x:c r="W1497" s="10"/>
      <x:c r="X1497" s="10"/>
      <x:c r="Y1497" s="3"/>
      <x:c r="Z1497" s="3" t="str">
        <x:v>移出</x:v>
      </x:c>
      <x:c r="AA1497" s="3" t="str">
        <x:v>已移出</x:v>
      </x:c>
      <x:c r="AB1497" s="12" t="str">
        <x:f>IF(AND(Z1497="共同",ISNUMBER(G1497),ISNUMBER(AD1497)),G1497-AD1497,"")</x:f>
      </x:c>
      <x:c r="AC1497" s="3" t="str">
        <x:v>基准清单已移出</x:v>
      </x:c>
      <x:c r="AD1497" s="12"/>
      <x:c r="AE1497" s="3" t="str">
        <x:v>[6574,"S02b-RD-42"]</x:v>
      </x:c>
      <x:c r="AF1497" t="n">
        <x:f>IF(ISNUMBER(H1497),1,0)</x:f>
        <x:v>0</x:v>
      </x:c>
      <x:c r="AG1497" t="n">
        <x:f>IF(ISNUMBER(I1497),1,0)</x:f>
        <x:v>1</x:v>
      </x:c>
      <x:c r="AH1497"/>
      <x:c r="AI1497" t="n">
        <x:f>IF(ISNUMBER(G1497),1,0)</x:f>
        <x:v>0</x:v>
      </x:c>
      <x:c r="AJ1497" t="n">
        <x:f>IF(ISNUMBER(AD1497),1,0)</x:f>
        <x:v>0</x:v>
      </x:c>
    </x:row>
    <x:row r="1498" ht="30" customHeight="1">
      <x:c r="A1498" s="3" t="str">
        <x:v>S02b-TN-37</x:v>
      </x:c>
      <x:c r="B1498" s="3" t="str">
        <x:v>3店-SANDIEX-US</x:v>
      </x:c>
      <x:c r="C1498" s="3" t="str">
        <x:v>陈晨</x:v>
      </x:c>
      <x:c r="D1498" s="3" t="str">
        <x:v>S02b</x:v>
      </x:c>
      <x:c r="E1498" s="3" t="str">
        <x:f>IF(Z1498="移出","已移出",IF(NOT(ISNUMBER(H1498)),"数据待核",IF(H1498=0,"断货",IF(NOT(ISNUMBER(G1498)),"数据待核",IF(G1498=0,"零日销待复核",IF(F1498&lt;60,"补货提醒",IF(F1498&lt;=90,"正常库存",IF(F1498&lt;180,"促销",IF(F1498&lt;=365,"红线促销","考虑清仓")))))))))</x:f>
        <x:v>已移出</x:v>
      </x:c>
      <x:c r="F1498" s="11" t="str">
        <x:f>IF(AND(ISNUMBER(H1498),ISNUMBER(G1498),G1498&gt;0),H1498/G1498,"")</x:f>
      </x:c>
      <x:c r="G1498" s="12" t="str">
        <x:f>IF(AND(COUNT(P1498:R1498)=3,MIN(P1498:R1498)&gt;=0,P1498&lt;=Q1498,Q1498&lt;=R1498),P1498/7*0.5+Q1498/14*0.3+R1498/30*0.2,"")</x:f>
      </x:c>
      <x:c r="H1498" s="10" t="str">
        <x:f>IF(ISNUMBER(U1498),U1498,"")</x:f>
      </x:c>
      <x:c r="I1498" s="10" t="n">
        <x:v>0</x:v>
      </x:c>
      <x:c r="J1498" s="11" t="str">
        <x:f>IF(AND(Z1498="共同",ISNUMBER(F1498),ISNUMBER(M1498)),F1498-M1498,"")</x:f>
      </x:c>
      <x:c r="K1498" s="13" t="str">
        <x:f>IF(AND(ISNUMBER(J1498),M1498&lt;&gt;0),J1498/M1498,"")</x:f>
      </x:c>
      <x:c r="L1498" s="10" t="str">
        <x:v>断货</x:v>
      </x:c>
      <x:c r="M1498" s="11"/>
      <x:c r="N1498" s="10" t="str">
        <x:f>IF(AND(Z1498="共同",COUNT(H1498:I1498)=2),H1498-I1498,"")</x:f>
      </x:c>
      <x:c r="O1498" s="10"/>
      <x:c r="P1498" s="10"/>
      <x:c r="Q1498" s="10"/>
      <x:c r="R1498" s="10"/>
      <x:c r="S1498" s="10"/>
      <x:c r="T1498" s="10"/>
      <x:c r="U1498" s="10" t="str">
        <x:f>IF(AND(ISNUMBER(X1498),X1498&gt;=0,Y1498&lt;&gt;1),X1498,"")</x:f>
      </x:c>
      <x:c r="V1498" s="10"/>
      <x:c r="W1498" s="10"/>
      <x:c r="X1498" s="10"/>
      <x:c r="Y1498" s="3"/>
      <x:c r="Z1498" s="3" t="str">
        <x:v>移出</x:v>
      </x:c>
      <x:c r="AA1498" s="3" t="str">
        <x:v>已移出</x:v>
      </x:c>
      <x:c r="AB1498" s="12" t="str">
        <x:f>IF(AND(Z1498="共同",ISNUMBER(G1498),ISNUMBER(AD1498)),G1498-AD1498,"")</x:f>
      </x:c>
      <x:c r="AC1498" s="3" t="str">
        <x:v>基准清单已移出</x:v>
      </x:c>
      <x:c r="AD1498" s="12"/>
      <x:c r="AE1498" s="3" t="str">
        <x:v>[6574,"S02b-TN-37"]</x:v>
      </x:c>
      <x:c r="AF1498" t="n">
        <x:f>IF(ISNUMBER(H1498),1,0)</x:f>
        <x:v>0</x:v>
      </x:c>
      <x:c r="AG1498" t="n">
        <x:f>IF(ISNUMBER(I1498),1,0)</x:f>
        <x:v>1</x:v>
      </x:c>
      <x:c r="AH1498"/>
      <x:c r="AI1498" t="n">
        <x:f>IF(ISNUMBER(G1498),1,0)</x:f>
        <x:v>0</x:v>
      </x:c>
      <x:c r="AJ1498" t="n">
        <x:f>IF(ISNUMBER(AD1498),1,0)</x:f>
        <x:v>0</x:v>
      </x:c>
    </x:row>
    <x:row r="1499" ht="30" customHeight="1">
      <x:c r="A1499" s="3" t="str">
        <x:v>S02b-TN-38</x:v>
      </x:c>
      <x:c r="B1499" s="3" t="str">
        <x:v>3店-SANDIEX-US</x:v>
      </x:c>
      <x:c r="C1499" s="3" t="str">
        <x:v>陈晨</x:v>
      </x:c>
      <x:c r="D1499" s="3" t="str">
        <x:v>S02b</x:v>
      </x:c>
      <x:c r="E1499" s="3" t="str">
        <x:f>IF(Z1499="移出","已移出",IF(NOT(ISNUMBER(H1499)),"数据待核",IF(H1499=0,"断货",IF(NOT(ISNUMBER(G1499)),"数据待核",IF(G1499=0,"零日销待复核",IF(F1499&lt;60,"补货提醒",IF(F1499&lt;=90,"正常库存",IF(F1499&lt;180,"促销",IF(F1499&lt;=365,"红线促销","考虑清仓")))))))))</x:f>
        <x:v>已移出</x:v>
      </x:c>
      <x:c r="F1499" s="11" t="str">
        <x:f>IF(AND(ISNUMBER(H1499),ISNUMBER(G1499),G1499&gt;0),H1499/G1499,"")</x:f>
      </x:c>
      <x:c r="G1499" s="12" t="str">
        <x:f>IF(AND(COUNT(P1499:R1499)=3,MIN(P1499:R1499)&gt;=0,P1499&lt;=Q1499,Q1499&lt;=R1499),P1499/7*0.5+Q1499/14*0.3+R1499/30*0.2,"")</x:f>
      </x:c>
      <x:c r="H1499" s="10" t="str">
        <x:f>IF(ISNUMBER(U1499),U1499,"")</x:f>
      </x:c>
      <x:c r="I1499" s="10" t="n">
        <x:v>34</x:v>
      </x:c>
      <x:c r="J1499" s="11" t="str">
        <x:f>IF(AND(Z1499="共同",ISNUMBER(F1499),ISNUMBER(M1499)),F1499-M1499,"")</x:f>
      </x:c>
      <x:c r="K1499" s="13" t="str">
        <x:f>IF(AND(ISNUMBER(J1499),M1499&lt;&gt;0),J1499/M1499,"")</x:f>
      </x:c>
      <x:c r="L1499" s="10" t="str">
        <x:v>数据待核</x:v>
      </x:c>
      <x:c r="M1499" s="11"/>
      <x:c r="N1499" s="10" t="str">
        <x:f>IF(AND(Z1499="共同",COUNT(H1499:I1499)=2),H1499-I1499,"")</x:f>
      </x:c>
      <x:c r="O1499" s="10"/>
      <x:c r="P1499" s="10"/>
      <x:c r="Q1499" s="10"/>
      <x:c r="R1499" s="10"/>
      <x:c r="S1499" s="10"/>
      <x:c r="T1499" s="10"/>
      <x:c r="U1499" s="10" t="str">
        <x:f>IF(AND(ISNUMBER(X1499),X1499&gt;=0,Y1499&lt;&gt;1),X1499,"")</x:f>
      </x:c>
      <x:c r="V1499" s="10"/>
      <x:c r="W1499" s="10"/>
      <x:c r="X1499" s="10"/>
      <x:c r="Y1499" s="3"/>
      <x:c r="Z1499" s="3" t="str">
        <x:v>移出</x:v>
      </x:c>
      <x:c r="AA1499" s="3" t="str">
        <x:v>已移出</x:v>
      </x:c>
      <x:c r="AB1499" s="12" t="str">
        <x:f>IF(AND(Z1499="共同",ISNUMBER(G1499),ISNUMBER(AD1499)),G1499-AD1499,"")</x:f>
      </x:c>
      <x:c r="AC1499" s="3" t="str">
        <x:v>基准清单已移出</x:v>
      </x:c>
      <x:c r="AD1499" s="12"/>
      <x:c r="AE1499" s="3" t="str">
        <x:v>[6574,"S02b-TN-38"]</x:v>
      </x:c>
      <x:c r="AF1499" t="n">
        <x:f>IF(ISNUMBER(H1499),1,0)</x:f>
        <x:v>0</x:v>
      </x:c>
      <x:c r="AG1499" t="n">
        <x:f>IF(ISNUMBER(I1499),1,0)</x:f>
        <x:v>1</x:v>
      </x:c>
      <x:c r="AH1499"/>
      <x:c r="AI1499" t="n">
        <x:f>IF(ISNUMBER(G1499),1,0)</x:f>
        <x:v>0</x:v>
      </x:c>
      <x:c r="AJ1499" t="n">
        <x:f>IF(ISNUMBER(AD1499),1,0)</x:f>
        <x:v>0</x:v>
      </x:c>
    </x:row>
    <x:row r="1500" ht="30" customHeight="1">
      <x:c r="A1500" s="3" t="str">
        <x:v>S02b-TN-39</x:v>
      </x:c>
      <x:c r="B1500" s="3" t="str">
        <x:v>3店-SANDIEX-US</x:v>
      </x:c>
      <x:c r="C1500" s="3" t="str">
        <x:v>陈晨</x:v>
      </x:c>
      <x:c r="D1500" s="3" t="str">
        <x:v>S02b</x:v>
      </x:c>
      <x:c r="E1500" s="3" t="str">
        <x:f>IF(Z1500="移出","已移出",IF(NOT(ISNUMBER(H1500)),"数据待核",IF(H1500=0,"断货",IF(NOT(ISNUMBER(G1500)),"数据待核",IF(G1500=0,"零日销待复核",IF(F1500&lt;60,"补货提醒",IF(F1500&lt;=90,"正常库存",IF(F1500&lt;180,"促销",IF(F1500&lt;=365,"红线促销","考虑清仓")))))))))</x:f>
        <x:v>已移出</x:v>
      </x:c>
      <x:c r="F1500" s="11" t="str">
        <x:f>IF(AND(ISNUMBER(H1500),ISNUMBER(G1500),G1500&gt;0),H1500/G1500,"")</x:f>
      </x:c>
      <x:c r="G1500" s="12" t="str">
        <x:f>IF(AND(COUNT(P1500:R1500)=3,MIN(P1500:R1500)&gt;=0,P1500&lt;=Q1500,Q1500&lt;=R1500),P1500/7*0.5+Q1500/14*0.3+R1500/30*0.2,"")</x:f>
      </x:c>
      <x:c r="H1500" s="10" t="str">
        <x:f>IF(ISNUMBER(U1500),U1500,"")</x:f>
      </x:c>
      <x:c r="I1500" s="10" t="n">
        <x:v>42</x:v>
      </x:c>
      <x:c r="J1500" s="11" t="str">
        <x:f>IF(AND(Z1500="共同",ISNUMBER(F1500),ISNUMBER(M1500)),F1500-M1500,"")</x:f>
      </x:c>
      <x:c r="K1500" s="13" t="str">
        <x:f>IF(AND(ISNUMBER(J1500),M1500&lt;&gt;0),J1500/M1500,"")</x:f>
      </x:c>
      <x:c r="L1500" s="10" t="str">
        <x:v>数据待核</x:v>
      </x:c>
      <x:c r="M1500" s="11"/>
      <x:c r="N1500" s="10" t="str">
        <x:f>IF(AND(Z1500="共同",COUNT(H1500:I1500)=2),H1500-I1500,"")</x:f>
      </x:c>
      <x:c r="O1500" s="10"/>
      <x:c r="P1500" s="10"/>
      <x:c r="Q1500" s="10"/>
      <x:c r="R1500" s="10"/>
      <x:c r="S1500" s="10"/>
      <x:c r="T1500" s="10"/>
      <x:c r="U1500" s="10" t="str">
        <x:f>IF(AND(ISNUMBER(X1500),X1500&gt;=0,Y1500&lt;&gt;1),X1500,"")</x:f>
      </x:c>
      <x:c r="V1500" s="10"/>
      <x:c r="W1500" s="10"/>
      <x:c r="X1500" s="10"/>
      <x:c r="Y1500" s="3"/>
      <x:c r="Z1500" s="3" t="str">
        <x:v>移出</x:v>
      </x:c>
      <x:c r="AA1500" s="3" t="str">
        <x:v>已移出</x:v>
      </x:c>
      <x:c r="AB1500" s="12" t="str">
        <x:f>IF(AND(Z1500="共同",ISNUMBER(G1500),ISNUMBER(AD1500)),G1500-AD1500,"")</x:f>
      </x:c>
      <x:c r="AC1500" s="3" t="str">
        <x:v>基准清单已移出</x:v>
      </x:c>
      <x:c r="AD1500" s="12"/>
      <x:c r="AE1500" s="3" t="str">
        <x:v>[6574,"S02b-TN-39"]</x:v>
      </x:c>
      <x:c r="AF1500" t="n">
        <x:f>IF(ISNUMBER(H1500),1,0)</x:f>
        <x:v>0</x:v>
      </x:c>
      <x:c r="AG1500" t="n">
        <x:f>IF(ISNUMBER(I1500),1,0)</x:f>
        <x:v>1</x:v>
      </x:c>
      <x:c r="AH1500"/>
      <x:c r="AI1500" t="n">
        <x:f>IF(ISNUMBER(G1500),1,0)</x:f>
        <x:v>0</x:v>
      </x:c>
      <x:c r="AJ1500" t="n">
        <x:f>IF(ISNUMBER(AD1500),1,0)</x:f>
        <x:v>0</x:v>
      </x:c>
    </x:row>
    <x:row r="1501" ht="30" customHeight="1">
      <x:c r="A1501" s="3" t="str">
        <x:v>S02b-TN-40</x:v>
      </x:c>
      <x:c r="B1501" s="3" t="str">
        <x:v>3店-SANDIEX-US</x:v>
      </x:c>
      <x:c r="C1501" s="3" t="str">
        <x:v>陈晨</x:v>
      </x:c>
      <x:c r="D1501" s="3" t="str">
        <x:v>S02b</x:v>
      </x:c>
      <x:c r="E1501" s="3" t="str">
        <x:f>IF(Z1501="移出","已移出",IF(NOT(ISNUMBER(H1501)),"数据待核",IF(H1501=0,"断货",IF(NOT(ISNUMBER(G1501)),"数据待核",IF(G1501=0,"零日销待复核",IF(F1501&lt;60,"补货提醒",IF(F1501&lt;=90,"正常库存",IF(F1501&lt;180,"促销",IF(F1501&lt;=365,"红线促销","考虑清仓")))))))))</x:f>
        <x:v>已移出</x:v>
      </x:c>
      <x:c r="F1501" s="11" t="str">
        <x:f>IF(AND(ISNUMBER(H1501),ISNUMBER(G1501),G1501&gt;0),H1501/G1501,"")</x:f>
      </x:c>
      <x:c r="G1501" s="12" t="str">
        <x:f>IF(AND(COUNT(P1501:R1501)=3,MIN(P1501:R1501)&gt;=0,P1501&lt;=Q1501,Q1501&lt;=R1501),P1501/7*0.5+Q1501/14*0.3+R1501/30*0.2,"")</x:f>
      </x:c>
      <x:c r="H1501" s="10" t="str">
        <x:f>IF(ISNUMBER(U1501),U1501,"")</x:f>
      </x:c>
      <x:c r="I1501" s="10" t="n">
        <x:v>31</x:v>
      </x:c>
      <x:c r="J1501" s="11" t="str">
        <x:f>IF(AND(Z1501="共同",ISNUMBER(F1501),ISNUMBER(M1501)),F1501-M1501,"")</x:f>
      </x:c>
      <x:c r="K1501" s="13" t="str">
        <x:f>IF(AND(ISNUMBER(J1501),M1501&lt;&gt;0),J1501/M1501,"")</x:f>
      </x:c>
      <x:c r="L1501" s="10" t="str">
        <x:v>数据待核</x:v>
      </x:c>
      <x:c r="M1501" s="11"/>
      <x:c r="N1501" s="10" t="str">
        <x:f>IF(AND(Z1501="共同",COUNT(H1501:I1501)=2),H1501-I1501,"")</x:f>
      </x:c>
      <x:c r="O1501" s="10"/>
      <x:c r="P1501" s="10"/>
      <x:c r="Q1501" s="10"/>
      <x:c r="R1501" s="10"/>
      <x:c r="S1501" s="10"/>
      <x:c r="T1501" s="10"/>
      <x:c r="U1501" s="10" t="str">
        <x:f>IF(AND(ISNUMBER(X1501),X1501&gt;=0,Y1501&lt;&gt;1),X1501,"")</x:f>
      </x:c>
      <x:c r="V1501" s="10"/>
      <x:c r="W1501" s="10"/>
      <x:c r="X1501" s="10"/>
      <x:c r="Y1501" s="3"/>
      <x:c r="Z1501" s="3" t="str">
        <x:v>移出</x:v>
      </x:c>
      <x:c r="AA1501" s="3" t="str">
        <x:v>已移出</x:v>
      </x:c>
      <x:c r="AB1501" s="12" t="str">
        <x:f>IF(AND(Z1501="共同",ISNUMBER(G1501),ISNUMBER(AD1501)),G1501-AD1501,"")</x:f>
      </x:c>
      <x:c r="AC1501" s="3" t="str">
        <x:v>基准清单已移出</x:v>
      </x:c>
      <x:c r="AD1501" s="12"/>
      <x:c r="AE1501" s="3" t="str">
        <x:v>[6574,"S02b-TN-40"]</x:v>
      </x:c>
      <x:c r="AF1501" t="n">
        <x:f>IF(ISNUMBER(H1501),1,0)</x:f>
        <x:v>0</x:v>
      </x:c>
      <x:c r="AG1501" t="n">
        <x:f>IF(ISNUMBER(I1501),1,0)</x:f>
        <x:v>1</x:v>
      </x:c>
      <x:c r="AH1501"/>
      <x:c r="AI1501" t="n">
        <x:f>IF(ISNUMBER(G1501),1,0)</x:f>
        <x:v>0</x:v>
      </x:c>
      <x:c r="AJ1501" t="n">
        <x:f>IF(ISNUMBER(AD1501),1,0)</x:f>
        <x:v>0</x:v>
      </x:c>
    </x:row>
    <x:row r="1502" ht="30" customHeight="1">
      <x:c r="A1502" s="3" t="str">
        <x:v>S02b-TN-41</x:v>
      </x:c>
      <x:c r="B1502" s="3" t="str">
        <x:v>3店-SANDIEX-US</x:v>
      </x:c>
      <x:c r="C1502" s="3" t="str">
        <x:v>陈晨</x:v>
      </x:c>
      <x:c r="D1502" s="3" t="str">
        <x:v>S02b</x:v>
      </x:c>
      <x:c r="E1502" s="3" t="str">
        <x:f>IF(Z1502="移出","已移出",IF(NOT(ISNUMBER(H1502)),"数据待核",IF(H1502=0,"断货",IF(NOT(ISNUMBER(G1502)),"数据待核",IF(G1502=0,"零日销待复核",IF(F1502&lt;60,"补货提醒",IF(F1502&lt;=90,"正常库存",IF(F1502&lt;180,"促销",IF(F1502&lt;=365,"红线促销","考虑清仓")))))))))</x:f>
        <x:v>已移出</x:v>
      </x:c>
      <x:c r="F1502" s="11" t="str">
        <x:f>IF(AND(ISNUMBER(H1502),ISNUMBER(G1502),G1502&gt;0),H1502/G1502,"")</x:f>
      </x:c>
      <x:c r="G1502" s="12" t="str">
        <x:f>IF(AND(COUNT(P1502:R1502)=3,MIN(P1502:R1502)&gt;=0,P1502&lt;=Q1502,Q1502&lt;=R1502),P1502/7*0.5+Q1502/14*0.3+R1502/30*0.2,"")</x:f>
      </x:c>
      <x:c r="H1502" s="10" t="str">
        <x:f>IF(ISNUMBER(U1502),U1502,"")</x:f>
      </x:c>
      <x:c r="I1502" s="10" t="n">
        <x:v>31</x:v>
      </x:c>
      <x:c r="J1502" s="11" t="str">
        <x:f>IF(AND(Z1502="共同",ISNUMBER(F1502),ISNUMBER(M1502)),F1502-M1502,"")</x:f>
      </x:c>
      <x:c r="K1502" s="13" t="str">
        <x:f>IF(AND(ISNUMBER(J1502),M1502&lt;&gt;0),J1502/M1502,"")</x:f>
      </x:c>
      <x:c r="L1502" s="10" t="str">
        <x:v>数据待核</x:v>
      </x:c>
      <x:c r="M1502" s="11"/>
      <x:c r="N1502" s="10" t="str">
        <x:f>IF(AND(Z1502="共同",COUNT(H1502:I1502)=2),H1502-I1502,"")</x:f>
      </x:c>
      <x:c r="O1502" s="10"/>
      <x:c r="P1502" s="10"/>
      <x:c r="Q1502" s="10"/>
      <x:c r="R1502" s="10"/>
      <x:c r="S1502" s="10"/>
      <x:c r="T1502" s="10"/>
      <x:c r="U1502" s="10" t="str">
        <x:f>IF(AND(ISNUMBER(X1502),X1502&gt;=0,Y1502&lt;&gt;1),X1502,"")</x:f>
      </x:c>
      <x:c r="V1502" s="10"/>
      <x:c r="W1502" s="10"/>
      <x:c r="X1502" s="10"/>
      <x:c r="Y1502" s="3"/>
      <x:c r="Z1502" s="3" t="str">
        <x:v>移出</x:v>
      </x:c>
      <x:c r="AA1502" s="3" t="str">
        <x:v>已移出</x:v>
      </x:c>
      <x:c r="AB1502" s="12" t="str">
        <x:f>IF(AND(Z1502="共同",ISNUMBER(G1502),ISNUMBER(AD1502)),G1502-AD1502,"")</x:f>
      </x:c>
      <x:c r="AC1502" s="3" t="str">
        <x:v>基准清单已移出</x:v>
      </x:c>
      <x:c r="AD1502" s="12"/>
      <x:c r="AE1502" s="3" t="str">
        <x:v>[6574,"S02b-TN-41"]</x:v>
      </x:c>
      <x:c r="AF1502" t="n">
        <x:f>IF(ISNUMBER(H1502),1,0)</x:f>
        <x:v>0</x:v>
      </x:c>
      <x:c r="AG1502" t="n">
        <x:f>IF(ISNUMBER(I1502),1,0)</x:f>
        <x:v>1</x:v>
      </x:c>
      <x:c r="AH1502"/>
      <x:c r="AI1502" t="n">
        <x:f>IF(ISNUMBER(G1502),1,0)</x:f>
        <x:v>0</x:v>
      </x:c>
      <x:c r="AJ1502" t="n">
        <x:f>IF(ISNUMBER(AD1502),1,0)</x:f>
        <x:v>0</x:v>
      </x:c>
    </x:row>
    <x:row r="1503" ht="30" customHeight="1">
      <x:c r="A1503" s="3" t="str">
        <x:v>S02b-TN-42</x:v>
      </x:c>
      <x:c r="B1503" s="3" t="str">
        <x:v>3店-SANDIEX-US</x:v>
      </x:c>
      <x:c r="C1503" s="3" t="str">
        <x:v>陈晨</x:v>
      </x:c>
      <x:c r="D1503" s="3" t="str">
        <x:v>S02b</x:v>
      </x:c>
      <x:c r="E1503" s="3" t="str">
        <x:f>IF(Z1503="移出","已移出",IF(NOT(ISNUMBER(H1503)),"数据待核",IF(H1503=0,"断货",IF(NOT(ISNUMBER(G1503)),"数据待核",IF(G1503=0,"零日销待复核",IF(F1503&lt;60,"补货提醒",IF(F1503&lt;=90,"正常库存",IF(F1503&lt;180,"促销",IF(F1503&lt;=365,"红线促销","考虑清仓")))))))))</x:f>
        <x:v>已移出</x:v>
      </x:c>
      <x:c r="F1503" s="11" t="str">
        <x:f>IF(AND(ISNUMBER(H1503),ISNUMBER(G1503),G1503&gt;0),H1503/G1503,"")</x:f>
      </x:c>
      <x:c r="G1503" s="12" t="str">
        <x:f>IF(AND(COUNT(P1503:R1503)=3,MIN(P1503:R1503)&gt;=0,P1503&lt;=Q1503,Q1503&lt;=R1503),P1503/7*0.5+Q1503/14*0.3+R1503/30*0.2,"")</x:f>
      </x:c>
      <x:c r="H1503" s="10" t="str">
        <x:f>IF(ISNUMBER(U1503),U1503,"")</x:f>
      </x:c>
      <x:c r="I1503" s="10" t="n">
        <x:v>1</x:v>
      </x:c>
      <x:c r="J1503" s="11" t="str">
        <x:f>IF(AND(Z1503="共同",ISNUMBER(F1503),ISNUMBER(M1503)),F1503-M1503,"")</x:f>
      </x:c>
      <x:c r="K1503" s="13" t="str">
        <x:f>IF(AND(ISNUMBER(J1503),M1503&lt;&gt;0),J1503/M1503,"")</x:f>
      </x:c>
      <x:c r="L1503" s="10" t="str">
        <x:v>数据待核</x:v>
      </x:c>
      <x:c r="M1503" s="11"/>
      <x:c r="N1503" s="10" t="str">
        <x:f>IF(AND(Z1503="共同",COUNT(H1503:I1503)=2),H1503-I1503,"")</x:f>
      </x:c>
      <x:c r="O1503" s="10"/>
      <x:c r="P1503" s="10"/>
      <x:c r="Q1503" s="10"/>
      <x:c r="R1503" s="10"/>
      <x:c r="S1503" s="10"/>
      <x:c r="T1503" s="10"/>
      <x:c r="U1503" s="10" t="str">
        <x:f>IF(AND(ISNUMBER(X1503),X1503&gt;=0,Y1503&lt;&gt;1),X1503,"")</x:f>
      </x:c>
      <x:c r="V1503" s="10"/>
      <x:c r="W1503" s="10"/>
      <x:c r="X1503" s="10"/>
      <x:c r="Y1503" s="3"/>
      <x:c r="Z1503" s="3" t="str">
        <x:v>移出</x:v>
      </x:c>
      <x:c r="AA1503" s="3" t="str">
        <x:v>已移出</x:v>
      </x:c>
      <x:c r="AB1503" s="12" t="str">
        <x:f>IF(AND(Z1503="共同",ISNUMBER(G1503),ISNUMBER(AD1503)),G1503-AD1503,"")</x:f>
      </x:c>
      <x:c r="AC1503" s="3" t="str">
        <x:v>基准清单已移出</x:v>
      </x:c>
      <x:c r="AD1503" s="12"/>
      <x:c r="AE1503" s="3" t="str">
        <x:v>[6574,"S02b-TN-42"]</x:v>
      </x:c>
      <x:c r="AF1503" t="n">
        <x:f>IF(ISNUMBER(H1503),1,0)</x:f>
        <x:v>0</x:v>
      </x:c>
      <x:c r="AG1503" t="n">
        <x:f>IF(ISNUMBER(I1503),1,0)</x:f>
        <x:v>1</x:v>
      </x:c>
      <x:c r="AH1503"/>
      <x:c r="AI1503" t="n">
        <x:f>IF(ISNUMBER(G1503),1,0)</x:f>
        <x:v>0</x:v>
      </x:c>
      <x:c r="AJ1503" t="n">
        <x:f>IF(ISNUMBER(AD1503),1,0)</x:f>
        <x:v>0</x:v>
      </x:c>
    </x:row>
    <x:row r="1504" ht="30" customHeight="1">
      <x:c r="A1504" s="3" t="str">
        <x:v>S02-NY-37</x:v>
      </x:c>
      <x:c r="B1504" s="3" t="str">
        <x:v>3店-SANDIEX-US</x:v>
      </x:c>
      <x:c r="C1504" s="3" t="str">
        <x:v>陈晨</x:v>
      </x:c>
      <x:c r="D1504" s="3" t="str">
        <x:v>S02</x:v>
      </x:c>
      <x:c r="E1504" s="3" t="str">
        <x:f>IF(Z1504="移出","已移出",IF(NOT(ISNUMBER(H1504)),"数据待核",IF(H1504=0,"断货",IF(NOT(ISNUMBER(G1504)),"数据待核",IF(G1504=0,"零日销待复核",IF(F1504&lt;60,"补货提醒",IF(F1504&lt;=90,"正常库存",IF(F1504&lt;180,"促销",IF(F1504&lt;=365,"红线促销","考虑清仓")))))))))</x:f>
        <x:v>已移出</x:v>
      </x:c>
      <x:c r="F1504" s="11" t="str">
        <x:f>IF(AND(ISNUMBER(H1504),ISNUMBER(G1504),G1504&gt;0),H1504/G1504,"")</x:f>
      </x:c>
      <x:c r="G1504" s="12" t="str">
        <x:f>IF(AND(COUNT(P1504:R1504)=3,MIN(P1504:R1504)&gt;=0,P1504&lt;=Q1504,Q1504&lt;=R1504),P1504/7*0.5+Q1504/14*0.3+R1504/30*0.2,"")</x:f>
      </x:c>
      <x:c r="H1504" s="10" t="str">
        <x:f>IF(ISNUMBER(U1504),U1504,"")</x:f>
      </x:c>
      <x:c r="I1504" s="10" t="n">
        <x:v>0</x:v>
      </x:c>
      <x:c r="J1504" s="11" t="str">
        <x:f>IF(AND(Z1504="共同",ISNUMBER(F1504),ISNUMBER(M1504)),F1504-M1504,"")</x:f>
      </x:c>
      <x:c r="K1504" s="13" t="str">
        <x:f>IF(AND(ISNUMBER(J1504),M1504&lt;&gt;0),J1504/M1504,"")</x:f>
      </x:c>
      <x:c r="L1504" s="10" t="str">
        <x:v>断货</x:v>
      </x:c>
      <x:c r="M1504" s="11"/>
      <x:c r="N1504" s="10" t="str">
        <x:f>IF(AND(Z1504="共同",COUNT(H1504:I1504)=2),H1504-I1504,"")</x:f>
      </x:c>
      <x:c r="O1504" s="10"/>
      <x:c r="P1504" s="10"/>
      <x:c r="Q1504" s="10"/>
      <x:c r="R1504" s="10"/>
      <x:c r="S1504" s="10"/>
      <x:c r="T1504" s="10"/>
      <x:c r="U1504" s="10" t="str">
        <x:f>IF(AND(ISNUMBER(X1504),X1504&gt;=0,Y1504&lt;&gt;1),X1504,"")</x:f>
      </x:c>
      <x:c r="V1504" s="10"/>
      <x:c r="W1504" s="10"/>
      <x:c r="X1504" s="10"/>
      <x:c r="Y1504" s="3"/>
      <x:c r="Z1504" s="3" t="str">
        <x:v>移出</x:v>
      </x:c>
      <x:c r="AA1504" s="3" t="str">
        <x:v>已移出</x:v>
      </x:c>
      <x:c r="AB1504" s="12" t="str">
        <x:f>IF(AND(Z1504="共同",ISNUMBER(G1504),ISNUMBER(AD1504)),G1504-AD1504,"")</x:f>
      </x:c>
      <x:c r="AC1504" s="3" t="str">
        <x:v>基准清单已移出</x:v>
      </x:c>
      <x:c r="AD1504" s="12"/>
      <x:c r="AE1504" s="3" t="str">
        <x:v>[6574,"S02-NY-37"]</x:v>
      </x:c>
      <x:c r="AF1504" t="n">
        <x:f>IF(ISNUMBER(H1504),1,0)</x:f>
        <x:v>0</x:v>
      </x:c>
      <x:c r="AG1504" t="n">
        <x:f>IF(ISNUMBER(I1504),1,0)</x:f>
        <x:v>1</x:v>
      </x:c>
      <x:c r="AH1504"/>
      <x:c r="AI1504" t="n">
        <x:f>IF(ISNUMBER(G1504),1,0)</x:f>
        <x:v>0</x:v>
      </x:c>
      <x:c r="AJ1504" t="n">
        <x:f>IF(ISNUMBER(AD1504),1,0)</x:f>
        <x:v>0</x:v>
      </x:c>
    </x:row>
    <x:row r="1505" ht="30" customHeight="1">
      <x:c r="A1505" s="3" t="str">
        <x:v>S02-NY-38</x:v>
      </x:c>
      <x:c r="B1505" s="3" t="str">
        <x:v>3店-SANDIEX-US</x:v>
      </x:c>
      <x:c r="C1505" s="3" t="str">
        <x:v>陈晨</x:v>
      </x:c>
      <x:c r="D1505" s="3" t="str">
        <x:v>S02</x:v>
      </x:c>
      <x:c r="E1505" s="3" t="str">
        <x:f>IF(Z1505="移出","已移出",IF(NOT(ISNUMBER(H1505)),"数据待核",IF(H1505=0,"断货",IF(NOT(ISNUMBER(G1505)),"数据待核",IF(G1505=0,"零日销待复核",IF(F1505&lt;60,"补货提醒",IF(F1505&lt;=90,"正常库存",IF(F1505&lt;180,"促销",IF(F1505&lt;=365,"红线促销","考虑清仓")))))))))</x:f>
        <x:v>已移出</x:v>
      </x:c>
      <x:c r="F1505" s="11" t="str">
        <x:f>IF(AND(ISNUMBER(H1505),ISNUMBER(G1505),G1505&gt;0),H1505/G1505,"")</x:f>
      </x:c>
      <x:c r="G1505" s="12" t="str">
        <x:f>IF(AND(COUNT(P1505:R1505)=3,MIN(P1505:R1505)&gt;=0,P1505&lt;=Q1505,Q1505&lt;=R1505),P1505/7*0.5+Q1505/14*0.3+R1505/30*0.2,"")</x:f>
      </x:c>
      <x:c r="H1505" s="10" t="str">
        <x:f>IF(ISNUMBER(U1505),U1505,"")</x:f>
      </x:c>
      <x:c r="I1505" s="10" t="n">
        <x:v>0</x:v>
      </x:c>
      <x:c r="J1505" s="11" t="str">
        <x:f>IF(AND(Z1505="共同",ISNUMBER(F1505),ISNUMBER(M1505)),F1505-M1505,"")</x:f>
      </x:c>
      <x:c r="K1505" s="13" t="str">
        <x:f>IF(AND(ISNUMBER(J1505),M1505&lt;&gt;0),J1505/M1505,"")</x:f>
      </x:c>
      <x:c r="L1505" s="10" t="str">
        <x:v>断货</x:v>
      </x:c>
      <x:c r="M1505" s="11"/>
      <x:c r="N1505" s="10" t="str">
        <x:f>IF(AND(Z1505="共同",COUNT(H1505:I1505)=2),H1505-I1505,"")</x:f>
      </x:c>
      <x:c r="O1505" s="10"/>
      <x:c r="P1505" s="10"/>
      <x:c r="Q1505" s="10"/>
      <x:c r="R1505" s="10"/>
      <x:c r="S1505" s="10"/>
      <x:c r="T1505" s="10"/>
      <x:c r="U1505" s="10" t="str">
        <x:f>IF(AND(ISNUMBER(X1505),X1505&gt;=0,Y1505&lt;&gt;1),X1505,"")</x:f>
      </x:c>
      <x:c r="V1505" s="10"/>
      <x:c r="W1505" s="10"/>
      <x:c r="X1505" s="10"/>
      <x:c r="Y1505" s="3"/>
      <x:c r="Z1505" s="3" t="str">
        <x:v>移出</x:v>
      </x:c>
      <x:c r="AA1505" s="3" t="str">
        <x:v>已移出</x:v>
      </x:c>
      <x:c r="AB1505" s="12" t="str">
        <x:f>IF(AND(Z1505="共同",ISNUMBER(G1505),ISNUMBER(AD1505)),G1505-AD1505,"")</x:f>
      </x:c>
      <x:c r="AC1505" s="3" t="str">
        <x:v>基准清单已移出</x:v>
      </x:c>
      <x:c r="AD1505" s="12"/>
      <x:c r="AE1505" s="3" t="str">
        <x:v>[6574,"S02-NY-38"]</x:v>
      </x:c>
      <x:c r="AF1505" t="n">
        <x:f>IF(ISNUMBER(H1505),1,0)</x:f>
        <x:v>0</x:v>
      </x:c>
      <x:c r="AG1505" t="n">
        <x:f>IF(ISNUMBER(I1505),1,0)</x:f>
        <x:v>1</x:v>
      </x:c>
      <x:c r="AH1505"/>
      <x:c r="AI1505" t="n">
        <x:f>IF(ISNUMBER(G1505),1,0)</x:f>
        <x:v>0</x:v>
      </x:c>
      <x:c r="AJ1505" t="n">
        <x:f>IF(ISNUMBER(AD1505),1,0)</x:f>
        <x:v>0</x:v>
      </x:c>
    </x:row>
    <x:row r="1506" ht="30" customHeight="1">
      <x:c r="A1506" s="3" t="str">
        <x:v>S02-NY-39</x:v>
      </x:c>
      <x:c r="B1506" s="3" t="str">
        <x:v>3店-SANDIEX-US</x:v>
      </x:c>
      <x:c r="C1506" s="3" t="str">
        <x:v>陈晨</x:v>
      </x:c>
      <x:c r="D1506" s="3" t="str">
        <x:v>S02</x:v>
      </x:c>
      <x:c r="E1506" s="3" t="str">
        <x:f>IF(Z1506="移出","已移出",IF(NOT(ISNUMBER(H1506)),"数据待核",IF(H1506=0,"断货",IF(NOT(ISNUMBER(G1506)),"数据待核",IF(G1506=0,"零日销待复核",IF(F1506&lt;60,"补货提醒",IF(F1506&lt;=90,"正常库存",IF(F1506&lt;180,"促销",IF(F1506&lt;=365,"红线促销","考虑清仓")))))))))</x:f>
        <x:v>已移出</x:v>
      </x:c>
      <x:c r="F1506" s="11" t="str">
        <x:f>IF(AND(ISNUMBER(H1506),ISNUMBER(G1506),G1506&gt;0),H1506/G1506,"")</x:f>
      </x:c>
      <x:c r="G1506" s="12" t="str">
        <x:f>IF(AND(COUNT(P1506:R1506)=3,MIN(P1506:R1506)&gt;=0,P1506&lt;=Q1506,Q1506&lt;=R1506),P1506/7*0.5+Q1506/14*0.3+R1506/30*0.2,"")</x:f>
      </x:c>
      <x:c r="H1506" s="10" t="str">
        <x:f>IF(ISNUMBER(U1506),U1506,"")</x:f>
      </x:c>
      <x:c r="I1506" s="10" t="n">
        <x:v>0</x:v>
      </x:c>
      <x:c r="J1506" s="11" t="str">
        <x:f>IF(AND(Z1506="共同",ISNUMBER(F1506),ISNUMBER(M1506)),F1506-M1506,"")</x:f>
      </x:c>
      <x:c r="K1506" s="13" t="str">
        <x:f>IF(AND(ISNUMBER(J1506),M1506&lt;&gt;0),J1506/M1506,"")</x:f>
      </x:c>
      <x:c r="L1506" s="10" t="str">
        <x:v>断货</x:v>
      </x:c>
      <x:c r="M1506" s="11"/>
      <x:c r="N1506" s="10" t="str">
        <x:f>IF(AND(Z1506="共同",COUNT(H1506:I1506)=2),H1506-I1506,"")</x:f>
      </x:c>
      <x:c r="O1506" s="10"/>
      <x:c r="P1506" s="10"/>
      <x:c r="Q1506" s="10"/>
      <x:c r="R1506" s="10"/>
      <x:c r="S1506" s="10"/>
      <x:c r="T1506" s="10"/>
      <x:c r="U1506" s="10" t="str">
        <x:f>IF(AND(ISNUMBER(X1506),X1506&gt;=0,Y1506&lt;&gt;1),X1506,"")</x:f>
      </x:c>
      <x:c r="V1506" s="10"/>
      <x:c r="W1506" s="10"/>
      <x:c r="X1506" s="10"/>
      <x:c r="Y1506" s="3"/>
      <x:c r="Z1506" s="3" t="str">
        <x:v>移出</x:v>
      </x:c>
      <x:c r="AA1506" s="3" t="str">
        <x:v>已移出</x:v>
      </x:c>
      <x:c r="AB1506" s="12" t="str">
        <x:f>IF(AND(Z1506="共同",ISNUMBER(G1506),ISNUMBER(AD1506)),G1506-AD1506,"")</x:f>
      </x:c>
      <x:c r="AC1506" s="3" t="str">
        <x:v>基准清单已移出</x:v>
      </x:c>
      <x:c r="AD1506" s="12"/>
      <x:c r="AE1506" s="3" t="str">
        <x:v>[6574,"S02-NY-39"]</x:v>
      </x:c>
      <x:c r="AF1506" t="n">
        <x:f>IF(ISNUMBER(H1506),1,0)</x:f>
        <x:v>0</x:v>
      </x:c>
      <x:c r="AG1506" t="n">
        <x:f>IF(ISNUMBER(I1506),1,0)</x:f>
        <x:v>1</x:v>
      </x:c>
      <x:c r="AH1506"/>
      <x:c r="AI1506" t="n">
        <x:f>IF(ISNUMBER(G1506),1,0)</x:f>
        <x:v>0</x:v>
      </x:c>
      <x:c r="AJ1506" t="n">
        <x:f>IF(ISNUMBER(AD1506),1,0)</x:f>
        <x:v>0</x:v>
      </x:c>
    </x:row>
    <x:row r="1507" ht="30" customHeight="1">
      <x:c r="A1507" s="3" t="str">
        <x:v>S02-NY-41</x:v>
      </x:c>
      <x:c r="B1507" s="3" t="str">
        <x:v>3店-SANDIEX-US</x:v>
      </x:c>
      <x:c r="C1507" s="3" t="str">
        <x:v>陈晨</x:v>
      </x:c>
      <x:c r="D1507" s="3" t="str">
        <x:v>S02</x:v>
      </x:c>
      <x:c r="E1507" s="3" t="str">
        <x:f>IF(Z1507="移出","已移出",IF(NOT(ISNUMBER(H1507)),"数据待核",IF(H1507=0,"断货",IF(NOT(ISNUMBER(G1507)),"数据待核",IF(G1507=0,"零日销待复核",IF(F1507&lt;60,"补货提醒",IF(F1507&lt;=90,"正常库存",IF(F1507&lt;180,"促销",IF(F1507&lt;=365,"红线促销","考虑清仓")))))))))</x:f>
        <x:v>已移出</x:v>
      </x:c>
      <x:c r="F1507" s="11" t="str">
        <x:f>IF(AND(ISNUMBER(H1507),ISNUMBER(G1507),G1507&gt;0),H1507/G1507,"")</x:f>
      </x:c>
      <x:c r="G1507" s="12" t="str">
        <x:f>IF(AND(COUNT(P1507:R1507)=3,MIN(P1507:R1507)&gt;=0,P1507&lt;=Q1507,Q1507&lt;=R1507),P1507/7*0.5+Q1507/14*0.3+R1507/30*0.2,"")</x:f>
      </x:c>
      <x:c r="H1507" s="10" t="str">
        <x:f>IF(ISNUMBER(U1507),U1507,"")</x:f>
      </x:c>
      <x:c r="I1507" s="10" t="n">
        <x:v>0</x:v>
      </x:c>
      <x:c r="J1507" s="11" t="str">
        <x:f>IF(AND(Z1507="共同",ISNUMBER(F1507),ISNUMBER(M1507)),F1507-M1507,"")</x:f>
      </x:c>
      <x:c r="K1507" s="13" t="str">
        <x:f>IF(AND(ISNUMBER(J1507),M1507&lt;&gt;0),J1507/M1507,"")</x:f>
      </x:c>
      <x:c r="L1507" s="10" t="str">
        <x:v>断货</x:v>
      </x:c>
      <x:c r="M1507" s="11"/>
      <x:c r="N1507" s="10" t="str">
        <x:f>IF(AND(Z1507="共同",COUNT(H1507:I1507)=2),H1507-I1507,"")</x:f>
      </x:c>
      <x:c r="O1507" s="10"/>
      <x:c r="P1507" s="10"/>
      <x:c r="Q1507" s="10"/>
      <x:c r="R1507" s="10"/>
      <x:c r="S1507" s="10"/>
      <x:c r="T1507" s="10"/>
      <x:c r="U1507" s="10" t="str">
        <x:f>IF(AND(ISNUMBER(X1507),X1507&gt;=0,Y1507&lt;&gt;1),X1507,"")</x:f>
      </x:c>
      <x:c r="V1507" s="10"/>
      <x:c r="W1507" s="10"/>
      <x:c r="X1507" s="10"/>
      <x:c r="Y1507" s="3"/>
      <x:c r="Z1507" s="3" t="str">
        <x:v>移出</x:v>
      </x:c>
      <x:c r="AA1507" s="3" t="str">
        <x:v>已移出</x:v>
      </x:c>
      <x:c r="AB1507" s="12" t="str">
        <x:f>IF(AND(Z1507="共同",ISNUMBER(G1507),ISNUMBER(AD1507)),G1507-AD1507,"")</x:f>
      </x:c>
      <x:c r="AC1507" s="3" t="str">
        <x:v>基准清单已移出</x:v>
      </x:c>
      <x:c r="AD1507" s="12"/>
      <x:c r="AE1507" s="3" t="str">
        <x:v>[6574,"S02-NY-41"]</x:v>
      </x:c>
      <x:c r="AF1507" t="n">
        <x:f>IF(ISNUMBER(H1507),1,0)</x:f>
        <x:v>0</x:v>
      </x:c>
      <x:c r="AG1507" t="n">
        <x:f>IF(ISNUMBER(I1507),1,0)</x:f>
        <x:v>1</x:v>
      </x:c>
      <x:c r="AH1507"/>
      <x:c r="AI1507" t="n">
        <x:f>IF(ISNUMBER(G1507),1,0)</x:f>
        <x:v>0</x:v>
      </x:c>
      <x:c r="AJ1507" t="n">
        <x:f>IF(ISNUMBER(AD1507),1,0)</x:f>
        <x:v>0</x:v>
      </x:c>
    </x:row>
    <x:row r="1508" ht="30" customHeight="1">
      <x:c r="A1508" s="3" t="str">
        <x:v>S02-NY-42</x:v>
      </x:c>
      <x:c r="B1508" s="3" t="str">
        <x:v>3店-SANDIEX-US</x:v>
      </x:c>
      <x:c r="C1508" s="3" t="str">
        <x:v>陈晨</x:v>
      </x:c>
      <x:c r="D1508" s="3" t="str">
        <x:v>S02</x:v>
      </x:c>
      <x:c r="E1508" s="3" t="str">
        <x:f>IF(Z1508="移出","已移出",IF(NOT(ISNUMBER(H1508)),"数据待核",IF(H1508=0,"断货",IF(NOT(ISNUMBER(G1508)),"数据待核",IF(G1508=0,"零日销待复核",IF(F1508&lt;60,"补货提醒",IF(F1508&lt;=90,"正常库存",IF(F1508&lt;180,"促销",IF(F1508&lt;=365,"红线促销","考虑清仓")))))))))</x:f>
        <x:v>已移出</x:v>
      </x:c>
      <x:c r="F1508" s="11" t="str">
        <x:f>IF(AND(ISNUMBER(H1508),ISNUMBER(G1508),G1508&gt;0),H1508/G1508,"")</x:f>
      </x:c>
      <x:c r="G1508" s="12" t="str">
        <x:f>IF(AND(COUNT(P1508:R1508)=3,MIN(P1508:R1508)&gt;=0,P1508&lt;=Q1508,Q1508&lt;=R1508),P1508/7*0.5+Q1508/14*0.3+R1508/30*0.2,"")</x:f>
      </x:c>
      <x:c r="H1508" s="10" t="str">
        <x:f>IF(ISNUMBER(U1508),U1508,"")</x:f>
      </x:c>
      <x:c r="I1508" s="10" t="n">
        <x:v>0</x:v>
      </x:c>
      <x:c r="J1508" s="11" t="str">
        <x:f>IF(AND(Z1508="共同",ISNUMBER(F1508),ISNUMBER(M1508)),F1508-M1508,"")</x:f>
      </x:c>
      <x:c r="K1508" s="13" t="str">
        <x:f>IF(AND(ISNUMBER(J1508),M1508&lt;&gt;0),J1508/M1508,"")</x:f>
      </x:c>
      <x:c r="L1508" s="10" t="str">
        <x:v>断货</x:v>
      </x:c>
      <x:c r="M1508" s="11"/>
      <x:c r="N1508" s="10" t="str">
        <x:f>IF(AND(Z1508="共同",COUNT(H1508:I1508)=2),H1508-I1508,"")</x:f>
      </x:c>
      <x:c r="O1508" s="10"/>
      <x:c r="P1508" s="10"/>
      <x:c r="Q1508" s="10"/>
      <x:c r="R1508" s="10"/>
      <x:c r="S1508" s="10"/>
      <x:c r="T1508" s="10"/>
      <x:c r="U1508" s="10" t="str">
        <x:f>IF(AND(ISNUMBER(X1508),X1508&gt;=0,Y1508&lt;&gt;1),X1508,"")</x:f>
      </x:c>
      <x:c r="V1508" s="10"/>
      <x:c r="W1508" s="10"/>
      <x:c r="X1508" s="10"/>
      <x:c r="Y1508" s="3"/>
      <x:c r="Z1508" s="3" t="str">
        <x:v>移出</x:v>
      </x:c>
      <x:c r="AA1508" s="3" t="str">
        <x:v>已移出</x:v>
      </x:c>
      <x:c r="AB1508" s="12" t="str">
        <x:f>IF(AND(Z1508="共同",ISNUMBER(G1508),ISNUMBER(AD1508)),G1508-AD1508,"")</x:f>
      </x:c>
      <x:c r="AC1508" s="3" t="str">
        <x:v>基准清单已移出</x:v>
      </x:c>
      <x:c r="AD1508" s="12"/>
      <x:c r="AE1508" s="3" t="str">
        <x:v>[6574,"S02-NY-42"]</x:v>
      </x:c>
      <x:c r="AF1508" t="n">
        <x:f>IF(ISNUMBER(H1508),1,0)</x:f>
        <x:v>0</x:v>
      </x:c>
      <x:c r="AG1508" t="n">
        <x:f>IF(ISNUMBER(I1508),1,0)</x:f>
        <x:v>1</x:v>
      </x:c>
      <x:c r="AH1508"/>
      <x:c r="AI1508" t="n">
        <x:f>IF(ISNUMBER(G1508),1,0)</x:f>
        <x:v>0</x:v>
      </x:c>
      <x:c r="AJ1508" t="n">
        <x:f>IF(ISNUMBER(AD1508),1,0)</x:f>
        <x:v>0</x:v>
      </x:c>
    </x:row>
    <x:row r="1509" ht="30" customHeight="1">
      <x:c r="A1509" s="3" t="str">
        <x:v>S02-RD-37</x:v>
      </x:c>
      <x:c r="B1509" s="3" t="str">
        <x:v>3店-SANDIEX-US</x:v>
      </x:c>
      <x:c r="C1509" s="3" t="str">
        <x:v>陈晨</x:v>
      </x:c>
      <x:c r="D1509" s="3" t="str">
        <x:v>S02</x:v>
      </x:c>
      <x:c r="E1509" s="3" t="str">
        <x:f>IF(Z1509="移出","已移出",IF(NOT(ISNUMBER(H1509)),"数据待核",IF(H1509=0,"断货",IF(NOT(ISNUMBER(G1509)),"数据待核",IF(G1509=0,"零日销待复核",IF(F1509&lt;60,"补货提醒",IF(F1509&lt;=90,"正常库存",IF(F1509&lt;180,"促销",IF(F1509&lt;=365,"红线促销","考虑清仓")))))))))</x:f>
        <x:v>已移出</x:v>
      </x:c>
      <x:c r="F1509" s="11" t="str">
        <x:f>IF(AND(ISNUMBER(H1509),ISNUMBER(G1509),G1509&gt;0),H1509/G1509,"")</x:f>
      </x:c>
      <x:c r="G1509" s="12" t="str">
        <x:f>IF(AND(COUNT(P1509:R1509)=3,MIN(P1509:R1509)&gt;=0,P1509&lt;=Q1509,Q1509&lt;=R1509),P1509/7*0.5+Q1509/14*0.3+R1509/30*0.2,"")</x:f>
      </x:c>
      <x:c r="H1509" s="10" t="str">
        <x:f>IF(ISNUMBER(U1509),U1509,"")</x:f>
      </x:c>
      <x:c r="I1509" s="10" t="n">
        <x:v>0</x:v>
      </x:c>
      <x:c r="J1509" s="11" t="str">
        <x:f>IF(AND(Z1509="共同",ISNUMBER(F1509),ISNUMBER(M1509)),F1509-M1509,"")</x:f>
      </x:c>
      <x:c r="K1509" s="13" t="str">
        <x:f>IF(AND(ISNUMBER(J1509),M1509&lt;&gt;0),J1509/M1509,"")</x:f>
      </x:c>
      <x:c r="L1509" s="10" t="str">
        <x:v>断货</x:v>
      </x:c>
      <x:c r="M1509" s="11"/>
      <x:c r="N1509" s="10" t="str">
        <x:f>IF(AND(Z1509="共同",COUNT(H1509:I1509)=2),H1509-I1509,"")</x:f>
      </x:c>
      <x:c r="O1509" s="10"/>
      <x:c r="P1509" s="10"/>
      <x:c r="Q1509" s="10"/>
      <x:c r="R1509" s="10"/>
      <x:c r="S1509" s="10"/>
      <x:c r="T1509" s="10"/>
      <x:c r="U1509" s="10" t="str">
        <x:f>IF(AND(ISNUMBER(X1509),X1509&gt;=0,Y1509&lt;&gt;1),X1509,"")</x:f>
      </x:c>
      <x:c r="V1509" s="10"/>
      <x:c r="W1509" s="10"/>
      <x:c r="X1509" s="10"/>
      <x:c r="Y1509" s="3"/>
      <x:c r="Z1509" s="3" t="str">
        <x:v>移出</x:v>
      </x:c>
      <x:c r="AA1509" s="3" t="str">
        <x:v>已移出</x:v>
      </x:c>
      <x:c r="AB1509" s="12" t="str">
        <x:f>IF(AND(Z1509="共同",ISNUMBER(G1509),ISNUMBER(AD1509)),G1509-AD1509,"")</x:f>
      </x:c>
      <x:c r="AC1509" s="3" t="str">
        <x:v>基准清单已移出</x:v>
      </x:c>
      <x:c r="AD1509" s="12"/>
      <x:c r="AE1509" s="3" t="str">
        <x:v>[6574,"S02-RD-37"]</x:v>
      </x:c>
      <x:c r="AF1509" t="n">
        <x:f>IF(ISNUMBER(H1509),1,0)</x:f>
        <x:v>0</x:v>
      </x:c>
      <x:c r="AG1509" t="n">
        <x:f>IF(ISNUMBER(I1509),1,0)</x:f>
        <x:v>1</x:v>
      </x:c>
      <x:c r="AH1509"/>
      <x:c r="AI1509" t="n">
        <x:f>IF(ISNUMBER(G1509),1,0)</x:f>
        <x:v>0</x:v>
      </x:c>
      <x:c r="AJ1509" t="n">
        <x:f>IF(ISNUMBER(AD1509),1,0)</x:f>
        <x:v>0</x:v>
      </x:c>
    </x:row>
    <x:row r="1510" ht="30" customHeight="1">
      <x:c r="A1510" s="3" t="str">
        <x:v>S02-RD-38</x:v>
      </x:c>
      <x:c r="B1510" s="3" t="str">
        <x:v>3店-SANDIEX-US</x:v>
      </x:c>
      <x:c r="C1510" s="3" t="str">
        <x:v>陈晨</x:v>
      </x:c>
      <x:c r="D1510" s="3" t="str">
        <x:v>S02</x:v>
      </x:c>
      <x:c r="E1510" s="3" t="str">
        <x:f>IF(Z1510="移出","已移出",IF(NOT(ISNUMBER(H1510)),"数据待核",IF(H1510=0,"断货",IF(NOT(ISNUMBER(G1510)),"数据待核",IF(G1510=0,"零日销待复核",IF(F1510&lt;60,"补货提醒",IF(F1510&lt;=90,"正常库存",IF(F1510&lt;180,"促销",IF(F1510&lt;=365,"红线促销","考虑清仓")))))))))</x:f>
        <x:v>已移出</x:v>
      </x:c>
      <x:c r="F1510" s="11" t="str">
        <x:f>IF(AND(ISNUMBER(H1510),ISNUMBER(G1510),G1510&gt;0),H1510/G1510,"")</x:f>
      </x:c>
      <x:c r="G1510" s="12" t="str">
        <x:f>IF(AND(COUNT(P1510:R1510)=3,MIN(P1510:R1510)&gt;=0,P1510&lt;=Q1510,Q1510&lt;=R1510),P1510/7*0.5+Q1510/14*0.3+R1510/30*0.2,"")</x:f>
      </x:c>
      <x:c r="H1510" s="10" t="str">
        <x:f>IF(ISNUMBER(U1510),U1510,"")</x:f>
      </x:c>
      <x:c r="I1510" s="10" t="n">
        <x:v>0</x:v>
      </x:c>
      <x:c r="J1510" s="11" t="str">
        <x:f>IF(AND(Z1510="共同",ISNUMBER(F1510),ISNUMBER(M1510)),F1510-M1510,"")</x:f>
      </x:c>
      <x:c r="K1510" s="13" t="str">
        <x:f>IF(AND(ISNUMBER(J1510),M1510&lt;&gt;0),J1510/M1510,"")</x:f>
      </x:c>
      <x:c r="L1510" s="10" t="str">
        <x:v>断货</x:v>
      </x:c>
      <x:c r="M1510" s="11"/>
      <x:c r="N1510" s="10" t="str">
        <x:f>IF(AND(Z1510="共同",COUNT(H1510:I1510)=2),H1510-I1510,"")</x:f>
      </x:c>
      <x:c r="O1510" s="10"/>
      <x:c r="P1510" s="10"/>
      <x:c r="Q1510" s="10"/>
      <x:c r="R1510" s="10"/>
      <x:c r="S1510" s="10"/>
      <x:c r="T1510" s="10"/>
      <x:c r="U1510" s="10" t="str">
        <x:f>IF(AND(ISNUMBER(X1510),X1510&gt;=0,Y1510&lt;&gt;1),X1510,"")</x:f>
      </x:c>
      <x:c r="V1510" s="10"/>
      <x:c r="W1510" s="10"/>
      <x:c r="X1510" s="10"/>
      <x:c r="Y1510" s="3"/>
      <x:c r="Z1510" s="3" t="str">
        <x:v>移出</x:v>
      </x:c>
      <x:c r="AA1510" s="3" t="str">
        <x:v>已移出</x:v>
      </x:c>
      <x:c r="AB1510" s="12" t="str">
        <x:f>IF(AND(Z1510="共同",ISNUMBER(G1510),ISNUMBER(AD1510)),G1510-AD1510,"")</x:f>
      </x:c>
      <x:c r="AC1510" s="3" t="str">
        <x:v>基准清单已移出</x:v>
      </x:c>
      <x:c r="AD1510" s="12"/>
      <x:c r="AE1510" s="3" t="str">
        <x:v>[6574,"S02-RD-38"]</x:v>
      </x:c>
      <x:c r="AF1510" t="n">
        <x:f>IF(ISNUMBER(H1510),1,0)</x:f>
        <x:v>0</x:v>
      </x:c>
      <x:c r="AG1510" t="n">
        <x:f>IF(ISNUMBER(I1510),1,0)</x:f>
        <x:v>1</x:v>
      </x:c>
      <x:c r="AH1510"/>
      <x:c r="AI1510" t="n">
        <x:f>IF(ISNUMBER(G1510),1,0)</x:f>
        <x:v>0</x:v>
      </x:c>
      <x:c r="AJ1510" t="n">
        <x:f>IF(ISNUMBER(AD1510),1,0)</x:f>
        <x:v>0</x:v>
      </x:c>
    </x:row>
    <x:row r="1511" ht="30" customHeight="1">
      <x:c r="A1511" s="3" t="str">
        <x:v>S02-RD-39</x:v>
      </x:c>
      <x:c r="B1511" s="3" t="str">
        <x:v>3店-SANDIEX-US</x:v>
      </x:c>
      <x:c r="C1511" s="3" t="str">
        <x:v>陈晨</x:v>
      </x:c>
      <x:c r="D1511" s="3" t="str">
        <x:v>S02</x:v>
      </x:c>
      <x:c r="E1511" s="3" t="str">
        <x:f>IF(Z1511="移出","已移出",IF(NOT(ISNUMBER(H1511)),"数据待核",IF(H1511=0,"断货",IF(NOT(ISNUMBER(G1511)),"数据待核",IF(G1511=0,"零日销待复核",IF(F1511&lt;60,"补货提醒",IF(F1511&lt;=90,"正常库存",IF(F1511&lt;180,"促销",IF(F1511&lt;=365,"红线促销","考虑清仓")))))))))</x:f>
        <x:v>已移出</x:v>
      </x:c>
      <x:c r="F1511" s="11" t="str">
        <x:f>IF(AND(ISNUMBER(H1511),ISNUMBER(G1511),G1511&gt;0),H1511/G1511,"")</x:f>
      </x:c>
      <x:c r="G1511" s="12" t="str">
        <x:f>IF(AND(COUNT(P1511:R1511)=3,MIN(P1511:R1511)&gt;=0,P1511&lt;=Q1511,Q1511&lt;=R1511),P1511/7*0.5+Q1511/14*0.3+R1511/30*0.2,"")</x:f>
      </x:c>
      <x:c r="H1511" s="10" t="str">
        <x:f>IF(ISNUMBER(U1511),U1511,"")</x:f>
      </x:c>
      <x:c r="I1511" s="10" t="n">
        <x:v>0</x:v>
      </x:c>
      <x:c r="J1511" s="11" t="str">
        <x:f>IF(AND(Z1511="共同",ISNUMBER(F1511),ISNUMBER(M1511)),F1511-M1511,"")</x:f>
      </x:c>
      <x:c r="K1511" s="13" t="str">
        <x:f>IF(AND(ISNUMBER(J1511),M1511&lt;&gt;0),J1511/M1511,"")</x:f>
      </x:c>
      <x:c r="L1511" s="10" t="str">
        <x:v>断货</x:v>
      </x:c>
      <x:c r="M1511" s="11"/>
      <x:c r="N1511" s="10" t="str">
        <x:f>IF(AND(Z1511="共同",COUNT(H1511:I1511)=2),H1511-I1511,"")</x:f>
      </x:c>
      <x:c r="O1511" s="10"/>
      <x:c r="P1511" s="10"/>
      <x:c r="Q1511" s="10"/>
      <x:c r="R1511" s="10"/>
      <x:c r="S1511" s="10"/>
      <x:c r="T1511" s="10"/>
      <x:c r="U1511" s="10" t="str">
        <x:f>IF(AND(ISNUMBER(X1511),X1511&gt;=0,Y1511&lt;&gt;1),X1511,"")</x:f>
      </x:c>
      <x:c r="V1511" s="10"/>
      <x:c r="W1511" s="10"/>
      <x:c r="X1511" s="10"/>
      <x:c r="Y1511" s="3"/>
      <x:c r="Z1511" s="3" t="str">
        <x:v>移出</x:v>
      </x:c>
      <x:c r="AA1511" s="3" t="str">
        <x:v>已移出</x:v>
      </x:c>
      <x:c r="AB1511" s="12" t="str">
        <x:f>IF(AND(Z1511="共同",ISNUMBER(G1511),ISNUMBER(AD1511)),G1511-AD1511,"")</x:f>
      </x:c>
      <x:c r="AC1511" s="3" t="str">
        <x:v>基准清单已移出</x:v>
      </x:c>
      <x:c r="AD1511" s="12"/>
      <x:c r="AE1511" s="3" t="str">
        <x:v>[6574,"S02-RD-39"]</x:v>
      </x:c>
      <x:c r="AF1511" t="n">
        <x:f>IF(ISNUMBER(H1511),1,0)</x:f>
        <x:v>0</x:v>
      </x:c>
      <x:c r="AG1511" t="n">
        <x:f>IF(ISNUMBER(I1511),1,0)</x:f>
        <x:v>1</x:v>
      </x:c>
      <x:c r="AH1511"/>
      <x:c r="AI1511" t="n">
        <x:f>IF(ISNUMBER(G1511),1,0)</x:f>
        <x:v>0</x:v>
      </x:c>
      <x:c r="AJ1511" t="n">
        <x:f>IF(ISNUMBER(AD1511),1,0)</x:f>
        <x:v>0</x:v>
      </x:c>
    </x:row>
    <x:row r="1512" ht="30" customHeight="1">
      <x:c r="A1512" s="3" t="str">
        <x:v>S02-RD-40</x:v>
      </x:c>
      <x:c r="B1512" s="3" t="str">
        <x:v>3店-SANDIEX-US</x:v>
      </x:c>
      <x:c r="C1512" s="3" t="str">
        <x:v>陈晨</x:v>
      </x:c>
      <x:c r="D1512" s="3" t="str">
        <x:v>S02</x:v>
      </x:c>
      <x:c r="E1512" s="3" t="str">
        <x:f>IF(Z1512="移出","已移出",IF(NOT(ISNUMBER(H1512)),"数据待核",IF(H1512=0,"断货",IF(NOT(ISNUMBER(G1512)),"数据待核",IF(G1512=0,"零日销待复核",IF(F1512&lt;60,"补货提醒",IF(F1512&lt;=90,"正常库存",IF(F1512&lt;180,"促销",IF(F1512&lt;=365,"红线促销","考虑清仓")))))))))</x:f>
        <x:v>已移出</x:v>
      </x:c>
      <x:c r="F1512" s="11" t="str">
        <x:f>IF(AND(ISNUMBER(H1512),ISNUMBER(G1512),G1512&gt;0),H1512/G1512,"")</x:f>
      </x:c>
      <x:c r="G1512" s="12" t="str">
        <x:f>IF(AND(COUNT(P1512:R1512)=3,MIN(P1512:R1512)&gt;=0,P1512&lt;=Q1512,Q1512&lt;=R1512),P1512/7*0.5+Q1512/14*0.3+R1512/30*0.2,"")</x:f>
      </x:c>
      <x:c r="H1512" s="10" t="str">
        <x:f>IF(ISNUMBER(U1512),U1512,"")</x:f>
      </x:c>
      <x:c r="I1512" s="10" t="n">
        <x:v>0</x:v>
      </x:c>
      <x:c r="J1512" s="11" t="str">
        <x:f>IF(AND(Z1512="共同",ISNUMBER(F1512),ISNUMBER(M1512)),F1512-M1512,"")</x:f>
      </x:c>
      <x:c r="K1512" s="13" t="str">
        <x:f>IF(AND(ISNUMBER(J1512),M1512&lt;&gt;0),J1512/M1512,"")</x:f>
      </x:c>
      <x:c r="L1512" s="10" t="str">
        <x:v>断货</x:v>
      </x:c>
      <x:c r="M1512" s="11"/>
      <x:c r="N1512" s="10" t="str">
        <x:f>IF(AND(Z1512="共同",COUNT(H1512:I1512)=2),H1512-I1512,"")</x:f>
      </x:c>
      <x:c r="O1512" s="10"/>
      <x:c r="P1512" s="10"/>
      <x:c r="Q1512" s="10"/>
      <x:c r="R1512" s="10"/>
      <x:c r="S1512" s="10"/>
      <x:c r="T1512" s="10"/>
      <x:c r="U1512" s="10" t="str">
        <x:f>IF(AND(ISNUMBER(X1512),X1512&gt;=0,Y1512&lt;&gt;1),X1512,"")</x:f>
      </x:c>
      <x:c r="V1512" s="10"/>
      <x:c r="W1512" s="10"/>
      <x:c r="X1512" s="10"/>
      <x:c r="Y1512" s="3"/>
      <x:c r="Z1512" s="3" t="str">
        <x:v>移出</x:v>
      </x:c>
      <x:c r="AA1512" s="3" t="str">
        <x:v>已移出</x:v>
      </x:c>
      <x:c r="AB1512" s="12" t="str">
        <x:f>IF(AND(Z1512="共同",ISNUMBER(G1512),ISNUMBER(AD1512)),G1512-AD1512,"")</x:f>
      </x:c>
      <x:c r="AC1512" s="3" t="str">
        <x:v>基准清单已移出</x:v>
      </x:c>
      <x:c r="AD1512" s="12"/>
      <x:c r="AE1512" s="3" t="str">
        <x:v>[6574,"S02-RD-40"]</x:v>
      </x:c>
      <x:c r="AF1512" t="n">
        <x:f>IF(ISNUMBER(H1512),1,0)</x:f>
        <x:v>0</x:v>
      </x:c>
      <x:c r="AG1512" t="n">
        <x:f>IF(ISNUMBER(I1512),1,0)</x:f>
        <x:v>1</x:v>
      </x:c>
      <x:c r="AH1512"/>
      <x:c r="AI1512" t="n">
        <x:f>IF(ISNUMBER(G1512),1,0)</x:f>
        <x:v>0</x:v>
      </x:c>
      <x:c r="AJ1512" t="n">
        <x:f>IF(ISNUMBER(AD1512),1,0)</x:f>
        <x:v>0</x:v>
      </x:c>
    </x:row>
    <x:row r="1513" ht="30" customHeight="1">
      <x:c r="A1513" s="3" t="str">
        <x:v>S02-RD-41</x:v>
      </x:c>
      <x:c r="B1513" s="3" t="str">
        <x:v>3店-SANDIEX-US</x:v>
      </x:c>
      <x:c r="C1513" s="3" t="str">
        <x:v>陈晨</x:v>
      </x:c>
      <x:c r="D1513" s="3" t="str">
        <x:v>S02</x:v>
      </x:c>
      <x:c r="E1513" s="3" t="str">
        <x:f>IF(Z1513="移出","已移出",IF(NOT(ISNUMBER(H1513)),"数据待核",IF(H1513=0,"断货",IF(NOT(ISNUMBER(G1513)),"数据待核",IF(G1513=0,"零日销待复核",IF(F1513&lt;60,"补货提醒",IF(F1513&lt;=90,"正常库存",IF(F1513&lt;180,"促销",IF(F1513&lt;=365,"红线促销","考虑清仓")))))))))</x:f>
        <x:v>已移出</x:v>
      </x:c>
      <x:c r="F1513" s="11" t="str">
        <x:f>IF(AND(ISNUMBER(H1513),ISNUMBER(G1513),G1513&gt;0),H1513/G1513,"")</x:f>
      </x:c>
      <x:c r="G1513" s="12" t="str">
        <x:f>IF(AND(COUNT(P1513:R1513)=3,MIN(P1513:R1513)&gt;=0,P1513&lt;=Q1513,Q1513&lt;=R1513),P1513/7*0.5+Q1513/14*0.3+R1513/30*0.2,"")</x:f>
      </x:c>
      <x:c r="H1513" s="10" t="str">
        <x:f>IF(ISNUMBER(U1513),U1513,"")</x:f>
      </x:c>
      <x:c r="I1513" s="10" t="n">
        <x:v>0</x:v>
      </x:c>
      <x:c r="J1513" s="11" t="str">
        <x:f>IF(AND(Z1513="共同",ISNUMBER(F1513),ISNUMBER(M1513)),F1513-M1513,"")</x:f>
      </x:c>
      <x:c r="K1513" s="13" t="str">
        <x:f>IF(AND(ISNUMBER(J1513),M1513&lt;&gt;0),J1513/M1513,"")</x:f>
      </x:c>
      <x:c r="L1513" s="10" t="str">
        <x:v>断货</x:v>
      </x:c>
      <x:c r="M1513" s="11"/>
      <x:c r="N1513" s="10" t="str">
        <x:f>IF(AND(Z1513="共同",COUNT(H1513:I1513)=2),H1513-I1513,"")</x:f>
      </x:c>
      <x:c r="O1513" s="10"/>
      <x:c r="P1513" s="10"/>
      <x:c r="Q1513" s="10"/>
      <x:c r="R1513" s="10"/>
      <x:c r="S1513" s="10"/>
      <x:c r="T1513" s="10"/>
      <x:c r="U1513" s="10" t="str">
        <x:f>IF(AND(ISNUMBER(X1513),X1513&gt;=0,Y1513&lt;&gt;1),X1513,"")</x:f>
      </x:c>
      <x:c r="V1513" s="10"/>
      <x:c r="W1513" s="10"/>
      <x:c r="X1513" s="10"/>
      <x:c r="Y1513" s="3"/>
      <x:c r="Z1513" s="3" t="str">
        <x:v>移出</x:v>
      </x:c>
      <x:c r="AA1513" s="3" t="str">
        <x:v>已移出</x:v>
      </x:c>
      <x:c r="AB1513" s="12" t="str">
        <x:f>IF(AND(Z1513="共同",ISNUMBER(G1513),ISNUMBER(AD1513)),G1513-AD1513,"")</x:f>
      </x:c>
      <x:c r="AC1513" s="3" t="str">
        <x:v>基准清单已移出</x:v>
      </x:c>
      <x:c r="AD1513" s="12"/>
      <x:c r="AE1513" s="3" t="str">
        <x:v>[6574,"S02-RD-41"]</x:v>
      </x:c>
      <x:c r="AF1513" t="n">
        <x:f>IF(ISNUMBER(H1513),1,0)</x:f>
        <x:v>0</x:v>
      </x:c>
      <x:c r="AG1513" t="n">
        <x:f>IF(ISNUMBER(I1513),1,0)</x:f>
        <x:v>1</x:v>
      </x:c>
      <x:c r="AH1513"/>
      <x:c r="AI1513" t="n">
        <x:f>IF(ISNUMBER(G1513),1,0)</x:f>
        <x:v>0</x:v>
      </x:c>
      <x:c r="AJ1513" t="n">
        <x:f>IF(ISNUMBER(AD1513),1,0)</x:f>
        <x:v>0</x:v>
      </x:c>
    </x:row>
    <x:row r="1514" ht="30" customHeight="1">
      <x:c r="A1514" s="3" t="str">
        <x:v>S02-RD-42</x:v>
      </x:c>
      <x:c r="B1514" s="3" t="str">
        <x:v>3店-SANDIEX-US</x:v>
      </x:c>
      <x:c r="C1514" s="3" t="str">
        <x:v>陈晨</x:v>
      </x:c>
      <x:c r="D1514" s="3" t="str">
        <x:v>S02</x:v>
      </x:c>
      <x:c r="E1514" s="3" t="str">
        <x:f>IF(Z1514="移出","已移出",IF(NOT(ISNUMBER(H1514)),"数据待核",IF(H1514=0,"断货",IF(NOT(ISNUMBER(G1514)),"数据待核",IF(G1514=0,"零日销待复核",IF(F1514&lt;60,"补货提醒",IF(F1514&lt;=90,"正常库存",IF(F1514&lt;180,"促销",IF(F1514&lt;=365,"红线促销","考虑清仓")))))))))</x:f>
        <x:v>已移出</x:v>
      </x:c>
      <x:c r="F1514" s="11" t="str">
        <x:f>IF(AND(ISNUMBER(H1514),ISNUMBER(G1514),G1514&gt;0),H1514/G1514,"")</x:f>
      </x:c>
      <x:c r="G1514" s="12" t="str">
        <x:f>IF(AND(COUNT(P1514:R1514)=3,MIN(P1514:R1514)&gt;=0,P1514&lt;=Q1514,Q1514&lt;=R1514),P1514/7*0.5+Q1514/14*0.3+R1514/30*0.2,"")</x:f>
      </x:c>
      <x:c r="H1514" s="10" t="str">
        <x:f>IF(ISNUMBER(U1514),U1514,"")</x:f>
      </x:c>
      <x:c r="I1514" s="10" t="n">
        <x:v>0</x:v>
      </x:c>
      <x:c r="J1514" s="11" t="str">
        <x:f>IF(AND(Z1514="共同",ISNUMBER(F1514),ISNUMBER(M1514)),F1514-M1514,"")</x:f>
      </x:c>
      <x:c r="K1514" s="13" t="str">
        <x:f>IF(AND(ISNUMBER(J1514),M1514&lt;&gt;0),J1514/M1514,"")</x:f>
      </x:c>
      <x:c r="L1514" s="10" t="str">
        <x:v>断货</x:v>
      </x:c>
      <x:c r="M1514" s="11"/>
      <x:c r="N1514" s="10" t="str">
        <x:f>IF(AND(Z1514="共同",COUNT(H1514:I1514)=2),H1514-I1514,"")</x:f>
      </x:c>
      <x:c r="O1514" s="10"/>
      <x:c r="P1514" s="10"/>
      <x:c r="Q1514" s="10"/>
      <x:c r="R1514" s="10"/>
      <x:c r="S1514" s="10"/>
      <x:c r="T1514" s="10"/>
      <x:c r="U1514" s="10" t="str">
        <x:f>IF(AND(ISNUMBER(X1514),X1514&gt;=0,Y1514&lt;&gt;1),X1514,"")</x:f>
      </x:c>
      <x:c r="V1514" s="10"/>
      <x:c r="W1514" s="10"/>
      <x:c r="X1514" s="10"/>
      <x:c r="Y1514" s="3"/>
      <x:c r="Z1514" s="3" t="str">
        <x:v>移出</x:v>
      </x:c>
      <x:c r="AA1514" s="3" t="str">
        <x:v>已移出</x:v>
      </x:c>
      <x:c r="AB1514" s="12" t="str">
        <x:f>IF(AND(Z1514="共同",ISNUMBER(G1514),ISNUMBER(AD1514)),G1514-AD1514,"")</x:f>
      </x:c>
      <x:c r="AC1514" s="3" t="str">
        <x:v>基准清单已移出</x:v>
      </x:c>
      <x:c r="AD1514" s="12"/>
      <x:c r="AE1514" s="3" t="str">
        <x:v>[6574,"S02-RD-42"]</x:v>
      </x:c>
      <x:c r="AF1514" t="n">
        <x:f>IF(ISNUMBER(H1514),1,0)</x:f>
        <x:v>0</x:v>
      </x:c>
      <x:c r="AG1514" t="n">
        <x:f>IF(ISNUMBER(I1514),1,0)</x:f>
        <x:v>1</x:v>
      </x:c>
      <x:c r="AH1514"/>
      <x:c r="AI1514" t="n">
        <x:f>IF(ISNUMBER(G1514),1,0)</x:f>
        <x:v>0</x:v>
      </x:c>
      <x:c r="AJ1514" t="n">
        <x:f>IF(ISNUMBER(AD1514),1,0)</x:f>
        <x:v>0</x:v>
      </x:c>
    </x:row>
    <x:row r="1515" ht="30" customHeight="1">
      <x:c r="A1515" s="3" t="str">
        <x:v>S02-RG-38</x:v>
      </x:c>
      <x:c r="B1515" s="3" t="str">
        <x:v>3店-SANDIEX-US</x:v>
      </x:c>
      <x:c r="C1515" s="3" t="str">
        <x:v>陈晨</x:v>
      </x:c>
      <x:c r="D1515" s="3" t="str">
        <x:v>S02</x:v>
      </x:c>
      <x:c r="E1515" s="3" t="str">
        <x:f>IF(Z1515="移出","已移出",IF(NOT(ISNUMBER(H1515)),"数据待核",IF(H1515=0,"断货",IF(NOT(ISNUMBER(G1515)),"数据待核",IF(G1515=0,"零日销待复核",IF(F1515&lt;60,"补货提醒",IF(F1515&lt;=90,"正常库存",IF(F1515&lt;180,"促销",IF(F1515&lt;=365,"红线促销","考虑清仓")))))))))</x:f>
        <x:v>已移出</x:v>
      </x:c>
      <x:c r="F1515" s="11" t="str">
        <x:f>IF(AND(ISNUMBER(H1515),ISNUMBER(G1515),G1515&gt;0),H1515/G1515,"")</x:f>
      </x:c>
      <x:c r="G1515" s="12" t="str">
        <x:f>IF(AND(COUNT(P1515:R1515)=3,MIN(P1515:R1515)&gt;=0,P1515&lt;=Q1515,Q1515&lt;=R1515),P1515/7*0.5+Q1515/14*0.3+R1515/30*0.2,"")</x:f>
      </x:c>
      <x:c r="H1515" s="10" t="str">
        <x:f>IF(ISNUMBER(U1515),U1515,"")</x:f>
      </x:c>
      <x:c r="I1515" s="10" t="n">
        <x:v>0</x:v>
      </x:c>
      <x:c r="J1515" s="11" t="str">
        <x:f>IF(AND(Z1515="共同",ISNUMBER(F1515),ISNUMBER(M1515)),F1515-M1515,"")</x:f>
      </x:c>
      <x:c r="K1515" s="13" t="str">
        <x:f>IF(AND(ISNUMBER(J1515),M1515&lt;&gt;0),J1515/M1515,"")</x:f>
      </x:c>
      <x:c r="L1515" s="10" t="str">
        <x:v>断货</x:v>
      </x:c>
      <x:c r="M1515" s="11"/>
      <x:c r="N1515" s="10" t="str">
        <x:f>IF(AND(Z1515="共同",COUNT(H1515:I1515)=2),H1515-I1515,"")</x:f>
      </x:c>
      <x:c r="O1515" s="10"/>
      <x:c r="P1515" s="10"/>
      <x:c r="Q1515" s="10"/>
      <x:c r="R1515" s="10"/>
      <x:c r="S1515" s="10"/>
      <x:c r="T1515" s="10"/>
      <x:c r="U1515" s="10" t="str">
        <x:f>IF(AND(ISNUMBER(X1515),X1515&gt;=0,Y1515&lt;&gt;1),X1515,"")</x:f>
      </x:c>
      <x:c r="V1515" s="10"/>
      <x:c r="W1515" s="10"/>
      <x:c r="X1515" s="10"/>
      <x:c r="Y1515" s="3"/>
      <x:c r="Z1515" s="3" t="str">
        <x:v>移出</x:v>
      </x:c>
      <x:c r="AA1515" s="3" t="str">
        <x:v>已移出</x:v>
      </x:c>
      <x:c r="AB1515" s="12" t="str">
        <x:f>IF(AND(Z1515="共同",ISNUMBER(G1515),ISNUMBER(AD1515)),G1515-AD1515,"")</x:f>
      </x:c>
      <x:c r="AC1515" s="3" t="str">
        <x:v>基准清单已移出</x:v>
      </x:c>
      <x:c r="AD1515" s="12"/>
      <x:c r="AE1515" s="3" t="str">
        <x:v>[6574,"S02-RG-38"]</x:v>
      </x:c>
      <x:c r="AF1515" t="n">
        <x:f>IF(ISNUMBER(H1515),1,0)</x:f>
        <x:v>0</x:v>
      </x:c>
      <x:c r="AG1515" t="n">
        <x:f>IF(ISNUMBER(I1515),1,0)</x:f>
        <x:v>1</x:v>
      </x:c>
      <x:c r="AH1515"/>
      <x:c r="AI1515" t="n">
        <x:f>IF(ISNUMBER(G1515),1,0)</x:f>
        <x:v>0</x:v>
      </x:c>
      <x:c r="AJ1515" t="n">
        <x:f>IF(ISNUMBER(AD1515),1,0)</x:f>
        <x:v>0</x:v>
      </x:c>
    </x:row>
    <x:row r="1516" ht="30" customHeight="1">
      <x:c r="A1516" s="3" t="str">
        <x:v>S02-RG-40</x:v>
      </x:c>
      <x:c r="B1516" s="3" t="str">
        <x:v>3店-SANDIEX-US</x:v>
      </x:c>
      <x:c r="C1516" s="3" t="str">
        <x:v>陈晨</x:v>
      </x:c>
      <x:c r="D1516" s="3" t="str">
        <x:v>S02</x:v>
      </x:c>
      <x:c r="E1516" s="3" t="str">
        <x:f>IF(Z1516="移出","已移出",IF(NOT(ISNUMBER(H1516)),"数据待核",IF(H1516=0,"断货",IF(NOT(ISNUMBER(G1516)),"数据待核",IF(G1516=0,"零日销待复核",IF(F1516&lt;60,"补货提醒",IF(F1516&lt;=90,"正常库存",IF(F1516&lt;180,"促销",IF(F1516&lt;=365,"红线促销","考虑清仓")))))))))</x:f>
        <x:v>已移出</x:v>
      </x:c>
      <x:c r="F1516" s="11" t="str">
        <x:f>IF(AND(ISNUMBER(H1516),ISNUMBER(G1516),G1516&gt;0),H1516/G1516,"")</x:f>
      </x:c>
      <x:c r="G1516" s="12" t="str">
        <x:f>IF(AND(COUNT(P1516:R1516)=3,MIN(P1516:R1516)&gt;=0,P1516&lt;=Q1516,Q1516&lt;=R1516),P1516/7*0.5+Q1516/14*0.3+R1516/30*0.2,"")</x:f>
      </x:c>
      <x:c r="H1516" s="10" t="str">
        <x:f>IF(ISNUMBER(U1516),U1516,"")</x:f>
      </x:c>
      <x:c r="I1516" s="10" t="n">
        <x:v>0</x:v>
      </x:c>
      <x:c r="J1516" s="11" t="str">
        <x:f>IF(AND(Z1516="共同",ISNUMBER(F1516),ISNUMBER(M1516)),F1516-M1516,"")</x:f>
      </x:c>
      <x:c r="K1516" s="13" t="str">
        <x:f>IF(AND(ISNUMBER(J1516),M1516&lt;&gt;0),J1516/M1516,"")</x:f>
      </x:c>
      <x:c r="L1516" s="10" t="str">
        <x:v>断货</x:v>
      </x:c>
      <x:c r="M1516" s="11"/>
      <x:c r="N1516" s="10" t="str">
        <x:f>IF(AND(Z1516="共同",COUNT(H1516:I1516)=2),H1516-I1516,"")</x:f>
      </x:c>
      <x:c r="O1516" s="10"/>
      <x:c r="P1516" s="10"/>
      <x:c r="Q1516" s="10"/>
      <x:c r="R1516" s="10"/>
      <x:c r="S1516" s="10"/>
      <x:c r="T1516" s="10"/>
      <x:c r="U1516" s="10" t="str">
        <x:f>IF(AND(ISNUMBER(X1516),X1516&gt;=0,Y1516&lt;&gt;1),X1516,"")</x:f>
      </x:c>
      <x:c r="V1516" s="10"/>
      <x:c r="W1516" s="10"/>
      <x:c r="X1516" s="10"/>
      <x:c r="Y1516" s="3"/>
      <x:c r="Z1516" s="3" t="str">
        <x:v>移出</x:v>
      </x:c>
      <x:c r="AA1516" s="3" t="str">
        <x:v>已移出</x:v>
      </x:c>
      <x:c r="AB1516" s="12" t="str">
        <x:f>IF(AND(Z1516="共同",ISNUMBER(G1516),ISNUMBER(AD1516)),G1516-AD1516,"")</x:f>
      </x:c>
      <x:c r="AC1516" s="3" t="str">
        <x:v>基准清单已移出</x:v>
      </x:c>
      <x:c r="AD1516" s="12"/>
      <x:c r="AE1516" s="3" t="str">
        <x:v>[6574,"S02-RG-40"]</x:v>
      </x:c>
      <x:c r="AF1516" t="n">
        <x:f>IF(ISNUMBER(H1516),1,0)</x:f>
        <x:v>0</x:v>
      </x:c>
      <x:c r="AG1516" t="n">
        <x:f>IF(ISNUMBER(I1516),1,0)</x:f>
        <x:v>1</x:v>
      </x:c>
      <x:c r="AH1516"/>
      <x:c r="AI1516" t="n">
        <x:f>IF(ISNUMBER(G1516),1,0)</x:f>
        <x:v>0</x:v>
      </x:c>
      <x:c r="AJ1516" t="n">
        <x:f>IF(ISNUMBER(AD1516),1,0)</x:f>
        <x:v>0</x:v>
      </x:c>
    </x:row>
    <x:row r="1517" ht="30" customHeight="1">
      <x:c r="A1517" s="3" t="str">
        <x:v>S02-SP-41</x:v>
      </x:c>
      <x:c r="B1517" s="3" t="str">
        <x:v>3店-SANDIEX-US</x:v>
      </x:c>
      <x:c r="C1517" s="3" t="str">
        <x:v>陈晨</x:v>
      </x:c>
      <x:c r="D1517" s="3" t="str">
        <x:v>S02</x:v>
      </x:c>
      <x:c r="E1517" s="3" t="str">
        <x:f>IF(Z1517="移出","已移出",IF(NOT(ISNUMBER(H1517)),"数据待核",IF(H1517=0,"断货",IF(NOT(ISNUMBER(G1517)),"数据待核",IF(G1517=0,"零日销待复核",IF(F1517&lt;60,"补货提醒",IF(F1517&lt;=90,"正常库存",IF(F1517&lt;180,"促销",IF(F1517&lt;=365,"红线促销","考虑清仓")))))))))</x:f>
        <x:v>已移出</x:v>
      </x:c>
      <x:c r="F1517" s="11" t="str">
        <x:f>IF(AND(ISNUMBER(H1517),ISNUMBER(G1517),G1517&gt;0),H1517/G1517,"")</x:f>
      </x:c>
      <x:c r="G1517" s="12" t="str">
        <x:f>IF(AND(COUNT(P1517:R1517)=3,MIN(P1517:R1517)&gt;=0,P1517&lt;=Q1517,Q1517&lt;=R1517),P1517/7*0.5+Q1517/14*0.3+R1517/30*0.2,"")</x:f>
      </x:c>
      <x:c r="H1517" s="10" t="str">
        <x:f>IF(ISNUMBER(U1517),U1517,"")</x:f>
      </x:c>
      <x:c r="I1517" s="10" t="n">
        <x:v>0</x:v>
      </x:c>
      <x:c r="J1517" s="11" t="str">
        <x:f>IF(AND(Z1517="共同",ISNUMBER(F1517),ISNUMBER(M1517)),F1517-M1517,"")</x:f>
      </x:c>
      <x:c r="K1517" s="13" t="str">
        <x:f>IF(AND(ISNUMBER(J1517),M1517&lt;&gt;0),J1517/M1517,"")</x:f>
      </x:c>
      <x:c r="L1517" s="10" t="str">
        <x:v>断货</x:v>
      </x:c>
      <x:c r="M1517" s="11"/>
      <x:c r="N1517" s="10" t="str">
        <x:f>IF(AND(Z1517="共同",COUNT(H1517:I1517)=2),H1517-I1517,"")</x:f>
      </x:c>
      <x:c r="O1517" s="10"/>
      <x:c r="P1517" s="10"/>
      <x:c r="Q1517" s="10"/>
      <x:c r="R1517" s="10"/>
      <x:c r="S1517" s="10"/>
      <x:c r="T1517" s="10"/>
      <x:c r="U1517" s="10" t="str">
        <x:f>IF(AND(ISNUMBER(X1517),X1517&gt;=0,Y1517&lt;&gt;1),X1517,"")</x:f>
      </x:c>
      <x:c r="V1517" s="10"/>
      <x:c r="W1517" s="10"/>
      <x:c r="X1517" s="10"/>
      <x:c r="Y1517" s="3"/>
      <x:c r="Z1517" s="3" t="str">
        <x:v>移出</x:v>
      </x:c>
      <x:c r="AA1517" s="3" t="str">
        <x:v>已移出</x:v>
      </x:c>
      <x:c r="AB1517" s="12" t="str">
        <x:f>IF(AND(Z1517="共同",ISNUMBER(G1517),ISNUMBER(AD1517)),G1517-AD1517,"")</x:f>
      </x:c>
      <x:c r="AC1517" s="3" t="str">
        <x:v>基准清单已移出</x:v>
      </x:c>
      <x:c r="AD1517" s="12"/>
      <x:c r="AE1517" s="3" t="str">
        <x:v>[6574,"S02-SP-41"]</x:v>
      </x:c>
      <x:c r="AF1517" t="n">
        <x:f>IF(ISNUMBER(H1517),1,0)</x:f>
        <x:v>0</x:v>
      </x:c>
      <x:c r="AG1517" t="n">
        <x:f>IF(ISNUMBER(I1517),1,0)</x:f>
        <x:v>1</x:v>
      </x:c>
      <x:c r="AH1517"/>
      <x:c r="AI1517" t="n">
        <x:f>IF(ISNUMBER(G1517),1,0)</x:f>
        <x:v>0</x:v>
      </x:c>
      <x:c r="AJ1517" t="n">
        <x:f>IF(ISNUMBER(AD1517),1,0)</x:f>
        <x:v>0</x:v>
      </x:c>
    </x:row>
    <x:row r="1518" ht="30" customHeight="1">
      <x:c r="A1518" s="3" t="str">
        <x:v>S02-SP-42</x:v>
      </x:c>
      <x:c r="B1518" s="3" t="str">
        <x:v>3店-SANDIEX-US</x:v>
      </x:c>
      <x:c r="C1518" s="3" t="str">
        <x:v>陈晨</x:v>
      </x:c>
      <x:c r="D1518" s="3" t="str">
        <x:v>S02</x:v>
      </x:c>
      <x:c r="E1518" s="3" t="str">
        <x:f>IF(Z1518="移出","已移出",IF(NOT(ISNUMBER(H1518)),"数据待核",IF(H1518=0,"断货",IF(NOT(ISNUMBER(G1518)),"数据待核",IF(G1518=0,"零日销待复核",IF(F1518&lt;60,"补货提醒",IF(F1518&lt;=90,"正常库存",IF(F1518&lt;180,"促销",IF(F1518&lt;=365,"红线促销","考虑清仓")))))))))</x:f>
        <x:v>已移出</x:v>
      </x:c>
      <x:c r="F1518" s="11" t="str">
        <x:f>IF(AND(ISNUMBER(H1518),ISNUMBER(G1518),G1518&gt;0),H1518/G1518,"")</x:f>
      </x:c>
      <x:c r="G1518" s="12" t="str">
        <x:f>IF(AND(COUNT(P1518:R1518)=3,MIN(P1518:R1518)&gt;=0,P1518&lt;=Q1518,Q1518&lt;=R1518),P1518/7*0.5+Q1518/14*0.3+R1518/30*0.2,"")</x:f>
      </x:c>
      <x:c r="H1518" s="10" t="str">
        <x:f>IF(ISNUMBER(U1518),U1518,"")</x:f>
      </x:c>
      <x:c r="I1518" s="10" t="n">
        <x:v>0</x:v>
      </x:c>
      <x:c r="J1518" s="11" t="str">
        <x:f>IF(AND(Z1518="共同",ISNUMBER(F1518),ISNUMBER(M1518)),F1518-M1518,"")</x:f>
      </x:c>
      <x:c r="K1518" s="13" t="str">
        <x:f>IF(AND(ISNUMBER(J1518),M1518&lt;&gt;0),J1518/M1518,"")</x:f>
      </x:c>
      <x:c r="L1518" s="10" t="str">
        <x:v>断货</x:v>
      </x:c>
      <x:c r="M1518" s="11"/>
      <x:c r="N1518" s="10" t="str">
        <x:f>IF(AND(Z1518="共同",COUNT(H1518:I1518)=2),H1518-I1518,"")</x:f>
      </x:c>
      <x:c r="O1518" s="10"/>
      <x:c r="P1518" s="10"/>
      <x:c r="Q1518" s="10"/>
      <x:c r="R1518" s="10"/>
      <x:c r="S1518" s="10"/>
      <x:c r="T1518" s="10"/>
      <x:c r="U1518" s="10" t="str">
        <x:f>IF(AND(ISNUMBER(X1518),X1518&gt;=0,Y1518&lt;&gt;1),X1518,"")</x:f>
      </x:c>
      <x:c r="V1518" s="10"/>
      <x:c r="W1518" s="10"/>
      <x:c r="X1518" s="10"/>
      <x:c r="Y1518" s="3"/>
      <x:c r="Z1518" s="3" t="str">
        <x:v>移出</x:v>
      </x:c>
      <x:c r="AA1518" s="3" t="str">
        <x:v>已移出</x:v>
      </x:c>
      <x:c r="AB1518" s="12" t="str">
        <x:f>IF(AND(Z1518="共同",ISNUMBER(G1518),ISNUMBER(AD1518)),G1518-AD1518,"")</x:f>
      </x:c>
      <x:c r="AC1518" s="3" t="str">
        <x:v>基准清单已移出</x:v>
      </x:c>
      <x:c r="AD1518" s="12"/>
      <x:c r="AE1518" s="3" t="str">
        <x:v>[6574,"S02-SP-42"]</x:v>
      </x:c>
      <x:c r="AF1518" t="n">
        <x:f>IF(ISNUMBER(H1518),1,0)</x:f>
        <x:v>0</x:v>
      </x:c>
      <x:c r="AG1518" t="n">
        <x:f>IF(ISNUMBER(I1518),1,0)</x:f>
        <x:v>1</x:v>
      </x:c>
      <x:c r="AH1518"/>
      <x:c r="AI1518" t="n">
        <x:f>IF(ISNUMBER(G1518),1,0)</x:f>
        <x:v>0</x:v>
      </x:c>
      <x:c r="AJ1518" t="n">
        <x:f>IF(ISNUMBER(AD1518),1,0)</x:f>
        <x:v>0</x:v>
      </x:c>
    </x:row>
    <x:row r="1519" ht="30" customHeight="1">
      <x:c r="A1519" s="3" t="str">
        <x:v>S02-TN1-38</x:v>
      </x:c>
      <x:c r="B1519" s="3" t="str">
        <x:v>3店-SANDIEX-US</x:v>
      </x:c>
      <x:c r="C1519" s="3" t="str">
        <x:v>陈晨</x:v>
      </x:c>
      <x:c r="D1519" s="3" t="str">
        <x:v>S02</x:v>
      </x:c>
      <x:c r="E1519" s="3" t="str">
        <x:f>IF(Z1519="移出","已移出",IF(NOT(ISNUMBER(H1519)),"数据待核",IF(H1519=0,"断货",IF(NOT(ISNUMBER(G1519)),"数据待核",IF(G1519=0,"零日销待复核",IF(F1519&lt;60,"补货提醒",IF(F1519&lt;=90,"正常库存",IF(F1519&lt;180,"促销",IF(F1519&lt;=365,"红线促销","考虑清仓")))))))))</x:f>
        <x:v>已移出</x:v>
      </x:c>
      <x:c r="F1519" s="11" t="str">
        <x:f>IF(AND(ISNUMBER(H1519),ISNUMBER(G1519),G1519&gt;0),H1519/G1519,"")</x:f>
      </x:c>
      <x:c r="G1519" s="12" t="str">
        <x:f>IF(AND(COUNT(P1519:R1519)=3,MIN(P1519:R1519)&gt;=0,P1519&lt;=Q1519,Q1519&lt;=R1519),P1519/7*0.5+Q1519/14*0.3+R1519/30*0.2,"")</x:f>
      </x:c>
      <x:c r="H1519" s="10" t="str">
        <x:f>IF(ISNUMBER(U1519),U1519,"")</x:f>
      </x:c>
      <x:c r="I1519" s="10" t="n">
        <x:v>0</x:v>
      </x:c>
      <x:c r="J1519" s="11" t="str">
        <x:f>IF(AND(Z1519="共同",ISNUMBER(F1519),ISNUMBER(M1519)),F1519-M1519,"")</x:f>
      </x:c>
      <x:c r="K1519" s="13" t="str">
        <x:f>IF(AND(ISNUMBER(J1519),M1519&lt;&gt;0),J1519/M1519,"")</x:f>
      </x:c>
      <x:c r="L1519" s="10" t="str">
        <x:v>断货</x:v>
      </x:c>
      <x:c r="M1519" s="11"/>
      <x:c r="N1519" s="10" t="str">
        <x:f>IF(AND(Z1519="共同",COUNT(H1519:I1519)=2),H1519-I1519,"")</x:f>
      </x:c>
      <x:c r="O1519" s="10"/>
      <x:c r="P1519" s="10"/>
      <x:c r="Q1519" s="10"/>
      <x:c r="R1519" s="10"/>
      <x:c r="S1519" s="10"/>
      <x:c r="T1519" s="10"/>
      <x:c r="U1519" s="10" t="str">
        <x:f>IF(AND(ISNUMBER(X1519),X1519&gt;=0,Y1519&lt;&gt;1),X1519,"")</x:f>
      </x:c>
      <x:c r="V1519" s="10"/>
      <x:c r="W1519" s="10"/>
      <x:c r="X1519" s="10"/>
      <x:c r="Y1519" s="3"/>
      <x:c r="Z1519" s="3" t="str">
        <x:v>移出</x:v>
      </x:c>
      <x:c r="AA1519" s="3" t="str">
        <x:v>已移出</x:v>
      </x:c>
      <x:c r="AB1519" s="12" t="str">
        <x:f>IF(AND(Z1519="共同",ISNUMBER(G1519),ISNUMBER(AD1519)),G1519-AD1519,"")</x:f>
      </x:c>
      <x:c r="AC1519" s="3" t="str">
        <x:v>基准清单已移出</x:v>
      </x:c>
      <x:c r="AD1519" s="12"/>
      <x:c r="AE1519" s="3" t="str">
        <x:v>[6574,"S02-TN1-38"]</x:v>
      </x:c>
      <x:c r="AF1519" t="n">
        <x:f>IF(ISNUMBER(H1519),1,0)</x:f>
        <x:v>0</x:v>
      </x:c>
      <x:c r="AG1519" t="n">
        <x:f>IF(ISNUMBER(I1519),1,0)</x:f>
        <x:v>1</x:v>
      </x:c>
      <x:c r="AH1519"/>
      <x:c r="AI1519" t="n">
        <x:f>IF(ISNUMBER(G1519),1,0)</x:f>
        <x:v>0</x:v>
      </x:c>
      <x:c r="AJ1519" t="n">
        <x:f>IF(ISNUMBER(AD1519),1,0)</x:f>
        <x:v>0</x:v>
      </x:c>
    </x:row>
    <x:row r="1520" ht="30" customHeight="1">
      <x:c r="A1520" s="3" t="str">
        <x:v>S02-TN1-42</x:v>
      </x:c>
      <x:c r="B1520" s="3" t="str">
        <x:v>3店-SANDIEX-US</x:v>
      </x:c>
      <x:c r="C1520" s="3" t="str">
        <x:v>陈晨</x:v>
      </x:c>
      <x:c r="D1520" s="3" t="str">
        <x:v>S02</x:v>
      </x:c>
      <x:c r="E1520" s="3" t="str">
        <x:f>IF(Z1520="移出","已移出",IF(NOT(ISNUMBER(H1520)),"数据待核",IF(H1520=0,"断货",IF(NOT(ISNUMBER(G1520)),"数据待核",IF(G1520=0,"零日销待复核",IF(F1520&lt;60,"补货提醒",IF(F1520&lt;=90,"正常库存",IF(F1520&lt;180,"促销",IF(F1520&lt;=365,"红线促销","考虑清仓")))))))))</x:f>
        <x:v>已移出</x:v>
      </x:c>
      <x:c r="F1520" s="11" t="str">
        <x:f>IF(AND(ISNUMBER(H1520),ISNUMBER(G1520),G1520&gt;0),H1520/G1520,"")</x:f>
      </x:c>
      <x:c r="G1520" s="12" t="str">
        <x:f>IF(AND(COUNT(P1520:R1520)=3,MIN(P1520:R1520)&gt;=0,P1520&lt;=Q1520,Q1520&lt;=R1520),P1520/7*0.5+Q1520/14*0.3+R1520/30*0.2,"")</x:f>
      </x:c>
      <x:c r="H1520" s="10" t="str">
        <x:f>IF(ISNUMBER(U1520),U1520,"")</x:f>
      </x:c>
      <x:c r="I1520" s="10" t="n">
        <x:v>0</x:v>
      </x:c>
      <x:c r="J1520" s="11" t="str">
        <x:f>IF(AND(Z1520="共同",ISNUMBER(F1520),ISNUMBER(M1520)),F1520-M1520,"")</x:f>
      </x:c>
      <x:c r="K1520" s="13" t="str">
        <x:f>IF(AND(ISNUMBER(J1520),M1520&lt;&gt;0),J1520/M1520,"")</x:f>
      </x:c>
      <x:c r="L1520" s="10" t="str">
        <x:v>断货</x:v>
      </x:c>
      <x:c r="M1520" s="11"/>
      <x:c r="N1520" s="10" t="str">
        <x:f>IF(AND(Z1520="共同",COUNT(H1520:I1520)=2),H1520-I1520,"")</x:f>
      </x:c>
      <x:c r="O1520" s="10"/>
      <x:c r="P1520" s="10"/>
      <x:c r="Q1520" s="10"/>
      <x:c r="R1520" s="10"/>
      <x:c r="S1520" s="10"/>
      <x:c r="T1520" s="10"/>
      <x:c r="U1520" s="10" t="str">
        <x:f>IF(AND(ISNUMBER(X1520),X1520&gt;=0,Y1520&lt;&gt;1),X1520,"")</x:f>
      </x:c>
      <x:c r="V1520" s="10"/>
      <x:c r="W1520" s="10"/>
      <x:c r="X1520" s="10"/>
      <x:c r="Y1520" s="3"/>
      <x:c r="Z1520" s="3" t="str">
        <x:v>移出</x:v>
      </x:c>
      <x:c r="AA1520" s="3" t="str">
        <x:v>已移出</x:v>
      </x:c>
      <x:c r="AB1520" s="12" t="str">
        <x:f>IF(AND(Z1520="共同",ISNUMBER(G1520),ISNUMBER(AD1520)),G1520-AD1520,"")</x:f>
      </x:c>
      <x:c r="AC1520" s="3" t="str">
        <x:v>基准清单已移出</x:v>
      </x:c>
      <x:c r="AD1520" s="12"/>
      <x:c r="AE1520" s="3" t="str">
        <x:v>[6574,"S02-TN1-42"]</x:v>
      </x:c>
      <x:c r="AF1520" t="n">
        <x:f>IF(ISNUMBER(H1520),1,0)</x:f>
        <x:v>0</x:v>
      </x:c>
      <x:c r="AG1520" t="n">
        <x:f>IF(ISNUMBER(I1520),1,0)</x:f>
        <x:v>1</x:v>
      </x:c>
      <x:c r="AH1520"/>
      <x:c r="AI1520" t="n">
        <x:f>IF(ISNUMBER(G1520),1,0)</x:f>
        <x:v>0</x:v>
      </x:c>
      <x:c r="AJ1520" t="n">
        <x:f>IF(ISNUMBER(AD1520),1,0)</x:f>
        <x:v>0</x:v>
      </x:c>
    </x:row>
    <x:row r="1521" ht="30" customHeight="1">
      <x:c r="A1521" s="3" t="str">
        <x:v>S02-TNP1-42</x:v>
      </x:c>
      <x:c r="B1521" s="3" t="str">
        <x:v>3店-SANDIEX-US</x:v>
      </x:c>
      <x:c r="C1521" s="3" t="str">
        <x:v>陈晨</x:v>
      </x:c>
      <x:c r="D1521" s="3" t="str">
        <x:v>S02</x:v>
      </x:c>
      <x:c r="E1521" s="3" t="str">
        <x:f>IF(Z1521="移出","已移出",IF(NOT(ISNUMBER(H1521)),"数据待核",IF(H1521=0,"断货",IF(NOT(ISNUMBER(G1521)),"数据待核",IF(G1521=0,"零日销待复核",IF(F1521&lt;60,"补货提醒",IF(F1521&lt;=90,"正常库存",IF(F1521&lt;180,"促销",IF(F1521&lt;=365,"红线促销","考虑清仓")))))))))</x:f>
        <x:v>已移出</x:v>
      </x:c>
      <x:c r="F1521" s="11" t="str">
        <x:f>IF(AND(ISNUMBER(H1521),ISNUMBER(G1521),G1521&gt;0),H1521/G1521,"")</x:f>
      </x:c>
      <x:c r="G1521" s="12" t="str">
        <x:f>IF(AND(COUNT(P1521:R1521)=3,MIN(P1521:R1521)&gt;=0,P1521&lt;=Q1521,Q1521&lt;=R1521),P1521/7*0.5+Q1521/14*0.3+R1521/30*0.2,"")</x:f>
      </x:c>
      <x:c r="H1521" s="10" t="str">
        <x:f>IF(ISNUMBER(U1521),U1521,"")</x:f>
      </x:c>
      <x:c r="I1521" s="10" t="n">
        <x:v>0</x:v>
      </x:c>
      <x:c r="J1521" s="11" t="str">
        <x:f>IF(AND(Z1521="共同",ISNUMBER(F1521),ISNUMBER(M1521)),F1521-M1521,"")</x:f>
      </x:c>
      <x:c r="K1521" s="13" t="str">
        <x:f>IF(AND(ISNUMBER(J1521),M1521&lt;&gt;0),J1521/M1521,"")</x:f>
      </x:c>
      <x:c r="L1521" s="10" t="str">
        <x:v>断货</x:v>
      </x:c>
      <x:c r="M1521" s="11"/>
      <x:c r="N1521" s="10" t="str">
        <x:f>IF(AND(Z1521="共同",COUNT(H1521:I1521)=2),H1521-I1521,"")</x:f>
      </x:c>
      <x:c r="O1521" s="10"/>
      <x:c r="P1521" s="10"/>
      <x:c r="Q1521" s="10"/>
      <x:c r="R1521" s="10"/>
      <x:c r="S1521" s="10"/>
      <x:c r="T1521" s="10"/>
      <x:c r="U1521" s="10" t="str">
        <x:f>IF(AND(ISNUMBER(X1521),X1521&gt;=0,Y1521&lt;&gt;1),X1521,"")</x:f>
      </x:c>
      <x:c r="V1521" s="10"/>
      <x:c r="W1521" s="10"/>
      <x:c r="X1521" s="10"/>
      <x:c r="Y1521" s="3"/>
      <x:c r="Z1521" s="3" t="str">
        <x:v>移出</x:v>
      </x:c>
      <x:c r="AA1521" s="3" t="str">
        <x:v>已移出</x:v>
      </x:c>
      <x:c r="AB1521" s="12" t="str">
        <x:f>IF(AND(Z1521="共同",ISNUMBER(G1521),ISNUMBER(AD1521)),G1521-AD1521,"")</x:f>
      </x:c>
      <x:c r="AC1521" s="3" t="str">
        <x:v>基准清单已移出</x:v>
      </x:c>
      <x:c r="AD1521" s="12"/>
      <x:c r="AE1521" s="3" t="str">
        <x:v>[6574,"S02-TNP1-42"]</x:v>
      </x:c>
      <x:c r="AF1521" t="n">
        <x:f>IF(ISNUMBER(H1521),1,0)</x:f>
        <x:v>0</x:v>
      </x:c>
      <x:c r="AG1521" t="n">
        <x:f>IF(ISNUMBER(I1521),1,0)</x:f>
        <x:v>1</x:v>
      </x:c>
      <x:c r="AH1521"/>
      <x:c r="AI1521" t="n">
        <x:f>IF(ISNUMBER(G1521),1,0)</x:f>
        <x:v>0</x:v>
      </x:c>
      <x:c r="AJ1521" t="n">
        <x:f>IF(ISNUMBER(AD1521),1,0)</x:f>
        <x:v>0</x:v>
      </x:c>
    </x:row>
    <x:row r="1522" ht="30" customHeight="1">
      <x:c r="A1522" s="3" t="str">
        <x:v>S02-WT-37</x:v>
      </x:c>
      <x:c r="B1522" s="3" t="str">
        <x:v>3店-SANDIEX-US</x:v>
      </x:c>
      <x:c r="C1522" s="3" t="str">
        <x:v>陈晨</x:v>
      </x:c>
      <x:c r="D1522" s="3" t="str">
        <x:v>S02</x:v>
      </x:c>
      <x:c r="E1522" s="3" t="str">
        <x:f>IF(Z1522="移出","已移出",IF(NOT(ISNUMBER(H1522)),"数据待核",IF(H1522=0,"断货",IF(NOT(ISNUMBER(G1522)),"数据待核",IF(G1522=0,"零日销待复核",IF(F1522&lt;60,"补货提醒",IF(F1522&lt;=90,"正常库存",IF(F1522&lt;180,"促销",IF(F1522&lt;=365,"红线促销","考虑清仓")))))))))</x:f>
        <x:v>已移出</x:v>
      </x:c>
      <x:c r="F1522" s="11" t="str">
        <x:f>IF(AND(ISNUMBER(H1522),ISNUMBER(G1522),G1522&gt;0),H1522/G1522,"")</x:f>
      </x:c>
      <x:c r="G1522" s="12" t="str">
        <x:f>IF(AND(COUNT(P1522:R1522)=3,MIN(P1522:R1522)&gt;=0,P1522&lt;=Q1522,Q1522&lt;=R1522),P1522/7*0.5+Q1522/14*0.3+R1522/30*0.2,"")</x:f>
      </x:c>
      <x:c r="H1522" s="10" t="str">
        <x:f>IF(ISNUMBER(U1522),U1522,"")</x:f>
      </x:c>
      <x:c r="I1522" s="10" t="n">
        <x:v>4</x:v>
      </x:c>
      <x:c r="J1522" s="11" t="str">
        <x:f>IF(AND(Z1522="共同",ISNUMBER(F1522),ISNUMBER(M1522)),F1522-M1522,"")</x:f>
      </x:c>
      <x:c r="K1522" s="13" t="str">
        <x:f>IF(AND(ISNUMBER(J1522),M1522&lt;&gt;0),J1522/M1522,"")</x:f>
      </x:c>
      <x:c r="L1522" s="10" t="str">
        <x:v>数据待核</x:v>
      </x:c>
      <x:c r="M1522" s="11"/>
      <x:c r="N1522" s="10" t="str">
        <x:f>IF(AND(Z1522="共同",COUNT(H1522:I1522)=2),H1522-I1522,"")</x:f>
      </x:c>
      <x:c r="O1522" s="10"/>
      <x:c r="P1522" s="10"/>
      <x:c r="Q1522" s="10"/>
      <x:c r="R1522" s="10"/>
      <x:c r="S1522" s="10"/>
      <x:c r="T1522" s="10"/>
      <x:c r="U1522" s="10" t="str">
        <x:f>IF(AND(ISNUMBER(X1522),X1522&gt;=0,Y1522&lt;&gt;1),X1522,"")</x:f>
      </x:c>
      <x:c r="V1522" s="10"/>
      <x:c r="W1522" s="10"/>
      <x:c r="X1522" s="10"/>
      <x:c r="Y1522" s="3"/>
      <x:c r="Z1522" s="3" t="str">
        <x:v>移出</x:v>
      </x:c>
      <x:c r="AA1522" s="3" t="str">
        <x:v>已移出</x:v>
      </x:c>
      <x:c r="AB1522" s="12" t="str">
        <x:f>IF(AND(Z1522="共同",ISNUMBER(G1522),ISNUMBER(AD1522)),G1522-AD1522,"")</x:f>
      </x:c>
      <x:c r="AC1522" s="3" t="str">
        <x:v>基准清单已移出</x:v>
      </x:c>
      <x:c r="AD1522" s="12"/>
      <x:c r="AE1522" s="3" t="str">
        <x:v>[6574,"S02-WT-37"]</x:v>
      </x:c>
      <x:c r="AF1522" t="n">
        <x:f>IF(ISNUMBER(H1522),1,0)</x:f>
        <x:v>0</x:v>
      </x:c>
      <x:c r="AG1522" t="n">
        <x:f>IF(ISNUMBER(I1522),1,0)</x:f>
        <x:v>1</x:v>
      </x:c>
      <x:c r="AH1522"/>
      <x:c r="AI1522" t="n">
        <x:f>IF(ISNUMBER(G1522),1,0)</x:f>
        <x:v>0</x:v>
      </x:c>
      <x:c r="AJ1522" t="n">
        <x:f>IF(ISNUMBER(AD1522),1,0)</x:f>
        <x:v>0</x:v>
      </x:c>
    </x:row>
    <x:row r="1523" ht="30" customHeight="1">
      <x:c r="A1523" s="3" t="str">
        <x:v>S02-WT-38</x:v>
      </x:c>
      <x:c r="B1523" s="3" t="str">
        <x:v>3店-SANDIEX-US</x:v>
      </x:c>
      <x:c r="C1523" s="3" t="str">
        <x:v>陈晨</x:v>
      </x:c>
      <x:c r="D1523" s="3" t="str">
        <x:v>S02</x:v>
      </x:c>
      <x:c r="E1523" s="3" t="str">
        <x:f>IF(Z1523="移出","已移出",IF(NOT(ISNUMBER(H1523)),"数据待核",IF(H1523=0,"断货",IF(NOT(ISNUMBER(G1523)),"数据待核",IF(G1523=0,"零日销待复核",IF(F1523&lt;60,"补货提醒",IF(F1523&lt;=90,"正常库存",IF(F1523&lt;180,"促销",IF(F1523&lt;=365,"红线促销","考虑清仓")))))))))</x:f>
        <x:v>已移出</x:v>
      </x:c>
      <x:c r="F1523" s="11" t="str">
        <x:f>IF(AND(ISNUMBER(H1523),ISNUMBER(G1523),G1523&gt;0),H1523/G1523,"")</x:f>
      </x:c>
      <x:c r="G1523" s="12" t="str">
        <x:f>IF(AND(COUNT(P1523:R1523)=3,MIN(P1523:R1523)&gt;=0,P1523&lt;=Q1523,Q1523&lt;=R1523),P1523/7*0.5+Q1523/14*0.3+R1523/30*0.2,"")</x:f>
      </x:c>
      <x:c r="H1523" s="10" t="str">
        <x:f>IF(ISNUMBER(U1523),U1523,"")</x:f>
      </x:c>
      <x:c r="I1523" s="10" t="n">
        <x:v>5</x:v>
      </x:c>
      <x:c r="J1523" s="11" t="str">
        <x:f>IF(AND(Z1523="共同",ISNUMBER(F1523),ISNUMBER(M1523)),F1523-M1523,"")</x:f>
      </x:c>
      <x:c r="K1523" s="13" t="str">
        <x:f>IF(AND(ISNUMBER(J1523),M1523&lt;&gt;0),J1523/M1523,"")</x:f>
      </x:c>
      <x:c r="L1523" s="10" t="str">
        <x:v>数据待核</x:v>
      </x:c>
      <x:c r="M1523" s="11"/>
      <x:c r="N1523" s="10" t="str">
        <x:f>IF(AND(Z1523="共同",COUNT(H1523:I1523)=2),H1523-I1523,"")</x:f>
      </x:c>
      <x:c r="O1523" s="10"/>
      <x:c r="P1523" s="10"/>
      <x:c r="Q1523" s="10"/>
      <x:c r="R1523" s="10"/>
      <x:c r="S1523" s="10"/>
      <x:c r="T1523" s="10"/>
      <x:c r="U1523" s="10" t="str">
        <x:f>IF(AND(ISNUMBER(X1523),X1523&gt;=0,Y1523&lt;&gt;1),X1523,"")</x:f>
      </x:c>
      <x:c r="V1523" s="10"/>
      <x:c r="W1523" s="10"/>
      <x:c r="X1523" s="10"/>
      <x:c r="Y1523" s="3"/>
      <x:c r="Z1523" s="3" t="str">
        <x:v>移出</x:v>
      </x:c>
      <x:c r="AA1523" s="3" t="str">
        <x:v>已移出</x:v>
      </x:c>
      <x:c r="AB1523" s="12" t="str">
        <x:f>IF(AND(Z1523="共同",ISNUMBER(G1523),ISNUMBER(AD1523)),G1523-AD1523,"")</x:f>
      </x:c>
      <x:c r="AC1523" s="3" t="str">
        <x:v>基准清单已移出</x:v>
      </x:c>
      <x:c r="AD1523" s="12"/>
      <x:c r="AE1523" s="3" t="str">
        <x:v>[6574,"S02-WT-38"]</x:v>
      </x:c>
      <x:c r="AF1523" t="n">
        <x:f>IF(ISNUMBER(H1523),1,0)</x:f>
        <x:v>0</x:v>
      </x:c>
      <x:c r="AG1523" t="n">
        <x:f>IF(ISNUMBER(I1523),1,0)</x:f>
        <x:v>1</x:v>
      </x:c>
      <x:c r="AH1523"/>
      <x:c r="AI1523" t="n">
        <x:f>IF(ISNUMBER(G1523),1,0)</x:f>
        <x:v>0</x:v>
      </x:c>
      <x:c r="AJ1523" t="n">
        <x:f>IF(ISNUMBER(AD1523),1,0)</x:f>
        <x:v>0</x:v>
      </x:c>
    </x:row>
    <x:row r="1524" ht="30" customHeight="1">
      <x:c r="A1524" s="3" t="str">
        <x:v>S02-WT-39</x:v>
      </x:c>
      <x:c r="B1524" s="3" t="str">
        <x:v>3店-SANDIEX-US</x:v>
      </x:c>
      <x:c r="C1524" s="3" t="str">
        <x:v>陈晨</x:v>
      </x:c>
      <x:c r="D1524" s="3" t="str">
        <x:v>S02</x:v>
      </x:c>
      <x:c r="E1524" s="3" t="str">
        <x:f>IF(Z1524="移出","已移出",IF(NOT(ISNUMBER(H1524)),"数据待核",IF(H1524=0,"断货",IF(NOT(ISNUMBER(G1524)),"数据待核",IF(G1524=0,"零日销待复核",IF(F1524&lt;60,"补货提醒",IF(F1524&lt;=90,"正常库存",IF(F1524&lt;180,"促销",IF(F1524&lt;=365,"红线促销","考虑清仓")))))))))</x:f>
        <x:v>已移出</x:v>
      </x:c>
      <x:c r="F1524" s="11" t="str">
        <x:f>IF(AND(ISNUMBER(H1524),ISNUMBER(G1524),G1524&gt;0),H1524/G1524,"")</x:f>
      </x:c>
      <x:c r="G1524" s="12" t="str">
        <x:f>IF(AND(COUNT(P1524:R1524)=3,MIN(P1524:R1524)&gt;=0,P1524&lt;=Q1524,Q1524&lt;=R1524),P1524/7*0.5+Q1524/14*0.3+R1524/30*0.2,"")</x:f>
      </x:c>
      <x:c r="H1524" s="10" t="str">
        <x:f>IF(ISNUMBER(U1524),U1524,"")</x:f>
      </x:c>
      <x:c r="I1524" s="10" t="n">
        <x:v>21</x:v>
      </x:c>
      <x:c r="J1524" s="11" t="str">
        <x:f>IF(AND(Z1524="共同",ISNUMBER(F1524),ISNUMBER(M1524)),F1524-M1524,"")</x:f>
      </x:c>
      <x:c r="K1524" s="13" t="str">
        <x:f>IF(AND(ISNUMBER(J1524),M1524&lt;&gt;0),J1524/M1524,"")</x:f>
      </x:c>
      <x:c r="L1524" s="10" t="str">
        <x:v>数据待核</x:v>
      </x:c>
      <x:c r="M1524" s="11"/>
      <x:c r="N1524" s="10" t="str">
        <x:f>IF(AND(Z1524="共同",COUNT(H1524:I1524)=2),H1524-I1524,"")</x:f>
      </x:c>
      <x:c r="O1524" s="10"/>
      <x:c r="P1524" s="10"/>
      <x:c r="Q1524" s="10"/>
      <x:c r="R1524" s="10"/>
      <x:c r="S1524" s="10"/>
      <x:c r="T1524" s="10"/>
      <x:c r="U1524" s="10" t="str">
        <x:f>IF(AND(ISNUMBER(X1524),X1524&gt;=0,Y1524&lt;&gt;1),X1524,"")</x:f>
      </x:c>
      <x:c r="V1524" s="10"/>
      <x:c r="W1524" s="10"/>
      <x:c r="X1524" s="10"/>
      <x:c r="Y1524" s="3"/>
      <x:c r="Z1524" s="3" t="str">
        <x:v>移出</x:v>
      </x:c>
      <x:c r="AA1524" s="3" t="str">
        <x:v>已移出</x:v>
      </x:c>
      <x:c r="AB1524" s="12" t="str">
        <x:f>IF(AND(Z1524="共同",ISNUMBER(G1524),ISNUMBER(AD1524)),G1524-AD1524,"")</x:f>
      </x:c>
      <x:c r="AC1524" s="3" t="str">
        <x:v>基准清单已移出</x:v>
      </x:c>
      <x:c r="AD1524" s="12"/>
      <x:c r="AE1524" s="3" t="str">
        <x:v>[6574,"S02-WT-39"]</x:v>
      </x:c>
      <x:c r="AF1524" t="n">
        <x:f>IF(ISNUMBER(H1524),1,0)</x:f>
        <x:v>0</x:v>
      </x:c>
      <x:c r="AG1524" t="n">
        <x:f>IF(ISNUMBER(I1524),1,0)</x:f>
        <x:v>1</x:v>
      </x:c>
      <x:c r="AH1524"/>
      <x:c r="AI1524" t="n">
        <x:f>IF(ISNUMBER(G1524),1,0)</x:f>
        <x:v>0</x:v>
      </x:c>
      <x:c r="AJ1524" t="n">
        <x:f>IF(ISNUMBER(AD1524),1,0)</x:f>
        <x:v>0</x:v>
      </x:c>
    </x:row>
    <x:row r="1525" ht="30" customHeight="1">
      <x:c r="A1525" s="3" t="str">
        <x:v>S02-WT-40</x:v>
      </x:c>
      <x:c r="B1525" s="3" t="str">
        <x:v>3店-SANDIEX-US</x:v>
      </x:c>
      <x:c r="C1525" s="3" t="str">
        <x:v>陈晨</x:v>
      </x:c>
      <x:c r="D1525" s="3" t="str">
        <x:v>S02</x:v>
      </x:c>
      <x:c r="E1525" s="3" t="str">
        <x:f>IF(Z1525="移出","已移出",IF(NOT(ISNUMBER(H1525)),"数据待核",IF(H1525=0,"断货",IF(NOT(ISNUMBER(G1525)),"数据待核",IF(G1525=0,"零日销待复核",IF(F1525&lt;60,"补货提醒",IF(F1525&lt;=90,"正常库存",IF(F1525&lt;180,"促销",IF(F1525&lt;=365,"红线促销","考虑清仓")))))))))</x:f>
        <x:v>已移出</x:v>
      </x:c>
      <x:c r="F1525" s="11" t="str">
        <x:f>IF(AND(ISNUMBER(H1525),ISNUMBER(G1525),G1525&gt;0),H1525/G1525,"")</x:f>
      </x:c>
      <x:c r="G1525" s="12" t="str">
        <x:f>IF(AND(COUNT(P1525:R1525)=3,MIN(P1525:R1525)&gt;=0,P1525&lt;=Q1525,Q1525&lt;=R1525),P1525/7*0.5+Q1525/14*0.3+R1525/30*0.2,"")</x:f>
      </x:c>
      <x:c r="H1525" s="10" t="str">
        <x:f>IF(ISNUMBER(U1525),U1525,"")</x:f>
      </x:c>
      <x:c r="I1525" s="10" t="n">
        <x:v>19</x:v>
      </x:c>
      <x:c r="J1525" s="11" t="str">
        <x:f>IF(AND(Z1525="共同",ISNUMBER(F1525),ISNUMBER(M1525)),F1525-M1525,"")</x:f>
      </x:c>
      <x:c r="K1525" s="13" t="str">
        <x:f>IF(AND(ISNUMBER(J1525),M1525&lt;&gt;0),J1525/M1525,"")</x:f>
      </x:c>
      <x:c r="L1525" s="10" t="str">
        <x:v>数据待核</x:v>
      </x:c>
      <x:c r="M1525" s="11"/>
      <x:c r="N1525" s="10" t="str">
        <x:f>IF(AND(Z1525="共同",COUNT(H1525:I1525)=2),H1525-I1525,"")</x:f>
      </x:c>
      <x:c r="O1525" s="10"/>
      <x:c r="P1525" s="10"/>
      <x:c r="Q1525" s="10"/>
      <x:c r="R1525" s="10"/>
      <x:c r="S1525" s="10"/>
      <x:c r="T1525" s="10"/>
      <x:c r="U1525" s="10" t="str">
        <x:f>IF(AND(ISNUMBER(X1525),X1525&gt;=0,Y1525&lt;&gt;1),X1525,"")</x:f>
      </x:c>
      <x:c r="V1525" s="10"/>
      <x:c r="W1525" s="10"/>
      <x:c r="X1525" s="10"/>
      <x:c r="Y1525" s="3"/>
      <x:c r="Z1525" s="3" t="str">
        <x:v>移出</x:v>
      </x:c>
      <x:c r="AA1525" s="3" t="str">
        <x:v>已移出</x:v>
      </x:c>
      <x:c r="AB1525" s="12" t="str">
        <x:f>IF(AND(Z1525="共同",ISNUMBER(G1525),ISNUMBER(AD1525)),G1525-AD1525,"")</x:f>
      </x:c>
      <x:c r="AC1525" s="3" t="str">
        <x:v>基准清单已移出</x:v>
      </x:c>
      <x:c r="AD1525" s="12"/>
      <x:c r="AE1525" s="3" t="str">
        <x:v>[6574,"S02-WT-40"]</x:v>
      </x:c>
      <x:c r="AF1525" t="n">
        <x:f>IF(ISNUMBER(H1525),1,0)</x:f>
        <x:v>0</x:v>
      </x:c>
      <x:c r="AG1525" t="n">
        <x:f>IF(ISNUMBER(I1525),1,0)</x:f>
        <x:v>1</x:v>
      </x:c>
      <x:c r="AH1525"/>
      <x:c r="AI1525" t="n">
        <x:f>IF(ISNUMBER(G1525),1,0)</x:f>
        <x:v>0</x:v>
      </x:c>
      <x:c r="AJ1525" t="n">
        <x:f>IF(ISNUMBER(AD1525),1,0)</x:f>
        <x:v>0</x:v>
      </x:c>
    </x:row>
    <x:row r="1526" ht="30" customHeight="1">
      <x:c r="A1526" s="3" t="str">
        <x:v>S02-WT-41</x:v>
      </x:c>
      <x:c r="B1526" s="3" t="str">
        <x:v>3店-SANDIEX-US</x:v>
      </x:c>
      <x:c r="C1526" s="3" t="str">
        <x:v>陈晨</x:v>
      </x:c>
      <x:c r="D1526" s="3" t="str">
        <x:v>S02</x:v>
      </x:c>
      <x:c r="E1526" s="3" t="str">
        <x:f>IF(Z1526="移出","已移出",IF(NOT(ISNUMBER(H1526)),"数据待核",IF(H1526=0,"断货",IF(NOT(ISNUMBER(G1526)),"数据待核",IF(G1526=0,"零日销待复核",IF(F1526&lt;60,"补货提醒",IF(F1526&lt;=90,"正常库存",IF(F1526&lt;180,"促销",IF(F1526&lt;=365,"红线促销","考虑清仓")))))))))</x:f>
        <x:v>已移出</x:v>
      </x:c>
      <x:c r="F1526" s="11" t="str">
        <x:f>IF(AND(ISNUMBER(H1526),ISNUMBER(G1526),G1526&gt;0),H1526/G1526,"")</x:f>
      </x:c>
      <x:c r="G1526" s="12" t="str">
        <x:f>IF(AND(COUNT(P1526:R1526)=3,MIN(P1526:R1526)&gt;=0,P1526&lt;=Q1526,Q1526&lt;=R1526),P1526/7*0.5+Q1526/14*0.3+R1526/30*0.2,"")</x:f>
      </x:c>
      <x:c r="H1526" s="10" t="str">
        <x:f>IF(ISNUMBER(U1526),U1526,"")</x:f>
      </x:c>
      <x:c r="I1526" s="10" t="n">
        <x:v>9</x:v>
      </x:c>
      <x:c r="J1526" s="11" t="str">
        <x:f>IF(AND(Z1526="共同",ISNUMBER(F1526),ISNUMBER(M1526)),F1526-M1526,"")</x:f>
      </x:c>
      <x:c r="K1526" s="13" t="str">
        <x:f>IF(AND(ISNUMBER(J1526),M1526&lt;&gt;0),J1526/M1526,"")</x:f>
      </x:c>
      <x:c r="L1526" s="10" t="str">
        <x:v>数据待核</x:v>
      </x:c>
      <x:c r="M1526" s="11"/>
      <x:c r="N1526" s="10" t="str">
        <x:f>IF(AND(Z1526="共同",COUNT(H1526:I1526)=2),H1526-I1526,"")</x:f>
      </x:c>
      <x:c r="O1526" s="10"/>
      <x:c r="P1526" s="10"/>
      <x:c r="Q1526" s="10"/>
      <x:c r="R1526" s="10"/>
      <x:c r="S1526" s="10"/>
      <x:c r="T1526" s="10"/>
      <x:c r="U1526" s="10" t="str">
        <x:f>IF(AND(ISNUMBER(X1526),X1526&gt;=0,Y1526&lt;&gt;1),X1526,"")</x:f>
      </x:c>
      <x:c r="V1526" s="10"/>
      <x:c r="W1526" s="10"/>
      <x:c r="X1526" s="10"/>
      <x:c r="Y1526" s="3"/>
      <x:c r="Z1526" s="3" t="str">
        <x:v>移出</x:v>
      </x:c>
      <x:c r="AA1526" s="3" t="str">
        <x:v>已移出</x:v>
      </x:c>
      <x:c r="AB1526" s="12" t="str">
        <x:f>IF(AND(Z1526="共同",ISNUMBER(G1526),ISNUMBER(AD1526)),G1526-AD1526,"")</x:f>
      </x:c>
      <x:c r="AC1526" s="3" t="str">
        <x:v>基准清单已移出</x:v>
      </x:c>
      <x:c r="AD1526" s="12"/>
      <x:c r="AE1526" s="3" t="str">
        <x:v>[6574,"S02-WT-41"]</x:v>
      </x:c>
      <x:c r="AF1526" t="n">
        <x:f>IF(ISNUMBER(H1526),1,0)</x:f>
        <x:v>0</x:v>
      </x:c>
      <x:c r="AG1526" t="n">
        <x:f>IF(ISNUMBER(I1526),1,0)</x:f>
        <x:v>1</x:v>
      </x:c>
      <x:c r="AH1526"/>
      <x:c r="AI1526" t="n">
        <x:f>IF(ISNUMBER(G1526),1,0)</x:f>
        <x:v>0</x:v>
      </x:c>
      <x:c r="AJ1526" t="n">
        <x:f>IF(ISNUMBER(AD1526),1,0)</x:f>
        <x:v>0</x:v>
      </x:c>
    </x:row>
    <x:row r="1527" ht="30" customHeight="1">
      <x:c r="A1527" s="3" t="str">
        <x:v>S02-WT-42</x:v>
      </x:c>
      <x:c r="B1527" s="3" t="str">
        <x:v>3店-SANDIEX-US</x:v>
      </x:c>
      <x:c r="C1527" s="3" t="str">
        <x:v>陈晨</x:v>
      </x:c>
      <x:c r="D1527" s="3" t="str">
        <x:v>S02</x:v>
      </x:c>
      <x:c r="E1527" s="3" t="str">
        <x:f>IF(Z1527="移出","已移出",IF(NOT(ISNUMBER(H1527)),"数据待核",IF(H1527=0,"断货",IF(NOT(ISNUMBER(G1527)),"数据待核",IF(G1527=0,"零日销待复核",IF(F1527&lt;60,"补货提醒",IF(F1527&lt;=90,"正常库存",IF(F1527&lt;180,"促销",IF(F1527&lt;=365,"红线促销","考虑清仓")))))))))</x:f>
        <x:v>已移出</x:v>
      </x:c>
      <x:c r="F1527" s="11" t="str">
        <x:f>IF(AND(ISNUMBER(H1527),ISNUMBER(G1527),G1527&gt;0),H1527/G1527,"")</x:f>
      </x:c>
      <x:c r="G1527" s="12" t="str">
        <x:f>IF(AND(COUNT(P1527:R1527)=3,MIN(P1527:R1527)&gt;=0,P1527&lt;=Q1527,Q1527&lt;=R1527),P1527/7*0.5+Q1527/14*0.3+R1527/30*0.2,"")</x:f>
      </x:c>
      <x:c r="H1527" s="10" t="str">
        <x:f>IF(ISNUMBER(U1527),U1527,"")</x:f>
      </x:c>
      <x:c r="I1527" s="10" t="n">
        <x:v>6</x:v>
      </x:c>
      <x:c r="J1527" s="11" t="str">
        <x:f>IF(AND(Z1527="共同",ISNUMBER(F1527),ISNUMBER(M1527)),F1527-M1527,"")</x:f>
      </x:c>
      <x:c r="K1527" s="13" t="str">
        <x:f>IF(AND(ISNUMBER(J1527),M1527&lt;&gt;0),J1527/M1527,"")</x:f>
      </x:c>
      <x:c r="L1527" s="10" t="str">
        <x:v>数据待核</x:v>
      </x:c>
      <x:c r="M1527" s="11"/>
      <x:c r="N1527" s="10" t="str">
        <x:f>IF(AND(Z1527="共同",COUNT(H1527:I1527)=2),H1527-I1527,"")</x:f>
      </x:c>
      <x:c r="O1527" s="10"/>
      <x:c r="P1527" s="10"/>
      <x:c r="Q1527" s="10"/>
      <x:c r="R1527" s="10"/>
      <x:c r="S1527" s="10"/>
      <x:c r="T1527" s="10"/>
      <x:c r="U1527" s="10" t="str">
        <x:f>IF(AND(ISNUMBER(X1527),X1527&gt;=0,Y1527&lt;&gt;1),X1527,"")</x:f>
      </x:c>
      <x:c r="V1527" s="10"/>
      <x:c r="W1527" s="10"/>
      <x:c r="X1527" s="10"/>
      <x:c r="Y1527" s="3"/>
      <x:c r="Z1527" s="3" t="str">
        <x:v>移出</x:v>
      </x:c>
      <x:c r="AA1527" s="3" t="str">
        <x:v>已移出</x:v>
      </x:c>
      <x:c r="AB1527" s="12" t="str">
        <x:f>IF(AND(Z1527="共同",ISNUMBER(G1527),ISNUMBER(AD1527)),G1527-AD1527,"")</x:f>
      </x:c>
      <x:c r="AC1527" s="3" t="str">
        <x:v>基准清单已移出</x:v>
      </x:c>
      <x:c r="AD1527" s="12"/>
      <x:c r="AE1527" s="3" t="str">
        <x:v>[6574,"S02-WT-42"]</x:v>
      </x:c>
      <x:c r="AF1527" t="n">
        <x:f>IF(ISNUMBER(H1527),1,0)</x:f>
        <x:v>0</x:v>
      </x:c>
      <x:c r="AG1527" t="n">
        <x:f>IF(ISNUMBER(I1527),1,0)</x:f>
        <x:v>1</x:v>
      </x:c>
      <x:c r="AH1527"/>
      <x:c r="AI1527" t="n">
        <x:f>IF(ISNUMBER(G1527),1,0)</x:f>
        <x:v>0</x:v>
      </x:c>
      <x:c r="AJ1527" t="n">
        <x:f>IF(ISNUMBER(AD1527),1,0)</x:f>
        <x:v>0</x:v>
      </x:c>
    </x:row>
    <x:row r="1528" ht="30" customHeight="1">
      <x:c r="A1528" s="3" t="str">
        <x:v>32582-NY-37-1st</x:v>
      </x:c>
      <x:c r="B1528" s="3" t="str">
        <x:v>3店-SANDIEX-US</x:v>
      </x:c>
      <x:c r="C1528" s="3" t="str">
        <x:v>徐新怡</x:v>
      </x:c>
      <x:c r="D1528" s="3" t="str">
        <x:v>32582</x:v>
      </x:c>
      <x:c r="E1528" s="3" t="str">
        <x:f>IF(Z1528="移出","已移出",IF(NOT(ISNUMBER(H1528)),"数据待核",IF(H1528=0,"断货",IF(NOT(ISNUMBER(G1528)),"数据待核",IF(G1528=0,"零日销待复核",IF(F1528&lt;60,"补货提醒",IF(F1528&lt;=90,"正常库存",IF(F1528&lt;180,"促销",IF(F1528&lt;=365,"红线促销","考虑清仓")))))))))</x:f>
        <x:v>已移出</x:v>
      </x:c>
      <x:c r="F1528" s="11" t="str">
        <x:f>IF(AND(ISNUMBER(H1528),ISNUMBER(G1528),G1528&gt;0),H1528/G1528,"")</x:f>
      </x:c>
      <x:c r="G1528" s="12" t="str">
        <x:f>IF(AND(COUNT(P1528:R1528)=3,MIN(P1528:R1528)&gt;=0,P1528&lt;=Q1528,Q1528&lt;=R1528),P1528/7*0.5+Q1528/14*0.3+R1528/30*0.2,"")</x:f>
      </x:c>
      <x:c r="H1528" s="10" t="str">
        <x:f>IF(ISNUMBER(U1528),U1528,"")</x:f>
      </x:c>
      <x:c r="I1528" s="10"/>
      <x:c r="J1528" s="11" t="str">
        <x:f>IF(AND(Z1528="共同",ISNUMBER(F1528),ISNUMBER(M1528)),F1528-M1528,"")</x:f>
      </x:c>
      <x:c r="K1528" s="13" t="str">
        <x:f>IF(AND(ISNUMBER(J1528),M1528&lt;&gt;0),J1528/M1528,"")</x:f>
      </x:c>
      <x:c r="L1528" s="10" t="str">
        <x:v>数据待核</x:v>
      </x:c>
      <x:c r="M1528" s="11"/>
      <x:c r="N1528" s="10" t="str">
        <x:f>IF(AND(Z1528="共同",COUNT(H1528:I1528)=2),H1528-I1528,"")</x:f>
      </x:c>
      <x:c r="O1528" s="10"/>
      <x:c r="P1528" s="10"/>
      <x:c r="Q1528" s="10"/>
      <x:c r="R1528" s="10"/>
      <x:c r="S1528" s="10"/>
      <x:c r="T1528" s="10"/>
      <x:c r="U1528" s="10" t="str">
        <x:f>IF(AND(ISNUMBER(X1528),X1528&gt;=0,Y1528&lt;&gt;1),X1528,"")</x:f>
      </x:c>
      <x:c r="V1528" s="10"/>
      <x:c r="W1528" s="10"/>
      <x:c r="X1528" s="10"/>
      <x:c r="Y1528" s="3"/>
      <x:c r="Z1528" s="3" t="str">
        <x:v>移出</x:v>
      </x:c>
      <x:c r="AA1528" s="3" t="str">
        <x:v>已移出</x:v>
      </x:c>
      <x:c r="AB1528" s="12" t="str">
        <x:f>IF(AND(Z1528="共同",ISNUMBER(G1528),ISNUMBER(AD1528)),G1528-AD1528,"")</x:f>
      </x:c>
      <x:c r="AC1528" s="3" t="str">
        <x:v>基准清单已移出</x:v>
      </x:c>
      <x:c r="AD1528" s="12"/>
      <x:c r="AE1528" s="3" t="str">
        <x:v>[6574,"32582-NY-37-1st"]</x:v>
      </x:c>
      <x:c r="AF1528" t="n">
        <x:f>IF(ISNUMBER(H1528),1,0)</x:f>
        <x:v>0</x:v>
      </x:c>
      <x:c r="AG1528" t="n">
        <x:f>IF(ISNUMBER(I1528),1,0)</x:f>
        <x:v>0</x:v>
      </x:c>
      <x:c r="AH1528"/>
      <x:c r="AI1528" t="n">
        <x:f>IF(ISNUMBER(G1528),1,0)</x:f>
        <x:v>0</x:v>
      </x:c>
      <x:c r="AJ1528" t="n">
        <x:f>IF(ISNUMBER(AD1528),1,0)</x:f>
        <x:v>0</x:v>
      </x:c>
    </x:row>
    <x:row r="1529" ht="30" customHeight="1">
      <x:c r="A1529" s="3" t="str">
        <x:v>32582-BKW-37-1st</x:v>
      </x:c>
      <x:c r="B1529" s="3" t="str">
        <x:v>3店-SANDIEX-US</x:v>
      </x:c>
      <x:c r="C1529" s="3" t="str">
        <x:v>徐新怡</x:v>
      </x:c>
      <x:c r="D1529" s="3" t="str">
        <x:v>32582</x:v>
      </x:c>
      <x:c r="E1529" s="3" t="str">
        <x:f>IF(Z1529="移出","已移出",IF(NOT(ISNUMBER(H1529)),"数据待核",IF(H1529=0,"断货",IF(NOT(ISNUMBER(G1529)),"数据待核",IF(G1529=0,"零日销待复核",IF(F1529&lt;60,"补货提醒",IF(F1529&lt;=90,"正常库存",IF(F1529&lt;180,"促销",IF(F1529&lt;=365,"红线促销","考虑清仓")))))))))</x:f>
        <x:v>已移出</x:v>
      </x:c>
      <x:c r="F1529" s="11" t="str">
        <x:f>IF(AND(ISNUMBER(H1529),ISNUMBER(G1529),G1529&gt;0),H1529/G1529,"")</x:f>
      </x:c>
      <x:c r="G1529" s="12" t="str">
        <x:f>IF(AND(COUNT(P1529:R1529)=3,MIN(P1529:R1529)&gt;=0,P1529&lt;=Q1529,Q1529&lt;=R1529),P1529/7*0.5+Q1529/14*0.3+R1529/30*0.2,"")</x:f>
      </x:c>
      <x:c r="H1529" s="10" t="str">
        <x:f>IF(ISNUMBER(U1529),U1529,"")</x:f>
      </x:c>
      <x:c r="I1529" s="10"/>
      <x:c r="J1529" s="11" t="str">
        <x:f>IF(AND(Z1529="共同",ISNUMBER(F1529),ISNUMBER(M1529)),F1529-M1529,"")</x:f>
      </x:c>
      <x:c r="K1529" s="13" t="str">
        <x:f>IF(AND(ISNUMBER(J1529),M1529&lt;&gt;0),J1529/M1529,"")</x:f>
      </x:c>
      <x:c r="L1529" s="10" t="str">
        <x:v>数据待核</x:v>
      </x:c>
      <x:c r="M1529" s="11"/>
      <x:c r="N1529" s="10" t="str">
        <x:f>IF(AND(Z1529="共同",COUNT(H1529:I1529)=2),H1529-I1529,"")</x:f>
      </x:c>
      <x:c r="O1529" s="10"/>
      <x:c r="P1529" s="10"/>
      <x:c r="Q1529" s="10"/>
      <x:c r="R1529" s="10"/>
      <x:c r="S1529" s="10"/>
      <x:c r="T1529" s="10"/>
      <x:c r="U1529" s="10" t="str">
        <x:f>IF(AND(ISNUMBER(X1529),X1529&gt;=0,Y1529&lt;&gt;1),X1529,"")</x:f>
      </x:c>
      <x:c r="V1529" s="10"/>
      <x:c r="W1529" s="10"/>
      <x:c r="X1529" s="10"/>
      <x:c r="Y1529" s="3"/>
      <x:c r="Z1529" s="3" t="str">
        <x:v>移出</x:v>
      </x:c>
      <x:c r="AA1529" s="3" t="str">
        <x:v>已移出</x:v>
      </x:c>
      <x:c r="AB1529" s="12" t="str">
        <x:f>IF(AND(Z1529="共同",ISNUMBER(G1529),ISNUMBER(AD1529)),G1529-AD1529,"")</x:f>
      </x:c>
      <x:c r="AC1529" s="3" t="str">
        <x:v>基准清单已移出</x:v>
      </x:c>
      <x:c r="AD1529" s="12"/>
      <x:c r="AE1529" s="3" t="str">
        <x:v>[6574,"32582-BKW-37-1st"]</x:v>
      </x:c>
      <x:c r="AF1529" t="n">
        <x:f>IF(ISNUMBER(H1529),1,0)</x:f>
        <x:v>0</x:v>
      </x:c>
      <x:c r="AG1529" t="n">
        <x:f>IF(ISNUMBER(I1529),1,0)</x:f>
        <x:v>0</x:v>
      </x:c>
      <x:c r="AH1529"/>
      <x:c r="AI1529" t="n">
        <x:f>IF(ISNUMBER(G1529),1,0)</x:f>
        <x:v>0</x:v>
      </x:c>
      <x:c r="AJ1529" t="n">
        <x:f>IF(ISNUMBER(AD1529),1,0)</x:f>
        <x:v>0</x:v>
      </x:c>
    </x:row>
    <x:row r="1530" ht="30" customHeight="1">
      <x:c r="A1530" s="3" t="str">
        <x:v>32582-BKW-37.5-1st</x:v>
      </x:c>
      <x:c r="B1530" s="3" t="str">
        <x:v>3店-SANDIEX-US</x:v>
      </x:c>
      <x:c r="C1530" s="3" t="str">
        <x:v>徐新怡</x:v>
      </x:c>
      <x:c r="D1530" s="3" t="str">
        <x:v>32582</x:v>
      </x:c>
      <x:c r="E1530" s="3" t="str">
        <x:f>IF(Z1530="移出","已移出",IF(NOT(ISNUMBER(H1530)),"数据待核",IF(H1530=0,"断货",IF(NOT(ISNUMBER(G1530)),"数据待核",IF(G1530=0,"零日销待复核",IF(F1530&lt;60,"补货提醒",IF(F1530&lt;=90,"正常库存",IF(F1530&lt;180,"促销",IF(F1530&lt;=365,"红线促销","考虑清仓")))))))))</x:f>
        <x:v>已移出</x:v>
      </x:c>
      <x:c r="F1530" s="11" t="str">
        <x:f>IF(AND(ISNUMBER(H1530),ISNUMBER(G1530),G1530&gt;0),H1530/G1530,"")</x:f>
      </x:c>
      <x:c r="G1530" s="12" t="str">
        <x:f>IF(AND(COUNT(P1530:R1530)=3,MIN(P1530:R1530)&gt;=0,P1530&lt;=Q1530,Q1530&lt;=R1530),P1530/7*0.5+Q1530/14*0.3+R1530/30*0.2,"")</x:f>
      </x:c>
      <x:c r="H1530" s="10" t="str">
        <x:f>IF(ISNUMBER(U1530),U1530,"")</x:f>
      </x:c>
      <x:c r="I1530" s="10"/>
      <x:c r="J1530" s="11" t="str">
        <x:f>IF(AND(Z1530="共同",ISNUMBER(F1530),ISNUMBER(M1530)),F1530-M1530,"")</x:f>
      </x:c>
      <x:c r="K1530" s="13" t="str">
        <x:f>IF(AND(ISNUMBER(J1530),M1530&lt;&gt;0),J1530/M1530,"")</x:f>
      </x:c>
      <x:c r="L1530" s="10" t="str">
        <x:v>数据待核</x:v>
      </x:c>
      <x:c r="M1530" s="11"/>
      <x:c r="N1530" s="10" t="str">
        <x:f>IF(AND(Z1530="共同",COUNT(H1530:I1530)=2),H1530-I1530,"")</x:f>
      </x:c>
      <x:c r="O1530" s="10"/>
      <x:c r="P1530" s="10"/>
      <x:c r="Q1530" s="10"/>
      <x:c r="R1530" s="10"/>
      <x:c r="S1530" s="10"/>
      <x:c r="T1530" s="10"/>
      <x:c r="U1530" s="10" t="str">
        <x:f>IF(AND(ISNUMBER(X1530),X1530&gt;=0,Y1530&lt;&gt;1),X1530,"")</x:f>
      </x:c>
      <x:c r="V1530" s="10"/>
      <x:c r="W1530" s="10"/>
      <x:c r="X1530" s="10"/>
      <x:c r="Y1530" s="3"/>
      <x:c r="Z1530" s="3" t="str">
        <x:v>移出</x:v>
      </x:c>
      <x:c r="AA1530" s="3" t="str">
        <x:v>已移出</x:v>
      </x:c>
      <x:c r="AB1530" s="12" t="str">
        <x:f>IF(AND(Z1530="共同",ISNUMBER(G1530),ISNUMBER(AD1530)),G1530-AD1530,"")</x:f>
      </x:c>
      <x:c r="AC1530" s="3" t="str">
        <x:v>基准清单已移出</x:v>
      </x:c>
      <x:c r="AD1530" s="12"/>
      <x:c r="AE1530" s="3" t="str">
        <x:v>[6574,"32582-BKW-37.5-1st"]</x:v>
      </x:c>
      <x:c r="AF1530" t="n">
        <x:f>IF(ISNUMBER(H1530),1,0)</x:f>
        <x:v>0</x:v>
      </x:c>
      <x:c r="AG1530" t="n">
        <x:f>IF(ISNUMBER(I1530),1,0)</x:f>
        <x:v>0</x:v>
      </x:c>
      <x:c r="AH1530"/>
      <x:c r="AI1530" t="n">
        <x:f>IF(ISNUMBER(G1530),1,0)</x:f>
        <x:v>0</x:v>
      </x:c>
      <x:c r="AJ1530" t="n">
        <x:f>IF(ISNUMBER(AD1530),1,0)</x:f>
        <x:v>0</x:v>
      </x:c>
    </x:row>
    <x:row r="1531" ht="30" customHeight="1">
      <x:c r="A1531" s="3" t="str">
        <x:v>32582-BKW-38-1st</x:v>
      </x:c>
      <x:c r="B1531" s="3" t="str">
        <x:v>3店-SANDIEX-US</x:v>
      </x:c>
      <x:c r="C1531" s="3" t="str">
        <x:v>徐新怡</x:v>
      </x:c>
      <x:c r="D1531" s="3" t="str">
        <x:v>32582</x:v>
      </x:c>
      <x:c r="E1531" s="3" t="str">
        <x:f>IF(Z1531="移出","已移出",IF(NOT(ISNUMBER(H1531)),"数据待核",IF(H1531=0,"断货",IF(NOT(ISNUMBER(G1531)),"数据待核",IF(G1531=0,"零日销待复核",IF(F1531&lt;60,"补货提醒",IF(F1531&lt;=90,"正常库存",IF(F1531&lt;180,"促销",IF(F1531&lt;=365,"红线促销","考虑清仓")))))))))</x:f>
        <x:v>已移出</x:v>
      </x:c>
      <x:c r="F1531" s="11" t="str">
        <x:f>IF(AND(ISNUMBER(H1531),ISNUMBER(G1531),G1531&gt;0),H1531/G1531,"")</x:f>
      </x:c>
      <x:c r="G1531" s="12" t="str">
        <x:f>IF(AND(COUNT(P1531:R1531)=3,MIN(P1531:R1531)&gt;=0,P1531&lt;=Q1531,Q1531&lt;=R1531),P1531/7*0.5+Q1531/14*0.3+R1531/30*0.2,"")</x:f>
      </x:c>
      <x:c r="H1531" s="10" t="str">
        <x:f>IF(ISNUMBER(U1531),U1531,"")</x:f>
      </x:c>
      <x:c r="I1531" s="10"/>
      <x:c r="J1531" s="11" t="str">
        <x:f>IF(AND(Z1531="共同",ISNUMBER(F1531),ISNUMBER(M1531)),F1531-M1531,"")</x:f>
      </x:c>
      <x:c r="K1531" s="13" t="str">
        <x:f>IF(AND(ISNUMBER(J1531),M1531&lt;&gt;0),J1531/M1531,"")</x:f>
      </x:c>
      <x:c r="L1531" s="10" t="str">
        <x:v>数据待核</x:v>
      </x:c>
      <x:c r="M1531" s="11"/>
      <x:c r="N1531" s="10" t="str">
        <x:f>IF(AND(Z1531="共同",COUNT(H1531:I1531)=2),H1531-I1531,"")</x:f>
      </x:c>
      <x:c r="O1531" s="10"/>
      <x:c r="P1531" s="10"/>
      <x:c r="Q1531" s="10"/>
      <x:c r="R1531" s="10"/>
      <x:c r="S1531" s="10"/>
      <x:c r="T1531" s="10"/>
      <x:c r="U1531" s="10" t="str">
        <x:f>IF(AND(ISNUMBER(X1531),X1531&gt;=0,Y1531&lt;&gt;1),X1531,"")</x:f>
      </x:c>
      <x:c r="V1531" s="10"/>
      <x:c r="W1531" s="10"/>
      <x:c r="X1531" s="10"/>
      <x:c r="Y1531" s="3"/>
      <x:c r="Z1531" s="3" t="str">
        <x:v>移出</x:v>
      </x:c>
      <x:c r="AA1531" s="3" t="str">
        <x:v>已移出</x:v>
      </x:c>
      <x:c r="AB1531" s="12" t="str">
        <x:f>IF(AND(Z1531="共同",ISNUMBER(G1531),ISNUMBER(AD1531)),G1531-AD1531,"")</x:f>
      </x:c>
      <x:c r="AC1531" s="3" t="str">
        <x:v>基准清单已移出</x:v>
      </x:c>
      <x:c r="AD1531" s="12"/>
      <x:c r="AE1531" s="3" t="str">
        <x:v>[6574,"32582-BKW-38-1st"]</x:v>
      </x:c>
      <x:c r="AF1531" t="n">
        <x:f>IF(ISNUMBER(H1531),1,0)</x:f>
        <x:v>0</x:v>
      </x:c>
      <x:c r="AG1531" t="n">
        <x:f>IF(ISNUMBER(I1531),1,0)</x:f>
        <x:v>0</x:v>
      </x:c>
      <x:c r="AH1531"/>
      <x:c r="AI1531" t="n">
        <x:f>IF(ISNUMBER(G1531),1,0)</x:f>
        <x:v>0</x:v>
      </x:c>
      <x:c r="AJ1531" t="n">
        <x:f>IF(ISNUMBER(AD1531),1,0)</x:f>
        <x:v>0</x:v>
      </x:c>
    </x:row>
    <x:row r="1532" ht="30" customHeight="1">
      <x:c r="A1532" s="3" t="str">
        <x:v>32582-BKW-40.5-1st</x:v>
      </x:c>
      <x:c r="B1532" s="3" t="str">
        <x:v>3店-SANDIEX-US</x:v>
      </x:c>
      <x:c r="C1532" s="3" t="str">
        <x:v>徐新怡</x:v>
      </x:c>
      <x:c r="D1532" s="3" t="str">
        <x:v>32582</x:v>
      </x:c>
      <x:c r="E1532" s="3" t="str">
        <x:f>IF(Z1532="移出","已移出",IF(NOT(ISNUMBER(H1532)),"数据待核",IF(H1532=0,"断货",IF(NOT(ISNUMBER(G1532)),"数据待核",IF(G1532=0,"零日销待复核",IF(F1532&lt;60,"补货提醒",IF(F1532&lt;=90,"正常库存",IF(F1532&lt;180,"促销",IF(F1532&lt;=365,"红线促销","考虑清仓")))))))))</x:f>
        <x:v>已移出</x:v>
      </x:c>
      <x:c r="F1532" s="11" t="str">
        <x:f>IF(AND(ISNUMBER(H1532),ISNUMBER(G1532),G1532&gt;0),H1532/G1532,"")</x:f>
      </x:c>
      <x:c r="G1532" s="12" t="str">
        <x:f>IF(AND(COUNT(P1532:R1532)=3,MIN(P1532:R1532)&gt;=0,P1532&lt;=Q1532,Q1532&lt;=R1532),P1532/7*0.5+Q1532/14*0.3+R1532/30*0.2,"")</x:f>
      </x:c>
      <x:c r="H1532" s="10" t="str">
        <x:f>IF(ISNUMBER(U1532),U1532,"")</x:f>
      </x:c>
      <x:c r="I1532" s="10"/>
      <x:c r="J1532" s="11" t="str">
        <x:f>IF(AND(Z1532="共同",ISNUMBER(F1532),ISNUMBER(M1532)),F1532-M1532,"")</x:f>
      </x:c>
      <x:c r="K1532" s="13" t="str">
        <x:f>IF(AND(ISNUMBER(J1532),M1532&lt;&gt;0),J1532/M1532,"")</x:f>
      </x:c>
      <x:c r="L1532" s="10" t="str">
        <x:v>数据待核</x:v>
      </x:c>
      <x:c r="M1532" s="11"/>
      <x:c r="N1532" s="10" t="str">
        <x:f>IF(AND(Z1532="共同",COUNT(H1532:I1532)=2),H1532-I1532,"")</x:f>
      </x:c>
      <x:c r="O1532" s="10"/>
      <x:c r="P1532" s="10"/>
      <x:c r="Q1532" s="10"/>
      <x:c r="R1532" s="10"/>
      <x:c r="S1532" s="10"/>
      <x:c r="T1532" s="10"/>
      <x:c r="U1532" s="10" t="str">
        <x:f>IF(AND(ISNUMBER(X1532),X1532&gt;=0,Y1532&lt;&gt;1),X1532,"")</x:f>
      </x:c>
      <x:c r="V1532" s="10"/>
      <x:c r="W1532" s="10"/>
      <x:c r="X1532" s="10"/>
      <x:c r="Y1532" s="3"/>
      <x:c r="Z1532" s="3" t="str">
        <x:v>移出</x:v>
      </x:c>
      <x:c r="AA1532" s="3" t="str">
        <x:v>已移出</x:v>
      </x:c>
      <x:c r="AB1532" s="12" t="str">
        <x:f>IF(AND(Z1532="共同",ISNUMBER(G1532),ISNUMBER(AD1532)),G1532-AD1532,"")</x:f>
      </x:c>
      <x:c r="AC1532" s="3" t="str">
        <x:v>基准清单已移出</x:v>
      </x:c>
      <x:c r="AD1532" s="12"/>
      <x:c r="AE1532" s="3" t="str">
        <x:v>[6574,"32582-BKW-40.5-1st"]</x:v>
      </x:c>
      <x:c r="AF1532" t="n">
        <x:f>IF(ISNUMBER(H1532),1,0)</x:f>
        <x:v>0</x:v>
      </x:c>
      <x:c r="AG1532" t="n">
        <x:f>IF(ISNUMBER(I1532),1,0)</x:f>
        <x:v>0</x:v>
      </x:c>
      <x:c r="AH1532"/>
      <x:c r="AI1532" t="n">
        <x:f>IF(ISNUMBER(G1532),1,0)</x:f>
        <x:v>0</x:v>
      </x:c>
      <x:c r="AJ1532" t="n">
        <x:f>IF(ISNUMBER(AD1532),1,0)</x:f>
        <x:v>0</x:v>
      </x:c>
    </x:row>
    <x:row r="1533" ht="30" customHeight="1">
      <x:c r="A1533" s="3" t="str">
        <x:v>32582-RD-37-1st</x:v>
      </x:c>
      <x:c r="B1533" s="3" t="str">
        <x:v>3店-SANDIEX-US</x:v>
      </x:c>
      <x:c r="C1533" s="3" t="str">
        <x:v>徐新怡</x:v>
      </x:c>
      <x:c r="D1533" s="3" t="str">
        <x:v>32582</x:v>
      </x:c>
      <x:c r="E1533" s="3" t="str">
        <x:f>IF(Z1533="移出","已移出",IF(NOT(ISNUMBER(H1533)),"数据待核",IF(H1533=0,"断货",IF(NOT(ISNUMBER(G1533)),"数据待核",IF(G1533=0,"零日销待复核",IF(F1533&lt;60,"补货提醒",IF(F1533&lt;=90,"正常库存",IF(F1533&lt;180,"促销",IF(F1533&lt;=365,"红线促销","考虑清仓")))))))))</x:f>
        <x:v>已移出</x:v>
      </x:c>
      <x:c r="F1533" s="11" t="str">
        <x:f>IF(AND(ISNUMBER(H1533),ISNUMBER(G1533),G1533&gt;0),H1533/G1533,"")</x:f>
      </x:c>
      <x:c r="G1533" s="12" t="str">
        <x:f>IF(AND(COUNT(P1533:R1533)=3,MIN(P1533:R1533)&gt;=0,P1533&lt;=Q1533,Q1533&lt;=R1533),P1533/7*0.5+Q1533/14*0.3+R1533/30*0.2,"")</x:f>
      </x:c>
      <x:c r="H1533" s="10" t="str">
        <x:f>IF(ISNUMBER(U1533),U1533,"")</x:f>
      </x:c>
      <x:c r="I1533" s="10"/>
      <x:c r="J1533" s="11" t="str">
        <x:f>IF(AND(Z1533="共同",ISNUMBER(F1533),ISNUMBER(M1533)),F1533-M1533,"")</x:f>
      </x:c>
      <x:c r="K1533" s="13" t="str">
        <x:f>IF(AND(ISNUMBER(J1533),M1533&lt;&gt;0),J1533/M1533,"")</x:f>
      </x:c>
      <x:c r="L1533" s="10" t="str">
        <x:v>数据待核</x:v>
      </x:c>
      <x:c r="M1533" s="11"/>
      <x:c r="N1533" s="10" t="str">
        <x:f>IF(AND(Z1533="共同",COUNT(H1533:I1533)=2),H1533-I1533,"")</x:f>
      </x:c>
      <x:c r="O1533" s="10"/>
      <x:c r="P1533" s="10"/>
      <x:c r="Q1533" s="10"/>
      <x:c r="R1533" s="10"/>
      <x:c r="S1533" s="10"/>
      <x:c r="T1533" s="10"/>
      <x:c r="U1533" s="10" t="str">
        <x:f>IF(AND(ISNUMBER(X1533),X1533&gt;=0,Y1533&lt;&gt;1),X1533,"")</x:f>
      </x:c>
      <x:c r="V1533" s="10"/>
      <x:c r="W1533" s="10"/>
      <x:c r="X1533" s="10"/>
      <x:c r="Y1533" s="3"/>
      <x:c r="Z1533" s="3" t="str">
        <x:v>移出</x:v>
      </x:c>
      <x:c r="AA1533" s="3" t="str">
        <x:v>已移出</x:v>
      </x:c>
      <x:c r="AB1533" s="12" t="str">
        <x:f>IF(AND(Z1533="共同",ISNUMBER(G1533),ISNUMBER(AD1533)),G1533-AD1533,"")</x:f>
      </x:c>
      <x:c r="AC1533" s="3" t="str">
        <x:v>基准清单已移出</x:v>
      </x:c>
      <x:c r="AD1533" s="12"/>
      <x:c r="AE1533" s="3" t="str">
        <x:v>[6574,"32582-RD-37-1st"]</x:v>
      </x:c>
      <x:c r="AF1533" t="n">
        <x:f>IF(ISNUMBER(H1533),1,0)</x:f>
        <x:v>0</x:v>
      </x:c>
      <x:c r="AG1533" t="n">
        <x:f>IF(ISNUMBER(I1533),1,0)</x:f>
        <x:v>0</x:v>
      </x:c>
      <x:c r="AH1533"/>
      <x:c r="AI1533" t="n">
        <x:f>IF(ISNUMBER(G1533),1,0)</x:f>
        <x:v>0</x:v>
      </x:c>
      <x:c r="AJ1533" t="n">
        <x:f>IF(ISNUMBER(AD1533),1,0)</x:f>
        <x:v>0</x:v>
      </x:c>
    </x:row>
    <x:row r="1534" ht="30" customHeight="1">
      <x:c r="A1534" s="3" t="str">
        <x:v>32582-RD-41-1st</x:v>
      </x:c>
      <x:c r="B1534" s="3" t="str">
        <x:v>3店-SANDIEX-US</x:v>
      </x:c>
      <x:c r="C1534" s="3" t="str">
        <x:v>徐新怡</x:v>
      </x:c>
      <x:c r="D1534" s="3" t="str">
        <x:v>32582</x:v>
      </x:c>
      <x:c r="E1534" s="3" t="str">
        <x:f>IF(Z1534="移出","已移出",IF(NOT(ISNUMBER(H1534)),"数据待核",IF(H1534=0,"断货",IF(NOT(ISNUMBER(G1534)),"数据待核",IF(G1534=0,"零日销待复核",IF(F1534&lt;60,"补货提醒",IF(F1534&lt;=90,"正常库存",IF(F1534&lt;180,"促销",IF(F1534&lt;=365,"红线促销","考虑清仓")))))))))</x:f>
        <x:v>已移出</x:v>
      </x:c>
      <x:c r="F1534" s="11" t="str">
        <x:f>IF(AND(ISNUMBER(H1534),ISNUMBER(G1534),G1534&gt;0),H1534/G1534,"")</x:f>
      </x:c>
      <x:c r="G1534" s="12" t="str">
        <x:f>IF(AND(COUNT(P1534:R1534)=3,MIN(P1534:R1534)&gt;=0,P1534&lt;=Q1534,Q1534&lt;=R1534),P1534/7*0.5+Q1534/14*0.3+R1534/30*0.2,"")</x:f>
      </x:c>
      <x:c r="H1534" s="10" t="str">
        <x:f>IF(ISNUMBER(U1534),U1534,"")</x:f>
      </x:c>
      <x:c r="I1534" s="10"/>
      <x:c r="J1534" s="11" t="str">
        <x:f>IF(AND(Z1534="共同",ISNUMBER(F1534),ISNUMBER(M1534)),F1534-M1534,"")</x:f>
      </x:c>
      <x:c r="K1534" s="13" t="str">
        <x:f>IF(AND(ISNUMBER(J1534),M1534&lt;&gt;0),J1534/M1534,"")</x:f>
      </x:c>
      <x:c r="L1534" s="10" t="str">
        <x:v>数据待核</x:v>
      </x:c>
      <x:c r="M1534" s="11"/>
      <x:c r="N1534" s="10" t="str">
        <x:f>IF(AND(Z1534="共同",COUNT(H1534:I1534)=2),H1534-I1534,"")</x:f>
      </x:c>
      <x:c r="O1534" s="10"/>
      <x:c r="P1534" s="10"/>
      <x:c r="Q1534" s="10"/>
      <x:c r="R1534" s="10"/>
      <x:c r="S1534" s="10"/>
      <x:c r="T1534" s="10"/>
      <x:c r="U1534" s="10" t="str">
        <x:f>IF(AND(ISNUMBER(X1534),X1534&gt;=0,Y1534&lt;&gt;1),X1534,"")</x:f>
      </x:c>
      <x:c r="V1534" s="10"/>
      <x:c r="W1534" s="10"/>
      <x:c r="X1534" s="10"/>
      <x:c r="Y1534" s="3"/>
      <x:c r="Z1534" s="3" t="str">
        <x:v>移出</x:v>
      </x:c>
      <x:c r="AA1534" s="3" t="str">
        <x:v>已移出</x:v>
      </x:c>
      <x:c r="AB1534" s="12" t="str">
        <x:f>IF(AND(Z1534="共同",ISNUMBER(G1534),ISNUMBER(AD1534)),G1534-AD1534,"")</x:f>
      </x:c>
      <x:c r="AC1534" s="3" t="str">
        <x:v>基准清单已移出</x:v>
      </x:c>
      <x:c r="AD1534" s="12"/>
      <x:c r="AE1534" s="3" t="str">
        <x:v>[6574,"32582-RD-41-1st"]</x:v>
      </x:c>
      <x:c r="AF1534" t="n">
        <x:f>IF(ISNUMBER(H1534),1,0)</x:f>
        <x:v>0</x:v>
      </x:c>
      <x:c r="AG1534" t="n">
        <x:f>IF(ISNUMBER(I1534),1,0)</x:f>
        <x:v>0</x:v>
      </x:c>
      <x:c r="AH1534"/>
      <x:c r="AI1534" t="n">
        <x:f>IF(ISNUMBER(G1534),1,0)</x:f>
        <x:v>0</x:v>
      </x:c>
      <x:c r="AJ1534" t="n">
        <x:f>IF(ISNUMBER(AD1534),1,0)</x:f>
        <x:v>0</x:v>
      </x:c>
    </x:row>
    <x:row r="1535" ht="30" customHeight="1">
      <x:c r="A1535" s="3" t="str">
        <x:v>32582-RD-42-1st</x:v>
      </x:c>
      <x:c r="B1535" s="3" t="str">
        <x:v>3店-SANDIEX-US</x:v>
      </x:c>
      <x:c r="C1535" s="3" t="str">
        <x:v>徐新怡</x:v>
      </x:c>
      <x:c r="D1535" s="3" t="str">
        <x:v>32582</x:v>
      </x:c>
      <x:c r="E1535" s="3" t="str">
        <x:f>IF(Z1535="移出","已移出",IF(NOT(ISNUMBER(H1535)),"数据待核",IF(H1535=0,"断货",IF(NOT(ISNUMBER(G1535)),"数据待核",IF(G1535=0,"零日销待复核",IF(F1535&lt;60,"补货提醒",IF(F1535&lt;=90,"正常库存",IF(F1535&lt;180,"促销",IF(F1535&lt;=365,"红线促销","考虑清仓")))))))))</x:f>
        <x:v>已移出</x:v>
      </x:c>
      <x:c r="F1535" s="11" t="str">
        <x:f>IF(AND(ISNUMBER(H1535),ISNUMBER(G1535),G1535&gt;0),H1535/G1535,"")</x:f>
      </x:c>
      <x:c r="G1535" s="12" t="str">
        <x:f>IF(AND(COUNT(P1535:R1535)=3,MIN(P1535:R1535)&gt;=0,P1535&lt;=Q1535,Q1535&lt;=R1535),P1535/7*0.5+Q1535/14*0.3+R1535/30*0.2,"")</x:f>
      </x:c>
      <x:c r="H1535" s="10" t="str">
        <x:f>IF(ISNUMBER(U1535),U1535,"")</x:f>
      </x:c>
      <x:c r="I1535" s="10"/>
      <x:c r="J1535" s="11" t="str">
        <x:f>IF(AND(Z1535="共同",ISNUMBER(F1535),ISNUMBER(M1535)),F1535-M1535,"")</x:f>
      </x:c>
      <x:c r="K1535" s="13" t="str">
        <x:f>IF(AND(ISNUMBER(J1535),M1535&lt;&gt;0),J1535/M1535,"")</x:f>
      </x:c>
      <x:c r="L1535" s="10" t="str">
        <x:v>数据待核</x:v>
      </x:c>
      <x:c r="M1535" s="11"/>
      <x:c r="N1535" s="10" t="str">
        <x:f>IF(AND(Z1535="共同",COUNT(H1535:I1535)=2),H1535-I1535,"")</x:f>
      </x:c>
      <x:c r="O1535" s="10"/>
      <x:c r="P1535" s="10"/>
      <x:c r="Q1535" s="10"/>
      <x:c r="R1535" s="10"/>
      <x:c r="S1535" s="10"/>
      <x:c r="T1535" s="10"/>
      <x:c r="U1535" s="10" t="str">
        <x:f>IF(AND(ISNUMBER(X1535),X1535&gt;=0,Y1535&lt;&gt;1),X1535,"")</x:f>
      </x:c>
      <x:c r="V1535" s="10"/>
      <x:c r="W1535" s="10"/>
      <x:c r="X1535" s="10"/>
      <x:c r="Y1535" s="3"/>
      <x:c r="Z1535" s="3" t="str">
        <x:v>移出</x:v>
      </x:c>
      <x:c r="AA1535" s="3" t="str">
        <x:v>已移出</x:v>
      </x:c>
      <x:c r="AB1535" s="12" t="str">
        <x:f>IF(AND(Z1535="共同",ISNUMBER(G1535),ISNUMBER(AD1535)),G1535-AD1535,"")</x:f>
      </x:c>
      <x:c r="AC1535" s="3" t="str">
        <x:v>基准清单已移出</x:v>
      </x:c>
      <x:c r="AD1535" s="12"/>
      <x:c r="AE1535" s="3" t="str">
        <x:v>[6574,"32582-RD-42-1st"]</x:v>
      </x:c>
      <x:c r="AF1535" t="n">
        <x:f>IF(ISNUMBER(H1535),1,0)</x:f>
        <x:v>0</x:v>
      </x:c>
      <x:c r="AG1535" t="n">
        <x:f>IF(ISNUMBER(I1535),1,0)</x:f>
        <x:v>0</x:v>
      </x:c>
      <x:c r="AH1535"/>
      <x:c r="AI1535" t="n">
        <x:f>IF(ISNUMBER(G1535),1,0)</x:f>
        <x:v>0</x:v>
      </x:c>
      <x:c r="AJ1535" t="n">
        <x:f>IF(ISNUMBER(AD1535),1,0)</x:f>
        <x:v>0</x:v>
      </x:c>
    </x:row>
    <x:row r="1536" ht="30" customHeight="1">
      <x:c r="A1536" s="3" t="str">
        <x:v>230510-WT-P-K-6</x:v>
      </x:c>
      <x:c r="B1536" s="3" t="str">
        <x:v>1店-MUSSHOE-US</x:v>
      </x:c>
      <x:c r="C1536" s="3" t="str">
        <x:v>待定</x:v>
      </x:c>
      <x:c r="D1536" s="3" t="str">
        <x:v>230510</x:v>
      </x:c>
      <x:c r="E1536" s="3" t="str">
        <x:f>IF(Z1536="移出","已移出",IF(NOT(ISNUMBER(H1536)),"数据待核",IF(H1536=0,"断货",IF(NOT(ISNUMBER(G1536)),"数据待核",IF(G1536=0,"零日销待复核",IF(F1536&lt;60,"补货提醒",IF(F1536&lt;=90,"正常库存",IF(F1536&lt;180,"促销",IF(F1536&lt;=365,"红线促销","考虑清仓")))))))))</x:f>
        <x:v>已移出</x:v>
      </x:c>
      <x:c r="F1536" s="11" t="str">
        <x:f>IF(AND(ISNUMBER(H1536),ISNUMBER(G1536),G1536&gt;0),H1536/G1536,"")</x:f>
      </x:c>
      <x:c r="G1536" s="12" t="str">
        <x:f>IF(AND(COUNT(P1536:R1536)=3,MIN(P1536:R1536)&gt;=0,P1536&lt;=Q1536,Q1536&lt;=R1536),P1536/7*0.5+Q1536/14*0.3+R1536/30*0.2,"")</x:f>
      </x:c>
      <x:c r="H1536" s="10" t="str">
        <x:f>IF(ISNUMBER(U1536),U1536,"")</x:f>
      </x:c>
      <x:c r="I1536" s="10" t="n">
        <x:v>0</x:v>
      </x:c>
      <x:c r="J1536" s="11" t="str">
        <x:f>IF(AND(Z1536="共同",ISNUMBER(F1536),ISNUMBER(M1536)),F1536-M1536,"")</x:f>
      </x:c>
      <x:c r="K1536" s="13" t="str">
        <x:f>IF(AND(ISNUMBER(J1536),M1536&lt;&gt;0),J1536/M1536,"")</x:f>
      </x:c>
      <x:c r="L1536" s="10" t="str">
        <x:v>断货</x:v>
      </x:c>
      <x:c r="M1536" s="11"/>
      <x:c r="N1536" s="10" t="str">
        <x:f>IF(AND(Z1536="共同",COUNT(H1536:I1536)=2),H1536-I1536,"")</x:f>
      </x:c>
      <x:c r="O1536" s="10"/>
      <x:c r="P1536" s="10"/>
      <x:c r="Q1536" s="10"/>
      <x:c r="R1536" s="10"/>
      <x:c r="S1536" s="10"/>
      <x:c r="T1536" s="10"/>
      <x:c r="U1536" s="10" t="str">
        <x:f>IF(AND(ISNUMBER(X1536),X1536&gt;=0,Y1536&lt;&gt;1),X1536,"")</x:f>
      </x:c>
      <x:c r="V1536" s="10"/>
      <x:c r="W1536" s="10"/>
      <x:c r="X1536" s="10"/>
      <x:c r="Y1536" s="3"/>
      <x:c r="Z1536" s="3" t="str">
        <x:v>移出</x:v>
      </x:c>
      <x:c r="AA1536" s="3" t="str">
        <x:v>已移出</x:v>
      </x:c>
      <x:c r="AB1536" s="12" t="str">
        <x:f>IF(AND(Z1536="共同",ISNUMBER(G1536),ISNUMBER(AD1536)),G1536-AD1536,"")</x:f>
      </x:c>
      <x:c r="AC1536" s="3" t="str">
        <x:v>基准清单已移出</x:v>
      </x:c>
      <x:c r="AD1536" s="12"/>
      <x:c r="AE1536" s="3" t="str">
        <x:v>[13120,"230510-WT-P-K-6"]</x:v>
      </x:c>
      <x:c r="AF1536" t="n">
        <x:f>IF(ISNUMBER(H1536),1,0)</x:f>
        <x:v>0</x:v>
      </x:c>
      <x:c r="AG1536" t="n">
        <x:f>IF(ISNUMBER(I1536),1,0)</x:f>
        <x:v>1</x:v>
      </x:c>
      <x:c r="AH1536"/>
      <x:c r="AI1536" t="n">
        <x:f>IF(ISNUMBER(G1536),1,0)</x:f>
        <x:v>0</x:v>
      </x:c>
      <x:c r="AJ1536" t="n">
        <x:f>IF(ISNUMBER(AD1536),1,0)</x:f>
        <x:v>0</x:v>
      </x:c>
    </x:row>
    <x:row r="1537" ht="30" customHeight="1">
      <x:c r="A1537" s="3" t="str">
        <x:v>230510-WT-P-K-7</x:v>
      </x:c>
      <x:c r="B1537" s="3" t="str">
        <x:v>1店-MUSSHOE-US</x:v>
      </x:c>
      <x:c r="C1537" s="3" t="str">
        <x:v>待定</x:v>
      </x:c>
      <x:c r="D1537" s="3" t="str">
        <x:v>230510</x:v>
      </x:c>
      <x:c r="E1537" s="3" t="str">
        <x:f>IF(Z1537="移出","已移出",IF(NOT(ISNUMBER(H1537)),"数据待核",IF(H1537=0,"断货",IF(NOT(ISNUMBER(G1537)),"数据待核",IF(G1537=0,"零日销待复核",IF(F1537&lt;60,"补货提醒",IF(F1537&lt;=90,"正常库存",IF(F1537&lt;180,"促销",IF(F1537&lt;=365,"红线促销","考虑清仓")))))))))</x:f>
        <x:v>已移出</x:v>
      </x:c>
      <x:c r="F1537" s="11" t="str">
        <x:f>IF(AND(ISNUMBER(H1537),ISNUMBER(G1537),G1537&gt;0),H1537/G1537,"")</x:f>
      </x:c>
      <x:c r="G1537" s="12" t="str">
        <x:f>IF(AND(COUNT(P1537:R1537)=3,MIN(P1537:R1537)&gt;=0,P1537&lt;=Q1537,Q1537&lt;=R1537),P1537/7*0.5+Q1537/14*0.3+R1537/30*0.2,"")</x:f>
      </x:c>
      <x:c r="H1537" s="10" t="str">
        <x:f>IF(ISNUMBER(U1537),U1537,"")</x:f>
      </x:c>
      <x:c r="I1537" s="10" t="n">
        <x:v>0</x:v>
      </x:c>
      <x:c r="J1537" s="11" t="str">
        <x:f>IF(AND(Z1537="共同",ISNUMBER(F1537),ISNUMBER(M1537)),F1537-M1537,"")</x:f>
      </x:c>
      <x:c r="K1537" s="13" t="str">
        <x:f>IF(AND(ISNUMBER(J1537),M1537&lt;&gt;0),J1537/M1537,"")</x:f>
      </x:c>
      <x:c r="L1537" s="10" t="str">
        <x:v>断货</x:v>
      </x:c>
      <x:c r="M1537" s="11"/>
      <x:c r="N1537" s="10" t="str">
        <x:f>IF(AND(Z1537="共同",COUNT(H1537:I1537)=2),H1537-I1537,"")</x:f>
      </x:c>
      <x:c r="O1537" s="10"/>
      <x:c r="P1537" s="10"/>
      <x:c r="Q1537" s="10"/>
      <x:c r="R1537" s="10"/>
      <x:c r="S1537" s="10"/>
      <x:c r="T1537" s="10"/>
      <x:c r="U1537" s="10" t="str">
        <x:f>IF(AND(ISNUMBER(X1537),X1537&gt;=0,Y1537&lt;&gt;1),X1537,"")</x:f>
      </x:c>
      <x:c r="V1537" s="10"/>
      <x:c r="W1537" s="10"/>
      <x:c r="X1537" s="10"/>
      <x:c r="Y1537" s="3"/>
      <x:c r="Z1537" s="3" t="str">
        <x:v>移出</x:v>
      </x:c>
      <x:c r="AA1537" s="3" t="str">
        <x:v>已移出</x:v>
      </x:c>
      <x:c r="AB1537" s="12" t="str">
        <x:f>IF(AND(Z1537="共同",ISNUMBER(G1537),ISNUMBER(AD1537)),G1537-AD1537,"")</x:f>
      </x:c>
      <x:c r="AC1537" s="3" t="str">
        <x:v>基准清单已移出</x:v>
      </x:c>
      <x:c r="AD1537" s="12"/>
      <x:c r="AE1537" s="3" t="str">
        <x:v>[13120,"230510-WT-P-K-7"]</x:v>
      </x:c>
      <x:c r="AF1537" t="n">
        <x:f>IF(ISNUMBER(H1537),1,0)</x:f>
        <x:v>0</x:v>
      </x:c>
      <x:c r="AG1537" t="n">
        <x:f>IF(ISNUMBER(I1537),1,0)</x:f>
        <x:v>1</x:v>
      </x:c>
      <x:c r="AH1537"/>
      <x:c r="AI1537" t="n">
        <x:f>IF(ISNUMBER(G1537),1,0)</x:f>
        <x:v>0</x:v>
      </x:c>
      <x:c r="AJ1537" t="n">
        <x:f>IF(ISNUMBER(AD1537),1,0)</x:f>
        <x:v>0</x:v>
      </x:c>
    </x:row>
    <x:row r="1538" ht="30" customHeight="1">
      <x:c r="A1538" s="3" t="str">
        <x:v>230510-WT-P-K-8</x:v>
      </x:c>
      <x:c r="B1538" s="3" t="str">
        <x:v>1店-MUSSHOE-US</x:v>
      </x:c>
      <x:c r="C1538" s="3" t="str">
        <x:v>待定</x:v>
      </x:c>
      <x:c r="D1538" s="3" t="str">
        <x:v>230510</x:v>
      </x:c>
      <x:c r="E1538" s="3" t="str">
        <x:f>IF(Z1538="移出","已移出",IF(NOT(ISNUMBER(H1538)),"数据待核",IF(H1538=0,"断货",IF(NOT(ISNUMBER(G1538)),"数据待核",IF(G1538=0,"零日销待复核",IF(F1538&lt;60,"补货提醒",IF(F1538&lt;=90,"正常库存",IF(F1538&lt;180,"促销",IF(F1538&lt;=365,"红线促销","考虑清仓")))))))))</x:f>
        <x:v>已移出</x:v>
      </x:c>
      <x:c r="F1538" s="11" t="str">
        <x:f>IF(AND(ISNUMBER(H1538),ISNUMBER(G1538),G1538&gt;0),H1538/G1538,"")</x:f>
      </x:c>
      <x:c r="G1538" s="12" t="str">
        <x:f>IF(AND(COUNT(P1538:R1538)=3,MIN(P1538:R1538)&gt;=0,P1538&lt;=Q1538,Q1538&lt;=R1538),P1538/7*0.5+Q1538/14*0.3+R1538/30*0.2,"")</x:f>
      </x:c>
      <x:c r="H1538" s="10" t="str">
        <x:f>IF(ISNUMBER(U1538),U1538,"")</x:f>
      </x:c>
      <x:c r="I1538" s="10" t="n">
        <x:v>0</x:v>
      </x:c>
      <x:c r="J1538" s="11" t="str">
        <x:f>IF(AND(Z1538="共同",ISNUMBER(F1538),ISNUMBER(M1538)),F1538-M1538,"")</x:f>
      </x:c>
      <x:c r="K1538" s="13" t="str">
        <x:f>IF(AND(ISNUMBER(J1538),M1538&lt;&gt;0),J1538/M1538,"")</x:f>
      </x:c>
      <x:c r="L1538" s="10" t="str">
        <x:v>断货</x:v>
      </x:c>
      <x:c r="M1538" s="11"/>
      <x:c r="N1538" s="10" t="str">
        <x:f>IF(AND(Z1538="共同",COUNT(H1538:I1538)=2),H1538-I1538,"")</x:f>
      </x:c>
      <x:c r="O1538" s="10"/>
      <x:c r="P1538" s="10"/>
      <x:c r="Q1538" s="10"/>
      <x:c r="R1538" s="10"/>
      <x:c r="S1538" s="10"/>
      <x:c r="T1538" s="10"/>
      <x:c r="U1538" s="10" t="str">
        <x:f>IF(AND(ISNUMBER(X1538),X1538&gt;=0,Y1538&lt;&gt;1),X1538,"")</x:f>
      </x:c>
      <x:c r="V1538" s="10"/>
      <x:c r="W1538" s="10"/>
      <x:c r="X1538" s="10"/>
      <x:c r="Y1538" s="3"/>
      <x:c r="Z1538" s="3" t="str">
        <x:v>移出</x:v>
      </x:c>
      <x:c r="AA1538" s="3" t="str">
        <x:v>已移出</x:v>
      </x:c>
      <x:c r="AB1538" s="12" t="str">
        <x:f>IF(AND(Z1538="共同",ISNUMBER(G1538),ISNUMBER(AD1538)),G1538-AD1538,"")</x:f>
      </x:c>
      <x:c r="AC1538" s="3" t="str">
        <x:v>基准清单已移出</x:v>
      </x:c>
      <x:c r="AD1538" s="12"/>
      <x:c r="AE1538" s="3" t="str">
        <x:v>[13120,"230510-WT-P-K-8"]</x:v>
      </x:c>
      <x:c r="AF1538" t="n">
        <x:f>IF(ISNUMBER(H1538),1,0)</x:f>
        <x:v>0</x:v>
      </x:c>
      <x:c r="AG1538" t="n">
        <x:f>IF(ISNUMBER(I1538),1,0)</x:f>
        <x:v>1</x:v>
      </x:c>
      <x:c r="AH1538"/>
      <x:c r="AI1538" t="n">
        <x:f>IF(ISNUMBER(G1538),1,0)</x:f>
        <x:v>0</x:v>
      </x:c>
      <x:c r="AJ1538" t="n">
        <x:f>IF(ISNUMBER(AD1538),1,0)</x:f>
        <x:v>0</x:v>
      </x:c>
    </x:row>
    <x:row r="1539" ht="30" customHeight="1">
      <x:c r="A1539" s="3" t="str">
        <x:v>230510-WT-P-K-9</x:v>
      </x:c>
      <x:c r="B1539" s="3" t="str">
        <x:v>1店-MUSSHOE-US</x:v>
      </x:c>
      <x:c r="C1539" s="3" t="str">
        <x:v>待定</x:v>
      </x:c>
      <x:c r="D1539" s="3" t="str">
        <x:v>230510</x:v>
      </x:c>
      <x:c r="E1539" s="3" t="str">
        <x:f>IF(Z1539="移出","已移出",IF(NOT(ISNUMBER(H1539)),"数据待核",IF(H1539=0,"断货",IF(NOT(ISNUMBER(G1539)),"数据待核",IF(G1539=0,"零日销待复核",IF(F1539&lt;60,"补货提醒",IF(F1539&lt;=90,"正常库存",IF(F1539&lt;180,"促销",IF(F1539&lt;=365,"红线促销","考虑清仓")))))))))</x:f>
        <x:v>已移出</x:v>
      </x:c>
      <x:c r="F1539" s="11" t="str">
        <x:f>IF(AND(ISNUMBER(H1539),ISNUMBER(G1539),G1539&gt;0),H1539/G1539,"")</x:f>
      </x:c>
      <x:c r="G1539" s="12" t="str">
        <x:f>IF(AND(COUNT(P1539:R1539)=3,MIN(P1539:R1539)&gt;=0,P1539&lt;=Q1539,Q1539&lt;=R1539),P1539/7*0.5+Q1539/14*0.3+R1539/30*0.2,"")</x:f>
      </x:c>
      <x:c r="H1539" s="10" t="str">
        <x:f>IF(ISNUMBER(U1539),U1539,"")</x:f>
      </x:c>
      <x:c r="I1539" s="10" t="n">
        <x:v>0</x:v>
      </x:c>
      <x:c r="J1539" s="11" t="str">
        <x:f>IF(AND(Z1539="共同",ISNUMBER(F1539),ISNUMBER(M1539)),F1539-M1539,"")</x:f>
      </x:c>
      <x:c r="K1539" s="13" t="str">
        <x:f>IF(AND(ISNUMBER(J1539),M1539&lt;&gt;0),J1539/M1539,"")</x:f>
      </x:c>
      <x:c r="L1539" s="10" t="str">
        <x:v>断货</x:v>
      </x:c>
      <x:c r="M1539" s="11"/>
      <x:c r="N1539" s="10" t="str">
        <x:f>IF(AND(Z1539="共同",COUNT(H1539:I1539)=2),H1539-I1539,"")</x:f>
      </x:c>
      <x:c r="O1539" s="10"/>
      <x:c r="P1539" s="10"/>
      <x:c r="Q1539" s="10"/>
      <x:c r="R1539" s="10"/>
      <x:c r="S1539" s="10"/>
      <x:c r="T1539" s="10"/>
      <x:c r="U1539" s="10" t="str">
        <x:f>IF(AND(ISNUMBER(X1539),X1539&gt;=0,Y1539&lt;&gt;1),X1539,"")</x:f>
      </x:c>
      <x:c r="V1539" s="10"/>
      <x:c r="W1539" s="10"/>
      <x:c r="X1539" s="10"/>
      <x:c r="Y1539" s="3"/>
      <x:c r="Z1539" s="3" t="str">
        <x:v>移出</x:v>
      </x:c>
      <x:c r="AA1539" s="3" t="str">
        <x:v>已移出</x:v>
      </x:c>
      <x:c r="AB1539" s="12" t="str">
        <x:f>IF(AND(Z1539="共同",ISNUMBER(G1539),ISNUMBER(AD1539)),G1539-AD1539,"")</x:f>
      </x:c>
      <x:c r="AC1539" s="3" t="str">
        <x:v>基准清单已移出</x:v>
      </x:c>
      <x:c r="AD1539" s="12"/>
      <x:c r="AE1539" s="3" t="str">
        <x:v>[13120,"230510-WT-P-K-9"]</x:v>
      </x:c>
      <x:c r="AF1539" t="n">
        <x:f>IF(ISNUMBER(H1539),1,0)</x:f>
        <x:v>0</x:v>
      </x:c>
      <x:c r="AG1539" t="n">
        <x:f>IF(ISNUMBER(I1539),1,0)</x:f>
        <x:v>1</x:v>
      </x:c>
      <x:c r="AH1539"/>
      <x:c r="AI1539" t="n">
        <x:f>IF(ISNUMBER(G1539),1,0)</x:f>
        <x:v>0</x:v>
      </x:c>
      <x:c r="AJ1539" t="n">
        <x:f>IF(ISNUMBER(AD1539),1,0)</x:f>
        <x:v>0</x:v>
      </x:c>
    </x:row>
    <x:row r="1540" ht="30" customHeight="1">
      <x:c r="A1540" s="3" t="str">
        <x:v>230510-WT-P-K-10</x:v>
      </x:c>
      <x:c r="B1540" s="3" t="str">
        <x:v>1店-MUSSHOE-US</x:v>
      </x:c>
      <x:c r="C1540" s="3" t="str">
        <x:v>待定</x:v>
      </x:c>
      <x:c r="D1540" s="3" t="str">
        <x:v>230510</x:v>
      </x:c>
      <x:c r="E1540" s="3" t="str">
        <x:f>IF(Z1540="移出","已移出",IF(NOT(ISNUMBER(H1540)),"数据待核",IF(H1540=0,"断货",IF(NOT(ISNUMBER(G1540)),"数据待核",IF(G1540=0,"零日销待复核",IF(F1540&lt;60,"补货提醒",IF(F1540&lt;=90,"正常库存",IF(F1540&lt;180,"促销",IF(F1540&lt;=365,"红线促销","考虑清仓")))))))))</x:f>
        <x:v>已移出</x:v>
      </x:c>
      <x:c r="F1540" s="11" t="str">
        <x:f>IF(AND(ISNUMBER(H1540),ISNUMBER(G1540),G1540&gt;0),H1540/G1540,"")</x:f>
      </x:c>
      <x:c r="G1540" s="12" t="str">
        <x:f>IF(AND(COUNT(P1540:R1540)=3,MIN(P1540:R1540)&gt;=0,P1540&lt;=Q1540,Q1540&lt;=R1540),P1540/7*0.5+Q1540/14*0.3+R1540/30*0.2,"")</x:f>
      </x:c>
      <x:c r="H1540" s="10" t="str">
        <x:f>IF(ISNUMBER(U1540),U1540,"")</x:f>
      </x:c>
      <x:c r="I1540" s="10" t="n">
        <x:v>0</x:v>
      </x:c>
      <x:c r="J1540" s="11" t="str">
        <x:f>IF(AND(Z1540="共同",ISNUMBER(F1540),ISNUMBER(M1540)),F1540-M1540,"")</x:f>
      </x:c>
      <x:c r="K1540" s="13" t="str">
        <x:f>IF(AND(ISNUMBER(J1540),M1540&lt;&gt;0),J1540/M1540,"")</x:f>
      </x:c>
      <x:c r="L1540" s="10" t="str">
        <x:v>断货</x:v>
      </x:c>
      <x:c r="M1540" s="11"/>
      <x:c r="N1540" s="10" t="str">
        <x:f>IF(AND(Z1540="共同",COUNT(H1540:I1540)=2),H1540-I1540,"")</x:f>
      </x:c>
      <x:c r="O1540" s="10"/>
      <x:c r="P1540" s="10"/>
      <x:c r="Q1540" s="10"/>
      <x:c r="R1540" s="10"/>
      <x:c r="S1540" s="10"/>
      <x:c r="T1540" s="10"/>
      <x:c r="U1540" s="10" t="str">
        <x:f>IF(AND(ISNUMBER(X1540),X1540&gt;=0,Y1540&lt;&gt;1),X1540,"")</x:f>
      </x:c>
      <x:c r="V1540" s="10"/>
      <x:c r="W1540" s="10"/>
      <x:c r="X1540" s="10"/>
      <x:c r="Y1540" s="3"/>
      <x:c r="Z1540" s="3" t="str">
        <x:v>移出</x:v>
      </x:c>
      <x:c r="AA1540" s="3" t="str">
        <x:v>已移出</x:v>
      </x:c>
      <x:c r="AB1540" s="12" t="str">
        <x:f>IF(AND(Z1540="共同",ISNUMBER(G1540),ISNUMBER(AD1540)),G1540-AD1540,"")</x:f>
      </x:c>
      <x:c r="AC1540" s="3" t="str">
        <x:v>基准清单已移出</x:v>
      </x:c>
      <x:c r="AD1540" s="12"/>
      <x:c r="AE1540" s="3" t="str">
        <x:v>[13120,"230510-WT-P-K-10"]</x:v>
      </x:c>
      <x:c r="AF1540" t="n">
        <x:f>IF(ISNUMBER(H1540),1,0)</x:f>
        <x:v>0</x:v>
      </x:c>
      <x:c r="AG1540" t="n">
        <x:f>IF(ISNUMBER(I1540),1,0)</x:f>
        <x:v>1</x:v>
      </x:c>
      <x:c r="AH1540"/>
      <x:c r="AI1540" t="n">
        <x:f>IF(ISNUMBER(G1540),1,0)</x:f>
        <x:v>0</x:v>
      </x:c>
      <x:c r="AJ1540" t="n">
        <x:f>IF(ISNUMBER(AD1540),1,0)</x:f>
        <x:v>0</x:v>
      </x:c>
    </x:row>
    <x:row r="1541" ht="30" customHeight="1">
      <x:c r="A1541" s="3" t="str">
        <x:v>230510-WT-P-K-11</x:v>
      </x:c>
      <x:c r="B1541" s="3" t="str">
        <x:v>1店-MUSSHOE-US</x:v>
      </x:c>
      <x:c r="C1541" s="3" t="str">
        <x:v>待定</x:v>
      </x:c>
      <x:c r="D1541" s="3" t="str">
        <x:v>230510</x:v>
      </x:c>
      <x:c r="E1541" s="3" t="str">
        <x:f>IF(Z1541="移出","已移出",IF(NOT(ISNUMBER(H1541)),"数据待核",IF(H1541=0,"断货",IF(NOT(ISNUMBER(G1541)),"数据待核",IF(G1541=0,"零日销待复核",IF(F1541&lt;60,"补货提醒",IF(F1541&lt;=90,"正常库存",IF(F1541&lt;180,"促销",IF(F1541&lt;=365,"红线促销","考虑清仓")))))))))</x:f>
        <x:v>已移出</x:v>
      </x:c>
      <x:c r="F1541" s="11" t="str">
        <x:f>IF(AND(ISNUMBER(H1541),ISNUMBER(G1541),G1541&gt;0),H1541/G1541,"")</x:f>
      </x:c>
      <x:c r="G1541" s="12" t="str">
        <x:f>IF(AND(COUNT(P1541:R1541)=3,MIN(P1541:R1541)&gt;=0,P1541&lt;=Q1541,Q1541&lt;=R1541),P1541/7*0.5+Q1541/14*0.3+R1541/30*0.2,"")</x:f>
      </x:c>
      <x:c r="H1541" s="10" t="str">
        <x:f>IF(ISNUMBER(U1541),U1541,"")</x:f>
      </x:c>
      <x:c r="I1541" s="10" t="n">
        <x:v>0</x:v>
      </x:c>
      <x:c r="J1541" s="11" t="str">
        <x:f>IF(AND(Z1541="共同",ISNUMBER(F1541),ISNUMBER(M1541)),F1541-M1541,"")</x:f>
      </x:c>
      <x:c r="K1541" s="13" t="str">
        <x:f>IF(AND(ISNUMBER(J1541),M1541&lt;&gt;0),J1541/M1541,"")</x:f>
      </x:c>
      <x:c r="L1541" s="10" t="str">
        <x:v>断货</x:v>
      </x:c>
      <x:c r="M1541" s="11"/>
      <x:c r="N1541" s="10" t="str">
        <x:f>IF(AND(Z1541="共同",COUNT(H1541:I1541)=2),H1541-I1541,"")</x:f>
      </x:c>
      <x:c r="O1541" s="10"/>
      <x:c r="P1541" s="10"/>
      <x:c r="Q1541" s="10"/>
      <x:c r="R1541" s="10"/>
      <x:c r="S1541" s="10"/>
      <x:c r="T1541" s="10"/>
      <x:c r="U1541" s="10" t="str">
        <x:f>IF(AND(ISNUMBER(X1541),X1541&gt;=0,Y1541&lt;&gt;1),X1541,"")</x:f>
      </x:c>
      <x:c r="V1541" s="10"/>
      <x:c r="W1541" s="10"/>
      <x:c r="X1541" s="10"/>
      <x:c r="Y1541" s="3"/>
      <x:c r="Z1541" s="3" t="str">
        <x:v>移出</x:v>
      </x:c>
      <x:c r="AA1541" s="3" t="str">
        <x:v>已移出</x:v>
      </x:c>
      <x:c r="AB1541" s="12" t="str">
        <x:f>IF(AND(Z1541="共同",ISNUMBER(G1541),ISNUMBER(AD1541)),G1541-AD1541,"")</x:f>
      </x:c>
      <x:c r="AC1541" s="3" t="str">
        <x:v>基准清单已移出</x:v>
      </x:c>
      <x:c r="AD1541" s="12"/>
      <x:c r="AE1541" s="3" t="str">
        <x:v>[13120,"230510-WT-P-K-11"]</x:v>
      </x:c>
      <x:c r="AF1541" t="n">
        <x:f>IF(ISNUMBER(H1541),1,0)</x:f>
        <x:v>0</x:v>
      </x:c>
      <x:c r="AG1541" t="n">
        <x:f>IF(ISNUMBER(I1541),1,0)</x:f>
        <x:v>1</x:v>
      </x:c>
      <x:c r="AH1541"/>
      <x:c r="AI1541" t="n">
        <x:f>IF(ISNUMBER(G1541),1,0)</x:f>
        <x:v>0</x:v>
      </x:c>
      <x:c r="AJ1541" t="n">
        <x:f>IF(ISNUMBER(AD1541),1,0)</x:f>
        <x:v>0</x:v>
      </x:c>
    </x:row>
    <x:row r="1542" ht="30" customHeight="1">
      <x:c r="A1542" s="3" t="str">
        <x:v>230510-LP-S-K-6</x:v>
      </x:c>
      <x:c r="B1542" s="3" t="str">
        <x:v>1店-MUSSHOE-US</x:v>
      </x:c>
      <x:c r="C1542" s="3" t="str">
        <x:v>待定</x:v>
      </x:c>
      <x:c r="D1542" s="3" t="str">
        <x:v>230510</x:v>
      </x:c>
      <x:c r="E1542" s="3" t="str">
        <x:f>IF(Z1542="移出","已移出",IF(NOT(ISNUMBER(H1542)),"数据待核",IF(H1542=0,"断货",IF(NOT(ISNUMBER(G1542)),"数据待核",IF(G1542=0,"零日销待复核",IF(F1542&lt;60,"补货提醒",IF(F1542&lt;=90,"正常库存",IF(F1542&lt;180,"促销",IF(F1542&lt;=365,"红线促销","考虑清仓")))))))))</x:f>
        <x:v>已移出</x:v>
      </x:c>
      <x:c r="F1542" s="11" t="str">
        <x:f>IF(AND(ISNUMBER(H1542),ISNUMBER(G1542),G1542&gt;0),H1542/G1542,"")</x:f>
      </x:c>
      <x:c r="G1542" s="12" t="str">
        <x:f>IF(AND(COUNT(P1542:R1542)=3,MIN(P1542:R1542)&gt;=0,P1542&lt;=Q1542,Q1542&lt;=R1542),P1542/7*0.5+Q1542/14*0.3+R1542/30*0.2,"")</x:f>
      </x:c>
      <x:c r="H1542" s="10" t="str">
        <x:f>IF(ISNUMBER(U1542),U1542,"")</x:f>
      </x:c>
      <x:c r="I1542" s="10" t="n">
        <x:v>13</x:v>
      </x:c>
      <x:c r="J1542" s="11" t="str">
        <x:f>IF(AND(Z1542="共同",ISNUMBER(F1542),ISNUMBER(M1542)),F1542-M1542,"")</x:f>
      </x:c>
      <x:c r="K1542" s="13" t="str">
        <x:f>IF(AND(ISNUMBER(J1542),M1542&lt;&gt;0),J1542/M1542,"")</x:f>
      </x:c>
      <x:c r="L1542" s="10" t="str">
        <x:v>数据待核</x:v>
      </x:c>
      <x:c r="M1542" s="11"/>
      <x:c r="N1542" s="10" t="str">
        <x:f>IF(AND(Z1542="共同",COUNT(H1542:I1542)=2),H1542-I1542,"")</x:f>
      </x:c>
      <x:c r="O1542" s="10"/>
      <x:c r="P1542" s="10"/>
      <x:c r="Q1542" s="10"/>
      <x:c r="R1542" s="10"/>
      <x:c r="S1542" s="10"/>
      <x:c r="T1542" s="10"/>
      <x:c r="U1542" s="10" t="str">
        <x:f>IF(AND(ISNUMBER(X1542),X1542&gt;=0,Y1542&lt;&gt;1),X1542,"")</x:f>
      </x:c>
      <x:c r="V1542" s="10"/>
      <x:c r="W1542" s="10"/>
      <x:c r="X1542" s="10"/>
      <x:c r="Y1542" s="3"/>
      <x:c r="Z1542" s="3" t="str">
        <x:v>移出</x:v>
      </x:c>
      <x:c r="AA1542" s="3" t="str">
        <x:v>已移出</x:v>
      </x:c>
      <x:c r="AB1542" s="12" t="str">
        <x:f>IF(AND(Z1542="共同",ISNUMBER(G1542),ISNUMBER(AD1542)),G1542-AD1542,"")</x:f>
      </x:c>
      <x:c r="AC1542" s="3" t="str">
        <x:v>基准清单已移出</x:v>
      </x:c>
      <x:c r="AD1542" s="12"/>
      <x:c r="AE1542" s="3" t="str">
        <x:v>[13120,"230510-LP-S-K-6"]</x:v>
      </x:c>
      <x:c r="AF1542" t="n">
        <x:f>IF(ISNUMBER(H1542),1,0)</x:f>
        <x:v>0</x:v>
      </x:c>
      <x:c r="AG1542" t="n">
        <x:f>IF(ISNUMBER(I1542),1,0)</x:f>
        <x:v>1</x:v>
      </x:c>
      <x:c r="AH1542"/>
      <x:c r="AI1542" t="n">
        <x:f>IF(ISNUMBER(G1542),1,0)</x:f>
        <x:v>0</x:v>
      </x:c>
      <x:c r="AJ1542" t="n">
        <x:f>IF(ISNUMBER(AD1542),1,0)</x:f>
        <x:v>0</x:v>
      </x:c>
    </x:row>
    <x:row r="1543" ht="30" customHeight="1">
      <x:c r="A1543" s="3" t="str">
        <x:v>230510-LP-S-K-6.5</x:v>
      </x:c>
      <x:c r="B1543" s="3" t="str">
        <x:v>1店-MUSSHOE-US</x:v>
      </x:c>
      <x:c r="C1543" s="3" t="str">
        <x:v>待定</x:v>
      </x:c>
      <x:c r="D1543" s="3" t="str">
        <x:v>230510</x:v>
      </x:c>
      <x:c r="E1543" s="3" t="str">
        <x:f>IF(Z1543="移出","已移出",IF(NOT(ISNUMBER(H1543)),"数据待核",IF(H1543=0,"断货",IF(NOT(ISNUMBER(G1543)),"数据待核",IF(G1543=0,"零日销待复核",IF(F1543&lt;60,"补货提醒",IF(F1543&lt;=90,"正常库存",IF(F1543&lt;180,"促销",IF(F1543&lt;=365,"红线促销","考虑清仓")))))))))</x:f>
        <x:v>已移出</x:v>
      </x:c>
      <x:c r="F1543" s="11" t="str">
        <x:f>IF(AND(ISNUMBER(H1543),ISNUMBER(G1543),G1543&gt;0),H1543/G1543,"")</x:f>
      </x:c>
      <x:c r="G1543" s="12" t="str">
        <x:f>IF(AND(COUNT(P1543:R1543)=3,MIN(P1543:R1543)&gt;=0,P1543&lt;=Q1543,Q1543&lt;=R1543),P1543/7*0.5+Q1543/14*0.3+R1543/30*0.2,"")</x:f>
      </x:c>
      <x:c r="H1543" s="10" t="str">
        <x:f>IF(ISNUMBER(U1543),U1543,"")</x:f>
      </x:c>
      <x:c r="I1543" s="10" t="n">
        <x:v>0</x:v>
      </x:c>
      <x:c r="J1543" s="11" t="str">
        <x:f>IF(AND(Z1543="共同",ISNUMBER(F1543),ISNUMBER(M1543)),F1543-M1543,"")</x:f>
      </x:c>
      <x:c r="K1543" s="13" t="str">
        <x:f>IF(AND(ISNUMBER(J1543),M1543&lt;&gt;0),J1543/M1543,"")</x:f>
      </x:c>
      <x:c r="L1543" s="10" t="str">
        <x:v>断货</x:v>
      </x:c>
      <x:c r="M1543" s="11"/>
      <x:c r="N1543" s="10" t="str">
        <x:f>IF(AND(Z1543="共同",COUNT(H1543:I1543)=2),H1543-I1543,"")</x:f>
      </x:c>
      <x:c r="O1543" s="10"/>
      <x:c r="P1543" s="10"/>
      <x:c r="Q1543" s="10"/>
      <x:c r="R1543" s="10"/>
      <x:c r="S1543" s="10"/>
      <x:c r="T1543" s="10"/>
      <x:c r="U1543" s="10" t="str">
        <x:f>IF(AND(ISNUMBER(X1543),X1543&gt;=0,Y1543&lt;&gt;1),X1543,"")</x:f>
      </x:c>
      <x:c r="V1543" s="10"/>
      <x:c r="W1543" s="10"/>
      <x:c r="X1543" s="10"/>
      <x:c r="Y1543" s="3"/>
      <x:c r="Z1543" s="3" t="str">
        <x:v>移出</x:v>
      </x:c>
      <x:c r="AA1543" s="3" t="str">
        <x:v>已移出</x:v>
      </x:c>
      <x:c r="AB1543" s="12" t="str">
        <x:f>IF(AND(Z1543="共同",ISNUMBER(G1543),ISNUMBER(AD1543)),G1543-AD1543,"")</x:f>
      </x:c>
      <x:c r="AC1543" s="3" t="str">
        <x:v>基准清单已移出</x:v>
      </x:c>
      <x:c r="AD1543" s="12"/>
      <x:c r="AE1543" s="3" t="str">
        <x:v>[13120,"230510-LP-S-K-6.5"]</x:v>
      </x:c>
      <x:c r="AF1543" t="n">
        <x:f>IF(ISNUMBER(H1543),1,0)</x:f>
        <x:v>0</x:v>
      </x:c>
      <x:c r="AG1543" t="n">
        <x:f>IF(ISNUMBER(I1543),1,0)</x:f>
        <x:v>1</x:v>
      </x:c>
      <x:c r="AH1543"/>
      <x:c r="AI1543" t="n">
        <x:f>IF(ISNUMBER(G1543),1,0)</x:f>
        <x:v>0</x:v>
      </x:c>
      <x:c r="AJ1543" t="n">
        <x:f>IF(ISNUMBER(AD1543),1,0)</x:f>
        <x:v>0</x:v>
      </x:c>
    </x:row>
    <x:row r="1544" ht="30" customHeight="1">
      <x:c r="A1544" s="3" t="str">
        <x:v>230510-LP-S-K-7</x:v>
      </x:c>
      <x:c r="B1544" s="3" t="str">
        <x:v>1店-MUSSHOE-US</x:v>
      </x:c>
      <x:c r="C1544" s="3" t="str">
        <x:v>待定</x:v>
      </x:c>
      <x:c r="D1544" s="3" t="str">
        <x:v>230510</x:v>
      </x:c>
      <x:c r="E1544" s="3" t="str">
        <x:f>IF(Z1544="移出","已移出",IF(NOT(ISNUMBER(H1544)),"数据待核",IF(H1544=0,"断货",IF(NOT(ISNUMBER(G1544)),"数据待核",IF(G1544=0,"零日销待复核",IF(F1544&lt;60,"补货提醒",IF(F1544&lt;=90,"正常库存",IF(F1544&lt;180,"促销",IF(F1544&lt;=365,"红线促销","考虑清仓")))))))))</x:f>
        <x:v>已移出</x:v>
      </x:c>
      <x:c r="F1544" s="11" t="str">
        <x:f>IF(AND(ISNUMBER(H1544),ISNUMBER(G1544),G1544&gt;0),H1544/G1544,"")</x:f>
      </x:c>
      <x:c r="G1544" s="12" t="str">
        <x:f>IF(AND(COUNT(P1544:R1544)=3,MIN(P1544:R1544)&gt;=0,P1544&lt;=Q1544,Q1544&lt;=R1544),P1544/7*0.5+Q1544/14*0.3+R1544/30*0.2,"")</x:f>
      </x:c>
      <x:c r="H1544" s="10" t="str">
        <x:f>IF(ISNUMBER(U1544),U1544,"")</x:f>
      </x:c>
      <x:c r="I1544" s="10" t="n">
        <x:v>9</x:v>
      </x:c>
      <x:c r="J1544" s="11" t="str">
        <x:f>IF(AND(Z1544="共同",ISNUMBER(F1544),ISNUMBER(M1544)),F1544-M1544,"")</x:f>
      </x:c>
      <x:c r="K1544" s="13" t="str">
        <x:f>IF(AND(ISNUMBER(J1544),M1544&lt;&gt;0),J1544/M1544,"")</x:f>
      </x:c>
      <x:c r="L1544" s="10" t="str">
        <x:v>数据待核</x:v>
      </x:c>
      <x:c r="M1544" s="11"/>
      <x:c r="N1544" s="10" t="str">
        <x:f>IF(AND(Z1544="共同",COUNT(H1544:I1544)=2),H1544-I1544,"")</x:f>
      </x:c>
      <x:c r="O1544" s="10"/>
      <x:c r="P1544" s="10"/>
      <x:c r="Q1544" s="10"/>
      <x:c r="R1544" s="10"/>
      <x:c r="S1544" s="10"/>
      <x:c r="T1544" s="10"/>
      <x:c r="U1544" s="10" t="str">
        <x:f>IF(AND(ISNUMBER(X1544),X1544&gt;=0,Y1544&lt;&gt;1),X1544,"")</x:f>
      </x:c>
      <x:c r="V1544" s="10"/>
      <x:c r="W1544" s="10"/>
      <x:c r="X1544" s="10"/>
      <x:c r="Y1544" s="3"/>
      <x:c r="Z1544" s="3" t="str">
        <x:v>移出</x:v>
      </x:c>
      <x:c r="AA1544" s="3" t="str">
        <x:v>已移出</x:v>
      </x:c>
      <x:c r="AB1544" s="12" t="str">
        <x:f>IF(AND(Z1544="共同",ISNUMBER(G1544),ISNUMBER(AD1544)),G1544-AD1544,"")</x:f>
      </x:c>
      <x:c r="AC1544" s="3" t="str">
        <x:v>基准清单已移出</x:v>
      </x:c>
      <x:c r="AD1544" s="12"/>
      <x:c r="AE1544" s="3" t="str">
        <x:v>[13120,"230510-LP-S-K-7"]</x:v>
      </x:c>
      <x:c r="AF1544" t="n">
        <x:f>IF(ISNUMBER(H1544),1,0)</x:f>
        <x:v>0</x:v>
      </x:c>
      <x:c r="AG1544" t="n">
        <x:f>IF(ISNUMBER(I1544),1,0)</x:f>
        <x:v>1</x:v>
      </x:c>
      <x:c r="AH1544"/>
      <x:c r="AI1544" t="n">
        <x:f>IF(ISNUMBER(G1544),1,0)</x:f>
        <x:v>0</x:v>
      </x:c>
      <x:c r="AJ1544" t="n">
        <x:f>IF(ISNUMBER(AD1544),1,0)</x:f>
        <x:v>0</x:v>
      </x:c>
    </x:row>
    <x:row r="1545" ht="30" customHeight="1">
      <x:c r="A1545" s="3" t="str">
        <x:v>230510-LP-S-K-7.5</x:v>
      </x:c>
      <x:c r="B1545" s="3" t="str">
        <x:v>1店-MUSSHOE-US</x:v>
      </x:c>
      <x:c r="C1545" s="3" t="str">
        <x:v>待定</x:v>
      </x:c>
      <x:c r="D1545" s="3" t="str">
        <x:v>230510</x:v>
      </x:c>
      <x:c r="E1545" s="3" t="str">
        <x:f>IF(Z1545="移出","已移出",IF(NOT(ISNUMBER(H1545)),"数据待核",IF(H1545=0,"断货",IF(NOT(ISNUMBER(G1545)),"数据待核",IF(G1545=0,"零日销待复核",IF(F1545&lt;60,"补货提醒",IF(F1545&lt;=90,"正常库存",IF(F1545&lt;180,"促销",IF(F1545&lt;=365,"红线促销","考虑清仓")))))))))</x:f>
        <x:v>已移出</x:v>
      </x:c>
      <x:c r="F1545" s="11" t="str">
        <x:f>IF(AND(ISNUMBER(H1545),ISNUMBER(G1545),G1545&gt;0),H1545/G1545,"")</x:f>
      </x:c>
      <x:c r="G1545" s="12" t="str">
        <x:f>IF(AND(COUNT(P1545:R1545)=3,MIN(P1545:R1545)&gt;=0,P1545&lt;=Q1545,Q1545&lt;=R1545),P1545/7*0.5+Q1545/14*0.3+R1545/30*0.2,"")</x:f>
      </x:c>
      <x:c r="H1545" s="10" t="str">
        <x:f>IF(ISNUMBER(U1545),U1545,"")</x:f>
      </x:c>
      <x:c r="I1545" s="10" t="n">
        <x:v>29</x:v>
      </x:c>
      <x:c r="J1545" s="11" t="str">
        <x:f>IF(AND(Z1545="共同",ISNUMBER(F1545),ISNUMBER(M1545)),F1545-M1545,"")</x:f>
      </x:c>
      <x:c r="K1545" s="13" t="str">
        <x:f>IF(AND(ISNUMBER(J1545),M1545&lt;&gt;0),J1545/M1545,"")</x:f>
      </x:c>
      <x:c r="L1545" s="10" t="str">
        <x:v>数据待核</x:v>
      </x:c>
      <x:c r="M1545" s="11"/>
      <x:c r="N1545" s="10" t="str">
        <x:f>IF(AND(Z1545="共同",COUNT(H1545:I1545)=2),H1545-I1545,"")</x:f>
      </x:c>
      <x:c r="O1545" s="10"/>
      <x:c r="P1545" s="10"/>
      <x:c r="Q1545" s="10"/>
      <x:c r="R1545" s="10"/>
      <x:c r="S1545" s="10"/>
      <x:c r="T1545" s="10"/>
      <x:c r="U1545" s="10" t="str">
        <x:f>IF(AND(ISNUMBER(X1545),X1545&gt;=0,Y1545&lt;&gt;1),X1545,"")</x:f>
      </x:c>
      <x:c r="V1545" s="10"/>
      <x:c r="W1545" s="10"/>
      <x:c r="X1545" s="10"/>
      <x:c r="Y1545" s="3"/>
      <x:c r="Z1545" s="3" t="str">
        <x:v>移出</x:v>
      </x:c>
      <x:c r="AA1545" s="3" t="str">
        <x:v>已移出</x:v>
      </x:c>
      <x:c r="AB1545" s="12" t="str">
        <x:f>IF(AND(Z1545="共同",ISNUMBER(G1545),ISNUMBER(AD1545)),G1545-AD1545,"")</x:f>
      </x:c>
      <x:c r="AC1545" s="3" t="str">
        <x:v>基准清单已移出</x:v>
      </x:c>
      <x:c r="AD1545" s="12"/>
      <x:c r="AE1545" s="3" t="str">
        <x:v>[13120,"230510-LP-S-K-7.5"]</x:v>
      </x:c>
      <x:c r="AF1545" t="n">
        <x:f>IF(ISNUMBER(H1545),1,0)</x:f>
        <x:v>0</x:v>
      </x:c>
      <x:c r="AG1545" t="n">
        <x:f>IF(ISNUMBER(I1545),1,0)</x:f>
        <x:v>1</x:v>
      </x:c>
      <x:c r="AH1545"/>
      <x:c r="AI1545" t="n">
        <x:f>IF(ISNUMBER(G1545),1,0)</x:f>
        <x:v>0</x:v>
      </x:c>
      <x:c r="AJ1545" t="n">
        <x:f>IF(ISNUMBER(AD1545),1,0)</x:f>
        <x:v>0</x:v>
      </x:c>
    </x:row>
    <x:row r="1546" ht="30" customHeight="1">
      <x:c r="A1546" s="3" t="str">
        <x:v>230510-LP-S-K-8</x:v>
      </x:c>
      <x:c r="B1546" s="3" t="str">
        <x:v>1店-MUSSHOE-US</x:v>
      </x:c>
      <x:c r="C1546" s="3" t="str">
        <x:v>待定</x:v>
      </x:c>
      <x:c r="D1546" s="3" t="str">
        <x:v>230510</x:v>
      </x:c>
      <x:c r="E1546" s="3" t="str">
        <x:f>IF(Z1546="移出","已移出",IF(NOT(ISNUMBER(H1546)),"数据待核",IF(H1546=0,"断货",IF(NOT(ISNUMBER(G1546)),"数据待核",IF(G1546=0,"零日销待复核",IF(F1546&lt;60,"补货提醒",IF(F1546&lt;=90,"正常库存",IF(F1546&lt;180,"促销",IF(F1546&lt;=365,"红线促销","考虑清仓")))))))))</x:f>
        <x:v>已移出</x:v>
      </x:c>
      <x:c r="F1546" s="11" t="str">
        <x:f>IF(AND(ISNUMBER(H1546),ISNUMBER(G1546),G1546&gt;0),H1546/G1546,"")</x:f>
      </x:c>
      <x:c r="G1546" s="12" t="str">
        <x:f>IF(AND(COUNT(P1546:R1546)=3,MIN(P1546:R1546)&gt;=0,P1546&lt;=Q1546,Q1546&lt;=R1546),P1546/7*0.5+Q1546/14*0.3+R1546/30*0.2,"")</x:f>
      </x:c>
      <x:c r="H1546" s="10" t="str">
        <x:f>IF(ISNUMBER(U1546),U1546,"")</x:f>
      </x:c>
      <x:c r="I1546" s="10" t="n">
        <x:v>0</x:v>
      </x:c>
      <x:c r="J1546" s="11" t="str">
        <x:f>IF(AND(Z1546="共同",ISNUMBER(F1546),ISNUMBER(M1546)),F1546-M1546,"")</x:f>
      </x:c>
      <x:c r="K1546" s="13" t="str">
        <x:f>IF(AND(ISNUMBER(J1546),M1546&lt;&gt;0),J1546/M1546,"")</x:f>
      </x:c>
      <x:c r="L1546" s="10" t="str">
        <x:v>断货</x:v>
      </x:c>
      <x:c r="M1546" s="11"/>
      <x:c r="N1546" s="10" t="str">
        <x:f>IF(AND(Z1546="共同",COUNT(H1546:I1546)=2),H1546-I1546,"")</x:f>
      </x:c>
      <x:c r="O1546" s="10"/>
      <x:c r="P1546" s="10"/>
      <x:c r="Q1546" s="10"/>
      <x:c r="R1546" s="10"/>
      <x:c r="S1546" s="10"/>
      <x:c r="T1546" s="10"/>
      <x:c r="U1546" s="10" t="str">
        <x:f>IF(AND(ISNUMBER(X1546),X1546&gt;=0,Y1546&lt;&gt;1),X1546,"")</x:f>
      </x:c>
      <x:c r="V1546" s="10"/>
      <x:c r="W1546" s="10"/>
      <x:c r="X1546" s="10"/>
      <x:c r="Y1546" s="3"/>
      <x:c r="Z1546" s="3" t="str">
        <x:v>移出</x:v>
      </x:c>
      <x:c r="AA1546" s="3" t="str">
        <x:v>已移出</x:v>
      </x:c>
      <x:c r="AB1546" s="12" t="str">
        <x:f>IF(AND(Z1546="共同",ISNUMBER(G1546),ISNUMBER(AD1546)),G1546-AD1546,"")</x:f>
      </x:c>
      <x:c r="AC1546" s="3" t="str">
        <x:v>基准清单已移出</x:v>
      </x:c>
      <x:c r="AD1546" s="12"/>
      <x:c r="AE1546" s="3" t="str">
        <x:v>[13120,"230510-LP-S-K-8"]</x:v>
      </x:c>
      <x:c r="AF1546" t="n">
        <x:f>IF(ISNUMBER(H1546),1,0)</x:f>
        <x:v>0</x:v>
      </x:c>
      <x:c r="AG1546" t="n">
        <x:f>IF(ISNUMBER(I1546),1,0)</x:f>
        <x:v>1</x:v>
      </x:c>
      <x:c r="AH1546"/>
      <x:c r="AI1546" t="n">
        <x:f>IF(ISNUMBER(G1546),1,0)</x:f>
        <x:v>0</x:v>
      </x:c>
      <x:c r="AJ1546" t="n">
        <x:f>IF(ISNUMBER(AD1546),1,0)</x:f>
        <x:v>0</x:v>
      </x:c>
    </x:row>
    <x:row r="1547" ht="30" customHeight="1">
      <x:c r="A1547" s="3" t="str">
        <x:v>230510-LP-S-K-8.5</x:v>
      </x:c>
      <x:c r="B1547" s="3" t="str">
        <x:v>1店-MUSSHOE-US</x:v>
      </x:c>
      <x:c r="C1547" s="3" t="str">
        <x:v>待定</x:v>
      </x:c>
      <x:c r="D1547" s="3" t="str">
        <x:v>230510</x:v>
      </x:c>
      <x:c r="E1547" s="3" t="str">
        <x:f>IF(Z1547="移出","已移出",IF(NOT(ISNUMBER(H1547)),"数据待核",IF(H1547=0,"断货",IF(NOT(ISNUMBER(G1547)),"数据待核",IF(G1547=0,"零日销待复核",IF(F1547&lt;60,"补货提醒",IF(F1547&lt;=90,"正常库存",IF(F1547&lt;180,"促销",IF(F1547&lt;=365,"红线促销","考虑清仓")))))))))</x:f>
        <x:v>已移出</x:v>
      </x:c>
      <x:c r="F1547" s="11" t="str">
        <x:f>IF(AND(ISNUMBER(H1547),ISNUMBER(G1547),G1547&gt;0),H1547/G1547,"")</x:f>
      </x:c>
      <x:c r="G1547" s="12" t="str">
        <x:f>IF(AND(COUNT(P1547:R1547)=3,MIN(P1547:R1547)&gt;=0,P1547&lt;=Q1547,Q1547&lt;=R1547),P1547/7*0.5+Q1547/14*0.3+R1547/30*0.2,"")</x:f>
      </x:c>
      <x:c r="H1547" s="10" t="str">
        <x:f>IF(ISNUMBER(U1547),U1547,"")</x:f>
      </x:c>
      <x:c r="I1547" s="10" t="n">
        <x:v>0</x:v>
      </x:c>
      <x:c r="J1547" s="11" t="str">
        <x:f>IF(AND(Z1547="共同",ISNUMBER(F1547),ISNUMBER(M1547)),F1547-M1547,"")</x:f>
      </x:c>
      <x:c r="K1547" s="13" t="str">
        <x:f>IF(AND(ISNUMBER(J1547),M1547&lt;&gt;0),J1547/M1547,"")</x:f>
      </x:c>
      <x:c r="L1547" s="10" t="str">
        <x:v>断货</x:v>
      </x:c>
      <x:c r="M1547" s="11"/>
      <x:c r="N1547" s="10" t="str">
        <x:f>IF(AND(Z1547="共同",COUNT(H1547:I1547)=2),H1547-I1547,"")</x:f>
      </x:c>
      <x:c r="O1547" s="10"/>
      <x:c r="P1547" s="10"/>
      <x:c r="Q1547" s="10"/>
      <x:c r="R1547" s="10"/>
      <x:c r="S1547" s="10"/>
      <x:c r="T1547" s="10"/>
      <x:c r="U1547" s="10" t="str">
        <x:f>IF(AND(ISNUMBER(X1547),X1547&gt;=0,Y1547&lt;&gt;1),X1547,"")</x:f>
      </x:c>
      <x:c r="V1547" s="10"/>
      <x:c r="W1547" s="10"/>
      <x:c r="X1547" s="10"/>
      <x:c r="Y1547" s="3"/>
      <x:c r="Z1547" s="3" t="str">
        <x:v>移出</x:v>
      </x:c>
      <x:c r="AA1547" s="3" t="str">
        <x:v>已移出</x:v>
      </x:c>
      <x:c r="AB1547" s="12" t="str">
        <x:f>IF(AND(Z1547="共同",ISNUMBER(G1547),ISNUMBER(AD1547)),G1547-AD1547,"")</x:f>
      </x:c>
      <x:c r="AC1547" s="3" t="str">
        <x:v>基准清单已移出</x:v>
      </x:c>
      <x:c r="AD1547" s="12"/>
      <x:c r="AE1547" s="3" t="str">
        <x:v>[13120,"230510-LP-S-K-8.5"]</x:v>
      </x:c>
      <x:c r="AF1547" t="n">
        <x:f>IF(ISNUMBER(H1547),1,0)</x:f>
        <x:v>0</x:v>
      </x:c>
      <x:c r="AG1547" t="n">
        <x:f>IF(ISNUMBER(I1547),1,0)</x:f>
        <x:v>1</x:v>
      </x:c>
      <x:c r="AH1547"/>
      <x:c r="AI1547" t="n">
        <x:f>IF(ISNUMBER(G1547),1,0)</x:f>
        <x:v>0</x:v>
      </x:c>
      <x:c r="AJ1547" t="n">
        <x:f>IF(ISNUMBER(AD1547),1,0)</x:f>
        <x:v>0</x:v>
      </x:c>
    </x:row>
    <x:row r="1548" ht="30" customHeight="1">
      <x:c r="A1548" s="3" t="str">
        <x:v>230510-LP-S-K-9</x:v>
      </x:c>
      <x:c r="B1548" s="3" t="str">
        <x:v>1店-MUSSHOE-US</x:v>
      </x:c>
      <x:c r="C1548" s="3" t="str">
        <x:v>待定</x:v>
      </x:c>
      <x:c r="D1548" s="3" t="str">
        <x:v>230510</x:v>
      </x:c>
      <x:c r="E1548" s="3" t="str">
        <x:f>IF(Z1548="移出","已移出",IF(NOT(ISNUMBER(H1548)),"数据待核",IF(H1548=0,"断货",IF(NOT(ISNUMBER(G1548)),"数据待核",IF(G1548=0,"零日销待复核",IF(F1548&lt;60,"补货提醒",IF(F1548&lt;=90,"正常库存",IF(F1548&lt;180,"促销",IF(F1548&lt;=365,"红线促销","考虑清仓")))))))))</x:f>
        <x:v>已移出</x:v>
      </x:c>
      <x:c r="F1548" s="11" t="str">
        <x:f>IF(AND(ISNUMBER(H1548),ISNUMBER(G1548),G1548&gt;0),H1548/G1548,"")</x:f>
      </x:c>
      <x:c r="G1548" s="12" t="str">
        <x:f>IF(AND(COUNT(P1548:R1548)=3,MIN(P1548:R1548)&gt;=0,P1548&lt;=Q1548,Q1548&lt;=R1548),P1548/7*0.5+Q1548/14*0.3+R1548/30*0.2,"")</x:f>
      </x:c>
      <x:c r="H1548" s="10" t="str">
        <x:f>IF(ISNUMBER(U1548),U1548,"")</x:f>
      </x:c>
      <x:c r="I1548" s="10" t="n">
        <x:v>34</x:v>
      </x:c>
      <x:c r="J1548" s="11" t="str">
        <x:f>IF(AND(Z1548="共同",ISNUMBER(F1548),ISNUMBER(M1548)),F1548-M1548,"")</x:f>
      </x:c>
      <x:c r="K1548" s="13" t="str">
        <x:f>IF(AND(ISNUMBER(J1548),M1548&lt;&gt;0),J1548/M1548,"")</x:f>
      </x:c>
      <x:c r="L1548" s="10" t="str">
        <x:v>数据待核</x:v>
      </x:c>
      <x:c r="M1548" s="11"/>
      <x:c r="N1548" s="10" t="str">
        <x:f>IF(AND(Z1548="共同",COUNT(H1548:I1548)=2),H1548-I1548,"")</x:f>
      </x:c>
      <x:c r="O1548" s="10"/>
      <x:c r="P1548" s="10"/>
      <x:c r="Q1548" s="10"/>
      <x:c r="R1548" s="10"/>
      <x:c r="S1548" s="10"/>
      <x:c r="T1548" s="10"/>
      <x:c r="U1548" s="10" t="str">
        <x:f>IF(AND(ISNUMBER(X1548),X1548&gt;=0,Y1548&lt;&gt;1),X1548,"")</x:f>
      </x:c>
      <x:c r="V1548" s="10"/>
      <x:c r="W1548" s="10"/>
      <x:c r="X1548" s="10"/>
      <x:c r="Y1548" s="3"/>
      <x:c r="Z1548" s="3" t="str">
        <x:v>移出</x:v>
      </x:c>
      <x:c r="AA1548" s="3" t="str">
        <x:v>已移出</x:v>
      </x:c>
      <x:c r="AB1548" s="12" t="str">
        <x:f>IF(AND(Z1548="共同",ISNUMBER(G1548),ISNUMBER(AD1548)),G1548-AD1548,"")</x:f>
      </x:c>
      <x:c r="AC1548" s="3" t="str">
        <x:v>基准清单已移出</x:v>
      </x:c>
      <x:c r="AD1548" s="12"/>
      <x:c r="AE1548" s="3" t="str">
        <x:v>[13120,"230510-LP-S-K-9"]</x:v>
      </x:c>
      <x:c r="AF1548" t="n">
        <x:f>IF(ISNUMBER(H1548),1,0)</x:f>
        <x:v>0</x:v>
      </x:c>
      <x:c r="AG1548" t="n">
        <x:f>IF(ISNUMBER(I1548),1,0)</x:f>
        <x:v>1</x:v>
      </x:c>
      <x:c r="AH1548"/>
      <x:c r="AI1548" t="n">
        <x:f>IF(ISNUMBER(G1548),1,0)</x:f>
        <x:v>0</x:v>
      </x:c>
      <x:c r="AJ1548" t="n">
        <x:f>IF(ISNUMBER(AD1548),1,0)</x:f>
        <x:v>0</x:v>
      </x:c>
    </x:row>
    <x:row r="1549" ht="30" customHeight="1">
      <x:c r="A1549" s="3" t="str">
        <x:v>230510-LP-S-K-9.5</x:v>
      </x:c>
      <x:c r="B1549" s="3" t="str">
        <x:v>1店-MUSSHOE-US</x:v>
      </x:c>
      <x:c r="C1549" s="3" t="str">
        <x:v>待定</x:v>
      </x:c>
      <x:c r="D1549" s="3" t="str">
        <x:v>230510</x:v>
      </x:c>
      <x:c r="E1549" s="3" t="str">
        <x:f>IF(Z1549="移出","已移出",IF(NOT(ISNUMBER(H1549)),"数据待核",IF(H1549=0,"断货",IF(NOT(ISNUMBER(G1549)),"数据待核",IF(G1549=0,"零日销待复核",IF(F1549&lt;60,"补货提醒",IF(F1549&lt;=90,"正常库存",IF(F1549&lt;180,"促销",IF(F1549&lt;=365,"红线促销","考虑清仓")))))))))</x:f>
        <x:v>已移出</x:v>
      </x:c>
      <x:c r="F1549" s="11" t="str">
        <x:f>IF(AND(ISNUMBER(H1549),ISNUMBER(G1549),G1549&gt;0),H1549/G1549,"")</x:f>
      </x:c>
      <x:c r="G1549" s="12" t="str">
        <x:f>IF(AND(COUNT(P1549:R1549)=3,MIN(P1549:R1549)&gt;=0,P1549&lt;=Q1549,Q1549&lt;=R1549),P1549/7*0.5+Q1549/14*0.3+R1549/30*0.2,"")</x:f>
      </x:c>
      <x:c r="H1549" s="10" t="str">
        <x:f>IF(ISNUMBER(U1549),U1549,"")</x:f>
      </x:c>
      <x:c r="I1549" s="10" t="n">
        <x:v>6</x:v>
      </x:c>
      <x:c r="J1549" s="11" t="str">
        <x:f>IF(AND(Z1549="共同",ISNUMBER(F1549),ISNUMBER(M1549)),F1549-M1549,"")</x:f>
      </x:c>
      <x:c r="K1549" s="13" t="str">
        <x:f>IF(AND(ISNUMBER(J1549),M1549&lt;&gt;0),J1549/M1549,"")</x:f>
      </x:c>
      <x:c r="L1549" s="10" t="str">
        <x:v>数据待核</x:v>
      </x:c>
      <x:c r="M1549" s="11"/>
      <x:c r="N1549" s="10" t="str">
        <x:f>IF(AND(Z1549="共同",COUNT(H1549:I1549)=2),H1549-I1549,"")</x:f>
      </x:c>
      <x:c r="O1549" s="10"/>
      <x:c r="P1549" s="10"/>
      <x:c r="Q1549" s="10"/>
      <x:c r="R1549" s="10"/>
      <x:c r="S1549" s="10"/>
      <x:c r="T1549" s="10"/>
      <x:c r="U1549" s="10" t="str">
        <x:f>IF(AND(ISNUMBER(X1549),X1549&gt;=0,Y1549&lt;&gt;1),X1549,"")</x:f>
      </x:c>
      <x:c r="V1549" s="10"/>
      <x:c r="W1549" s="10"/>
      <x:c r="X1549" s="10"/>
      <x:c r="Y1549" s="3"/>
      <x:c r="Z1549" s="3" t="str">
        <x:v>移出</x:v>
      </x:c>
      <x:c r="AA1549" s="3" t="str">
        <x:v>已移出</x:v>
      </x:c>
      <x:c r="AB1549" s="12" t="str">
        <x:f>IF(AND(Z1549="共同",ISNUMBER(G1549),ISNUMBER(AD1549)),G1549-AD1549,"")</x:f>
      </x:c>
      <x:c r="AC1549" s="3" t="str">
        <x:v>基准清单已移出</x:v>
      </x:c>
      <x:c r="AD1549" s="12"/>
      <x:c r="AE1549" s="3" t="str">
        <x:v>[13120,"230510-LP-S-K-9.5"]</x:v>
      </x:c>
      <x:c r="AF1549" t="n">
        <x:f>IF(ISNUMBER(H1549),1,0)</x:f>
        <x:v>0</x:v>
      </x:c>
      <x:c r="AG1549" t="n">
        <x:f>IF(ISNUMBER(I1549),1,0)</x:f>
        <x:v>1</x:v>
      </x:c>
      <x:c r="AH1549"/>
      <x:c r="AI1549" t="n">
        <x:f>IF(ISNUMBER(G1549),1,0)</x:f>
        <x:v>0</x:v>
      </x:c>
      <x:c r="AJ1549" t="n">
        <x:f>IF(ISNUMBER(AD1549),1,0)</x:f>
        <x:v>0</x:v>
      </x:c>
    </x:row>
    <x:row r="1550" ht="30" customHeight="1">
      <x:c r="A1550" s="3" t="str">
        <x:v>230510-LP-S-K-10</x:v>
      </x:c>
      <x:c r="B1550" s="3" t="str">
        <x:v>1店-MUSSHOE-US</x:v>
      </x:c>
      <x:c r="C1550" s="3" t="str">
        <x:v>待定</x:v>
      </x:c>
      <x:c r="D1550" s="3" t="str">
        <x:v>230510</x:v>
      </x:c>
      <x:c r="E1550" s="3" t="str">
        <x:f>IF(Z1550="移出","已移出",IF(NOT(ISNUMBER(H1550)),"数据待核",IF(H1550=0,"断货",IF(NOT(ISNUMBER(G1550)),"数据待核",IF(G1550=0,"零日销待复核",IF(F1550&lt;60,"补货提醒",IF(F1550&lt;=90,"正常库存",IF(F1550&lt;180,"促销",IF(F1550&lt;=365,"红线促销","考虑清仓")))))))))</x:f>
        <x:v>已移出</x:v>
      </x:c>
      <x:c r="F1550" s="11" t="str">
        <x:f>IF(AND(ISNUMBER(H1550),ISNUMBER(G1550),G1550&gt;0),H1550/G1550,"")</x:f>
      </x:c>
      <x:c r="G1550" s="12" t="str">
        <x:f>IF(AND(COUNT(P1550:R1550)=3,MIN(P1550:R1550)&gt;=0,P1550&lt;=Q1550,Q1550&lt;=R1550),P1550/7*0.5+Q1550/14*0.3+R1550/30*0.2,"")</x:f>
      </x:c>
      <x:c r="H1550" s="10" t="str">
        <x:f>IF(ISNUMBER(U1550),U1550,"")</x:f>
      </x:c>
      <x:c r="I1550" s="10" t="n">
        <x:v>33</x:v>
      </x:c>
      <x:c r="J1550" s="11" t="str">
        <x:f>IF(AND(Z1550="共同",ISNUMBER(F1550),ISNUMBER(M1550)),F1550-M1550,"")</x:f>
      </x:c>
      <x:c r="K1550" s="13" t="str">
        <x:f>IF(AND(ISNUMBER(J1550),M1550&lt;&gt;0),J1550/M1550,"")</x:f>
      </x:c>
      <x:c r="L1550" s="10" t="str">
        <x:v>数据待核</x:v>
      </x:c>
      <x:c r="M1550" s="11"/>
      <x:c r="N1550" s="10" t="str">
        <x:f>IF(AND(Z1550="共同",COUNT(H1550:I1550)=2),H1550-I1550,"")</x:f>
      </x:c>
      <x:c r="O1550" s="10"/>
      <x:c r="P1550" s="10"/>
      <x:c r="Q1550" s="10"/>
      <x:c r="R1550" s="10"/>
      <x:c r="S1550" s="10"/>
      <x:c r="T1550" s="10"/>
      <x:c r="U1550" s="10" t="str">
        <x:f>IF(AND(ISNUMBER(X1550),X1550&gt;=0,Y1550&lt;&gt;1),X1550,"")</x:f>
      </x:c>
      <x:c r="V1550" s="10"/>
      <x:c r="W1550" s="10"/>
      <x:c r="X1550" s="10"/>
      <x:c r="Y1550" s="3"/>
      <x:c r="Z1550" s="3" t="str">
        <x:v>移出</x:v>
      </x:c>
      <x:c r="AA1550" s="3" t="str">
        <x:v>已移出</x:v>
      </x:c>
      <x:c r="AB1550" s="12" t="str">
        <x:f>IF(AND(Z1550="共同",ISNUMBER(G1550),ISNUMBER(AD1550)),G1550-AD1550,"")</x:f>
      </x:c>
      <x:c r="AC1550" s="3" t="str">
        <x:v>基准清单已移出</x:v>
      </x:c>
      <x:c r="AD1550" s="12"/>
      <x:c r="AE1550" s="3" t="str">
        <x:v>[13120,"230510-LP-S-K-10"]</x:v>
      </x:c>
      <x:c r="AF1550" t="n">
        <x:f>IF(ISNUMBER(H1550),1,0)</x:f>
        <x:v>0</x:v>
      </x:c>
      <x:c r="AG1550" t="n">
        <x:f>IF(ISNUMBER(I1550),1,0)</x:f>
        <x:v>1</x:v>
      </x:c>
      <x:c r="AH1550"/>
      <x:c r="AI1550" t="n">
        <x:f>IF(ISNUMBER(G1550),1,0)</x:f>
        <x:v>0</x:v>
      </x:c>
      <x:c r="AJ1550" t="n">
        <x:f>IF(ISNUMBER(AD1550),1,0)</x:f>
        <x:v>0</x:v>
      </x:c>
    </x:row>
    <x:row r="1551" ht="30" customHeight="1">
      <x:c r="A1551" s="3" t="str">
        <x:v>230510-LP-S-K-11</x:v>
      </x:c>
      <x:c r="B1551" s="3" t="str">
        <x:v>1店-MUSSHOE-US</x:v>
      </x:c>
      <x:c r="C1551" s="3" t="str">
        <x:v>待定</x:v>
      </x:c>
      <x:c r="D1551" s="3" t="str">
        <x:v>230510</x:v>
      </x:c>
      <x:c r="E1551" s="3" t="str">
        <x:f>IF(Z1551="移出","已移出",IF(NOT(ISNUMBER(H1551)),"数据待核",IF(H1551=0,"断货",IF(NOT(ISNUMBER(G1551)),"数据待核",IF(G1551=0,"零日销待复核",IF(F1551&lt;60,"补货提醒",IF(F1551&lt;=90,"正常库存",IF(F1551&lt;180,"促销",IF(F1551&lt;=365,"红线促销","考虑清仓")))))))))</x:f>
        <x:v>已移出</x:v>
      </x:c>
      <x:c r="F1551" s="11" t="str">
        <x:f>IF(AND(ISNUMBER(H1551),ISNUMBER(G1551),G1551&gt;0),H1551/G1551,"")</x:f>
      </x:c>
      <x:c r="G1551" s="12" t="str">
        <x:f>IF(AND(COUNT(P1551:R1551)=3,MIN(P1551:R1551)&gt;=0,P1551&lt;=Q1551,Q1551&lt;=R1551),P1551/7*0.5+Q1551/14*0.3+R1551/30*0.2,"")</x:f>
      </x:c>
      <x:c r="H1551" s="10" t="str">
        <x:f>IF(ISNUMBER(U1551),U1551,"")</x:f>
      </x:c>
      <x:c r="I1551" s="10" t="n">
        <x:v>17</x:v>
      </x:c>
      <x:c r="J1551" s="11" t="str">
        <x:f>IF(AND(Z1551="共同",ISNUMBER(F1551),ISNUMBER(M1551)),F1551-M1551,"")</x:f>
      </x:c>
      <x:c r="K1551" s="13" t="str">
        <x:f>IF(AND(ISNUMBER(J1551),M1551&lt;&gt;0),J1551/M1551,"")</x:f>
      </x:c>
      <x:c r="L1551" s="10" t="str">
        <x:v>数据待核</x:v>
      </x:c>
      <x:c r="M1551" s="11"/>
      <x:c r="N1551" s="10" t="str">
        <x:f>IF(AND(Z1551="共同",COUNT(H1551:I1551)=2),H1551-I1551,"")</x:f>
      </x:c>
      <x:c r="O1551" s="10"/>
      <x:c r="P1551" s="10"/>
      <x:c r="Q1551" s="10"/>
      <x:c r="R1551" s="10"/>
      <x:c r="S1551" s="10"/>
      <x:c r="T1551" s="10"/>
      <x:c r="U1551" s="10" t="str">
        <x:f>IF(AND(ISNUMBER(X1551),X1551&gt;=0,Y1551&lt;&gt;1),X1551,"")</x:f>
      </x:c>
      <x:c r="V1551" s="10"/>
      <x:c r="W1551" s="10"/>
      <x:c r="X1551" s="10"/>
      <x:c r="Y1551" s="3"/>
      <x:c r="Z1551" s="3" t="str">
        <x:v>移出</x:v>
      </x:c>
      <x:c r="AA1551" s="3" t="str">
        <x:v>已移出</x:v>
      </x:c>
      <x:c r="AB1551" s="12" t="str">
        <x:f>IF(AND(Z1551="共同",ISNUMBER(G1551),ISNUMBER(AD1551)),G1551-AD1551,"")</x:f>
      </x:c>
      <x:c r="AC1551" s="3" t="str">
        <x:v>基准清单已移出</x:v>
      </x:c>
      <x:c r="AD1551" s="12"/>
      <x:c r="AE1551" s="3" t="str">
        <x:v>[13120,"230510-LP-S-K-11"]</x:v>
      </x:c>
      <x:c r="AF1551" t="n">
        <x:f>IF(ISNUMBER(H1551),1,0)</x:f>
        <x:v>0</x:v>
      </x:c>
      <x:c r="AG1551" t="n">
        <x:f>IF(ISNUMBER(I1551),1,0)</x:f>
        <x:v>1</x:v>
      </x:c>
      <x:c r="AH1551"/>
      <x:c r="AI1551" t="n">
        <x:f>IF(ISNUMBER(G1551),1,0)</x:f>
        <x:v>0</x:v>
      </x:c>
      <x:c r="AJ1551" t="n">
        <x:f>IF(ISNUMBER(AD1551),1,0)</x:f>
        <x:v>0</x:v>
      </x:c>
    </x:row>
    <x:row r="1552" ht="30" customHeight="1">
      <x:c r="A1552" s="3" t="str">
        <x:v>230510-BK-S-K-6</x:v>
      </x:c>
      <x:c r="B1552" s="3" t="str">
        <x:v>1店-MUSSHOE-US</x:v>
      </x:c>
      <x:c r="C1552" s="3" t="str">
        <x:v>待定</x:v>
      </x:c>
      <x:c r="D1552" s="3" t="str">
        <x:v>230510</x:v>
      </x:c>
      <x:c r="E1552" s="3" t="str">
        <x:f>IF(Z1552="移出","已移出",IF(NOT(ISNUMBER(H1552)),"数据待核",IF(H1552=0,"断货",IF(NOT(ISNUMBER(G1552)),"数据待核",IF(G1552=0,"零日销待复核",IF(F1552&lt;60,"补货提醒",IF(F1552&lt;=90,"正常库存",IF(F1552&lt;180,"促销",IF(F1552&lt;=365,"红线促销","考虑清仓")))))))))</x:f>
        <x:v>已移出</x:v>
      </x:c>
      <x:c r="F1552" s="11" t="str">
        <x:f>IF(AND(ISNUMBER(H1552),ISNUMBER(G1552),G1552&gt;0),H1552/G1552,"")</x:f>
      </x:c>
      <x:c r="G1552" s="12" t="str">
        <x:f>IF(AND(COUNT(P1552:R1552)=3,MIN(P1552:R1552)&gt;=0,P1552&lt;=Q1552,Q1552&lt;=R1552),P1552/7*0.5+Q1552/14*0.3+R1552/30*0.2,"")</x:f>
      </x:c>
      <x:c r="H1552" s="10" t="str">
        <x:f>IF(ISNUMBER(U1552),U1552,"")</x:f>
      </x:c>
      <x:c r="I1552" s="10" t="n">
        <x:v>35</x:v>
      </x:c>
      <x:c r="J1552" s="11" t="str">
        <x:f>IF(AND(Z1552="共同",ISNUMBER(F1552),ISNUMBER(M1552)),F1552-M1552,"")</x:f>
      </x:c>
      <x:c r="K1552" s="13" t="str">
        <x:f>IF(AND(ISNUMBER(J1552),M1552&lt;&gt;0),J1552/M1552,"")</x:f>
      </x:c>
      <x:c r="L1552" s="10" t="str">
        <x:v>数据待核</x:v>
      </x:c>
      <x:c r="M1552" s="11"/>
      <x:c r="N1552" s="10" t="str">
        <x:f>IF(AND(Z1552="共同",COUNT(H1552:I1552)=2),H1552-I1552,"")</x:f>
      </x:c>
      <x:c r="O1552" s="10"/>
      <x:c r="P1552" s="10"/>
      <x:c r="Q1552" s="10"/>
      <x:c r="R1552" s="10"/>
      <x:c r="S1552" s="10"/>
      <x:c r="T1552" s="10"/>
      <x:c r="U1552" s="10" t="str">
        <x:f>IF(AND(ISNUMBER(X1552),X1552&gt;=0,Y1552&lt;&gt;1),X1552,"")</x:f>
      </x:c>
      <x:c r="V1552" s="10"/>
      <x:c r="W1552" s="10"/>
      <x:c r="X1552" s="10"/>
      <x:c r="Y1552" s="3"/>
      <x:c r="Z1552" s="3" t="str">
        <x:v>移出</x:v>
      </x:c>
      <x:c r="AA1552" s="3" t="str">
        <x:v>已移出</x:v>
      </x:c>
      <x:c r="AB1552" s="12" t="str">
        <x:f>IF(AND(Z1552="共同",ISNUMBER(G1552),ISNUMBER(AD1552)),G1552-AD1552,"")</x:f>
      </x:c>
      <x:c r="AC1552" s="3" t="str">
        <x:v>基准清单已移出</x:v>
      </x:c>
      <x:c r="AD1552" s="12"/>
      <x:c r="AE1552" s="3" t="str">
        <x:v>[13120,"230510-BK-S-K-6"]</x:v>
      </x:c>
      <x:c r="AF1552" t="n">
        <x:f>IF(ISNUMBER(H1552),1,0)</x:f>
        <x:v>0</x:v>
      </x:c>
      <x:c r="AG1552" t="n">
        <x:f>IF(ISNUMBER(I1552),1,0)</x:f>
        <x:v>1</x:v>
      </x:c>
      <x:c r="AH1552"/>
      <x:c r="AI1552" t="n">
        <x:f>IF(ISNUMBER(G1552),1,0)</x:f>
        <x:v>0</x:v>
      </x:c>
      <x:c r="AJ1552" t="n">
        <x:f>IF(ISNUMBER(AD1552),1,0)</x:f>
        <x:v>0</x:v>
      </x:c>
    </x:row>
    <x:row r="1553" ht="30" customHeight="1">
      <x:c r="A1553" s="3" t="str">
        <x:v>230510-BK-S-K-7</x:v>
      </x:c>
      <x:c r="B1553" s="3" t="str">
        <x:v>1店-MUSSHOE-US</x:v>
      </x:c>
      <x:c r="C1553" s="3" t="str">
        <x:v>待定</x:v>
      </x:c>
      <x:c r="D1553" s="3" t="str">
        <x:v>230510</x:v>
      </x:c>
      <x:c r="E1553" s="3" t="str">
        <x:f>IF(Z1553="移出","已移出",IF(NOT(ISNUMBER(H1553)),"数据待核",IF(H1553=0,"断货",IF(NOT(ISNUMBER(G1553)),"数据待核",IF(G1553=0,"零日销待复核",IF(F1553&lt;60,"补货提醒",IF(F1553&lt;=90,"正常库存",IF(F1553&lt;180,"促销",IF(F1553&lt;=365,"红线促销","考虑清仓")))))))))</x:f>
        <x:v>已移出</x:v>
      </x:c>
      <x:c r="F1553" s="11" t="str">
        <x:f>IF(AND(ISNUMBER(H1553),ISNUMBER(G1553),G1553&gt;0),H1553/G1553,"")</x:f>
      </x:c>
      <x:c r="G1553" s="12" t="str">
        <x:f>IF(AND(COUNT(P1553:R1553)=3,MIN(P1553:R1553)&gt;=0,P1553&lt;=Q1553,Q1553&lt;=R1553),P1553/7*0.5+Q1553/14*0.3+R1553/30*0.2,"")</x:f>
      </x:c>
      <x:c r="H1553" s="10" t="str">
        <x:f>IF(ISNUMBER(U1553),U1553,"")</x:f>
      </x:c>
      <x:c r="I1553" s="10" t="n">
        <x:v>50</x:v>
      </x:c>
      <x:c r="J1553" s="11" t="str">
        <x:f>IF(AND(Z1553="共同",ISNUMBER(F1553),ISNUMBER(M1553)),F1553-M1553,"")</x:f>
      </x:c>
      <x:c r="K1553" s="13" t="str">
        <x:f>IF(AND(ISNUMBER(J1553),M1553&lt;&gt;0),J1553/M1553,"")</x:f>
      </x:c>
      <x:c r="L1553" s="10" t="str">
        <x:v>数据待核</x:v>
      </x:c>
      <x:c r="M1553" s="11"/>
      <x:c r="N1553" s="10" t="str">
        <x:f>IF(AND(Z1553="共同",COUNT(H1553:I1553)=2),H1553-I1553,"")</x:f>
      </x:c>
      <x:c r="O1553" s="10"/>
      <x:c r="P1553" s="10"/>
      <x:c r="Q1553" s="10"/>
      <x:c r="R1553" s="10"/>
      <x:c r="S1553" s="10"/>
      <x:c r="T1553" s="10"/>
      <x:c r="U1553" s="10" t="str">
        <x:f>IF(AND(ISNUMBER(X1553),X1553&gt;=0,Y1553&lt;&gt;1),X1553,"")</x:f>
      </x:c>
      <x:c r="V1553" s="10"/>
      <x:c r="W1553" s="10"/>
      <x:c r="X1553" s="10"/>
      <x:c r="Y1553" s="3"/>
      <x:c r="Z1553" s="3" t="str">
        <x:v>移出</x:v>
      </x:c>
      <x:c r="AA1553" s="3" t="str">
        <x:v>已移出</x:v>
      </x:c>
      <x:c r="AB1553" s="12" t="str">
        <x:f>IF(AND(Z1553="共同",ISNUMBER(G1553),ISNUMBER(AD1553)),G1553-AD1553,"")</x:f>
      </x:c>
      <x:c r="AC1553" s="3" t="str">
        <x:v>基准清单已移出</x:v>
      </x:c>
      <x:c r="AD1553" s="12"/>
      <x:c r="AE1553" s="3" t="str">
        <x:v>[13120,"230510-BK-S-K-7"]</x:v>
      </x:c>
      <x:c r="AF1553" t="n">
        <x:f>IF(ISNUMBER(H1553),1,0)</x:f>
        <x:v>0</x:v>
      </x:c>
      <x:c r="AG1553" t="n">
        <x:f>IF(ISNUMBER(I1553),1,0)</x:f>
        <x:v>1</x:v>
      </x:c>
      <x:c r="AH1553"/>
      <x:c r="AI1553" t="n">
        <x:f>IF(ISNUMBER(G1553),1,0)</x:f>
        <x:v>0</x:v>
      </x:c>
      <x:c r="AJ1553" t="n">
        <x:f>IF(ISNUMBER(AD1553),1,0)</x:f>
        <x:v>0</x:v>
      </x:c>
    </x:row>
    <x:row r="1554" ht="30" customHeight="1">
      <x:c r="A1554" s="3" t="str">
        <x:v>230510-BK-S-K-7.5</x:v>
      </x:c>
      <x:c r="B1554" s="3" t="str">
        <x:v>1店-MUSSHOE-US</x:v>
      </x:c>
      <x:c r="C1554" s="3" t="str">
        <x:v>待定</x:v>
      </x:c>
      <x:c r="D1554" s="3" t="str">
        <x:v>230510</x:v>
      </x:c>
      <x:c r="E1554" s="3" t="str">
        <x:f>IF(Z1554="移出","已移出",IF(NOT(ISNUMBER(H1554)),"数据待核",IF(H1554=0,"断货",IF(NOT(ISNUMBER(G1554)),"数据待核",IF(G1554=0,"零日销待复核",IF(F1554&lt;60,"补货提醒",IF(F1554&lt;=90,"正常库存",IF(F1554&lt;180,"促销",IF(F1554&lt;=365,"红线促销","考虑清仓")))))))))</x:f>
        <x:v>已移出</x:v>
      </x:c>
      <x:c r="F1554" s="11" t="str">
        <x:f>IF(AND(ISNUMBER(H1554),ISNUMBER(G1554),G1554&gt;0),H1554/G1554,"")</x:f>
      </x:c>
      <x:c r="G1554" s="12" t="str">
        <x:f>IF(AND(COUNT(P1554:R1554)=3,MIN(P1554:R1554)&gt;=0,P1554&lt;=Q1554,Q1554&lt;=R1554),P1554/7*0.5+Q1554/14*0.3+R1554/30*0.2,"")</x:f>
      </x:c>
      <x:c r="H1554" s="10" t="str">
        <x:f>IF(ISNUMBER(U1554),U1554,"")</x:f>
      </x:c>
      <x:c r="I1554" s="10" t="n">
        <x:v>14</x:v>
      </x:c>
      <x:c r="J1554" s="11" t="str">
        <x:f>IF(AND(Z1554="共同",ISNUMBER(F1554),ISNUMBER(M1554)),F1554-M1554,"")</x:f>
      </x:c>
      <x:c r="K1554" s="13" t="str">
        <x:f>IF(AND(ISNUMBER(J1554),M1554&lt;&gt;0),J1554/M1554,"")</x:f>
      </x:c>
      <x:c r="L1554" s="10" t="str">
        <x:v>数据待核</x:v>
      </x:c>
      <x:c r="M1554" s="11"/>
      <x:c r="N1554" s="10" t="str">
        <x:f>IF(AND(Z1554="共同",COUNT(H1554:I1554)=2),H1554-I1554,"")</x:f>
      </x:c>
      <x:c r="O1554" s="10"/>
      <x:c r="P1554" s="10"/>
      <x:c r="Q1554" s="10"/>
      <x:c r="R1554" s="10"/>
      <x:c r="S1554" s="10"/>
      <x:c r="T1554" s="10"/>
      <x:c r="U1554" s="10" t="str">
        <x:f>IF(AND(ISNUMBER(X1554),X1554&gt;=0,Y1554&lt;&gt;1),X1554,"")</x:f>
      </x:c>
      <x:c r="V1554" s="10"/>
      <x:c r="W1554" s="10"/>
      <x:c r="X1554" s="10"/>
      <x:c r="Y1554" s="3"/>
      <x:c r="Z1554" s="3" t="str">
        <x:v>移出</x:v>
      </x:c>
      <x:c r="AA1554" s="3" t="str">
        <x:v>已移出</x:v>
      </x:c>
      <x:c r="AB1554" s="12" t="str">
        <x:f>IF(AND(Z1554="共同",ISNUMBER(G1554),ISNUMBER(AD1554)),G1554-AD1554,"")</x:f>
      </x:c>
      <x:c r="AC1554" s="3" t="str">
        <x:v>基准清单已移出</x:v>
      </x:c>
      <x:c r="AD1554" s="12"/>
      <x:c r="AE1554" s="3" t="str">
        <x:v>[13120,"230510-BK-S-K-7.5"]</x:v>
      </x:c>
      <x:c r="AF1554" t="n">
        <x:f>IF(ISNUMBER(H1554),1,0)</x:f>
        <x:v>0</x:v>
      </x:c>
      <x:c r="AG1554" t="n">
        <x:f>IF(ISNUMBER(I1554),1,0)</x:f>
        <x:v>1</x:v>
      </x:c>
      <x:c r="AH1554"/>
      <x:c r="AI1554" t="n">
        <x:f>IF(ISNUMBER(G1554),1,0)</x:f>
        <x:v>0</x:v>
      </x:c>
      <x:c r="AJ1554" t="n">
        <x:f>IF(ISNUMBER(AD1554),1,0)</x:f>
        <x:v>0</x:v>
      </x:c>
    </x:row>
    <x:row r="1555" ht="30" customHeight="1">
      <x:c r="A1555" s="3" t="str">
        <x:v>230510-BK-S-K-8</x:v>
      </x:c>
      <x:c r="B1555" s="3" t="str">
        <x:v>1店-MUSSHOE-US</x:v>
      </x:c>
      <x:c r="C1555" s="3" t="str">
        <x:v>待定</x:v>
      </x:c>
      <x:c r="D1555" s="3" t="str">
        <x:v>230510</x:v>
      </x:c>
      <x:c r="E1555" s="3" t="str">
        <x:f>IF(Z1555="移出","已移出",IF(NOT(ISNUMBER(H1555)),"数据待核",IF(H1555=0,"断货",IF(NOT(ISNUMBER(G1555)),"数据待核",IF(G1555=0,"零日销待复核",IF(F1555&lt;60,"补货提醒",IF(F1555&lt;=90,"正常库存",IF(F1555&lt;180,"促销",IF(F1555&lt;=365,"红线促销","考虑清仓")))))))))</x:f>
        <x:v>已移出</x:v>
      </x:c>
      <x:c r="F1555" s="11" t="str">
        <x:f>IF(AND(ISNUMBER(H1555),ISNUMBER(G1555),G1555&gt;0),H1555/G1555,"")</x:f>
      </x:c>
      <x:c r="G1555" s="12" t="str">
        <x:f>IF(AND(COUNT(P1555:R1555)=3,MIN(P1555:R1555)&gt;=0,P1555&lt;=Q1555,Q1555&lt;=R1555),P1555/7*0.5+Q1555/14*0.3+R1555/30*0.2,"")</x:f>
      </x:c>
      <x:c r="H1555" s="10" t="str">
        <x:f>IF(ISNUMBER(U1555),U1555,"")</x:f>
      </x:c>
      <x:c r="I1555" s="10" t="n">
        <x:v>75</x:v>
      </x:c>
      <x:c r="J1555" s="11" t="str">
        <x:f>IF(AND(Z1555="共同",ISNUMBER(F1555),ISNUMBER(M1555)),F1555-M1555,"")</x:f>
      </x:c>
      <x:c r="K1555" s="13" t="str">
        <x:f>IF(AND(ISNUMBER(J1555),M1555&lt;&gt;0),J1555/M1555,"")</x:f>
      </x:c>
      <x:c r="L1555" s="10" t="str">
        <x:v>数据待核</x:v>
      </x:c>
      <x:c r="M1555" s="11"/>
      <x:c r="N1555" s="10" t="str">
        <x:f>IF(AND(Z1555="共同",COUNT(H1555:I1555)=2),H1555-I1555,"")</x:f>
      </x:c>
      <x:c r="O1555" s="10"/>
      <x:c r="P1555" s="10"/>
      <x:c r="Q1555" s="10"/>
      <x:c r="R1555" s="10"/>
      <x:c r="S1555" s="10"/>
      <x:c r="T1555" s="10"/>
      <x:c r="U1555" s="10" t="str">
        <x:f>IF(AND(ISNUMBER(X1555),X1555&gt;=0,Y1555&lt;&gt;1),X1555,"")</x:f>
      </x:c>
      <x:c r="V1555" s="10"/>
      <x:c r="W1555" s="10"/>
      <x:c r="X1555" s="10"/>
      <x:c r="Y1555" s="3"/>
      <x:c r="Z1555" s="3" t="str">
        <x:v>移出</x:v>
      </x:c>
      <x:c r="AA1555" s="3" t="str">
        <x:v>已移出</x:v>
      </x:c>
      <x:c r="AB1555" s="12" t="str">
        <x:f>IF(AND(Z1555="共同",ISNUMBER(G1555),ISNUMBER(AD1555)),G1555-AD1555,"")</x:f>
      </x:c>
      <x:c r="AC1555" s="3" t="str">
        <x:v>基准清单已移出</x:v>
      </x:c>
      <x:c r="AD1555" s="12"/>
      <x:c r="AE1555" s="3" t="str">
        <x:v>[13120,"230510-BK-S-K-8"]</x:v>
      </x:c>
      <x:c r="AF1555" t="n">
        <x:f>IF(ISNUMBER(H1555),1,0)</x:f>
        <x:v>0</x:v>
      </x:c>
      <x:c r="AG1555" t="n">
        <x:f>IF(ISNUMBER(I1555),1,0)</x:f>
        <x:v>1</x:v>
      </x:c>
      <x:c r="AH1555"/>
      <x:c r="AI1555" t="n">
        <x:f>IF(ISNUMBER(G1555),1,0)</x:f>
        <x:v>0</x:v>
      </x:c>
      <x:c r="AJ1555" t="n">
        <x:f>IF(ISNUMBER(AD1555),1,0)</x:f>
        <x:v>0</x:v>
      </x:c>
    </x:row>
    <x:row r="1556" ht="30" customHeight="1">
      <x:c r="A1556" s="3" t="str">
        <x:v>230510-BK-S-K-9</x:v>
      </x:c>
      <x:c r="B1556" s="3" t="str">
        <x:v>1店-MUSSHOE-US</x:v>
      </x:c>
      <x:c r="C1556" s="3" t="str">
        <x:v>待定</x:v>
      </x:c>
      <x:c r="D1556" s="3" t="str">
        <x:v>230510</x:v>
      </x:c>
      <x:c r="E1556" s="3" t="str">
        <x:f>IF(Z1556="移出","已移出",IF(NOT(ISNUMBER(H1556)),"数据待核",IF(H1556=0,"断货",IF(NOT(ISNUMBER(G1556)),"数据待核",IF(G1556=0,"零日销待复核",IF(F1556&lt;60,"补货提醒",IF(F1556&lt;=90,"正常库存",IF(F1556&lt;180,"促销",IF(F1556&lt;=365,"红线促销","考虑清仓")))))))))</x:f>
        <x:v>已移出</x:v>
      </x:c>
      <x:c r="F1556" s="11" t="str">
        <x:f>IF(AND(ISNUMBER(H1556),ISNUMBER(G1556),G1556&gt;0),H1556/G1556,"")</x:f>
      </x:c>
      <x:c r="G1556" s="12" t="str">
        <x:f>IF(AND(COUNT(P1556:R1556)=3,MIN(P1556:R1556)&gt;=0,P1556&lt;=Q1556,Q1556&lt;=R1556),P1556/7*0.5+Q1556/14*0.3+R1556/30*0.2,"")</x:f>
      </x:c>
      <x:c r="H1556" s="10" t="str">
        <x:f>IF(ISNUMBER(U1556),U1556,"")</x:f>
      </x:c>
      <x:c r="I1556" s="10" t="n">
        <x:v>38</x:v>
      </x:c>
      <x:c r="J1556" s="11" t="str">
        <x:f>IF(AND(Z1556="共同",ISNUMBER(F1556),ISNUMBER(M1556)),F1556-M1556,"")</x:f>
      </x:c>
      <x:c r="K1556" s="13" t="str">
        <x:f>IF(AND(ISNUMBER(J1556),M1556&lt;&gt;0),J1556/M1556,"")</x:f>
      </x:c>
      <x:c r="L1556" s="10" t="str">
        <x:v>数据待核</x:v>
      </x:c>
      <x:c r="M1556" s="11"/>
      <x:c r="N1556" s="10" t="str">
        <x:f>IF(AND(Z1556="共同",COUNT(H1556:I1556)=2),H1556-I1556,"")</x:f>
      </x:c>
      <x:c r="O1556" s="10"/>
      <x:c r="P1556" s="10"/>
      <x:c r="Q1556" s="10"/>
      <x:c r="R1556" s="10"/>
      <x:c r="S1556" s="10"/>
      <x:c r="T1556" s="10"/>
      <x:c r="U1556" s="10" t="str">
        <x:f>IF(AND(ISNUMBER(X1556),X1556&gt;=0,Y1556&lt;&gt;1),X1556,"")</x:f>
      </x:c>
      <x:c r="V1556" s="10"/>
      <x:c r="W1556" s="10"/>
      <x:c r="X1556" s="10"/>
      <x:c r="Y1556" s="3"/>
      <x:c r="Z1556" s="3" t="str">
        <x:v>移出</x:v>
      </x:c>
      <x:c r="AA1556" s="3" t="str">
        <x:v>已移出</x:v>
      </x:c>
      <x:c r="AB1556" s="12" t="str">
        <x:f>IF(AND(Z1556="共同",ISNUMBER(G1556),ISNUMBER(AD1556)),G1556-AD1556,"")</x:f>
      </x:c>
      <x:c r="AC1556" s="3" t="str">
        <x:v>基准清单已移出</x:v>
      </x:c>
      <x:c r="AD1556" s="12"/>
      <x:c r="AE1556" s="3" t="str">
        <x:v>[13120,"230510-BK-S-K-9"]</x:v>
      </x:c>
      <x:c r="AF1556" t="n">
        <x:f>IF(ISNUMBER(H1556),1,0)</x:f>
        <x:v>0</x:v>
      </x:c>
      <x:c r="AG1556" t="n">
        <x:f>IF(ISNUMBER(I1556),1,0)</x:f>
        <x:v>1</x:v>
      </x:c>
      <x:c r="AH1556"/>
      <x:c r="AI1556" t="n">
        <x:f>IF(ISNUMBER(G1556),1,0)</x:f>
        <x:v>0</x:v>
      </x:c>
      <x:c r="AJ1556" t="n">
        <x:f>IF(ISNUMBER(AD1556),1,0)</x:f>
        <x:v>0</x:v>
      </x:c>
    </x:row>
    <x:row r="1557" ht="30" customHeight="1">
      <x:c r="A1557" s="3" t="str">
        <x:v>230510-BK-S-K-9.5</x:v>
      </x:c>
      <x:c r="B1557" s="3" t="str">
        <x:v>1店-MUSSHOE-US</x:v>
      </x:c>
      <x:c r="C1557" s="3" t="str">
        <x:v>待定</x:v>
      </x:c>
      <x:c r="D1557" s="3" t="str">
        <x:v>230510</x:v>
      </x:c>
      <x:c r="E1557" s="3" t="str">
        <x:f>IF(Z1557="移出","已移出",IF(NOT(ISNUMBER(H1557)),"数据待核",IF(H1557=0,"断货",IF(NOT(ISNUMBER(G1557)),"数据待核",IF(G1557=0,"零日销待复核",IF(F1557&lt;60,"补货提醒",IF(F1557&lt;=90,"正常库存",IF(F1557&lt;180,"促销",IF(F1557&lt;=365,"红线促销","考虑清仓")))))))))</x:f>
        <x:v>已移出</x:v>
      </x:c>
      <x:c r="F1557" s="11" t="str">
        <x:f>IF(AND(ISNUMBER(H1557),ISNUMBER(G1557),G1557&gt;0),H1557/G1557,"")</x:f>
      </x:c>
      <x:c r="G1557" s="12" t="str">
        <x:f>IF(AND(COUNT(P1557:R1557)=3,MIN(P1557:R1557)&gt;=0,P1557&lt;=Q1557,Q1557&lt;=R1557),P1557/7*0.5+Q1557/14*0.3+R1557/30*0.2,"")</x:f>
      </x:c>
      <x:c r="H1557" s="10" t="str">
        <x:f>IF(ISNUMBER(U1557),U1557,"")</x:f>
      </x:c>
      <x:c r="I1557" s="10" t="n">
        <x:v>0</x:v>
      </x:c>
      <x:c r="J1557" s="11" t="str">
        <x:f>IF(AND(Z1557="共同",ISNUMBER(F1557),ISNUMBER(M1557)),F1557-M1557,"")</x:f>
      </x:c>
      <x:c r="K1557" s="13" t="str">
        <x:f>IF(AND(ISNUMBER(J1557),M1557&lt;&gt;0),J1557/M1557,"")</x:f>
      </x:c>
      <x:c r="L1557" s="10" t="str">
        <x:v>断货</x:v>
      </x:c>
      <x:c r="M1557" s="11"/>
      <x:c r="N1557" s="10" t="str">
        <x:f>IF(AND(Z1557="共同",COUNT(H1557:I1557)=2),H1557-I1557,"")</x:f>
      </x:c>
      <x:c r="O1557" s="10"/>
      <x:c r="P1557" s="10"/>
      <x:c r="Q1557" s="10"/>
      <x:c r="R1557" s="10"/>
      <x:c r="S1557" s="10"/>
      <x:c r="T1557" s="10"/>
      <x:c r="U1557" s="10" t="str">
        <x:f>IF(AND(ISNUMBER(X1557),X1557&gt;=0,Y1557&lt;&gt;1),X1557,"")</x:f>
      </x:c>
      <x:c r="V1557" s="10"/>
      <x:c r="W1557" s="10"/>
      <x:c r="X1557" s="10"/>
      <x:c r="Y1557" s="3"/>
      <x:c r="Z1557" s="3" t="str">
        <x:v>移出</x:v>
      </x:c>
      <x:c r="AA1557" s="3" t="str">
        <x:v>已移出</x:v>
      </x:c>
      <x:c r="AB1557" s="12" t="str">
        <x:f>IF(AND(Z1557="共同",ISNUMBER(G1557),ISNUMBER(AD1557)),G1557-AD1557,"")</x:f>
      </x:c>
      <x:c r="AC1557" s="3" t="str">
        <x:v>基准清单已移出</x:v>
      </x:c>
      <x:c r="AD1557" s="12"/>
      <x:c r="AE1557" s="3" t="str">
        <x:v>[13120,"230510-BK-S-K-9.5"]</x:v>
      </x:c>
      <x:c r="AF1557" t="n">
        <x:f>IF(ISNUMBER(H1557),1,0)</x:f>
        <x:v>0</x:v>
      </x:c>
      <x:c r="AG1557" t="n">
        <x:f>IF(ISNUMBER(I1557),1,0)</x:f>
        <x:v>1</x:v>
      </x:c>
      <x:c r="AH1557"/>
      <x:c r="AI1557" t="n">
        <x:f>IF(ISNUMBER(G1557),1,0)</x:f>
        <x:v>0</x:v>
      </x:c>
      <x:c r="AJ1557" t="n">
        <x:f>IF(ISNUMBER(AD1557),1,0)</x:f>
        <x:v>0</x:v>
      </x:c>
    </x:row>
    <x:row r="1558" ht="30" customHeight="1">
      <x:c r="A1558" s="3" t="str">
        <x:v>230510-BK-S-K-10</x:v>
      </x:c>
      <x:c r="B1558" s="3" t="str">
        <x:v>1店-MUSSHOE-US</x:v>
      </x:c>
      <x:c r="C1558" s="3" t="str">
        <x:v>待定</x:v>
      </x:c>
      <x:c r="D1558" s="3" t="str">
        <x:v>230510</x:v>
      </x:c>
      <x:c r="E1558" s="3" t="str">
        <x:f>IF(Z1558="移出","已移出",IF(NOT(ISNUMBER(H1558)),"数据待核",IF(H1558=0,"断货",IF(NOT(ISNUMBER(G1558)),"数据待核",IF(G1558=0,"零日销待复核",IF(F1558&lt;60,"补货提醒",IF(F1558&lt;=90,"正常库存",IF(F1558&lt;180,"促销",IF(F1558&lt;=365,"红线促销","考虑清仓")))))))))</x:f>
        <x:v>已移出</x:v>
      </x:c>
      <x:c r="F1558" s="11" t="str">
        <x:f>IF(AND(ISNUMBER(H1558),ISNUMBER(G1558),G1558&gt;0),H1558/G1558,"")</x:f>
      </x:c>
      <x:c r="G1558" s="12" t="str">
        <x:f>IF(AND(COUNT(P1558:R1558)=3,MIN(P1558:R1558)&gt;=0,P1558&lt;=Q1558,Q1558&lt;=R1558),P1558/7*0.5+Q1558/14*0.3+R1558/30*0.2,"")</x:f>
      </x:c>
      <x:c r="H1558" s="10" t="str">
        <x:f>IF(ISNUMBER(U1558),U1558,"")</x:f>
      </x:c>
      <x:c r="I1558" s="10" t="n">
        <x:v>29</x:v>
      </x:c>
      <x:c r="J1558" s="11" t="str">
        <x:f>IF(AND(Z1558="共同",ISNUMBER(F1558),ISNUMBER(M1558)),F1558-M1558,"")</x:f>
      </x:c>
      <x:c r="K1558" s="13" t="str">
        <x:f>IF(AND(ISNUMBER(J1558),M1558&lt;&gt;0),J1558/M1558,"")</x:f>
      </x:c>
      <x:c r="L1558" s="10" t="str">
        <x:v>数据待核</x:v>
      </x:c>
      <x:c r="M1558" s="11"/>
      <x:c r="N1558" s="10" t="str">
        <x:f>IF(AND(Z1558="共同",COUNT(H1558:I1558)=2),H1558-I1558,"")</x:f>
      </x:c>
      <x:c r="O1558" s="10"/>
      <x:c r="P1558" s="10"/>
      <x:c r="Q1558" s="10"/>
      <x:c r="R1558" s="10"/>
      <x:c r="S1558" s="10"/>
      <x:c r="T1558" s="10"/>
      <x:c r="U1558" s="10" t="str">
        <x:f>IF(AND(ISNUMBER(X1558),X1558&gt;=0,Y1558&lt;&gt;1),X1558,"")</x:f>
      </x:c>
      <x:c r="V1558" s="10"/>
      <x:c r="W1558" s="10"/>
      <x:c r="X1558" s="10"/>
      <x:c r="Y1558" s="3"/>
      <x:c r="Z1558" s="3" t="str">
        <x:v>移出</x:v>
      </x:c>
      <x:c r="AA1558" s="3" t="str">
        <x:v>已移出</x:v>
      </x:c>
      <x:c r="AB1558" s="12" t="str">
        <x:f>IF(AND(Z1558="共同",ISNUMBER(G1558),ISNUMBER(AD1558)),G1558-AD1558,"")</x:f>
      </x:c>
      <x:c r="AC1558" s="3" t="str">
        <x:v>基准清单已移出</x:v>
      </x:c>
      <x:c r="AD1558" s="12"/>
      <x:c r="AE1558" s="3" t="str">
        <x:v>[13120,"230510-BK-S-K-10"]</x:v>
      </x:c>
      <x:c r="AF1558" t="n">
        <x:f>IF(ISNUMBER(H1558),1,0)</x:f>
        <x:v>0</x:v>
      </x:c>
      <x:c r="AG1558" t="n">
        <x:f>IF(ISNUMBER(I1558),1,0)</x:f>
        <x:v>1</x:v>
      </x:c>
      <x:c r="AH1558"/>
      <x:c r="AI1558" t="n">
        <x:f>IF(ISNUMBER(G1558),1,0)</x:f>
        <x:v>0</x:v>
      </x:c>
      <x:c r="AJ1558" t="n">
        <x:f>IF(ISNUMBER(AD1558),1,0)</x:f>
        <x:v>0</x:v>
      </x:c>
    </x:row>
    <x:row r="1559" ht="30" customHeight="1">
      <x:c r="A1559" s="3" t="str">
        <x:v>230510-BK-S-K-11</x:v>
      </x:c>
      <x:c r="B1559" s="3" t="str">
        <x:v>1店-MUSSHOE-US</x:v>
      </x:c>
      <x:c r="C1559" s="3" t="str">
        <x:v>待定</x:v>
      </x:c>
      <x:c r="D1559" s="3" t="str">
        <x:v>230510</x:v>
      </x:c>
      <x:c r="E1559" s="3" t="str">
        <x:f>IF(Z1559="移出","已移出",IF(NOT(ISNUMBER(H1559)),"数据待核",IF(H1559=0,"断货",IF(NOT(ISNUMBER(G1559)),"数据待核",IF(G1559=0,"零日销待复核",IF(F1559&lt;60,"补货提醒",IF(F1559&lt;=90,"正常库存",IF(F1559&lt;180,"促销",IF(F1559&lt;=365,"红线促销","考虑清仓")))))))))</x:f>
        <x:v>已移出</x:v>
      </x:c>
      <x:c r="F1559" s="11" t="str">
        <x:f>IF(AND(ISNUMBER(H1559),ISNUMBER(G1559),G1559&gt;0),H1559/G1559,"")</x:f>
      </x:c>
      <x:c r="G1559" s="12" t="str">
        <x:f>IF(AND(COUNT(P1559:R1559)=3,MIN(P1559:R1559)&gt;=0,P1559&lt;=Q1559,Q1559&lt;=R1559),P1559/7*0.5+Q1559/14*0.3+R1559/30*0.2,"")</x:f>
      </x:c>
      <x:c r="H1559" s="10" t="str">
        <x:f>IF(ISNUMBER(U1559),U1559,"")</x:f>
      </x:c>
      <x:c r="I1559" s="10" t="n">
        <x:v>11</x:v>
      </x:c>
      <x:c r="J1559" s="11" t="str">
        <x:f>IF(AND(Z1559="共同",ISNUMBER(F1559),ISNUMBER(M1559)),F1559-M1559,"")</x:f>
      </x:c>
      <x:c r="K1559" s="13" t="str">
        <x:f>IF(AND(ISNUMBER(J1559),M1559&lt;&gt;0),J1559/M1559,"")</x:f>
      </x:c>
      <x:c r="L1559" s="10" t="str">
        <x:v>数据待核</x:v>
      </x:c>
      <x:c r="M1559" s="11"/>
      <x:c r="N1559" s="10" t="str">
        <x:f>IF(AND(Z1559="共同",COUNT(H1559:I1559)=2),H1559-I1559,"")</x:f>
      </x:c>
      <x:c r="O1559" s="10"/>
      <x:c r="P1559" s="10"/>
      <x:c r="Q1559" s="10"/>
      <x:c r="R1559" s="10"/>
      <x:c r="S1559" s="10"/>
      <x:c r="T1559" s="10"/>
      <x:c r="U1559" s="10" t="str">
        <x:f>IF(AND(ISNUMBER(X1559),X1559&gt;=0,Y1559&lt;&gt;1),X1559,"")</x:f>
      </x:c>
      <x:c r="V1559" s="10"/>
      <x:c r="W1559" s="10"/>
      <x:c r="X1559" s="10"/>
      <x:c r="Y1559" s="3"/>
      <x:c r="Z1559" s="3" t="str">
        <x:v>移出</x:v>
      </x:c>
      <x:c r="AA1559" s="3" t="str">
        <x:v>已移出</x:v>
      </x:c>
      <x:c r="AB1559" s="12" t="str">
        <x:f>IF(AND(Z1559="共同",ISNUMBER(G1559),ISNUMBER(AD1559)),G1559-AD1559,"")</x:f>
      </x:c>
      <x:c r="AC1559" s="3" t="str">
        <x:v>基准清单已移出</x:v>
      </x:c>
      <x:c r="AD1559" s="12"/>
      <x:c r="AE1559" s="3" t="str">
        <x:v>[13120,"230510-BK-S-K-11"]</x:v>
      </x:c>
      <x:c r="AF1559" t="n">
        <x:f>IF(ISNUMBER(H1559),1,0)</x:f>
        <x:v>0</x:v>
      </x:c>
      <x:c r="AG1559" t="n">
        <x:f>IF(ISNUMBER(I1559),1,0)</x:f>
        <x:v>1</x:v>
      </x:c>
      <x:c r="AH1559"/>
      <x:c r="AI1559" t="n">
        <x:f>IF(ISNUMBER(G1559),1,0)</x:f>
        <x:v>0</x:v>
      </x:c>
      <x:c r="AJ1559" t="n">
        <x:f>IF(ISNUMBER(AD1559),1,0)</x:f>
        <x:v>0</x:v>
      </x:c>
    </x:row>
    <x:row r="1560" ht="30" customHeight="1">
      <x:c r="A1560" s="3" t="str">
        <x:v>230510-BK-P-K-6</x:v>
      </x:c>
      <x:c r="B1560" s="3" t="str">
        <x:v>1店-MUSSHOE-US</x:v>
      </x:c>
      <x:c r="C1560" s="3" t="str">
        <x:v>待定</x:v>
      </x:c>
      <x:c r="D1560" s="3" t="str">
        <x:v>230510</x:v>
      </x:c>
      <x:c r="E1560" s="3" t="str">
        <x:f>IF(Z1560="移出","已移出",IF(NOT(ISNUMBER(H1560)),"数据待核",IF(H1560=0,"断货",IF(NOT(ISNUMBER(G1560)),"数据待核",IF(G1560=0,"零日销待复核",IF(F1560&lt;60,"补货提醒",IF(F1560&lt;=90,"正常库存",IF(F1560&lt;180,"促销",IF(F1560&lt;=365,"红线促销","考虑清仓")))))))))</x:f>
        <x:v>已移出</x:v>
      </x:c>
      <x:c r="F1560" s="11" t="str">
        <x:f>IF(AND(ISNUMBER(H1560),ISNUMBER(G1560),G1560&gt;0),H1560/G1560,"")</x:f>
      </x:c>
      <x:c r="G1560" s="12" t="str">
        <x:f>IF(AND(COUNT(P1560:R1560)=3,MIN(P1560:R1560)&gt;=0,P1560&lt;=Q1560,Q1560&lt;=R1560),P1560/7*0.5+Q1560/14*0.3+R1560/30*0.2,"")</x:f>
      </x:c>
      <x:c r="H1560" s="10" t="str">
        <x:f>IF(ISNUMBER(U1560),U1560,"")</x:f>
      </x:c>
      <x:c r="I1560" s="10" t="n">
        <x:v>25</x:v>
      </x:c>
      <x:c r="J1560" s="11" t="str">
        <x:f>IF(AND(Z1560="共同",ISNUMBER(F1560),ISNUMBER(M1560)),F1560-M1560,"")</x:f>
      </x:c>
      <x:c r="K1560" s="13" t="str">
        <x:f>IF(AND(ISNUMBER(J1560),M1560&lt;&gt;0),J1560/M1560,"")</x:f>
      </x:c>
      <x:c r="L1560" s="10" t="str">
        <x:v>数据待核</x:v>
      </x:c>
      <x:c r="M1560" s="11"/>
      <x:c r="N1560" s="10" t="str">
        <x:f>IF(AND(Z1560="共同",COUNT(H1560:I1560)=2),H1560-I1560,"")</x:f>
      </x:c>
      <x:c r="O1560" s="10"/>
      <x:c r="P1560" s="10"/>
      <x:c r="Q1560" s="10"/>
      <x:c r="R1560" s="10"/>
      <x:c r="S1560" s="10"/>
      <x:c r="T1560" s="10"/>
      <x:c r="U1560" s="10" t="str">
        <x:f>IF(AND(ISNUMBER(X1560),X1560&gt;=0,Y1560&lt;&gt;1),X1560,"")</x:f>
      </x:c>
      <x:c r="V1560" s="10"/>
      <x:c r="W1560" s="10"/>
      <x:c r="X1560" s="10"/>
      <x:c r="Y1560" s="3"/>
      <x:c r="Z1560" s="3" t="str">
        <x:v>移出</x:v>
      </x:c>
      <x:c r="AA1560" s="3" t="str">
        <x:v>已移出</x:v>
      </x:c>
      <x:c r="AB1560" s="12" t="str">
        <x:f>IF(AND(Z1560="共同",ISNUMBER(G1560),ISNUMBER(AD1560)),G1560-AD1560,"")</x:f>
      </x:c>
      <x:c r="AC1560" s="3" t="str">
        <x:v>基准清单已移出</x:v>
      </x:c>
      <x:c r="AD1560" s="12"/>
      <x:c r="AE1560" s="3" t="str">
        <x:v>[13120,"230510-BK-P-K-6"]</x:v>
      </x:c>
      <x:c r="AF1560" t="n">
        <x:f>IF(ISNUMBER(H1560),1,0)</x:f>
        <x:v>0</x:v>
      </x:c>
      <x:c r="AG1560" t="n">
        <x:f>IF(ISNUMBER(I1560),1,0)</x:f>
        <x:v>1</x:v>
      </x:c>
      <x:c r="AH1560"/>
      <x:c r="AI1560" t="n">
        <x:f>IF(ISNUMBER(G1560),1,0)</x:f>
        <x:v>0</x:v>
      </x:c>
      <x:c r="AJ1560" t="n">
        <x:f>IF(ISNUMBER(AD1560),1,0)</x:f>
        <x:v>0</x:v>
      </x:c>
    </x:row>
    <x:row r="1561" ht="30" customHeight="1">
      <x:c r="A1561" s="3" t="str">
        <x:v>230510-BK-P-K-7</x:v>
      </x:c>
      <x:c r="B1561" s="3" t="str">
        <x:v>1店-MUSSHOE-US</x:v>
      </x:c>
      <x:c r="C1561" s="3" t="str">
        <x:v>待定</x:v>
      </x:c>
      <x:c r="D1561" s="3" t="str">
        <x:v>230510</x:v>
      </x:c>
      <x:c r="E1561" s="3" t="str">
        <x:f>IF(Z1561="移出","已移出",IF(NOT(ISNUMBER(H1561)),"数据待核",IF(H1561=0,"断货",IF(NOT(ISNUMBER(G1561)),"数据待核",IF(G1561=0,"零日销待复核",IF(F1561&lt;60,"补货提醒",IF(F1561&lt;=90,"正常库存",IF(F1561&lt;180,"促销",IF(F1561&lt;=365,"红线促销","考虑清仓")))))))))</x:f>
        <x:v>已移出</x:v>
      </x:c>
      <x:c r="F1561" s="11" t="str">
        <x:f>IF(AND(ISNUMBER(H1561),ISNUMBER(G1561),G1561&gt;0),H1561/G1561,"")</x:f>
      </x:c>
      <x:c r="G1561" s="12" t="str">
        <x:f>IF(AND(COUNT(P1561:R1561)=3,MIN(P1561:R1561)&gt;=0,P1561&lt;=Q1561,Q1561&lt;=R1561),P1561/7*0.5+Q1561/14*0.3+R1561/30*0.2,"")</x:f>
      </x:c>
      <x:c r="H1561" s="10" t="str">
        <x:f>IF(ISNUMBER(U1561),U1561,"")</x:f>
      </x:c>
      <x:c r="I1561" s="10" t="n">
        <x:v>36</x:v>
      </x:c>
      <x:c r="J1561" s="11" t="str">
        <x:f>IF(AND(Z1561="共同",ISNUMBER(F1561),ISNUMBER(M1561)),F1561-M1561,"")</x:f>
      </x:c>
      <x:c r="K1561" s="13" t="str">
        <x:f>IF(AND(ISNUMBER(J1561),M1561&lt;&gt;0),J1561/M1561,"")</x:f>
      </x:c>
      <x:c r="L1561" s="10" t="str">
        <x:v>数据待核</x:v>
      </x:c>
      <x:c r="M1561" s="11"/>
      <x:c r="N1561" s="10" t="str">
        <x:f>IF(AND(Z1561="共同",COUNT(H1561:I1561)=2),H1561-I1561,"")</x:f>
      </x:c>
      <x:c r="O1561" s="10"/>
      <x:c r="P1561" s="10"/>
      <x:c r="Q1561" s="10"/>
      <x:c r="R1561" s="10"/>
      <x:c r="S1561" s="10"/>
      <x:c r="T1561" s="10"/>
      <x:c r="U1561" s="10" t="str">
        <x:f>IF(AND(ISNUMBER(X1561),X1561&gt;=0,Y1561&lt;&gt;1),X1561,"")</x:f>
      </x:c>
      <x:c r="V1561" s="10"/>
      <x:c r="W1561" s="10"/>
      <x:c r="X1561" s="10"/>
      <x:c r="Y1561" s="3"/>
      <x:c r="Z1561" s="3" t="str">
        <x:v>移出</x:v>
      </x:c>
      <x:c r="AA1561" s="3" t="str">
        <x:v>已移出</x:v>
      </x:c>
      <x:c r="AB1561" s="12" t="str">
        <x:f>IF(AND(Z1561="共同",ISNUMBER(G1561),ISNUMBER(AD1561)),G1561-AD1561,"")</x:f>
      </x:c>
      <x:c r="AC1561" s="3" t="str">
        <x:v>基准清单已移出</x:v>
      </x:c>
      <x:c r="AD1561" s="12"/>
      <x:c r="AE1561" s="3" t="str">
        <x:v>[13120,"230510-BK-P-K-7"]</x:v>
      </x:c>
      <x:c r="AF1561" t="n">
        <x:f>IF(ISNUMBER(H1561),1,0)</x:f>
        <x:v>0</x:v>
      </x:c>
      <x:c r="AG1561" t="n">
        <x:f>IF(ISNUMBER(I1561),1,0)</x:f>
        <x:v>1</x:v>
      </x:c>
      <x:c r="AH1561"/>
      <x:c r="AI1561" t="n">
        <x:f>IF(ISNUMBER(G1561),1,0)</x:f>
        <x:v>0</x:v>
      </x:c>
      <x:c r="AJ1561" t="n">
        <x:f>IF(ISNUMBER(AD1561),1,0)</x:f>
        <x:v>0</x:v>
      </x:c>
    </x:row>
    <x:row r="1562" ht="30" customHeight="1">
      <x:c r="A1562" s="3" t="str">
        <x:v>230510-BK-P-K-8</x:v>
      </x:c>
      <x:c r="B1562" s="3" t="str">
        <x:v>1店-MUSSHOE-US</x:v>
      </x:c>
      <x:c r="C1562" s="3" t="str">
        <x:v>待定</x:v>
      </x:c>
      <x:c r="D1562" s="3" t="str">
        <x:v>230510</x:v>
      </x:c>
      <x:c r="E1562" s="3" t="str">
        <x:f>IF(Z1562="移出","已移出",IF(NOT(ISNUMBER(H1562)),"数据待核",IF(H1562=0,"断货",IF(NOT(ISNUMBER(G1562)),"数据待核",IF(G1562=0,"零日销待复核",IF(F1562&lt;60,"补货提醒",IF(F1562&lt;=90,"正常库存",IF(F1562&lt;180,"促销",IF(F1562&lt;=365,"红线促销","考虑清仓")))))))))</x:f>
        <x:v>已移出</x:v>
      </x:c>
      <x:c r="F1562" s="11" t="str">
        <x:f>IF(AND(ISNUMBER(H1562),ISNUMBER(G1562),G1562&gt;0),H1562/G1562,"")</x:f>
      </x:c>
      <x:c r="G1562" s="12" t="str">
        <x:f>IF(AND(COUNT(P1562:R1562)=3,MIN(P1562:R1562)&gt;=0,P1562&lt;=Q1562,Q1562&lt;=R1562),P1562/7*0.5+Q1562/14*0.3+R1562/30*0.2,"")</x:f>
      </x:c>
      <x:c r="H1562" s="10" t="str">
        <x:f>IF(ISNUMBER(U1562),U1562,"")</x:f>
      </x:c>
      <x:c r="I1562" s="10" t="n">
        <x:v>54</x:v>
      </x:c>
      <x:c r="J1562" s="11" t="str">
        <x:f>IF(AND(Z1562="共同",ISNUMBER(F1562),ISNUMBER(M1562)),F1562-M1562,"")</x:f>
      </x:c>
      <x:c r="K1562" s="13" t="str">
        <x:f>IF(AND(ISNUMBER(J1562),M1562&lt;&gt;0),J1562/M1562,"")</x:f>
      </x:c>
      <x:c r="L1562" s="10" t="str">
        <x:v>数据待核</x:v>
      </x:c>
      <x:c r="M1562" s="11"/>
      <x:c r="N1562" s="10" t="str">
        <x:f>IF(AND(Z1562="共同",COUNT(H1562:I1562)=2),H1562-I1562,"")</x:f>
      </x:c>
      <x:c r="O1562" s="10"/>
      <x:c r="P1562" s="10"/>
      <x:c r="Q1562" s="10"/>
      <x:c r="R1562" s="10"/>
      <x:c r="S1562" s="10"/>
      <x:c r="T1562" s="10"/>
      <x:c r="U1562" s="10" t="str">
        <x:f>IF(AND(ISNUMBER(X1562),X1562&gt;=0,Y1562&lt;&gt;1),X1562,"")</x:f>
      </x:c>
      <x:c r="V1562" s="10"/>
      <x:c r="W1562" s="10"/>
      <x:c r="X1562" s="10"/>
      <x:c r="Y1562" s="3"/>
      <x:c r="Z1562" s="3" t="str">
        <x:v>移出</x:v>
      </x:c>
      <x:c r="AA1562" s="3" t="str">
        <x:v>已移出</x:v>
      </x:c>
      <x:c r="AB1562" s="12" t="str">
        <x:f>IF(AND(Z1562="共同",ISNUMBER(G1562),ISNUMBER(AD1562)),G1562-AD1562,"")</x:f>
      </x:c>
      <x:c r="AC1562" s="3" t="str">
        <x:v>基准清单已移出</x:v>
      </x:c>
      <x:c r="AD1562" s="12"/>
      <x:c r="AE1562" s="3" t="str">
        <x:v>[13120,"230510-BK-P-K-8"]</x:v>
      </x:c>
      <x:c r="AF1562" t="n">
        <x:f>IF(ISNUMBER(H1562),1,0)</x:f>
        <x:v>0</x:v>
      </x:c>
      <x:c r="AG1562" t="n">
        <x:f>IF(ISNUMBER(I1562),1,0)</x:f>
        <x:v>1</x:v>
      </x:c>
      <x:c r="AH1562"/>
      <x:c r="AI1562" t="n">
        <x:f>IF(ISNUMBER(G1562),1,0)</x:f>
        <x:v>0</x:v>
      </x:c>
      <x:c r="AJ1562" t="n">
        <x:f>IF(ISNUMBER(AD1562),1,0)</x:f>
        <x:v>0</x:v>
      </x:c>
    </x:row>
    <x:row r="1563" ht="30" customHeight="1">
      <x:c r="A1563" s="3" t="str">
        <x:v>230510-BK-P-K-9</x:v>
      </x:c>
      <x:c r="B1563" s="3" t="str">
        <x:v>1店-MUSSHOE-US</x:v>
      </x:c>
      <x:c r="C1563" s="3" t="str">
        <x:v>待定</x:v>
      </x:c>
      <x:c r="D1563" s="3" t="str">
        <x:v>230510</x:v>
      </x:c>
      <x:c r="E1563" s="3" t="str">
        <x:f>IF(Z1563="移出","已移出",IF(NOT(ISNUMBER(H1563)),"数据待核",IF(H1563=0,"断货",IF(NOT(ISNUMBER(G1563)),"数据待核",IF(G1563=0,"零日销待复核",IF(F1563&lt;60,"补货提醒",IF(F1563&lt;=90,"正常库存",IF(F1563&lt;180,"促销",IF(F1563&lt;=365,"红线促销","考虑清仓")))))))))</x:f>
        <x:v>已移出</x:v>
      </x:c>
      <x:c r="F1563" s="11" t="str">
        <x:f>IF(AND(ISNUMBER(H1563),ISNUMBER(G1563),G1563&gt;0),H1563/G1563,"")</x:f>
      </x:c>
      <x:c r="G1563" s="12" t="str">
        <x:f>IF(AND(COUNT(P1563:R1563)=3,MIN(P1563:R1563)&gt;=0,P1563&lt;=Q1563,Q1563&lt;=R1563),P1563/7*0.5+Q1563/14*0.3+R1563/30*0.2,"")</x:f>
      </x:c>
      <x:c r="H1563" s="10" t="str">
        <x:f>IF(ISNUMBER(U1563),U1563,"")</x:f>
      </x:c>
      <x:c r="I1563" s="10" t="n">
        <x:v>15</x:v>
      </x:c>
      <x:c r="J1563" s="11" t="str">
        <x:f>IF(AND(Z1563="共同",ISNUMBER(F1563),ISNUMBER(M1563)),F1563-M1563,"")</x:f>
      </x:c>
      <x:c r="K1563" s="13" t="str">
        <x:f>IF(AND(ISNUMBER(J1563),M1563&lt;&gt;0),J1563/M1563,"")</x:f>
      </x:c>
      <x:c r="L1563" s="10" t="str">
        <x:v>数据待核</x:v>
      </x:c>
      <x:c r="M1563" s="11"/>
      <x:c r="N1563" s="10" t="str">
        <x:f>IF(AND(Z1563="共同",COUNT(H1563:I1563)=2),H1563-I1563,"")</x:f>
      </x:c>
      <x:c r="O1563" s="10"/>
      <x:c r="P1563" s="10"/>
      <x:c r="Q1563" s="10"/>
      <x:c r="R1563" s="10"/>
      <x:c r="S1563" s="10"/>
      <x:c r="T1563" s="10"/>
      <x:c r="U1563" s="10" t="str">
        <x:f>IF(AND(ISNUMBER(X1563),X1563&gt;=0,Y1563&lt;&gt;1),X1563,"")</x:f>
      </x:c>
      <x:c r="V1563" s="10"/>
      <x:c r="W1563" s="10"/>
      <x:c r="X1563" s="10"/>
      <x:c r="Y1563" s="3"/>
      <x:c r="Z1563" s="3" t="str">
        <x:v>移出</x:v>
      </x:c>
      <x:c r="AA1563" s="3" t="str">
        <x:v>已移出</x:v>
      </x:c>
      <x:c r="AB1563" s="12" t="str">
        <x:f>IF(AND(Z1563="共同",ISNUMBER(G1563),ISNUMBER(AD1563)),G1563-AD1563,"")</x:f>
      </x:c>
      <x:c r="AC1563" s="3" t="str">
        <x:v>基准清单已移出</x:v>
      </x:c>
      <x:c r="AD1563" s="12"/>
      <x:c r="AE1563" s="3" t="str">
        <x:v>[13120,"230510-BK-P-K-9"]</x:v>
      </x:c>
      <x:c r="AF1563" t="n">
        <x:f>IF(ISNUMBER(H1563),1,0)</x:f>
        <x:v>0</x:v>
      </x:c>
      <x:c r="AG1563" t="n">
        <x:f>IF(ISNUMBER(I1563),1,0)</x:f>
        <x:v>1</x:v>
      </x:c>
      <x:c r="AH1563"/>
      <x:c r="AI1563" t="n">
        <x:f>IF(ISNUMBER(G1563),1,0)</x:f>
        <x:v>0</x:v>
      </x:c>
      <x:c r="AJ1563" t="n">
        <x:f>IF(ISNUMBER(AD1563),1,0)</x:f>
        <x:v>0</x:v>
      </x:c>
    </x:row>
    <x:row r="1564" ht="30" customHeight="1">
      <x:c r="A1564" s="3" t="str">
        <x:v>230510-BK-P-K-10</x:v>
      </x:c>
      <x:c r="B1564" s="3" t="str">
        <x:v>1店-MUSSHOE-US</x:v>
      </x:c>
      <x:c r="C1564" s="3" t="str">
        <x:v>待定</x:v>
      </x:c>
      <x:c r="D1564" s="3" t="str">
        <x:v>230510</x:v>
      </x:c>
      <x:c r="E1564" s="3" t="str">
        <x:f>IF(Z1564="移出","已移出",IF(NOT(ISNUMBER(H1564)),"数据待核",IF(H1564=0,"断货",IF(NOT(ISNUMBER(G1564)),"数据待核",IF(G1564=0,"零日销待复核",IF(F1564&lt;60,"补货提醒",IF(F1564&lt;=90,"正常库存",IF(F1564&lt;180,"促销",IF(F1564&lt;=365,"红线促销","考虑清仓")))))))))</x:f>
        <x:v>已移出</x:v>
      </x:c>
      <x:c r="F1564" s="11" t="str">
        <x:f>IF(AND(ISNUMBER(H1564),ISNUMBER(G1564),G1564&gt;0),H1564/G1564,"")</x:f>
      </x:c>
      <x:c r="G1564" s="12" t="str">
        <x:f>IF(AND(COUNT(P1564:R1564)=3,MIN(P1564:R1564)&gt;=0,P1564&lt;=Q1564,Q1564&lt;=R1564),P1564/7*0.5+Q1564/14*0.3+R1564/30*0.2,"")</x:f>
      </x:c>
      <x:c r="H1564" s="10" t="str">
        <x:f>IF(ISNUMBER(U1564),U1564,"")</x:f>
      </x:c>
      <x:c r="I1564" s="10" t="n">
        <x:v>17</x:v>
      </x:c>
      <x:c r="J1564" s="11" t="str">
        <x:f>IF(AND(Z1564="共同",ISNUMBER(F1564),ISNUMBER(M1564)),F1564-M1564,"")</x:f>
      </x:c>
      <x:c r="K1564" s="13" t="str">
        <x:f>IF(AND(ISNUMBER(J1564),M1564&lt;&gt;0),J1564/M1564,"")</x:f>
      </x:c>
      <x:c r="L1564" s="10" t="str">
        <x:v>数据待核</x:v>
      </x:c>
      <x:c r="M1564" s="11"/>
      <x:c r="N1564" s="10" t="str">
        <x:f>IF(AND(Z1564="共同",COUNT(H1564:I1564)=2),H1564-I1564,"")</x:f>
      </x:c>
      <x:c r="O1564" s="10"/>
      <x:c r="P1564" s="10"/>
      <x:c r="Q1564" s="10"/>
      <x:c r="R1564" s="10"/>
      <x:c r="S1564" s="10"/>
      <x:c r="T1564" s="10"/>
      <x:c r="U1564" s="10" t="str">
        <x:f>IF(AND(ISNUMBER(X1564),X1564&gt;=0,Y1564&lt;&gt;1),X1564,"")</x:f>
      </x:c>
      <x:c r="V1564" s="10"/>
      <x:c r="W1564" s="10"/>
      <x:c r="X1564" s="10"/>
      <x:c r="Y1564" s="3"/>
      <x:c r="Z1564" s="3" t="str">
        <x:v>移出</x:v>
      </x:c>
      <x:c r="AA1564" s="3" t="str">
        <x:v>已移出</x:v>
      </x:c>
      <x:c r="AB1564" s="12" t="str">
        <x:f>IF(AND(Z1564="共同",ISNUMBER(G1564),ISNUMBER(AD1564)),G1564-AD1564,"")</x:f>
      </x:c>
      <x:c r="AC1564" s="3" t="str">
        <x:v>基准清单已移出</x:v>
      </x:c>
      <x:c r="AD1564" s="12"/>
      <x:c r="AE1564" s="3" t="str">
        <x:v>[13120,"230510-BK-P-K-10"]</x:v>
      </x:c>
      <x:c r="AF1564" t="n">
        <x:f>IF(ISNUMBER(H1564),1,0)</x:f>
        <x:v>0</x:v>
      </x:c>
      <x:c r="AG1564" t="n">
        <x:f>IF(ISNUMBER(I1564),1,0)</x:f>
        <x:v>1</x:v>
      </x:c>
      <x:c r="AH1564"/>
      <x:c r="AI1564" t="n">
        <x:f>IF(ISNUMBER(G1564),1,0)</x:f>
        <x:v>0</x:v>
      </x:c>
      <x:c r="AJ1564" t="n">
        <x:f>IF(ISNUMBER(AD1564),1,0)</x:f>
        <x:v>0</x:v>
      </x:c>
    </x:row>
    <x:row r="1565" ht="30" customHeight="1">
      <x:c r="A1565" s="3" t="str">
        <x:v>230510-BK-P-K-11</x:v>
      </x:c>
      <x:c r="B1565" s="3" t="str">
        <x:v>1店-MUSSHOE-US</x:v>
      </x:c>
      <x:c r="C1565" s="3" t="str">
        <x:v>待定</x:v>
      </x:c>
      <x:c r="D1565" s="3" t="str">
        <x:v>230510</x:v>
      </x:c>
      <x:c r="E1565" s="3" t="str">
        <x:f>IF(Z1565="移出","已移出",IF(NOT(ISNUMBER(H1565)),"数据待核",IF(H1565=0,"断货",IF(NOT(ISNUMBER(G1565)),"数据待核",IF(G1565=0,"零日销待复核",IF(F1565&lt;60,"补货提醒",IF(F1565&lt;=90,"正常库存",IF(F1565&lt;180,"促销",IF(F1565&lt;=365,"红线促销","考虑清仓")))))))))</x:f>
        <x:v>已移出</x:v>
      </x:c>
      <x:c r="F1565" s="11" t="str">
        <x:f>IF(AND(ISNUMBER(H1565),ISNUMBER(G1565),G1565&gt;0),H1565/G1565,"")</x:f>
      </x:c>
      <x:c r="G1565" s="12" t="str">
        <x:f>IF(AND(COUNT(P1565:R1565)=3,MIN(P1565:R1565)&gt;=0,P1565&lt;=Q1565,Q1565&lt;=R1565),P1565/7*0.5+Q1565/14*0.3+R1565/30*0.2,"")</x:f>
      </x:c>
      <x:c r="H1565" s="10" t="str">
        <x:f>IF(ISNUMBER(U1565),U1565,"")</x:f>
      </x:c>
      <x:c r="I1565" s="10" t="n">
        <x:v>4</x:v>
      </x:c>
      <x:c r="J1565" s="11" t="str">
        <x:f>IF(AND(Z1565="共同",ISNUMBER(F1565),ISNUMBER(M1565)),F1565-M1565,"")</x:f>
      </x:c>
      <x:c r="K1565" s="13" t="str">
        <x:f>IF(AND(ISNUMBER(J1565),M1565&lt;&gt;0),J1565/M1565,"")</x:f>
      </x:c>
      <x:c r="L1565" s="10" t="str">
        <x:v>数据待核</x:v>
      </x:c>
      <x:c r="M1565" s="11"/>
      <x:c r="N1565" s="10" t="str">
        <x:f>IF(AND(Z1565="共同",COUNT(H1565:I1565)=2),H1565-I1565,"")</x:f>
      </x:c>
      <x:c r="O1565" s="10"/>
      <x:c r="P1565" s="10"/>
      <x:c r="Q1565" s="10"/>
      <x:c r="R1565" s="10"/>
      <x:c r="S1565" s="10"/>
      <x:c r="T1565" s="10"/>
      <x:c r="U1565" s="10" t="str">
        <x:f>IF(AND(ISNUMBER(X1565),X1565&gt;=0,Y1565&lt;&gt;1),X1565,"")</x:f>
      </x:c>
      <x:c r="V1565" s="10"/>
      <x:c r="W1565" s="10"/>
      <x:c r="X1565" s="10"/>
      <x:c r="Y1565" s="3"/>
      <x:c r="Z1565" s="3" t="str">
        <x:v>移出</x:v>
      </x:c>
      <x:c r="AA1565" s="3" t="str">
        <x:v>已移出</x:v>
      </x:c>
      <x:c r="AB1565" s="12" t="str">
        <x:f>IF(AND(Z1565="共同",ISNUMBER(G1565),ISNUMBER(AD1565)),G1565-AD1565,"")</x:f>
      </x:c>
      <x:c r="AC1565" s="3" t="str">
        <x:v>基准清单已移出</x:v>
      </x:c>
      <x:c r="AD1565" s="12"/>
      <x:c r="AE1565" s="3" t="str">
        <x:v>[13120,"230510-BK-P-K-11"]</x:v>
      </x:c>
      <x:c r="AF1565" t="n">
        <x:f>IF(ISNUMBER(H1565),1,0)</x:f>
        <x:v>0</x:v>
      </x:c>
      <x:c r="AG1565" t="n">
        <x:f>IF(ISNUMBER(I1565),1,0)</x:f>
        <x:v>1</x:v>
      </x:c>
      <x:c r="AH1565"/>
      <x:c r="AI1565" t="n">
        <x:f>IF(ISNUMBER(G1565),1,0)</x:f>
        <x:v>0</x:v>
      </x:c>
      <x:c r="AJ1565" t="n">
        <x:f>IF(ISNUMBER(AD1565),1,0)</x:f>
        <x:v>0</x:v>
      </x:c>
    </x:row>
    <x:row r="1566" ht="30" customHeight="1">
      <x:c r="A1566" s="3" t="str">
        <x:v>230510-MT-S-K-6</x:v>
      </x:c>
      <x:c r="B1566" s="3" t="str">
        <x:v>1店-MUSSHOE-US</x:v>
      </x:c>
      <x:c r="C1566" s="3" t="str">
        <x:v>待定</x:v>
      </x:c>
      <x:c r="D1566" s="3" t="str">
        <x:v>230510</x:v>
      </x:c>
      <x:c r="E1566" s="3" t="str">
        <x:f>IF(Z1566="移出","已移出",IF(NOT(ISNUMBER(H1566)),"数据待核",IF(H1566=0,"断货",IF(NOT(ISNUMBER(G1566)),"数据待核",IF(G1566=0,"零日销待复核",IF(F1566&lt;60,"补货提醒",IF(F1566&lt;=90,"正常库存",IF(F1566&lt;180,"促销",IF(F1566&lt;=365,"红线促销","考虑清仓")))))))))</x:f>
        <x:v>已移出</x:v>
      </x:c>
      <x:c r="F1566" s="11" t="str">
        <x:f>IF(AND(ISNUMBER(H1566),ISNUMBER(G1566),G1566&gt;0),H1566/G1566,"")</x:f>
      </x:c>
      <x:c r="G1566" s="12" t="str">
        <x:f>IF(AND(COUNT(P1566:R1566)=3,MIN(P1566:R1566)&gt;=0,P1566&lt;=Q1566,Q1566&lt;=R1566),P1566/7*0.5+Q1566/14*0.3+R1566/30*0.2,"")</x:f>
      </x:c>
      <x:c r="H1566" s="10" t="str">
        <x:f>IF(ISNUMBER(U1566),U1566,"")</x:f>
      </x:c>
      <x:c r="I1566" s="10" t="n">
        <x:v>0</x:v>
      </x:c>
      <x:c r="J1566" s="11" t="str">
        <x:f>IF(AND(Z1566="共同",ISNUMBER(F1566),ISNUMBER(M1566)),F1566-M1566,"")</x:f>
      </x:c>
      <x:c r="K1566" s="13" t="str">
        <x:f>IF(AND(ISNUMBER(J1566),M1566&lt;&gt;0),J1566/M1566,"")</x:f>
      </x:c>
      <x:c r="L1566" s="10" t="str">
        <x:v>断货</x:v>
      </x:c>
      <x:c r="M1566" s="11"/>
      <x:c r="N1566" s="10" t="str">
        <x:f>IF(AND(Z1566="共同",COUNT(H1566:I1566)=2),H1566-I1566,"")</x:f>
      </x:c>
      <x:c r="O1566" s="10"/>
      <x:c r="P1566" s="10"/>
      <x:c r="Q1566" s="10"/>
      <x:c r="R1566" s="10"/>
      <x:c r="S1566" s="10"/>
      <x:c r="T1566" s="10"/>
      <x:c r="U1566" s="10" t="str">
        <x:f>IF(AND(ISNUMBER(X1566),X1566&gt;=0,Y1566&lt;&gt;1),X1566,"")</x:f>
      </x:c>
      <x:c r="V1566" s="10"/>
      <x:c r="W1566" s="10"/>
      <x:c r="X1566" s="10"/>
      <x:c r="Y1566" s="3"/>
      <x:c r="Z1566" s="3" t="str">
        <x:v>移出</x:v>
      </x:c>
      <x:c r="AA1566" s="3" t="str">
        <x:v>已移出</x:v>
      </x:c>
      <x:c r="AB1566" s="12" t="str">
        <x:f>IF(AND(Z1566="共同",ISNUMBER(G1566),ISNUMBER(AD1566)),G1566-AD1566,"")</x:f>
      </x:c>
      <x:c r="AC1566" s="3" t="str">
        <x:v>基准清单已移出</x:v>
      </x:c>
      <x:c r="AD1566" s="12"/>
      <x:c r="AE1566" s="3" t="str">
        <x:v>[13120,"230510-MT-S-K-6"]</x:v>
      </x:c>
      <x:c r="AF1566" t="n">
        <x:f>IF(ISNUMBER(H1566),1,0)</x:f>
        <x:v>0</x:v>
      </x:c>
      <x:c r="AG1566" t="n">
        <x:f>IF(ISNUMBER(I1566),1,0)</x:f>
        <x:v>1</x:v>
      </x:c>
      <x:c r="AH1566"/>
      <x:c r="AI1566" t="n">
        <x:f>IF(ISNUMBER(G1566),1,0)</x:f>
        <x:v>0</x:v>
      </x:c>
      <x:c r="AJ1566" t="n">
        <x:f>IF(ISNUMBER(AD1566),1,0)</x:f>
        <x:v>0</x:v>
      </x:c>
    </x:row>
    <x:row r="1567" ht="30" customHeight="1">
      <x:c r="A1567" s="3" t="str">
        <x:v>230510-MT-S-K-7</x:v>
      </x:c>
      <x:c r="B1567" s="3" t="str">
        <x:v>1店-MUSSHOE-US</x:v>
      </x:c>
      <x:c r="C1567" s="3" t="str">
        <x:v>待定</x:v>
      </x:c>
      <x:c r="D1567" s="3" t="str">
        <x:v>230510</x:v>
      </x:c>
      <x:c r="E1567" s="3" t="str">
        <x:f>IF(Z1567="移出","已移出",IF(NOT(ISNUMBER(H1567)),"数据待核",IF(H1567=0,"断货",IF(NOT(ISNUMBER(G1567)),"数据待核",IF(G1567=0,"零日销待复核",IF(F1567&lt;60,"补货提醒",IF(F1567&lt;=90,"正常库存",IF(F1567&lt;180,"促销",IF(F1567&lt;=365,"红线促销","考虑清仓")))))))))</x:f>
        <x:v>已移出</x:v>
      </x:c>
      <x:c r="F1567" s="11" t="str">
        <x:f>IF(AND(ISNUMBER(H1567),ISNUMBER(G1567),G1567&gt;0),H1567/G1567,"")</x:f>
      </x:c>
      <x:c r="G1567" s="12" t="str">
        <x:f>IF(AND(COUNT(P1567:R1567)=3,MIN(P1567:R1567)&gt;=0,P1567&lt;=Q1567,Q1567&lt;=R1567),P1567/7*0.5+Q1567/14*0.3+R1567/30*0.2,"")</x:f>
      </x:c>
      <x:c r="H1567" s="10" t="str">
        <x:f>IF(ISNUMBER(U1567),U1567,"")</x:f>
      </x:c>
      <x:c r="I1567" s="10" t="n">
        <x:v>0</x:v>
      </x:c>
      <x:c r="J1567" s="11" t="str">
        <x:f>IF(AND(Z1567="共同",ISNUMBER(F1567),ISNUMBER(M1567)),F1567-M1567,"")</x:f>
      </x:c>
      <x:c r="K1567" s="13" t="str">
        <x:f>IF(AND(ISNUMBER(J1567),M1567&lt;&gt;0),J1567/M1567,"")</x:f>
      </x:c>
      <x:c r="L1567" s="10" t="str">
        <x:v>断货</x:v>
      </x:c>
      <x:c r="M1567" s="11"/>
      <x:c r="N1567" s="10" t="str">
        <x:f>IF(AND(Z1567="共同",COUNT(H1567:I1567)=2),H1567-I1567,"")</x:f>
      </x:c>
      <x:c r="O1567" s="10"/>
      <x:c r="P1567" s="10"/>
      <x:c r="Q1567" s="10"/>
      <x:c r="R1567" s="10"/>
      <x:c r="S1567" s="10"/>
      <x:c r="T1567" s="10"/>
      <x:c r="U1567" s="10" t="str">
        <x:f>IF(AND(ISNUMBER(X1567),X1567&gt;=0,Y1567&lt;&gt;1),X1567,"")</x:f>
      </x:c>
      <x:c r="V1567" s="10"/>
      <x:c r="W1567" s="10"/>
      <x:c r="X1567" s="10"/>
      <x:c r="Y1567" s="3"/>
      <x:c r="Z1567" s="3" t="str">
        <x:v>移出</x:v>
      </x:c>
      <x:c r="AA1567" s="3" t="str">
        <x:v>已移出</x:v>
      </x:c>
      <x:c r="AB1567" s="12" t="str">
        <x:f>IF(AND(Z1567="共同",ISNUMBER(G1567),ISNUMBER(AD1567)),G1567-AD1567,"")</x:f>
      </x:c>
      <x:c r="AC1567" s="3" t="str">
        <x:v>基准清单已移出</x:v>
      </x:c>
      <x:c r="AD1567" s="12"/>
      <x:c r="AE1567" s="3" t="str">
        <x:v>[13120,"230510-MT-S-K-7"]</x:v>
      </x:c>
      <x:c r="AF1567" t="n">
        <x:f>IF(ISNUMBER(H1567),1,0)</x:f>
        <x:v>0</x:v>
      </x:c>
      <x:c r="AG1567" t="n">
        <x:f>IF(ISNUMBER(I1567),1,0)</x:f>
        <x:v>1</x:v>
      </x:c>
      <x:c r="AH1567"/>
      <x:c r="AI1567" t="n">
        <x:f>IF(ISNUMBER(G1567),1,0)</x:f>
        <x:v>0</x:v>
      </x:c>
      <x:c r="AJ1567" t="n">
        <x:f>IF(ISNUMBER(AD1567),1,0)</x:f>
        <x:v>0</x:v>
      </x:c>
    </x:row>
    <x:row r="1568" ht="30" customHeight="1">
      <x:c r="A1568" s="3" t="str">
        <x:v>230510-MT-S-K-8</x:v>
      </x:c>
      <x:c r="B1568" s="3" t="str">
        <x:v>1店-MUSSHOE-US</x:v>
      </x:c>
      <x:c r="C1568" s="3" t="str">
        <x:v>待定</x:v>
      </x:c>
      <x:c r="D1568" s="3" t="str">
        <x:v>230510</x:v>
      </x:c>
      <x:c r="E1568" s="3" t="str">
        <x:f>IF(Z1568="移出","已移出",IF(NOT(ISNUMBER(H1568)),"数据待核",IF(H1568=0,"断货",IF(NOT(ISNUMBER(G1568)),"数据待核",IF(G1568=0,"零日销待复核",IF(F1568&lt;60,"补货提醒",IF(F1568&lt;=90,"正常库存",IF(F1568&lt;180,"促销",IF(F1568&lt;=365,"红线促销","考虑清仓")))))))))</x:f>
        <x:v>已移出</x:v>
      </x:c>
      <x:c r="F1568" s="11" t="str">
        <x:f>IF(AND(ISNUMBER(H1568),ISNUMBER(G1568),G1568&gt;0),H1568/G1568,"")</x:f>
      </x:c>
      <x:c r="G1568" s="12" t="str">
        <x:f>IF(AND(COUNT(P1568:R1568)=3,MIN(P1568:R1568)&gt;=0,P1568&lt;=Q1568,Q1568&lt;=R1568),P1568/7*0.5+Q1568/14*0.3+R1568/30*0.2,"")</x:f>
      </x:c>
      <x:c r="H1568" s="10" t="str">
        <x:f>IF(ISNUMBER(U1568),U1568,"")</x:f>
      </x:c>
      <x:c r="I1568" s="10" t="n">
        <x:v>0</x:v>
      </x:c>
      <x:c r="J1568" s="11" t="str">
        <x:f>IF(AND(Z1568="共同",ISNUMBER(F1568),ISNUMBER(M1568)),F1568-M1568,"")</x:f>
      </x:c>
      <x:c r="K1568" s="13" t="str">
        <x:f>IF(AND(ISNUMBER(J1568),M1568&lt;&gt;0),J1568/M1568,"")</x:f>
      </x:c>
      <x:c r="L1568" s="10" t="str">
        <x:v>断货</x:v>
      </x:c>
      <x:c r="M1568" s="11"/>
      <x:c r="N1568" s="10" t="str">
        <x:f>IF(AND(Z1568="共同",COUNT(H1568:I1568)=2),H1568-I1568,"")</x:f>
      </x:c>
      <x:c r="O1568" s="10"/>
      <x:c r="P1568" s="10"/>
      <x:c r="Q1568" s="10"/>
      <x:c r="R1568" s="10"/>
      <x:c r="S1568" s="10"/>
      <x:c r="T1568" s="10"/>
      <x:c r="U1568" s="10" t="str">
        <x:f>IF(AND(ISNUMBER(X1568),X1568&gt;=0,Y1568&lt;&gt;1),X1568,"")</x:f>
      </x:c>
      <x:c r="V1568" s="10"/>
      <x:c r="W1568" s="10"/>
      <x:c r="X1568" s="10"/>
      <x:c r="Y1568" s="3"/>
      <x:c r="Z1568" s="3" t="str">
        <x:v>移出</x:v>
      </x:c>
      <x:c r="AA1568" s="3" t="str">
        <x:v>已移出</x:v>
      </x:c>
      <x:c r="AB1568" s="12" t="str">
        <x:f>IF(AND(Z1568="共同",ISNUMBER(G1568),ISNUMBER(AD1568)),G1568-AD1568,"")</x:f>
      </x:c>
      <x:c r="AC1568" s="3" t="str">
        <x:v>基准清单已移出</x:v>
      </x:c>
      <x:c r="AD1568" s="12"/>
      <x:c r="AE1568" s="3" t="str">
        <x:v>[13120,"230510-MT-S-K-8"]</x:v>
      </x:c>
      <x:c r="AF1568" t="n">
        <x:f>IF(ISNUMBER(H1568),1,0)</x:f>
        <x:v>0</x:v>
      </x:c>
      <x:c r="AG1568" t="n">
        <x:f>IF(ISNUMBER(I1568),1,0)</x:f>
        <x:v>1</x:v>
      </x:c>
      <x:c r="AH1568"/>
      <x:c r="AI1568" t="n">
        <x:f>IF(ISNUMBER(G1568),1,0)</x:f>
        <x:v>0</x:v>
      </x:c>
      <x:c r="AJ1568" t="n">
        <x:f>IF(ISNUMBER(AD1568),1,0)</x:f>
        <x:v>0</x:v>
      </x:c>
    </x:row>
    <x:row r="1569" ht="30" customHeight="1">
      <x:c r="A1569" s="3" t="str">
        <x:v>230510-MT-S-K-9</x:v>
      </x:c>
      <x:c r="B1569" s="3" t="str">
        <x:v>1店-MUSSHOE-US</x:v>
      </x:c>
      <x:c r="C1569" s="3" t="str">
        <x:v>待定</x:v>
      </x:c>
      <x:c r="D1569" s="3" t="str">
        <x:v>230510</x:v>
      </x:c>
      <x:c r="E1569" s="3" t="str">
        <x:f>IF(Z1569="移出","已移出",IF(NOT(ISNUMBER(H1569)),"数据待核",IF(H1569=0,"断货",IF(NOT(ISNUMBER(G1569)),"数据待核",IF(G1569=0,"零日销待复核",IF(F1569&lt;60,"补货提醒",IF(F1569&lt;=90,"正常库存",IF(F1569&lt;180,"促销",IF(F1569&lt;=365,"红线促销","考虑清仓")))))))))</x:f>
        <x:v>已移出</x:v>
      </x:c>
      <x:c r="F1569" s="11" t="str">
        <x:f>IF(AND(ISNUMBER(H1569),ISNUMBER(G1569),G1569&gt;0),H1569/G1569,"")</x:f>
      </x:c>
      <x:c r="G1569" s="12" t="str">
        <x:f>IF(AND(COUNT(P1569:R1569)=3,MIN(P1569:R1569)&gt;=0,P1569&lt;=Q1569,Q1569&lt;=R1569),P1569/7*0.5+Q1569/14*0.3+R1569/30*0.2,"")</x:f>
      </x:c>
      <x:c r="H1569" s="10" t="str">
        <x:f>IF(ISNUMBER(U1569),U1569,"")</x:f>
      </x:c>
      <x:c r="I1569" s="10" t="n">
        <x:v>0</x:v>
      </x:c>
      <x:c r="J1569" s="11" t="str">
        <x:f>IF(AND(Z1569="共同",ISNUMBER(F1569),ISNUMBER(M1569)),F1569-M1569,"")</x:f>
      </x:c>
      <x:c r="K1569" s="13" t="str">
        <x:f>IF(AND(ISNUMBER(J1569),M1569&lt;&gt;0),J1569/M1569,"")</x:f>
      </x:c>
      <x:c r="L1569" s="10" t="str">
        <x:v>断货</x:v>
      </x:c>
      <x:c r="M1569" s="11"/>
      <x:c r="N1569" s="10" t="str">
        <x:f>IF(AND(Z1569="共同",COUNT(H1569:I1569)=2),H1569-I1569,"")</x:f>
      </x:c>
      <x:c r="O1569" s="10"/>
      <x:c r="P1569" s="10"/>
      <x:c r="Q1569" s="10"/>
      <x:c r="R1569" s="10"/>
      <x:c r="S1569" s="10"/>
      <x:c r="T1569" s="10"/>
      <x:c r="U1569" s="10" t="str">
        <x:f>IF(AND(ISNUMBER(X1569),X1569&gt;=0,Y1569&lt;&gt;1),X1569,"")</x:f>
      </x:c>
      <x:c r="V1569" s="10"/>
      <x:c r="W1569" s="10"/>
      <x:c r="X1569" s="10"/>
      <x:c r="Y1569" s="3"/>
      <x:c r="Z1569" s="3" t="str">
        <x:v>移出</x:v>
      </x:c>
      <x:c r="AA1569" s="3" t="str">
        <x:v>已移出</x:v>
      </x:c>
      <x:c r="AB1569" s="12" t="str">
        <x:f>IF(AND(Z1569="共同",ISNUMBER(G1569),ISNUMBER(AD1569)),G1569-AD1569,"")</x:f>
      </x:c>
      <x:c r="AC1569" s="3" t="str">
        <x:v>基准清单已移出</x:v>
      </x:c>
      <x:c r="AD1569" s="12"/>
      <x:c r="AE1569" s="3" t="str">
        <x:v>[13120,"230510-MT-S-K-9"]</x:v>
      </x:c>
      <x:c r="AF1569" t="n">
        <x:f>IF(ISNUMBER(H1569),1,0)</x:f>
        <x:v>0</x:v>
      </x:c>
      <x:c r="AG1569" t="n">
        <x:f>IF(ISNUMBER(I1569),1,0)</x:f>
        <x:v>1</x:v>
      </x:c>
      <x:c r="AH1569"/>
      <x:c r="AI1569" t="n">
        <x:f>IF(ISNUMBER(G1569),1,0)</x:f>
        <x:v>0</x:v>
      </x:c>
      <x:c r="AJ1569" t="n">
        <x:f>IF(ISNUMBER(AD1569),1,0)</x:f>
        <x:v>0</x:v>
      </x:c>
    </x:row>
    <x:row r="1570" ht="30" customHeight="1">
      <x:c r="A1570" s="3" t="str">
        <x:v>230510-MT-S-K-10</x:v>
      </x:c>
      <x:c r="B1570" s="3" t="str">
        <x:v>1店-MUSSHOE-US</x:v>
      </x:c>
      <x:c r="C1570" s="3" t="str">
        <x:v>待定</x:v>
      </x:c>
      <x:c r="D1570" s="3" t="str">
        <x:v>230510</x:v>
      </x:c>
      <x:c r="E1570" s="3" t="str">
        <x:f>IF(Z1570="移出","已移出",IF(NOT(ISNUMBER(H1570)),"数据待核",IF(H1570=0,"断货",IF(NOT(ISNUMBER(G1570)),"数据待核",IF(G1570=0,"零日销待复核",IF(F1570&lt;60,"补货提醒",IF(F1570&lt;=90,"正常库存",IF(F1570&lt;180,"促销",IF(F1570&lt;=365,"红线促销","考虑清仓")))))))))</x:f>
        <x:v>已移出</x:v>
      </x:c>
      <x:c r="F1570" s="11" t="str">
        <x:f>IF(AND(ISNUMBER(H1570),ISNUMBER(G1570),G1570&gt;0),H1570/G1570,"")</x:f>
      </x:c>
      <x:c r="G1570" s="12" t="str">
        <x:f>IF(AND(COUNT(P1570:R1570)=3,MIN(P1570:R1570)&gt;=0,P1570&lt;=Q1570,Q1570&lt;=R1570),P1570/7*0.5+Q1570/14*0.3+R1570/30*0.2,"")</x:f>
      </x:c>
      <x:c r="H1570" s="10" t="str">
        <x:f>IF(ISNUMBER(U1570),U1570,"")</x:f>
      </x:c>
      <x:c r="I1570" s="10" t="n">
        <x:v>0</x:v>
      </x:c>
      <x:c r="J1570" s="11" t="str">
        <x:f>IF(AND(Z1570="共同",ISNUMBER(F1570),ISNUMBER(M1570)),F1570-M1570,"")</x:f>
      </x:c>
      <x:c r="K1570" s="13" t="str">
        <x:f>IF(AND(ISNUMBER(J1570),M1570&lt;&gt;0),J1570/M1570,"")</x:f>
      </x:c>
      <x:c r="L1570" s="10" t="str">
        <x:v>断货</x:v>
      </x:c>
      <x:c r="M1570" s="11"/>
      <x:c r="N1570" s="10" t="str">
        <x:f>IF(AND(Z1570="共同",COUNT(H1570:I1570)=2),H1570-I1570,"")</x:f>
      </x:c>
      <x:c r="O1570" s="10"/>
      <x:c r="P1570" s="10"/>
      <x:c r="Q1570" s="10"/>
      <x:c r="R1570" s="10"/>
      <x:c r="S1570" s="10"/>
      <x:c r="T1570" s="10"/>
      <x:c r="U1570" s="10" t="str">
        <x:f>IF(AND(ISNUMBER(X1570),X1570&gt;=0,Y1570&lt;&gt;1),X1570,"")</x:f>
      </x:c>
      <x:c r="V1570" s="10"/>
      <x:c r="W1570" s="10"/>
      <x:c r="X1570" s="10"/>
      <x:c r="Y1570" s="3"/>
      <x:c r="Z1570" s="3" t="str">
        <x:v>移出</x:v>
      </x:c>
      <x:c r="AA1570" s="3" t="str">
        <x:v>已移出</x:v>
      </x:c>
      <x:c r="AB1570" s="12" t="str">
        <x:f>IF(AND(Z1570="共同",ISNUMBER(G1570),ISNUMBER(AD1570)),G1570-AD1570,"")</x:f>
      </x:c>
      <x:c r="AC1570" s="3" t="str">
        <x:v>基准清单已移出</x:v>
      </x:c>
      <x:c r="AD1570" s="12"/>
      <x:c r="AE1570" s="3" t="str">
        <x:v>[13120,"230510-MT-S-K-10"]</x:v>
      </x:c>
      <x:c r="AF1570" t="n">
        <x:f>IF(ISNUMBER(H1570),1,0)</x:f>
        <x:v>0</x:v>
      </x:c>
      <x:c r="AG1570" t="n">
        <x:f>IF(ISNUMBER(I1570),1,0)</x:f>
        <x:v>1</x:v>
      </x:c>
      <x:c r="AH1570"/>
      <x:c r="AI1570" t="n">
        <x:f>IF(ISNUMBER(G1570),1,0)</x:f>
        <x:v>0</x:v>
      </x:c>
      <x:c r="AJ1570" t="n">
        <x:f>IF(ISNUMBER(AD1570),1,0)</x:f>
        <x:v>0</x:v>
      </x:c>
    </x:row>
    <x:row r="1571" ht="30" customHeight="1">
      <x:c r="A1571" s="3" t="str">
        <x:v>230510-MT-S-K-11</x:v>
      </x:c>
      <x:c r="B1571" s="3" t="str">
        <x:v>1店-MUSSHOE-US</x:v>
      </x:c>
      <x:c r="C1571" s="3" t="str">
        <x:v>待定</x:v>
      </x:c>
      <x:c r="D1571" s="3" t="str">
        <x:v>230510</x:v>
      </x:c>
      <x:c r="E1571" s="3" t="str">
        <x:f>IF(Z1571="移出","已移出",IF(NOT(ISNUMBER(H1571)),"数据待核",IF(H1571=0,"断货",IF(NOT(ISNUMBER(G1571)),"数据待核",IF(G1571=0,"零日销待复核",IF(F1571&lt;60,"补货提醒",IF(F1571&lt;=90,"正常库存",IF(F1571&lt;180,"促销",IF(F1571&lt;=365,"红线促销","考虑清仓")))))))))</x:f>
        <x:v>已移出</x:v>
      </x:c>
      <x:c r="F1571" s="11" t="str">
        <x:f>IF(AND(ISNUMBER(H1571),ISNUMBER(G1571),G1571&gt;0),H1571/G1571,"")</x:f>
      </x:c>
      <x:c r="G1571" s="12" t="str">
        <x:f>IF(AND(COUNT(P1571:R1571)=3,MIN(P1571:R1571)&gt;=0,P1571&lt;=Q1571,Q1571&lt;=R1571),P1571/7*0.5+Q1571/14*0.3+R1571/30*0.2,"")</x:f>
      </x:c>
      <x:c r="H1571" s="10" t="str">
        <x:f>IF(ISNUMBER(U1571),U1571,"")</x:f>
      </x:c>
      <x:c r="I1571" s="10" t="n">
        <x:v>0</x:v>
      </x:c>
      <x:c r="J1571" s="11" t="str">
        <x:f>IF(AND(Z1571="共同",ISNUMBER(F1571),ISNUMBER(M1571)),F1571-M1571,"")</x:f>
      </x:c>
      <x:c r="K1571" s="13" t="str">
        <x:f>IF(AND(ISNUMBER(J1571),M1571&lt;&gt;0),J1571/M1571,"")</x:f>
      </x:c>
      <x:c r="L1571" s="10" t="str">
        <x:v>断货</x:v>
      </x:c>
      <x:c r="M1571" s="11"/>
      <x:c r="N1571" s="10" t="str">
        <x:f>IF(AND(Z1571="共同",COUNT(H1571:I1571)=2),H1571-I1571,"")</x:f>
      </x:c>
      <x:c r="O1571" s="10"/>
      <x:c r="P1571" s="10"/>
      <x:c r="Q1571" s="10"/>
      <x:c r="R1571" s="10"/>
      <x:c r="S1571" s="10"/>
      <x:c r="T1571" s="10"/>
      <x:c r="U1571" s="10" t="str">
        <x:f>IF(AND(ISNUMBER(X1571),X1571&gt;=0,Y1571&lt;&gt;1),X1571,"")</x:f>
      </x:c>
      <x:c r="V1571" s="10"/>
      <x:c r="W1571" s="10"/>
      <x:c r="X1571" s="10"/>
      <x:c r="Y1571" s="3"/>
      <x:c r="Z1571" s="3" t="str">
        <x:v>移出</x:v>
      </x:c>
      <x:c r="AA1571" s="3" t="str">
        <x:v>已移出</x:v>
      </x:c>
      <x:c r="AB1571" s="12" t="str">
        <x:f>IF(AND(Z1571="共同",ISNUMBER(G1571),ISNUMBER(AD1571)),G1571-AD1571,"")</x:f>
      </x:c>
      <x:c r="AC1571" s="3" t="str">
        <x:v>基准清单已移出</x:v>
      </x:c>
      <x:c r="AD1571" s="12"/>
      <x:c r="AE1571" s="3" t="str">
        <x:v>[13120,"230510-MT-S-K-11"]</x:v>
      </x:c>
      <x:c r="AF1571" t="n">
        <x:f>IF(ISNUMBER(H1571),1,0)</x:f>
        <x:v>0</x:v>
      </x:c>
      <x:c r="AG1571" t="n">
        <x:f>IF(ISNUMBER(I1571),1,0)</x:f>
        <x:v>1</x:v>
      </x:c>
      <x:c r="AH1571"/>
      <x:c r="AI1571" t="n">
        <x:f>IF(ISNUMBER(G1571),1,0)</x:f>
        <x:v>0</x:v>
      </x:c>
      <x:c r="AJ1571" t="n">
        <x:f>IF(ISNUMBER(AD1571),1,0)</x:f>
        <x:v>0</x:v>
      </x:c>
    </x:row>
    <x:row r="1572" ht="30" customHeight="1">
      <x:c r="A1572" s="3" t="str">
        <x:v>230510-ND-S-K-6</x:v>
      </x:c>
      <x:c r="B1572" s="3" t="str">
        <x:v>1店-MUSSHOE-US</x:v>
      </x:c>
      <x:c r="C1572" s="3" t="str">
        <x:v>待定</x:v>
      </x:c>
      <x:c r="D1572" s="3" t="str">
        <x:v>230510</x:v>
      </x:c>
      <x:c r="E1572" s="3" t="str">
        <x:f>IF(Z1572="移出","已移出",IF(NOT(ISNUMBER(H1572)),"数据待核",IF(H1572=0,"断货",IF(NOT(ISNUMBER(G1572)),"数据待核",IF(G1572=0,"零日销待复核",IF(F1572&lt;60,"补货提醒",IF(F1572&lt;=90,"正常库存",IF(F1572&lt;180,"促销",IF(F1572&lt;=365,"红线促销","考虑清仓")))))))))</x:f>
        <x:v>已移出</x:v>
      </x:c>
      <x:c r="F1572" s="11" t="str">
        <x:f>IF(AND(ISNUMBER(H1572),ISNUMBER(G1572),G1572&gt;0),H1572/G1572,"")</x:f>
      </x:c>
      <x:c r="G1572" s="12" t="str">
        <x:f>IF(AND(COUNT(P1572:R1572)=3,MIN(P1572:R1572)&gt;=0,P1572&lt;=Q1572,Q1572&lt;=R1572),P1572/7*0.5+Q1572/14*0.3+R1572/30*0.2,"")</x:f>
      </x:c>
      <x:c r="H1572" s="10" t="str">
        <x:f>IF(ISNUMBER(U1572),U1572,"")</x:f>
      </x:c>
      <x:c r="I1572" s="10" t="n">
        <x:v>27</x:v>
      </x:c>
      <x:c r="J1572" s="11" t="str">
        <x:f>IF(AND(Z1572="共同",ISNUMBER(F1572),ISNUMBER(M1572)),F1572-M1572,"")</x:f>
      </x:c>
      <x:c r="K1572" s="13" t="str">
        <x:f>IF(AND(ISNUMBER(J1572),M1572&lt;&gt;0),J1572/M1572,"")</x:f>
      </x:c>
      <x:c r="L1572" s="10" t="str">
        <x:v>数据待核</x:v>
      </x:c>
      <x:c r="M1572" s="11"/>
      <x:c r="N1572" s="10" t="str">
        <x:f>IF(AND(Z1572="共同",COUNT(H1572:I1572)=2),H1572-I1572,"")</x:f>
      </x:c>
      <x:c r="O1572" s="10"/>
      <x:c r="P1572" s="10"/>
      <x:c r="Q1572" s="10"/>
      <x:c r="R1572" s="10"/>
      <x:c r="S1572" s="10"/>
      <x:c r="T1572" s="10"/>
      <x:c r="U1572" s="10" t="str">
        <x:f>IF(AND(ISNUMBER(X1572),X1572&gt;=0,Y1572&lt;&gt;1),X1572,"")</x:f>
      </x:c>
      <x:c r="V1572" s="10"/>
      <x:c r="W1572" s="10"/>
      <x:c r="X1572" s="10"/>
      <x:c r="Y1572" s="3"/>
      <x:c r="Z1572" s="3" t="str">
        <x:v>移出</x:v>
      </x:c>
      <x:c r="AA1572" s="3" t="str">
        <x:v>已移出</x:v>
      </x:c>
      <x:c r="AB1572" s="12" t="str">
        <x:f>IF(AND(Z1572="共同",ISNUMBER(G1572),ISNUMBER(AD1572)),G1572-AD1572,"")</x:f>
      </x:c>
      <x:c r="AC1572" s="3" t="str">
        <x:v>基准清单已移出</x:v>
      </x:c>
      <x:c r="AD1572" s="12"/>
      <x:c r="AE1572" s="3" t="str">
        <x:v>[13120,"230510-ND-S-K-6"]</x:v>
      </x:c>
      <x:c r="AF1572" t="n">
        <x:f>IF(ISNUMBER(H1572),1,0)</x:f>
        <x:v>0</x:v>
      </x:c>
      <x:c r="AG1572" t="n">
        <x:f>IF(ISNUMBER(I1572),1,0)</x:f>
        <x:v>1</x:v>
      </x:c>
      <x:c r="AH1572"/>
      <x:c r="AI1572" t="n">
        <x:f>IF(ISNUMBER(G1572),1,0)</x:f>
        <x:v>0</x:v>
      </x:c>
      <x:c r="AJ1572" t="n">
        <x:f>IF(ISNUMBER(AD1572),1,0)</x:f>
        <x:v>0</x:v>
      </x:c>
    </x:row>
    <x:row r="1573" ht="30" customHeight="1">
      <x:c r="A1573" s="3" t="str">
        <x:v>230510-ND-S-K-7</x:v>
      </x:c>
      <x:c r="B1573" s="3" t="str">
        <x:v>1店-MUSSHOE-US</x:v>
      </x:c>
      <x:c r="C1573" s="3" t="str">
        <x:v>待定</x:v>
      </x:c>
      <x:c r="D1573" s="3" t="str">
        <x:v>230510</x:v>
      </x:c>
      <x:c r="E1573" s="3" t="str">
        <x:f>IF(Z1573="移出","已移出",IF(NOT(ISNUMBER(H1573)),"数据待核",IF(H1573=0,"断货",IF(NOT(ISNUMBER(G1573)),"数据待核",IF(G1573=0,"零日销待复核",IF(F1573&lt;60,"补货提醒",IF(F1573&lt;=90,"正常库存",IF(F1573&lt;180,"促销",IF(F1573&lt;=365,"红线促销","考虑清仓")))))))))</x:f>
        <x:v>已移出</x:v>
      </x:c>
      <x:c r="F1573" s="11" t="str">
        <x:f>IF(AND(ISNUMBER(H1573),ISNUMBER(G1573),G1573&gt;0),H1573/G1573,"")</x:f>
      </x:c>
      <x:c r="G1573" s="12" t="str">
        <x:f>IF(AND(COUNT(P1573:R1573)=3,MIN(P1573:R1573)&gt;=0,P1573&lt;=Q1573,Q1573&lt;=R1573),P1573/7*0.5+Q1573/14*0.3+R1573/30*0.2,"")</x:f>
      </x:c>
      <x:c r="H1573" s="10" t="str">
        <x:f>IF(ISNUMBER(U1573),U1573,"")</x:f>
      </x:c>
      <x:c r="I1573" s="10" t="n">
        <x:v>20</x:v>
      </x:c>
      <x:c r="J1573" s="11" t="str">
        <x:f>IF(AND(Z1573="共同",ISNUMBER(F1573),ISNUMBER(M1573)),F1573-M1573,"")</x:f>
      </x:c>
      <x:c r="K1573" s="13" t="str">
        <x:f>IF(AND(ISNUMBER(J1573),M1573&lt;&gt;0),J1573/M1573,"")</x:f>
      </x:c>
      <x:c r="L1573" s="10" t="str">
        <x:v>数据待核</x:v>
      </x:c>
      <x:c r="M1573" s="11"/>
      <x:c r="N1573" s="10" t="str">
        <x:f>IF(AND(Z1573="共同",COUNT(H1573:I1573)=2),H1573-I1573,"")</x:f>
      </x:c>
      <x:c r="O1573" s="10"/>
      <x:c r="P1573" s="10"/>
      <x:c r="Q1573" s="10"/>
      <x:c r="R1573" s="10"/>
      <x:c r="S1573" s="10"/>
      <x:c r="T1573" s="10"/>
      <x:c r="U1573" s="10" t="str">
        <x:f>IF(AND(ISNUMBER(X1573),X1573&gt;=0,Y1573&lt;&gt;1),X1573,"")</x:f>
      </x:c>
      <x:c r="V1573" s="10"/>
      <x:c r="W1573" s="10"/>
      <x:c r="X1573" s="10"/>
      <x:c r="Y1573" s="3"/>
      <x:c r="Z1573" s="3" t="str">
        <x:v>移出</x:v>
      </x:c>
      <x:c r="AA1573" s="3" t="str">
        <x:v>已移出</x:v>
      </x:c>
      <x:c r="AB1573" s="12" t="str">
        <x:f>IF(AND(Z1573="共同",ISNUMBER(G1573),ISNUMBER(AD1573)),G1573-AD1573,"")</x:f>
      </x:c>
      <x:c r="AC1573" s="3" t="str">
        <x:v>基准清单已移出</x:v>
      </x:c>
      <x:c r="AD1573" s="12"/>
      <x:c r="AE1573" s="3" t="str">
        <x:v>[13120,"230510-ND-S-K-7"]</x:v>
      </x:c>
      <x:c r="AF1573" t="n">
        <x:f>IF(ISNUMBER(H1573),1,0)</x:f>
        <x:v>0</x:v>
      </x:c>
      <x:c r="AG1573" t="n">
        <x:f>IF(ISNUMBER(I1573),1,0)</x:f>
        <x:v>1</x:v>
      </x:c>
      <x:c r="AH1573"/>
      <x:c r="AI1573" t="n">
        <x:f>IF(ISNUMBER(G1573),1,0)</x:f>
        <x:v>0</x:v>
      </x:c>
      <x:c r="AJ1573" t="n">
        <x:f>IF(ISNUMBER(AD1573),1,0)</x:f>
        <x:v>0</x:v>
      </x:c>
    </x:row>
    <x:row r="1574" ht="30" customHeight="1">
      <x:c r="A1574" s="3" t="str">
        <x:v>230510-ND-S-K-8</x:v>
      </x:c>
      <x:c r="B1574" s="3" t="str">
        <x:v>1店-MUSSHOE-US</x:v>
      </x:c>
      <x:c r="C1574" s="3" t="str">
        <x:v>待定</x:v>
      </x:c>
      <x:c r="D1574" s="3" t="str">
        <x:v>230510</x:v>
      </x:c>
      <x:c r="E1574" s="3" t="str">
        <x:f>IF(Z1574="移出","已移出",IF(NOT(ISNUMBER(H1574)),"数据待核",IF(H1574=0,"断货",IF(NOT(ISNUMBER(G1574)),"数据待核",IF(G1574=0,"零日销待复核",IF(F1574&lt;60,"补货提醒",IF(F1574&lt;=90,"正常库存",IF(F1574&lt;180,"促销",IF(F1574&lt;=365,"红线促销","考虑清仓")))))))))</x:f>
        <x:v>已移出</x:v>
      </x:c>
      <x:c r="F1574" s="11" t="str">
        <x:f>IF(AND(ISNUMBER(H1574),ISNUMBER(G1574),G1574&gt;0),H1574/G1574,"")</x:f>
      </x:c>
      <x:c r="G1574" s="12" t="str">
        <x:f>IF(AND(COUNT(P1574:R1574)=3,MIN(P1574:R1574)&gt;=0,P1574&lt;=Q1574,Q1574&lt;=R1574),P1574/7*0.5+Q1574/14*0.3+R1574/30*0.2,"")</x:f>
      </x:c>
      <x:c r="H1574" s="10" t="str">
        <x:f>IF(ISNUMBER(U1574),U1574,"")</x:f>
      </x:c>
      <x:c r="I1574" s="10" t="n">
        <x:v>105</x:v>
      </x:c>
      <x:c r="J1574" s="11" t="str">
        <x:f>IF(AND(Z1574="共同",ISNUMBER(F1574),ISNUMBER(M1574)),F1574-M1574,"")</x:f>
      </x:c>
      <x:c r="K1574" s="13" t="str">
        <x:f>IF(AND(ISNUMBER(J1574),M1574&lt;&gt;0),J1574/M1574,"")</x:f>
      </x:c>
      <x:c r="L1574" s="10" t="str">
        <x:v>数据待核</x:v>
      </x:c>
      <x:c r="M1574" s="11"/>
      <x:c r="N1574" s="10" t="str">
        <x:f>IF(AND(Z1574="共同",COUNT(H1574:I1574)=2),H1574-I1574,"")</x:f>
      </x:c>
      <x:c r="O1574" s="10"/>
      <x:c r="P1574" s="10"/>
      <x:c r="Q1574" s="10"/>
      <x:c r="R1574" s="10"/>
      <x:c r="S1574" s="10"/>
      <x:c r="T1574" s="10"/>
      <x:c r="U1574" s="10" t="str">
        <x:f>IF(AND(ISNUMBER(X1574),X1574&gt;=0,Y1574&lt;&gt;1),X1574,"")</x:f>
      </x:c>
      <x:c r="V1574" s="10"/>
      <x:c r="W1574" s="10"/>
      <x:c r="X1574" s="10"/>
      <x:c r="Y1574" s="3"/>
      <x:c r="Z1574" s="3" t="str">
        <x:v>移出</x:v>
      </x:c>
      <x:c r="AA1574" s="3" t="str">
        <x:v>已移出</x:v>
      </x:c>
      <x:c r="AB1574" s="12" t="str">
        <x:f>IF(AND(Z1574="共同",ISNUMBER(G1574),ISNUMBER(AD1574)),G1574-AD1574,"")</x:f>
      </x:c>
      <x:c r="AC1574" s="3" t="str">
        <x:v>基准清单已移出</x:v>
      </x:c>
      <x:c r="AD1574" s="12"/>
      <x:c r="AE1574" s="3" t="str">
        <x:v>[13120,"230510-ND-S-K-8"]</x:v>
      </x:c>
      <x:c r="AF1574" t="n">
        <x:f>IF(ISNUMBER(H1574),1,0)</x:f>
        <x:v>0</x:v>
      </x:c>
      <x:c r="AG1574" t="n">
        <x:f>IF(ISNUMBER(I1574),1,0)</x:f>
        <x:v>1</x:v>
      </x:c>
      <x:c r="AH1574"/>
      <x:c r="AI1574" t="n">
        <x:f>IF(ISNUMBER(G1574),1,0)</x:f>
        <x:v>0</x:v>
      </x:c>
      <x:c r="AJ1574" t="n">
        <x:f>IF(ISNUMBER(AD1574),1,0)</x:f>
        <x:v>0</x:v>
      </x:c>
    </x:row>
    <x:row r="1575" ht="30" customHeight="1">
      <x:c r="A1575" s="3" t="str">
        <x:v>230510-ND-S-K-9</x:v>
      </x:c>
      <x:c r="B1575" s="3" t="str">
        <x:v>1店-MUSSHOE-US</x:v>
      </x:c>
      <x:c r="C1575" s="3" t="str">
        <x:v>待定</x:v>
      </x:c>
      <x:c r="D1575" s="3" t="str">
        <x:v>230510</x:v>
      </x:c>
      <x:c r="E1575" s="3" t="str">
        <x:f>IF(Z1575="移出","已移出",IF(NOT(ISNUMBER(H1575)),"数据待核",IF(H1575=0,"断货",IF(NOT(ISNUMBER(G1575)),"数据待核",IF(G1575=0,"零日销待复核",IF(F1575&lt;60,"补货提醒",IF(F1575&lt;=90,"正常库存",IF(F1575&lt;180,"促销",IF(F1575&lt;=365,"红线促销","考虑清仓")))))))))</x:f>
        <x:v>已移出</x:v>
      </x:c>
      <x:c r="F1575" s="11" t="str">
        <x:f>IF(AND(ISNUMBER(H1575),ISNUMBER(G1575),G1575&gt;0),H1575/G1575,"")</x:f>
      </x:c>
      <x:c r="G1575" s="12" t="str">
        <x:f>IF(AND(COUNT(P1575:R1575)=3,MIN(P1575:R1575)&gt;=0,P1575&lt;=Q1575,Q1575&lt;=R1575),P1575/7*0.5+Q1575/14*0.3+R1575/30*0.2,"")</x:f>
      </x:c>
      <x:c r="H1575" s="10" t="str">
        <x:f>IF(ISNUMBER(U1575),U1575,"")</x:f>
      </x:c>
      <x:c r="I1575" s="10" t="n">
        <x:v>116</x:v>
      </x:c>
      <x:c r="J1575" s="11" t="str">
        <x:f>IF(AND(Z1575="共同",ISNUMBER(F1575),ISNUMBER(M1575)),F1575-M1575,"")</x:f>
      </x:c>
      <x:c r="K1575" s="13" t="str">
        <x:f>IF(AND(ISNUMBER(J1575),M1575&lt;&gt;0),J1575/M1575,"")</x:f>
      </x:c>
      <x:c r="L1575" s="10" t="str">
        <x:v>数据待核</x:v>
      </x:c>
      <x:c r="M1575" s="11"/>
      <x:c r="N1575" s="10" t="str">
        <x:f>IF(AND(Z1575="共同",COUNT(H1575:I1575)=2),H1575-I1575,"")</x:f>
      </x:c>
      <x:c r="O1575" s="10"/>
      <x:c r="P1575" s="10"/>
      <x:c r="Q1575" s="10"/>
      <x:c r="R1575" s="10"/>
      <x:c r="S1575" s="10"/>
      <x:c r="T1575" s="10"/>
      <x:c r="U1575" s="10" t="str">
        <x:f>IF(AND(ISNUMBER(X1575),X1575&gt;=0,Y1575&lt;&gt;1),X1575,"")</x:f>
      </x:c>
      <x:c r="V1575" s="10"/>
      <x:c r="W1575" s="10"/>
      <x:c r="X1575" s="10"/>
      <x:c r="Y1575" s="3"/>
      <x:c r="Z1575" s="3" t="str">
        <x:v>移出</x:v>
      </x:c>
      <x:c r="AA1575" s="3" t="str">
        <x:v>已移出</x:v>
      </x:c>
      <x:c r="AB1575" s="12" t="str">
        <x:f>IF(AND(Z1575="共同",ISNUMBER(G1575),ISNUMBER(AD1575)),G1575-AD1575,"")</x:f>
      </x:c>
      <x:c r="AC1575" s="3" t="str">
        <x:v>基准清单已移出</x:v>
      </x:c>
      <x:c r="AD1575" s="12"/>
      <x:c r="AE1575" s="3" t="str">
        <x:v>[13120,"230510-ND-S-K-9"]</x:v>
      </x:c>
      <x:c r="AF1575" t="n">
        <x:f>IF(ISNUMBER(H1575),1,0)</x:f>
        <x:v>0</x:v>
      </x:c>
      <x:c r="AG1575" t="n">
        <x:f>IF(ISNUMBER(I1575),1,0)</x:f>
        <x:v>1</x:v>
      </x:c>
      <x:c r="AH1575"/>
      <x:c r="AI1575" t="n">
        <x:f>IF(ISNUMBER(G1575),1,0)</x:f>
        <x:v>0</x:v>
      </x:c>
      <x:c r="AJ1575" t="n">
        <x:f>IF(ISNUMBER(AD1575),1,0)</x:f>
        <x:v>0</x:v>
      </x:c>
    </x:row>
    <x:row r="1576" ht="30" customHeight="1">
      <x:c r="A1576" s="3" t="str">
        <x:v>230510-ND-S-K-10</x:v>
      </x:c>
      <x:c r="B1576" s="3" t="str">
        <x:v>1店-MUSSHOE-US</x:v>
      </x:c>
      <x:c r="C1576" s="3" t="str">
        <x:v>待定</x:v>
      </x:c>
      <x:c r="D1576" s="3" t="str">
        <x:v>230510</x:v>
      </x:c>
      <x:c r="E1576" s="3" t="str">
        <x:f>IF(Z1576="移出","已移出",IF(NOT(ISNUMBER(H1576)),"数据待核",IF(H1576=0,"断货",IF(NOT(ISNUMBER(G1576)),"数据待核",IF(G1576=0,"零日销待复核",IF(F1576&lt;60,"补货提醒",IF(F1576&lt;=90,"正常库存",IF(F1576&lt;180,"促销",IF(F1576&lt;=365,"红线促销","考虑清仓")))))))))</x:f>
        <x:v>已移出</x:v>
      </x:c>
      <x:c r="F1576" s="11" t="str">
        <x:f>IF(AND(ISNUMBER(H1576),ISNUMBER(G1576),G1576&gt;0),H1576/G1576,"")</x:f>
      </x:c>
      <x:c r="G1576" s="12" t="str">
        <x:f>IF(AND(COUNT(P1576:R1576)=3,MIN(P1576:R1576)&gt;=0,P1576&lt;=Q1576,Q1576&lt;=R1576),P1576/7*0.5+Q1576/14*0.3+R1576/30*0.2,"")</x:f>
      </x:c>
      <x:c r="H1576" s="10" t="str">
        <x:f>IF(ISNUMBER(U1576),U1576,"")</x:f>
      </x:c>
      <x:c r="I1576" s="10" t="n">
        <x:v>55</x:v>
      </x:c>
      <x:c r="J1576" s="11" t="str">
        <x:f>IF(AND(Z1576="共同",ISNUMBER(F1576),ISNUMBER(M1576)),F1576-M1576,"")</x:f>
      </x:c>
      <x:c r="K1576" s="13" t="str">
        <x:f>IF(AND(ISNUMBER(J1576),M1576&lt;&gt;0),J1576/M1576,"")</x:f>
      </x:c>
      <x:c r="L1576" s="10" t="str">
        <x:v>数据待核</x:v>
      </x:c>
      <x:c r="M1576" s="11"/>
      <x:c r="N1576" s="10" t="str">
        <x:f>IF(AND(Z1576="共同",COUNT(H1576:I1576)=2),H1576-I1576,"")</x:f>
      </x:c>
      <x:c r="O1576" s="10"/>
      <x:c r="P1576" s="10"/>
      <x:c r="Q1576" s="10"/>
      <x:c r="R1576" s="10"/>
      <x:c r="S1576" s="10"/>
      <x:c r="T1576" s="10"/>
      <x:c r="U1576" s="10" t="str">
        <x:f>IF(AND(ISNUMBER(X1576),X1576&gt;=0,Y1576&lt;&gt;1),X1576,"")</x:f>
      </x:c>
      <x:c r="V1576" s="10"/>
      <x:c r="W1576" s="10"/>
      <x:c r="X1576" s="10"/>
      <x:c r="Y1576" s="3"/>
      <x:c r="Z1576" s="3" t="str">
        <x:v>移出</x:v>
      </x:c>
      <x:c r="AA1576" s="3" t="str">
        <x:v>已移出</x:v>
      </x:c>
      <x:c r="AB1576" s="12" t="str">
        <x:f>IF(AND(Z1576="共同",ISNUMBER(G1576),ISNUMBER(AD1576)),G1576-AD1576,"")</x:f>
      </x:c>
      <x:c r="AC1576" s="3" t="str">
        <x:v>基准清单已移出</x:v>
      </x:c>
      <x:c r="AD1576" s="12"/>
      <x:c r="AE1576" s="3" t="str">
        <x:v>[13120,"230510-ND-S-K-10"]</x:v>
      </x:c>
      <x:c r="AF1576" t="n">
        <x:f>IF(ISNUMBER(H1576),1,0)</x:f>
        <x:v>0</x:v>
      </x:c>
      <x:c r="AG1576" t="n">
        <x:f>IF(ISNUMBER(I1576),1,0)</x:f>
        <x:v>1</x:v>
      </x:c>
      <x:c r="AH1576"/>
      <x:c r="AI1576" t="n">
        <x:f>IF(ISNUMBER(G1576),1,0)</x:f>
        <x:v>0</x:v>
      </x:c>
      <x:c r="AJ1576" t="n">
        <x:f>IF(ISNUMBER(AD1576),1,0)</x:f>
        <x:v>0</x:v>
      </x:c>
    </x:row>
    <x:row r="1577" ht="30" customHeight="1">
      <x:c r="A1577" s="3" t="str">
        <x:v>230510-ND-S-K-11</x:v>
      </x:c>
      <x:c r="B1577" s="3" t="str">
        <x:v>1店-MUSSHOE-US</x:v>
      </x:c>
      <x:c r="C1577" s="3" t="str">
        <x:v>待定</x:v>
      </x:c>
      <x:c r="D1577" s="3" t="str">
        <x:v>230510</x:v>
      </x:c>
      <x:c r="E1577" s="3" t="str">
        <x:f>IF(Z1577="移出","已移出",IF(NOT(ISNUMBER(H1577)),"数据待核",IF(H1577=0,"断货",IF(NOT(ISNUMBER(G1577)),"数据待核",IF(G1577=0,"零日销待复核",IF(F1577&lt;60,"补货提醒",IF(F1577&lt;=90,"正常库存",IF(F1577&lt;180,"促销",IF(F1577&lt;=365,"红线促销","考虑清仓")))))))))</x:f>
        <x:v>已移出</x:v>
      </x:c>
      <x:c r="F1577" s="11" t="str">
        <x:f>IF(AND(ISNUMBER(H1577),ISNUMBER(G1577),G1577&gt;0),H1577/G1577,"")</x:f>
      </x:c>
      <x:c r="G1577" s="12" t="str">
        <x:f>IF(AND(COUNT(P1577:R1577)=3,MIN(P1577:R1577)&gt;=0,P1577&lt;=Q1577,Q1577&lt;=R1577),P1577/7*0.5+Q1577/14*0.3+R1577/30*0.2,"")</x:f>
      </x:c>
      <x:c r="H1577" s="10" t="str">
        <x:f>IF(ISNUMBER(U1577),U1577,"")</x:f>
      </x:c>
      <x:c r="I1577" s="10" t="n">
        <x:v>38</x:v>
      </x:c>
      <x:c r="J1577" s="11" t="str">
        <x:f>IF(AND(Z1577="共同",ISNUMBER(F1577),ISNUMBER(M1577)),F1577-M1577,"")</x:f>
      </x:c>
      <x:c r="K1577" s="13" t="str">
        <x:f>IF(AND(ISNUMBER(J1577),M1577&lt;&gt;0),J1577/M1577,"")</x:f>
      </x:c>
      <x:c r="L1577" s="10" t="str">
        <x:v>数据待核</x:v>
      </x:c>
      <x:c r="M1577" s="11"/>
      <x:c r="N1577" s="10" t="str">
        <x:f>IF(AND(Z1577="共同",COUNT(H1577:I1577)=2),H1577-I1577,"")</x:f>
      </x:c>
      <x:c r="O1577" s="10"/>
      <x:c r="P1577" s="10"/>
      <x:c r="Q1577" s="10"/>
      <x:c r="R1577" s="10"/>
      <x:c r="S1577" s="10"/>
      <x:c r="T1577" s="10"/>
      <x:c r="U1577" s="10" t="str">
        <x:f>IF(AND(ISNUMBER(X1577),X1577&gt;=0,Y1577&lt;&gt;1),X1577,"")</x:f>
      </x:c>
      <x:c r="V1577" s="10"/>
      <x:c r="W1577" s="10"/>
      <x:c r="X1577" s="10"/>
      <x:c r="Y1577" s="3"/>
      <x:c r="Z1577" s="3" t="str">
        <x:v>移出</x:v>
      </x:c>
      <x:c r="AA1577" s="3" t="str">
        <x:v>已移出</x:v>
      </x:c>
      <x:c r="AB1577" s="12" t="str">
        <x:f>IF(AND(Z1577="共同",ISNUMBER(G1577),ISNUMBER(AD1577)),G1577-AD1577,"")</x:f>
      </x:c>
      <x:c r="AC1577" s="3" t="str">
        <x:v>基准清单已移出</x:v>
      </x:c>
      <x:c r="AD1577" s="12"/>
      <x:c r="AE1577" s="3" t="str">
        <x:v>[13120,"230510-ND-S-K-11"]</x:v>
      </x:c>
      <x:c r="AF1577" t="n">
        <x:f>IF(ISNUMBER(H1577),1,0)</x:f>
        <x:v>0</x:v>
      </x:c>
      <x:c r="AG1577" t="n">
        <x:f>IF(ISNUMBER(I1577),1,0)</x:f>
        <x:v>1</x:v>
      </x:c>
      <x:c r="AH1577"/>
      <x:c r="AI1577" t="n">
        <x:f>IF(ISNUMBER(G1577),1,0)</x:f>
        <x:v>0</x:v>
      </x:c>
      <x:c r="AJ1577" t="n">
        <x:f>IF(ISNUMBER(AD1577),1,0)</x:f>
        <x:v>0</x:v>
      </x:c>
    </x:row>
    <x:row r="1578" ht="30" customHeight="1">
      <x:c r="A1578" s="3" t="str">
        <x:v>230510-ND-P-K-6</x:v>
      </x:c>
      <x:c r="B1578" s="3" t="str">
        <x:v>1店-MUSSHOE-US</x:v>
      </x:c>
      <x:c r="C1578" s="3" t="str">
        <x:v>待定</x:v>
      </x:c>
      <x:c r="D1578" s="3" t="str">
        <x:v>230510</x:v>
      </x:c>
      <x:c r="E1578" s="3" t="str">
        <x:f>IF(Z1578="移出","已移出",IF(NOT(ISNUMBER(H1578)),"数据待核",IF(H1578=0,"断货",IF(NOT(ISNUMBER(G1578)),"数据待核",IF(G1578=0,"零日销待复核",IF(F1578&lt;60,"补货提醒",IF(F1578&lt;=90,"正常库存",IF(F1578&lt;180,"促销",IF(F1578&lt;=365,"红线促销","考虑清仓")))))))))</x:f>
        <x:v>已移出</x:v>
      </x:c>
      <x:c r="F1578" s="11" t="str">
        <x:f>IF(AND(ISNUMBER(H1578),ISNUMBER(G1578),G1578&gt;0),H1578/G1578,"")</x:f>
      </x:c>
      <x:c r="G1578" s="12" t="str">
        <x:f>IF(AND(COUNT(P1578:R1578)=3,MIN(P1578:R1578)&gt;=0,P1578&lt;=Q1578,Q1578&lt;=R1578),P1578/7*0.5+Q1578/14*0.3+R1578/30*0.2,"")</x:f>
      </x:c>
      <x:c r="H1578" s="10" t="str">
        <x:f>IF(ISNUMBER(U1578),U1578,"")</x:f>
      </x:c>
      <x:c r="I1578" s="10" t="n">
        <x:v>7</x:v>
      </x:c>
      <x:c r="J1578" s="11" t="str">
        <x:f>IF(AND(Z1578="共同",ISNUMBER(F1578),ISNUMBER(M1578)),F1578-M1578,"")</x:f>
      </x:c>
      <x:c r="K1578" s="13" t="str">
        <x:f>IF(AND(ISNUMBER(J1578),M1578&lt;&gt;0),J1578/M1578,"")</x:f>
      </x:c>
      <x:c r="L1578" s="10" t="str">
        <x:v>数据待核</x:v>
      </x:c>
      <x:c r="M1578" s="11"/>
      <x:c r="N1578" s="10" t="str">
        <x:f>IF(AND(Z1578="共同",COUNT(H1578:I1578)=2),H1578-I1578,"")</x:f>
      </x:c>
      <x:c r="O1578" s="10"/>
      <x:c r="P1578" s="10"/>
      <x:c r="Q1578" s="10"/>
      <x:c r="R1578" s="10"/>
      <x:c r="S1578" s="10"/>
      <x:c r="T1578" s="10"/>
      <x:c r="U1578" s="10" t="str">
        <x:f>IF(AND(ISNUMBER(X1578),X1578&gt;=0,Y1578&lt;&gt;1),X1578,"")</x:f>
      </x:c>
      <x:c r="V1578" s="10"/>
      <x:c r="W1578" s="10"/>
      <x:c r="X1578" s="10"/>
      <x:c r="Y1578" s="3"/>
      <x:c r="Z1578" s="3" t="str">
        <x:v>移出</x:v>
      </x:c>
      <x:c r="AA1578" s="3" t="str">
        <x:v>已移出</x:v>
      </x:c>
      <x:c r="AB1578" s="12" t="str">
        <x:f>IF(AND(Z1578="共同",ISNUMBER(G1578),ISNUMBER(AD1578)),G1578-AD1578,"")</x:f>
      </x:c>
      <x:c r="AC1578" s="3" t="str">
        <x:v>基准清单已移出</x:v>
      </x:c>
      <x:c r="AD1578" s="12"/>
      <x:c r="AE1578" s="3" t="str">
        <x:v>[13120,"230510-ND-P-K-6"]</x:v>
      </x:c>
      <x:c r="AF1578" t="n">
        <x:f>IF(ISNUMBER(H1578),1,0)</x:f>
        <x:v>0</x:v>
      </x:c>
      <x:c r="AG1578" t="n">
        <x:f>IF(ISNUMBER(I1578),1,0)</x:f>
        <x:v>1</x:v>
      </x:c>
      <x:c r="AH1578"/>
      <x:c r="AI1578" t="n">
        <x:f>IF(ISNUMBER(G1578),1,0)</x:f>
        <x:v>0</x:v>
      </x:c>
      <x:c r="AJ1578" t="n">
        <x:f>IF(ISNUMBER(AD1578),1,0)</x:f>
        <x:v>0</x:v>
      </x:c>
    </x:row>
    <x:row r="1579" ht="30" customHeight="1">
      <x:c r="A1579" s="3" t="str">
        <x:v>230510-ND-P-K-7</x:v>
      </x:c>
      <x:c r="B1579" s="3" t="str">
        <x:v>1店-MUSSHOE-US</x:v>
      </x:c>
      <x:c r="C1579" s="3" t="str">
        <x:v>待定</x:v>
      </x:c>
      <x:c r="D1579" s="3" t="str">
        <x:v>230510</x:v>
      </x:c>
      <x:c r="E1579" s="3" t="str">
        <x:f>IF(Z1579="移出","已移出",IF(NOT(ISNUMBER(H1579)),"数据待核",IF(H1579=0,"断货",IF(NOT(ISNUMBER(G1579)),"数据待核",IF(G1579=0,"零日销待复核",IF(F1579&lt;60,"补货提醒",IF(F1579&lt;=90,"正常库存",IF(F1579&lt;180,"促销",IF(F1579&lt;=365,"红线促销","考虑清仓")))))))))</x:f>
        <x:v>已移出</x:v>
      </x:c>
      <x:c r="F1579" s="11" t="str">
        <x:f>IF(AND(ISNUMBER(H1579),ISNUMBER(G1579),G1579&gt;0),H1579/G1579,"")</x:f>
      </x:c>
      <x:c r="G1579" s="12" t="str">
        <x:f>IF(AND(COUNT(P1579:R1579)=3,MIN(P1579:R1579)&gt;=0,P1579&lt;=Q1579,Q1579&lt;=R1579),P1579/7*0.5+Q1579/14*0.3+R1579/30*0.2,"")</x:f>
      </x:c>
      <x:c r="H1579" s="10" t="str">
        <x:f>IF(ISNUMBER(U1579),U1579,"")</x:f>
      </x:c>
      <x:c r="I1579" s="10" t="n">
        <x:v>0</x:v>
      </x:c>
      <x:c r="J1579" s="11" t="str">
        <x:f>IF(AND(Z1579="共同",ISNUMBER(F1579),ISNUMBER(M1579)),F1579-M1579,"")</x:f>
      </x:c>
      <x:c r="K1579" s="13" t="str">
        <x:f>IF(AND(ISNUMBER(J1579),M1579&lt;&gt;0),J1579/M1579,"")</x:f>
      </x:c>
      <x:c r="L1579" s="10" t="str">
        <x:v>断货</x:v>
      </x:c>
      <x:c r="M1579" s="11"/>
      <x:c r="N1579" s="10" t="str">
        <x:f>IF(AND(Z1579="共同",COUNT(H1579:I1579)=2),H1579-I1579,"")</x:f>
      </x:c>
      <x:c r="O1579" s="10"/>
      <x:c r="P1579" s="10"/>
      <x:c r="Q1579" s="10"/>
      <x:c r="R1579" s="10"/>
      <x:c r="S1579" s="10"/>
      <x:c r="T1579" s="10"/>
      <x:c r="U1579" s="10" t="str">
        <x:f>IF(AND(ISNUMBER(X1579),X1579&gt;=0,Y1579&lt;&gt;1),X1579,"")</x:f>
      </x:c>
      <x:c r="V1579" s="10"/>
      <x:c r="W1579" s="10"/>
      <x:c r="X1579" s="10"/>
      <x:c r="Y1579" s="3"/>
      <x:c r="Z1579" s="3" t="str">
        <x:v>移出</x:v>
      </x:c>
      <x:c r="AA1579" s="3" t="str">
        <x:v>已移出</x:v>
      </x:c>
      <x:c r="AB1579" s="12" t="str">
        <x:f>IF(AND(Z1579="共同",ISNUMBER(G1579),ISNUMBER(AD1579)),G1579-AD1579,"")</x:f>
      </x:c>
      <x:c r="AC1579" s="3" t="str">
        <x:v>基准清单已移出</x:v>
      </x:c>
      <x:c r="AD1579" s="12"/>
      <x:c r="AE1579" s="3" t="str">
        <x:v>[13120,"230510-ND-P-K-7"]</x:v>
      </x:c>
      <x:c r="AF1579" t="n">
        <x:f>IF(ISNUMBER(H1579),1,0)</x:f>
        <x:v>0</x:v>
      </x:c>
      <x:c r="AG1579" t="n">
        <x:f>IF(ISNUMBER(I1579),1,0)</x:f>
        <x:v>1</x:v>
      </x:c>
      <x:c r="AH1579"/>
      <x:c r="AI1579" t="n">
        <x:f>IF(ISNUMBER(G1579),1,0)</x:f>
        <x:v>0</x:v>
      </x:c>
      <x:c r="AJ1579" t="n">
        <x:f>IF(ISNUMBER(AD1579),1,0)</x:f>
        <x:v>0</x:v>
      </x:c>
    </x:row>
    <x:row r="1580" ht="30" customHeight="1">
      <x:c r="A1580" s="3" t="str">
        <x:v>230510-ND-P-K-8</x:v>
      </x:c>
      <x:c r="B1580" s="3" t="str">
        <x:v>1店-MUSSHOE-US</x:v>
      </x:c>
      <x:c r="C1580" s="3" t="str">
        <x:v>待定</x:v>
      </x:c>
      <x:c r="D1580" s="3" t="str">
        <x:v>230510</x:v>
      </x:c>
      <x:c r="E1580" s="3" t="str">
        <x:f>IF(Z1580="移出","已移出",IF(NOT(ISNUMBER(H1580)),"数据待核",IF(H1580=0,"断货",IF(NOT(ISNUMBER(G1580)),"数据待核",IF(G1580=0,"零日销待复核",IF(F1580&lt;60,"补货提醒",IF(F1580&lt;=90,"正常库存",IF(F1580&lt;180,"促销",IF(F1580&lt;=365,"红线促销","考虑清仓")))))))))</x:f>
        <x:v>已移出</x:v>
      </x:c>
      <x:c r="F1580" s="11" t="str">
        <x:f>IF(AND(ISNUMBER(H1580),ISNUMBER(G1580),G1580&gt;0),H1580/G1580,"")</x:f>
      </x:c>
      <x:c r="G1580" s="12" t="str">
        <x:f>IF(AND(COUNT(P1580:R1580)=3,MIN(P1580:R1580)&gt;=0,P1580&lt;=Q1580,Q1580&lt;=R1580),P1580/7*0.5+Q1580/14*0.3+R1580/30*0.2,"")</x:f>
      </x:c>
      <x:c r="H1580" s="10" t="str">
        <x:f>IF(ISNUMBER(U1580),U1580,"")</x:f>
      </x:c>
      <x:c r="I1580" s="10" t="n">
        <x:v>0</x:v>
      </x:c>
      <x:c r="J1580" s="11" t="str">
        <x:f>IF(AND(Z1580="共同",ISNUMBER(F1580),ISNUMBER(M1580)),F1580-M1580,"")</x:f>
      </x:c>
      <x:c r="K1580" s="13" t="str">
        <x:f>IF(AND(ISNUMBER(J1580),M1580&lt;&gt;0),J1580/M1580,"")</x:f>
      </x:c>
      <x:c r="L1580" s="10" t="str">
        <x:v>断货</x:v>
      </x:c>
      <x:c r="M1580" s="11"/>
      <x:c r="N1580" s="10" t="str">
        <x:f>IF(AND(Z1580="共同",COUNT(H1580:I1580)=2),H1580-I1580,"")</x:f>
      </x:c>
      <x:c r="O1580" s="10"/>
      <x:c r="P1580" s="10"/>
      <x:c r="Q1580" s="10"/>
      <x:c r="R1580" s="10"/>
      <x:c r="S1580" s="10"/>
      <x:c r="T1580" s="10"/>
      <x:c r="U1580" s="10" t="str">
        <x:f>IF(AND(ISNUMBER(X1580),X1580&gt;=0,Y1580&lt;&gt;1),X1580,"")</x:f>
      </x:c>
      <x:c r="V1580" s="10"/>
      <x:c r="W1580" s="10"/>
      <x:c r="X1580" s="10"/>
      <x:c r="Y1580" s="3"/>
      <x:c r="Z1580" s="3" t="str">
        <x:v>移出</x:v>
      </x:c>
      <x:c r="AA1580" s="3" t="str">
        <x:v>已移出</x:v>
      </x:c>
      <x:c r="AB1580" s="12" t="str">
        <x:f>IF(AND(Z1580="共同",ISNUMBER(G1580),ISNUMBER(AD1580)),G1580-AD1580,"")</x:f>
      </x:c>
      <x:c r="AC1580" s="3" t="str">
        <x:v>基准清单已移出</x:v>
      </x:c>
      <x:c r="AD1580" s="12"/>
      <x:c r="AE1580" s="3" t="str">
        <x:v>[13120,"230510-ND-P-K-8"]</x:v>
      </x:c>
      <x:c r="AF1580" t="n">
        <x:f>IF(ISNUMBER(H1580),1,0)</x:f>
        <x:v>0</x:v>
      </x:c>
      <x:c r="AG1580" t="n">
        <x:f>IF(ISNUMBER(I1580),1,0)</x:f>
        <x:v>1</x:v>
      </x:c>
      <x:c r="AH1580"/>
      <x:c r="AI1580" t="n">
        <x:f>IF(ISNUMBER(G1580),1,0)</x:f>
        <x:v>0</x:v>
      </x:c>
      <x:c r="AJ1580" t="n">
        <x:f>IF(ISNUMBER(AD1580),1,0)</x:f>
        <x:v>0</x:v>
      </x:c>
    </x:row>
    <x:row r="1581" ht="30" customHeight="1">
      <x:c r="A1581" s="3" t="str">
        <x:v>230510-ND-P-K-9</x:v>
      </x:c>
      <x:c r="B1581" s="3" t="str">
        <x:v>1店-MUSSHOE-US</x:v>
      </x:c>
      <x:c r="C1581" s="3" t="str">
        <x:v>待定</x:v>
      </x:c>
      <x:c r="D1581" s="3" t="str">
        <x:v>230510</x:v>
      </x:c>
      <x:c r="E1581" s="3" t="str">
        <x:f>IF(Z1581="移出","已移出",IF(NOT(ISNUMBER(H1581)),"数据待核",IF(H1581=0,"断货",IF(NOT(ISNUMBER(G1581)),"数据待核",IF(G1581=0,"零日销待复核",IF(F1581&lt;60,"补货提醒",IF(F1581&lt;=90,"正常库存",IF(F1581&lt;180,"促销",IF(F1581&lt;=365,"红线促销","考虑清仓")))))))))</x:f>
        <x:v>已移出</x:v>
      </x:c>
      <x:c r="F1581" s="11" t="str">
        <x:f>IF(AND(ISNUMBER(H1581),ISNUMBER(G1581),G1581&gt;0),H1581/G1581,"")</x:f>
      </x:c>
      <x:c r="G1581" s="12" t="str">
        <x:f>IF(AND(COUNT(P1581:R1581)=3,MIN(P1581:R1581)&gt;=0,P1581&lt;=Q1581,Q1581&lt;=R1581),P1581/7*0.5+Q1581/14*0.3+R1581/30*0.2,"")</x:f>
      </x:c>
      <x:c r="H1581" s="10" t="str">
        <x:f>IF(ISNUMBER(U1581),U1581,"")</x:f>
      </x:c>
      <x:c r="I1581" s="10" t="n">
        <x:v>0</x:v>
      </x:c>
      <x:c r="J1581" s="11" t="str">
        <x:f>IF(AND(Z1581="共同",ISNUMBER(F1581),ISNUMBER(M1581)),F1581-M1581,"")</x:f>
      </x:c>
      <x:c r="K1581" s="13" t="str">
        <x:f>IF(AND(ISNUMBER(J1581),M1581&lt;&gt;0),J1581/M1581,"")</x:f>
      </x:c>
      <x:c r="L1581" s="10" t="str">
        <x:v>断货</x:v>
      </x:c>
      <x:c r="M1581" s="11"/>
      <x:c r="N1581" s="10" t="str">
        <x:f>IF(AND(Z1581="共同",COUNT(H1581:I1581)=2),H1581-I1581,"")</x:f>
      </x:c>
      <x:c r="O1581" s="10"/>
      <x:c r="P1581" s="10"/>
      <x:c r="Q1581" s="10"/>
      <x:c r="R1581" s="10"/>
      <x:c r="S1581" s="10"/>
      <x:c r="T1581" s="10"/>
      <x:c r="U1581" s="10" t="str">
        <x:f>IF(AND(ISNUMBER(X1581),X1581&gt;=0,Y1581&lt;&gt;1),X1581,"")</x:f>
      </x:c>
      <x:c r="V1581" s="10"/>
      <x:c r="W1581" s="10"/>
      <x:c r="X1581" s="10"/>
      <x:c r="Y1581" s="3"/>
      <x:c r="Z1581" s="3" t="str">
        <x:v>移出</x:v>
      </x:c>
      <x:c r="AA1581" s="3" t="str">
        <x:v>已移出</x:v>
      </x:c>
      <x:c r="AB1581" s="12" t="str">
        <x:f>IF(AND(Z1581="共同",ISNUMBER(G1581),ISNUMBER(AD1581)),G1581-AD1581,"")</x:f>
      </x:c>
      <x:c r="AC1581" s="3" t="str">
        <x:v>基准清单已移出</x:v>
      </x:c>
      <x:c r="AD1581" s="12"/>
      <x:c r="AE1581" s="3" t="str">
        <x:v>[13120,"230510-ND-P-K-9"]</x:v>
      </x:c>
      <x:c r="AF1581" t="n">
        <x:f>IF(ISNUMBER(H1581),1,0)</x:f>
        <x:v>0</x:v>
      </x:c>
      <x:c r="AG1581" t="n">
        <x:f>IF(ISNUMBER(I1581),1,0)</x:f>
        <x:v>1</x:v>
      </x:c>
      <x:c r="AH1581"/>
      <x:c r="AI1581" t="n">
        <x:f>IF(ISNUMBER(G1581),1,0)</x:f>
        <x:v>0</x:v>
      </x:c>
      <x:c r="AJ1581" t="n">
        <x:f>IF(ISNUMBER(AD1581),1,0)</x:f>
        <x:v>0</x:v>
      </x:c>
    </x:row>
    <x:row r="1582" ht="30" customHeight="1">
      <x:c r="A1582" s="3" t="str">
        <x:v>230510-ND-P-K-10</x:v>
      </x:c>
      <x:c r="B1582" s="3" t="str">
        <x:v>1店-MUSSHOE-US</x:v>
      </x:c>
      <x:c r="C1582" s="3" t="str">
        <x:v>待定</x:v>
      </x:c>
      <x:c r="D1582" s="3" t="str">
        <x:v>230510</x:v>
      </x:c>
      <x:c r="E1582" s="3" t="str">
        <x:f>IF(Z1582="移出","已移出",IF(NOT(ISNUMBER(H1582)),"数据待核",IF(H1582=0,"断货",IF(NOT(ISNUMBER(G1582)),"数据待核",IF(G1582=0,"零日销待复核",IF(F1582&lt;60,"补货提醒",IF(F1582&lt;=90,"正常库存",IF(F1582&lt;180,"促销",IF(F1582&lt;=365,"红线促销","考虑清仓")))))))))</x:f>
        <x:v>已移出</x:v>
      </x:c>
      <x:c r="F1582" s="11" t="str">
        <x:f>IF(AND(ISNUMBER(H1582),ISNUMBER(G1582),G1582&gt;0),H1582/G1582,"")</x:f>
      </x:c>
      <x:c r="G1582" s="12" t="str">
        <x:f>IF(AND(COUNT(P1582:R1582)=3,MIN(P1582:R1582)&gt;=0,P1582&lt;=Q1582,Q1582&lt;=R1582),P1582/7*0.5+Q1582/14*0.3+R1582/30*0.2,"")</x:f>
      </x:c>
      <x:c r="H1582" s="10" t="str">
        <x:f>IF(ISNUMBER(U1582),U1582,"")</x:f>
      </x:c>
      <x:c r="I1582" s="10" t="n">
        <x:v>12</x:v>
      </x:c>
      <x:c r="J1582" s="11" t="str">
        <x:f>IF(AND(Z1582="共同",ISNUMBER(F1582),ISNUMBER(M1582)),F1582-M1582,"")</x:f>
      </x:c>
      <x:c r="K1582" s="13" t="str">
        <x:f>IF(AND(ISNUMBER(J1582),M1582&lt;&gt;0),J1582/M1582,"")</x:f>
      </x:c>
      <x:c r="L1582" s="10" t="str">
        <x:v>数据待核</x:v>
      </x:c>
      <x:c r="M1582" s="11"/>
      <x:c r="N1582" s="10" t="str">
        <x:f>IF(AND(Z1582="共同",COUNT(H1582:I1582)=2),H1582-I1582,"")</x:f>
      </x:c>
      <x:c r="O1582" s="10"/>
      <x:c r="P1582" s="10"/>
      <x:c r="Q1582" s="10"/>
      <x:c r="R1582" s="10"/>
      <x:c r="S1582" s="10"/>
      <x:c r="T1582" s="10"/>
      <x:c r="U1582" s="10" t="str">
        <x:f>IF(AND(ISNUMBER(X1582),X1582&gt;=0,Y1582&lt;&gt;1),X1582,"")</x:f>
      </x:c>
      <x:c r="V1582" s="10"/>
      <x:c r="W1582" s="10"/>
      <x:c r="X1582" s="10"/>
      <x:c r="Y1582" s="3"/>
      <x:c r="Z1582" s="3" t="str">
        <x:v>移出</x:v>
      </x:c>
      <x:c r="AA1582" s="3" t="str">
        <x:v>已移出</x:v>
      </x:c>
      <x:c r="AB1582" s="12" t="str">
        <x:f>IF(AND(Z1582="共同",ISNUMBER(G1582),ISNUMBER(AD1582)),G1582-AD1582,"")</x:f>
      </x:c>
      <x:c r="AC1582" s="3" t="str">
        <x:v>基准清单已移出</x:v>
      </x:c>
      <x:c r="AD1582" s="12"/>
      <x:c r="AE1582" s="3" t="str">
        <x:v>[13120,"230510-ND-P-K-10"]</x:v>
      </x:c>
      <x:c r="AF1582" t="n">
        <x:f>IF(ISNUMBER(H1582),1,0)</x:f>
        <x:v>0</x:v>
      </x:c>
      <x:c r="AG1582" t="n">
        <x:f>IF(ISNUMBER(I1582),1,0)</x:f>
        <x:v>1</x:v>
      </x:c>
      <x:c r="AH1582"/>
      <x:c r="AI1582" t="n">
        <x:f>IF(ISNUMBER(G1582),1,0)</x:f>
        <x:v>0</x:v>
      </x:c>
      <x:c r="AJ1582" t="n">
        <x:f>IF(ISNUMBER(AD1582),1,0)</x:f>
        <x:v>0</x:v>
      </x:c>
    </x:row>
    <x:row r="1583" ht="30" customHeight="1">
      <x:c r="A1583" s="3" t="str">
        <x:v>230510-ND-P-K-11</x:v>
      </x:c>
      <x:c r="B1583" s="3" t="str">
        <x:v>1店-MUSSHOE-US</x:v>
      </x:c>
      <x:c r="C1583" s="3" t="str">
        <x:v>待定</x:v>
      </x:c>
      <x:c r="D1583" s="3" t="str">
        <x:v>230510</x:v>
      </x:c>
      <x:c r="E1583" s="3" t="str">
        <x:f>IF(Z1583="移出","已移出",IF(NOT(ISNUMBER(H1583)),"数据待核",IF(H1583=0,"断货",IF(NOT(ISNUMBER(G1583)),"数据待核",IF(G1583=0,"零日销待复核",IF(F1583&lt;60,"补货提醒",IF(F1583&lt;=90,"正常库存",IF(F1583&lt;180,"促销",IF(F1583&lt;=365,"红线促销","考虑清仓")))))))))</x:f>
        <x:v>已移出</x:v>
      </x:c>
      <x:c r="F1583" s="11" t="str">
        <x:f>IF(AND(ISNUMBER(H1583),ISNUMBER(G1583),G1583&gt;0),H1583/G1583,"")</x:f>
      </x:c>
      <x:c r="G1583" s="12" t="str">
        <x:f>IF(AND(COUNT(P1583:R1583)=3,MIN(P1583:R1583)&gt;=0,P1583&lt;=Q1583,Q1583&lt;=R1583),P1583/7*0.5+Q1583/14*0.3+R1583/30*0.2,"")</x:f>
      </x:c>
      <x:c r="H1583" s="10" t="str">
        <x:f>IF(ISNUMBER(U1583),U1583,"")</x:f>
      </x:c>
      <x:c r="I1583" s="10" t="n">
        <x:v>0</x:v>
      </x:c>
      <x:c r="J1583" s="11" t="str">
        <x:f>IF(AND(Z1583="共同",ISNUMBER(F1583),ISNUMBER(M1583)),F1583-M1583,"")</x:f>
      </x:c>
      <x:c r="K1583" s="13" t="str">
        <x:f>IF(AND(ISNUMBER(J1583),M1583&lt;&gt;0),J1583/M1583,"")</x:f>
      </x:c>
      <x:c r="L1583" s="10" t="str">
        <x:v>断货</x:v>
      </x:c>
      <x:c r="M1583" s="11"/>
      <x:c r="N1583" s="10" t="str">
        <x:f>IF(AND(Z1583="共同",COUNT(H1583:I1583)=2),H1583-I1583,"")</x:f>
      </x:c>
      <x:c r="O1583" s="10"/>
      <x:c r="P1583" s="10"/>
      <x:c r="Q1583" s="10"/>
      <x:c r="R1583" s="10"/>
      <x:c r="S1583" s="10"/>
      <x:c r="T1583" s="10"/>
      <x:c r="U1583" s="10" t="str">
        <x:f>IF(AND(ISNUMBER(X1583),X1583&gt;=0,Y1583&lt;&gt;1),X1583,"")</x:f>
      </x:c>
      <x:c r="V1583" s="10"/>
      <x:c r="W1583" s="10"/>
      <x:c r="X1583" s="10"/>
      <x:c r="Y1583" s="3"/>
      <x:c r="Z1583" s="3" t="str">
        <x:v>移出</x:v>
      </x:c>
      <x:c r="AA1583" s="3" t="str">
        <x:v>已移出</x:v>
      </x:c>
      <x:c r="AB1583" s="12" t="str">
        <x:f>IF(AND(Z1583="共同",ISNUMBER(G1583),ISNUMBER(AD1583)),G1583-AD1583,"")</x:f>
      </x:c>
      <x:c r="AC1583" s="3" t="str">
        <x:v>基准清单已移出</x:v>
      </x:c>
      <x:c r="AD1583" s="12"/>
      <x:c r="AE1583" s="3" t="str">
        <x:v>[13120,"230510-ND-P-K-11"]</x:v>
      </x:c>
      <x:c r="AF1583" t="n">
        <x:f>IF(ISNUMBER(H1583),1,0)</x:f>
        <x:v>0</x:v>
      </x:c>
      <x:c r="AG1583" t="n">
        <x:f>IF(ISNUMBER(I1583),1,0)</x:f>
        <x:v>1</x:v>
      </x:c>
      <x:c r="AH1583"/>
      <x:c r="AI1583" t="n">
        <x:f>IF(ISNUMBER(G1583),1,0)</x:f>
        <x:v>0</x:v>
      </x:c>
      <x:c r="AJ1583" t="n">
        <x:f>IF(ISNUMBER(AD1583),1,0)</x:f>
        <x:v>0</x:v>
      </x:c>
    </x:row>
    <x:row r="1584" ht="30" customHeight="1">
      <x:c r="A1584" s="3" t="str">
        <x:v>230510-TN-S-K-6</x:v>
      </x:c>
      <x:c r="B1584" s="3" t="str">
        <x:v>1店-MUSSHOE-US</x:v>
      </x:c>
      <x:c r="C1584" s="3" t="str">
        <x:v>待定</x:v>
      </x:c>
      <x:c r="D1584" s="3" t="str">
        <x:v>230510</x:v>
      </x:c>
      <x:c r="E1584" s="3" t="str">
        <x:f>IF(Z1584="移出","已移出",IF(NOT(ISNUMBER(H1584)),"数据待核",IF(H1584=0,"断货",IF(NOT(ISNUMBER(G1584)),"数据待核",IF(G1584=0,"零日销待复核",IF(F1584&lt;60,"补货提醒",IF(F1584&lt;=90,"正常库存",IF(F1584&lt;180,"促销",IF(F1584&lt;=365,"红线促销","考虑清仓")))))))))</x:f>
        <x:v>已移出</x:v>
      </x:c>
      <x:c r="F1584" s="11" t="str">
        <x:f>IF(AND(ISNUMBER(H1584),ISNUMBER(G1584),G1584&gt;0),H1584/G1584,"")</x:f>
      </x:c>
      <x:c r="G1584" s="12" t="str">
        <x:f>IF(AND(COUNT(P1584:R1584)=3,MIN(P1584:R1584)&gt;=0,P1584&lt;=Q1584,Q1584&lt;=R1584),P1584/7*0.5+Q1584/14*0.3+R1584/30*0.2,"")</x:f>
      </x:c>
      <x:c r="H1584" s="10" t="str">
        <x:f>IF(ISNUMBER(U1584),U1584,"")</x:f>
      </x:c>
      <x:c r="I1584" s="10" t="n">
        <x:v>12</x:v>
      </x:c>
      <x:c r="J1584" s="11" t="str">
        <x:f>IF(AND(Z1584="共同",ISNUMBER(F1584),ISNUMBER(M1584)),F1584-M1584,"")</x:f>
      </x:c>
      <x:c r="K1584" s="13" t="str">
        <x:f>IF(AND(ISNUMBER(J1584),M1584&lt;&gt;0),J1584/M1584,"")</x:f>
      </x:c>
      <x:c r="L1584" s="10" t="str">
        <x:v>数据待核</x:v>
      </x:c>
      <x:c r="M1584" s="11"/>
      <x:c r="N1584" s="10" t="str">
        <x:f>IF(AND(Z1584="共同",COUNT(H1584:I1584)=2),H1584-I1584,"")</x:f>
      </x:c>
      <x:c r="O1584" s="10"/>
      <x:c r="P1584" s="10"/>
      <x:c r="Q1584" s="10"/>
      <x:c r="R1584" s="10"/>
      <x:c r="S1584" s="10"/>
      <x:c r="T1584" s="10"/>
      <x:c r="U1584" s="10" t="str">
        <x:f>IF(AND(ISNUMBER(X1584),X1584&gt;=0,Y1584&lt;&gt;1),X1584,"")</x:f>
      </x:c>
      <x:c r="V1584" s="10"/>
      <x:c r="W1584" s="10"/>
      <x:c r="X1584" s="10"/>
      <x:c r="Y1584" s="3"/>
      <x:c r="Z1584" s="3" t="str">
        <x:v>移出</x:v>
      </x:c>
      <x:c r="AA1584" s="3" t="str">
        <x:v>已移出</x:v>
      </x:c>
      <x:c r="AB1584" s="12" t="str">
        <x:f>IF(AND(Z1584="共同",ISNUMBER(G1584),ISNUMBER(AD1584)),G1584-AD1584,"")</x:f>
      </x:c>
      <x:c r="AC1584" s="3" t="str">
        <x:v>基准清单已移出</x:v>
      </x:c>
      <x:c r="AD1584" s="12"/>
      <x:c r="AE1584" s="3" t="str">
        <x:v>[13120,"230510-TN-S-K-6"]</x:v>
      </x:c>
      <x:c r="AF1584" t="n">
        <x:f>IF(ISNUMBER(H1584),1,0)</x:f>
        <x:v>0</x:v>
      </x:c>
      <x:c r="AG1584" t="n">
        <x:f>IF(ISNUMBER(I1584),1,0)</x:f>
        <x:v>1</x:v>
      </x:c>
      <x:c r="AH1584"/>
      <x:c r="AI1584" t="n">
        <x:f>IF(ISNUMBER(G1584),1,0)</x:f>
        <x:v>0</x:v>
      </x:c>
      <x:c r="AJ1584" t="n">
        <x:f>IF(ISNUMBER(AD1584),1,0)</x:f>
        <x:v>0</x:v>
      </x:c>
    </x:row>
    <x:row r="1585" ht="30" customHeight="1">
      <x:c r="A1585" s="3" t="str">
        <x:v>230510-TN-S-K-7</x:v>
      </x:c>
      <x:c r="B1585" s="3" t="str">
        <x:v>1店-MUSSHOE-US</x:v>
      </x:c>
      <x:c r="C1585" s="3" t="str">
        <x:v>待定</x:v>
      </x:c>
      <x:c r="D1585" s="3" t="str">
        <x:v>230510</x:v>
      </x:c>
      <x:c r="E1585" s="3" t="str">
        <x:f>IF(Z1585="移出","已移出",IF(NOT(ISNUMBER(H1585)),"数据待核",IF(H1585=0,"断货",IF(NOT(ISNUMBER(G1585)),"数据待核",IF(G1585=0,"零日销待复核",IF(F1585&lt;60,"补货提醒",IF(F1585&lt;=90,"正常库存",IF(F1585&lt;180,"促销",IF(F1585&lt;=365,"红线促销","考虑清仓")))))))))</x:f>
        <x:v>已移出</x:v>
      </x:c>
      <x:c r="F1585" s="11" t="str">
        <x:f>IF(AND(ISNUMBER(H1585),ISNUMBER(G1585),G1585&gt;0),H1585/G1585,"")</x:f>
      </x:c>
      <x:c r="G1585" s="12" t="str">
        <x:f>IF(AND(COUNT(P1585:R1585)=3,MIN(P1585:R1585)&gt;=0,P1585&lt;=Q1585,Q1585&lt;=R1585),P1585/7*0.5+Q1585/14*0.3+R1585/30*0.2,"")</x:f>
      </x:c>
      <x:c r="H1585" s="10" t="str">
        <x:f>IF(ISNUMBER(U1585),U1585,"")</x:f>
      </x:c>
      <x:c r="I1585" s="10" t="n">
        <x:v>22</x:v>
      </x:c>
      <x:c r="J1585" s="11" t="str">
        <x:f>IF(AND(Z1585="共同",ISNUMBER(F1585),ISNUMBER(M1585)),F1585-M1585,"")</x:f>
      </x:c>
      <x:c r="K1585" s="13" t="str">
        <x:f>IF(AND(ISNUMBER(J1585),M1585&lt;&gt;0),J1585/M1585,"")</x:f>
      </x:c>
      <x:c r="L1585" s="10" t="str">
        <x:v>数据待核</x:v>
      </x:c>
      <x:c r="M1585" s="11"/>
      <x:c r="N1585" s="10" t="str">
        <x:f>IF(AND(Z1585="共同",COUNT(H1585:I1585)=2),H1585-I1585,"")</x:f>
      </x:c>
      <x:c r="O1585" s="10"/>
      <x:c r="P1585" s="10"/>
      <x:c r="Q1585" s="10"/>
      <x:c r="R1585" s="10"/>
      <x:c r="S1585" s="10"/>
      <x:c r="T1585" s="10"/>
      <x:c r="U1585" s="10" t="str">
        <x:f>IF(AND(ISNUMBER(X1585),X1585&gt;=0,Y1585&lt;&gt;1),X1585,"")</x:f>
      </x:c>
      <x:c r="V1585" s="10"/>
      <x:c r="W1585" s="10"/>
      <x:c r="X1585" s="10"/>
      <x:c r="Y1585" s="3"/>
      <x:c r="Z1585" s="3" t="str">
        <x:v>移出</x:v>
      </x:c>
      <x:c r="AA1585" s="3" t="str">
        <x:v>已移出</x:v>
      </x:c>
      <x:c r="AB1585" s="12" t="str">
        <x:f>IF(AND(Z1585="共同",ISNUMBER(G1585),ISNUMBER(AD1585)),G1585-AD1585,"")</x:f>
      </x:c>
      <x:c r="AC1585" s="3" t="str">
        <x:v>基准清单已移出</x:v>
      </x:c>
      <x:c r="AD1585" s="12"/>
      <x:c r="AE1585" s="3" t="str">
        <x:v>[13120,"230510-TN-S-K-7"]</x:v>
      </x:c>
      <x:c r="AF1585" t="n">
        <x:f>IF(ISNUMBER(H1585),1,0)</x:f>
        <x:v>0</x:v>
      </x:c>
      <x:c r="AG1585" t="n">
        <x:f>IF(ISNUMBER(I1585),1,0)</x:f>
        <x:v>1</x:v>
      </x:c>
      <x:c r="AH1585"/>
      <x:c r="AI1585" t="n">
        <x:f>IF(ISNUMBER(G1585),1,0)</x:f>
        <x:v>0</x:v>
      </x:c>
      <x:c r="AJ1585" t="n">
        <x:f>IF(ISNUMBER(AD1585),1,0)</x:f>
        <x:v>0</x:v>
      </x:c>
    </x:row>
    <x:row r="1586" ht="30" customHeight="1">
      <x:c r="A1586" s="3" t="str">
        <x:v>230510-TN-S-K-8</x:v>
      </x:c>
      <x:c r="B1586" s="3" t="str">
        <x:v>1店-MUSSHOE-US</x:v>
      </x:c>
      <x:c r="C1586" s="3" t="str">
        <x:v>待定</x:v>
      </x:c>
      <x:c r="D1586" s="3" t="str">
        <x:v>230510</x:v>
      </x:c>
      <x:c r="E1586" s="3" t="str">
        <x:f>IF(Z1586="移出","已移出",IF(NOT(ISNUMBER(H1586)),"数据待核",IF(H1586=0,"断货",IF(NOT(ISNUMBER(G1586)),"数据待核",IF(G1586=0,"零日销待复核",IF(F1586&lt;60,"补货提醒",IF(F1586&lt;=90,"正常库存",IF(F1586&lt;180,"促销",IF(F1586&lt;=365,"红线促销","考虑清仓")))))))))</x:f>
        <x:v>已移出</x:v>
      </x:c>
      <x:c r="F1586" s="11" t="str">
        <x:f>IF(AND(ISNUMBER(H1586),ISNUMBER(G1586),G1586&gt;0),H1586/G1586,"")</x:f>
      </x:c>
      <x:c r="G1586" s="12" t="str">
        <x:f>IF(AND(COUNT(P1586:R1586)=3,MIN(P1586:R1586)&gt;=0,P1586&lt;=Q1586,Q1586&lt;=R1586),P1586/7*0.5+Q1586/14*0.3+R1586/30*0.2,"")</x:f>
      </x:c>
      <x:c r="H1586" s="10" t="str">
        <x:f>IF(ISNUMBER(U1586),U1586,"")</x:f>
      </x:c>
      <x:c r="I1586" s="10" t="n">
        <x:v>24</x:v>
      </x:c>
      <x:c r="J1586" s="11" t="str">
        <x:f>IF(AND(Z1586="共同",ISNUMBER(F1586),ISNUMBER(M1586)),F1586-M1586,"")</x:f>
      </x:c>
      <x:c r="K1586" s="13" t="str">
        <x:f>IF(AND(ISNUMBER(J1586),M1586&lt;&gt;0),J1586/M1586,"")</x:f>
      </x:c>
      <x:c r="L1586" s="10" t="str">
        <x:v>数据待核</x:v>
      </x:c>
      <x:c r="M1586" s="11"/>
      <x:c r="N1586" s="10" t="str">
        <x:f>IF(AND(Z1586="共同",COUNT(H1586:I1586)=2),H1586-I1586,"")</x:f>
      </x:c>
      <x:c r="O1586" s="10"/>
      <x:c r="P1586" s="10"/>
      <x:c r="Q1586" s="10"/>
      <x:c r="R1586" s="10"/>
      <x:c r="S1586" s="10"/>
      <x:c r="T1586" s="10"/>
      <x:c r="U1586" s="10" t="str">
        <x:f>IF(AND(ISNUMBER(X1586),X1586&gt;=0,Y1586&lt;&gt;1),X1586,"")</x:f>
      </x:c>
      <x:c r="V1586" s="10"/>
      <x:c r="W1586" s="10"/>
      <x:c r="X1586" s="10"/>
      <x:c r="Y1586" s="3"/>
      <x:c r="Z1586" s="3" t="str">
        <x:v>移出</x:v>
      </x:c>
      <x:c r="AA1586" s="3" t="str">
        <x:v>已移出</x:v>
      </x:c>
      <x:c r="AB1586" s="12" t="str">
        <x:f>IF(AND(Z1586="共同",ISNUMBER(G1586),ISNUMBER(AD1586)),G1586-AD1586,"")</x:f>
      </x:c>
      <x:c r="AC1586" s="3" t="str">
        <x:v>基准清单已移出</x:v>
      </x:c>
      <x:c r="AD1586" s="12"/>
      <x:c r="AE1586" s="3" t="str">
        <x:v>[13120,"230510-TN-S-K-8"]</x:v>
      </x:c>
      <x:c r="AF1586" t="n">
        <x:f>IF(ISNUMBER(H1586),1,0)</x:f>
        <x:v>0</x:v>
      </x:c>
      <x:c r="AG1586" t="n">
        <x:f>IF(ISNUMBER(I1586),1,0)</x:f>
        <x:v>1</x:v>
      </x:c>
      <x:c r="AH1586"/>
      <x:c r="AI1586" t="n">
        <x:f>IF(ISNUMBER(G1586),1,0)</x:f>
        <x:v>0</x:v>
      </x:c>
      <x:c r="AJ1586" t="n">
        <x:f>IF(ISNUMBER(AD1586),1,0)</x:f>
        <x:v>0</x:v>
      </x:c>
    </x:row>
    <x:row r="1587" ht="30" customHeight="1">
      <x:c r="A1587" s="3" t="str">
        <x:v>230510-TN-S-K-9</x:v>
      </x:c>
      <x:c r="B1587" s="3" t="str">
        <x:v>1店-MUSSHOE-US</x:v>
      </x:c>
      <x:c r="C1587" s="3" t="str">
        <x:v>待定</x:v>
      </x:c>
      <x:c r="D1587" s="3" t="str">
        <x:v>230510</x:v>
      </x:c>
      <x:c r="E1587" s="3" t="str">
        <x:f>IF(Z1587="移出","已移出",IF(NOT(ISNUMBER(H1587)),"数据待核",IF(H1587=0,"断货",IF(NOT(ISNUMBER(G1587)),"数据待核",IF(G1587=0,"零日销待复核",IF(F1587&lt;60,"补货提醒",IF(F1587&lt;=90,"正常库存",IF(F1587&lt;180,"促销",IF(F1587&lt;=365,"红线促销","考虑清仓")))))))))</x:f>
        <x:v>已移出</x:v>
      </x:c>
      <x:c r="F1587" s="11" t="str">
        <x:f>IF(AND(ISNUMBER(H1587),ISNUMBER(G1587),G1587&gt;0),H1587/G1587,"")</x:f>
      </x:c>
      <x:c r="G1587" s="12" t="str">
        <x:f>IF(AND(COUNT(P1587:R1587)=3,MIN(P1587:R1587)&gt;=0,P1587&lt;=Q1587,Q1587&lt;=R1587),P1587/7*0.5+Q1587/14*0.3+R1587/30*0.2,"")</x:f>
      </x:c>
      <x:c r="H1587" s="10" t="str">
        <x:f>IF(ISNUMBER(U1587),U1587,"")</x:f>
      </x:c>
      <x:c r="I1587" s="10" t="n">
        <x:v>14</x:v>
      </x:c>
      <x:c r="J1587" s="11" t="str">
        <x:f>IF(AND(Z1587="共同",ISNUMBER(F1587),ISNUMBER(M1587)),F1587-M1587,"")</x:f>
      </x:c>
      <x:c r="K1587" s="13" t="str">
        <x:f>IF(AND(ISNUMBER(J1587),M1587&lt;&gt;0),J1587/M1587,"")</x:f>
      </x:c>
      <x:c r="L1587" s="10" t="str">
        <x:v>数据待核</x:v>
      </x:c>
      <x:c r="M1587" s="11"/>
      <x:c r="N1587" s="10" t="str">
        <x:f>IF(AND(Z1587="共同",COUNT(H1587:I1587)=2),H1587-I1587,"")</x:f>
      </x:c>
      <x:c r="O1587" s="10"/>
      <x:c r="P1587" s="10"/>
      <x:c r="Q1587" s="10"/>
      <x:c r="R1587" s="10"/>
      <x:c r="S1587" s="10"/>
      <x:c r="T1587" s="10"/>
      <x:c r="U1587" s="10" t="str">
        <x:f>IF(AND(ISNUMBER(X1587),X1587&gt;=0,Y1587&lt;&gt;1),X1587,"")</x:f>
      </x:c>
      <x:c r="V1587" s="10"/>
      <x:c r="W1587" s="10"/>
      <x:c r="X1587" s="10"/>
      <x:c r="Y1587" s="3"/>
      <x:c r="Z1587" s="3" t="str">
        <x:v>移出</x:v>
      </x:c>
      <x:c r="AA1587" s="3" t="str">
        <x:v>已移出</x:v>
      </x:c>
      <x:c r="AB1587" s="12" t="str">
        <x:f>IF(AND(Z1587="共同",ISNUMBER(G1587),ISNUMBER(AD1587)),G1587-AD1587,"")</x:f>
      </x:c>
      <x:c r="AC1587" s="3" t="str">
        <x:v>基准清单已移出</x:v>
      </x:c>
      <x:c r="AD1587" s="12"/>
      <x:c r="AE1587" s="3" t="str">
        <x:v>[13120,"230510-TN-S-K-9"]</x:v>
      </x:c>
      <x:c r="AF1587" t="n">
        <x:f>IF(ISNUMBER(H1587),1,0)</x:f>
        <x:v>0</x:v>
      </x:c>
      <x:c r="AG1587" t="n">
        <x:f>IF(ISNUMBER(I1587),1,0)</x:f>
        <x:v>1</x:v>
      </x:c>
      <x:c r="AH1587"/>
      <x:c r="AI1587" t="n">
        <x:f>IF(ISNUMBER(G1587),1,0)</x:f>
        <x:v>0</x:v>
      </x:c>
      <x:c r="AJ1587" t="n">
        <x:f>IF(ISNUMBER(AD1587),1,0)</x:f>
        <x:v>0</x:v>
      </x:c>
    </x:row>
    <x:row r="1588" ht="30" customHeight="1">
      <x:c r="A1588" s="3" t="str">
        <x:v>230510-TN-S-K-10</x:v>
      </x:c>
      <x:c r="B1588" s="3" t="str">
        <x:v>1店-MUSSHOE-US</x:v>
      </x:c>
      <x:c r="C1588" s="3" t="str">
        <x:v>待定</x:v>
      </x:c>
      <x:c r="D1588" s="3" t="str">
        <x:v>230510</x:v>
      </x:c>
      <x:c r="E1588" s="3" t="str">
        <x:f>IF(Z1588="移出","已移出",IF(NOT(ISNUMBER(H1588)),"数据待核",IF(H1588=0,"断货",IF(NOT(ISNUMBER(G1588)),"数据待核",IF(G1588=0,"零日销待复核",IF(F1588&lt;60,"补货提醒",IF(F1588&lt;=90,"正常库存",IF(F1588&lt;180,"促销",IF(F1588&lt;=365,"红线促销","考虑清仓")))))))))</x:f>
        <x:v>已移出</x:v>
      </x:c>
      <x:c r="F1588" s="11" t="str">
        <x:f>IF(AND(ISNUMBER(H1588),ISNUMBER(G1588),G1588&gt;0),H1588/G1588,"")</x:f>
      </x:c>
      <x:c r="G1588" s="12" t="str">
        <x:f>IF(AND(COUNT(P1588:R1588)=3,MIN(P1588:R1588)&gt;=0,P1588&lt;=Q1588,Q1588&lt;=R1588),P1588/7*0.5+Q1588/14*0.3+R1588/30*0.2,"")</x:f>
      </x:c>
      <x:c r="H1588" s="10" t="str">
        <x:f>IF(ISNUMBER(U1588),U1588,"")</x:f>
      </x:c>
      <x:c r="I1588" s="10" t="n">
        <x:v>6</x:v>
      </x:c>
      <x:c r="J1588" s="11" t="str">
        <x:f>IF(AND(Z1588="共同",ISNUMBER(F1588),ISNUMBER(M1588)),F1588-M1588,"")</x:f>
      </x:c>
      <x:c r="K1588" s="13" t="str">
        <x:f>IF(AND(ISNUMBER(J1588),M1588&lt;&gt;0),J1588/M1588,"")</x:f>
      </x:c>
      <x:c r="L1588" s="10" t="str">
        <x:v>数据待核</x:v>
      </x:c>
      <x:c r="M1588" s="11"/>
      <x:c r="N1588" s="10" t="str">
        <x:f>IF(AND(Z1588="共同",COUNT(H1588:I1588)=2),H1588-I1588,"")</x:f>
      </x:c>
      <x:c r="O1588" s="10"/>
      <x:c r="P1588" s="10"/>
      <x:c r="Q1588" s="10"/>
      <x:c r="R1588" s="10"/>
      <x:c r="S1588" s="10"/>
      <x:c r="T1588" s="10"/>
      <x:c r="U1588" s="10" t="str">
        <x:f>IF(AND(ISNUMBER(X1588),X1588&gt;=0,Y1588&lt;&gt;1),X1588,"")</x:f>
      </x:c>
      <x:c r="V1588" s="10"/>
      <x:c r="W1588" s="10"/>
      <x:c r="X1588" s="10"/>
      <x:c r="Y1588" s="3"/>
      <x:c r="Z1588" s="3" t="str">
        <x:v>移出</x:v>
      </x:c>
      <x:c r="AA1588" s="3" t="str">
        <x:v>已移出</x:v>
      </x:c>
      <x:c r="AB1588" s="12" t="str">
        <x:f>IF(AND(Z1588="共同",ISNUMBER(G1588),ISNUMBER(AD1588)),G1588-AD1588,"")</x:f>
      </x:c>
      <x:c r="AC1588" s="3" t="str">
        <x:v>基准清单已移出</x:v>
      </x:c>
      <x:c r="AD1588" s="12"/>
      <x:c r="AE1588" s="3" t="str">
        <x:v>[13120,"230510-TN-S-K-10"]</x:v>
      </x:c>
      <x:c r="AF1588" t="n">
        <x:f>IF(ISNUMBER(H1588),1,0)</x:f>
        <x:v>0</x:v>
      </x:c>
      <x:c r="AG1588" t="n">
        <x:f>IF(ISNUMBER(I1588),1,0)</x:f>
        <x:v>1</x:v>
      </x:c>
      <x:c r="AH1588"/>
      <x:c r="AI1588" t="n">
        <x:f>IF(ISNUMBER(G1588),1,0)</x:f>
        <x:v>0</x:v>
      </x:c>
      <x:c r="AJ1588" t="n">
        <x:f>IF(ISNUMBER(AD1588),1,0)</x:f>
        <x:v>0</x:v>
      </x:c>
    </x:row>
    <x:row r="1589" ht="30" customHeight="1">
      <x:c r="A1589" s="3" t="str">
        <x:v>230510-TN-S-K-11</x:v>
      </x:c>
      <x:c r="B1589" s="3" t="str">
        <x:v>1店-MUSSHOE-US</x:v>
      </x:c>
      <x:c r="C1589" s="3" t="str">
        <x:v>待定</x:v>
      </x:c>
      <x:c r="D1589" s="3" t="str">
        <x:v>230510</x:v>
      </x:c>
      <x:c r="E1589" s="3" t="str">
        <x:f>IF(Z1589="移出","已移出",IF(NOT(ISNUMBER(H1589)),"数据待核",IF(H1589=0,"断货",IF(NOT(ISNUMBER(G1589)),"数据待核",IF(G1589=0,"零日销待复核",IF(F1589&lt;60,"补货提醒",IF(F1589&lt;=90,"正常库存",IF(F1589&lt;180,"促销",IF(F1589&lt;=365,"红线促销","考虑清仓")))))))))</x:f>
        <x:v>已移出</x:v>
      </x:c>
      <x:c r="F1589" s="11" t="str">
        <x:f>IF(AND(ISNUMBER(H1589),ISNUMBER(G1589),G1589&gt;0),H1589/G1589,"")</x:f>
      </x:c>
      <x:c r="G1589" s="12" t="str">
        <x:f>IF(AND(COUNT(P1589:R1589)=3,MIN(P1589:R1589)&gt;=0,P1589&lt;=Q1589,Q1589&lt;=R1589),P1589/7*0.5+Q1589/14*0.3+R1589/30*0.2,"")</x:f>
      </x:c>
      <x:c r="H1589" s="10" t="str">
        <x:f>IF(ISNUMBER(U1589),U1589,"")</x:f>
      </x:c>
      <x:c r="I1589" s="10" t="n">
        <x:v>8</x:v>
      </x:c>
      <x:c r="J1589" s="11" t="str">
        <x:f>IF(AND(Z1589="共同",ISNUMBER(F1589),ISNUMBER(M1589)),F1589-M1589,"")</x:f>
      </x:c>
      <x:c r="K1589" s="13" t="str">
        <x:f>IF(AND(ISNUMBER(J1589),M1589&lt;&gt;0),J1589/M1589,"")</x:f>
      </x:c>
      <x:c r="L1589" s="10" t="str">
        <x:v>数据待核</x:v>
      </x:c>
      <x:c r="M1589" s="11"/>
      <x:c r="N1589" s="10" t="str">
        <x:f>IF(AND(Z1589="共同",COUNT(H1589:I1589)=2),H1589-I1589,"")</x:f>
      </x:c>
      <x:c r="O1589" s="10"/>
      <x:c r="P1589" s="10"/>
      <x:c r="Q1589" s="10"/>
      <x:c r="R1589" s="10"/>
      <x:c r="S1589" s="10"/>
      <x:c r="T1589" s="10"/>
      <x:c r="U1589" s="10" t="str">
        <x:f>IF(AND(ISNUMBER(X1589),X1589&gt;=0,Y1589&lt;&gt;1),X1589,"")</x:f>
      </x:c>
      <x:c r="V1589" s="10"/>
      <x:c r="W1589" s="10"/>
      <x:c r="X1589" s="10"/>
      <x:c r="Y1589" s="3"/>
      <x:c r="Z1589" s="3" t="str">
        <x:v>移出</x:v>
      </x:c>
      <x:c r="AA1589" s="3" t="str">
        <x:v>已移出</x:v>
      </x:c>
      <x:c r="AB1589" s="12" t="str">
        <x:f>IF(AND(Z1589="共同",ISNUMBER(G1589),ISNUMBER(AD1589)),G1589-AD1589,"")</x:f>
      </x:c>
      <x:c r="AC1589" s="3" t="str">
        <x:v>基准清单已移出</x:v>
      </x:c>
      <x:c r="AD1589" s="12"/>
      <x:c r="AE1589" s="3" t="str">
        <x:v>[13120,"230510-TN-S-K-11"]</x:v>
      </x:c>
      <x:c r="AF1589" t="n">
        <x:f>IF(ISNUMBER(H1589),1,0)</x:f>
        <x:v>0</x:v>
      </x:c>
      <x:c r="AG1589" t="n">
        <x:f>IF(ISNUMBER(I1589),1,0)</x:f>
        <x:v>1</x:v>
      </x:c>
      <x:c r="AH1589"/>
      <x:c r="AI1589" t="n">
        <x:f>IF(ISNUMBER(G1589),1,0)</x:f>
        <x:v>0</x:v>
      </x:c>
      <x:c r="AJ1589" t="n">
        <x:f>IF(ISNUMBER(AD1589),1,0)</x:f>
        <x:v>0</x:v>
      </x:c>
    </x:row>
    <x:row r="1590" ht="30" customHeight="1">
      <x:c r="A1590" s="3" t="str">
        <x:v>S02a-BKP-38</x:v>
      </x:c>
      <x:c r="B1590" s="3" t="str">
        <x:v>3店-SANDIEX-US</x:v>
      </x:c>
      <x:c r="C1590" s="3" t="str">
        <x:v>陈晨</x:v>
      </x:c>
      <x:c r="D1590" s="3" t="str">
        <x:v>S02a</x:v>
      </x:c>
      <x:c r="E1590" s="3" t="str">
        <x:f>IF(Z1590="移出","已移出",IF(NOT(ISNUMBER(H1590)),"数据待核",IF(H1590=0,"断货",IF(NOT(ISNUMBER(G1590)),"数据待核",IF(G1590=0,"零日销待复核",IF(F1590&lt;60,"补货提醒",IF(F1590&lt;=90,"正常库存",IF(F1590&lt;180,"促销",IF(F1590&lt;=365,"红线促销","考虑清仓")))))))))</x:f>
        <x:v>已移出</x:v>
      </x:c>
      <x:c r="F1590" s="11" t="str">
        <x:f>IF(AND(ISNUMBER(H1590),ISNUMBER(G1590),G1590&gt;0),H1590/G1590,"")</x:f>
      </x:c>
      <x:c r="G1590" s="12" t="str">
        <x:f>IF(AND(COUNT(P1590:R1590)=3,MIN(P1590:R1590)&gt;=0,P1590&lt;=Q1590,Q1590&lt;=R1590),P1590/7*0.5+Q1590/14*0.3+R1590/30*0.2,"")</x:f>
      </x:c>
      <x:c r="H1590" s="10" t="str">
        <x:f>IF(ISNUMBER(U1590),U1590,"")</x:f>
      </x:c>
      <x:c r="I1590" s="10" t="n">
        <x:v>0</x:v>
      </x:c>
      <x:c r="J1590" s="11" t="str">
        <x:f>IF(AND(Z1590="共同",ISNUMBER(F1590),ISNUMBER(M1590)),F1590-M1590,"")</x:f>
      </x:c>
      <x:c r="K1590" s="13" t="str">
        <x:f>IF(AND(ISNUMBER(J1590),M1590&lt;&gt;0),J1590/M1590,"")</x:f>
      </x:c>
      <x:c r="L1590" s="10" t="str">
        <x:v>断货</x:v>
      </x:c>
      <x:c r="M1590" s="11"/>
      <x:c r="N1590" s="10" t="str">
        <x:f>IF(AND(Z1590="共同",COUNT(H1590:I1590)=2),H1590-I1590,"")</x:f>
      </x:c>
      <x:c r="O1590" s="10"/>
      <x:c r="P1590" s="10"/>
      <x:c r="Q1590" s="10"/>
      <x:c r="R1590" s="10"/>
      <x:c r="S1590" s="10"/>
      <x:c r="T1590" s="10"/>
      <x:c r="U1590" s="10" t="str">
        <x:f>IF(AND(ISNUMBER(X1590),X1590&gt;=0,Y1590&lt;&gt;1),X1590,"")</x:f>
      </x:c>
      <x:c r="V1590" s="10"/>
      <x:c r="W1590" s="10"/>
      <x:c r="X1590" s="10"/>
      <x:c r="Y1590" s="3"/>
      <x:c r="Z1590" s="3" t="str">
        <x:v>移出</x:v>
      </x:c>
      <x:c r="AA1590" s="3" t="str">
        <x:v>已移出</x:v>
      </x:c>
      <x:c r="AB1590" s="12" t="str">
        <x:f>IF(AND(Z1590="共同",ISNUMBER(G1590),ISNUMBER(AD1590)),G1590-AD1590,"")</x:f>
      </x:c>
      <x:c r="AC1590" s="3" t="str">
        <x:v>基准清单已移出</x:v>
      </x:c>
      <x:c r="AD1590" s="12"/>
      <x:c r="AE1590" s="3" t="str">
        <x:v>[6574,"S02a-BKP-38"]</x:v>
      </x:c>
      <x:c r="AF1590" t="n">
        <x:f>IF(ISNUMBER(H1590),1,0)</x:f>
        <x:v>0</x:v>
      </x:c>
      <x:c r="AG1590" t="n">
        <x:f>IF(ISNUMBER(I1590),1,0)</x:f>
        <x:v>1</x:v>
      </x:c>
      <x:c r="AH1590"/>
      <x:c r="AI1590" t="n">
        <x:f>IF(ISNUMBER(G1590),1,0)</x:f>
        <x:v>0</x:v>
      </x:c>
      <x:c r="AJ1590" t="n">
        <x:f>IF(ISNUMBER(AD1590),1,0)</x:f>
        <x:v>0</x:v>
      </x:c>
    </x:row>
    <x:row r="1591" ht="30" customHeight="1">
      <x:c r="A1591" s="3" t="str">
        <x:v>S02a-ND-37</x:v>
      </x:c>
      <x:c r="B1591" s="3" t="str">
        <x:v>3店-SANDIEX-US</x:v>
      </x:c>
      <x:c r="C1591" s="3" t="str">
        <x:v>陈晨</x:v>
      </x:c>
      <x:c r="D1591" s="3" t="str">
        <x:v>S02a</x:v>
      </x:c>
      <x:c r="E1591" s="3" t="str">
        <x:f>IF(Z1591="移出","已移出",IF(NOT(ISNUMBER(H1591)),"数据待核",IF(H1591=0,"断货",IF(NOT(ISNUMBER(G1591)),"数据待核",IF(G1591=0,"零日销待复核",IF(F1591&lt;60,"补货提醒",IF(F1591&lt;=90,"正常库存",IF(F1591&lt;180,"促销",IF(F1591&lt;=365,"红线促销","考虑清仓")))))))))</x:f>
        <x:v>已移出</x:v>
      </x:c>
      <x:c r="F1591" s="11" t="str">
        <x:f>IF(AND(ISNUMBER(H1591),ISNUMBER(G1591),G1591&gt;0),H1591/G1591,"")</x:f>
      </x:c>
      <x:c r="G1591" s="12" t="str">
        <x:f>IF(AND(COUNT(P1591:R1591)=3,MIN(P1591:R1591)&gt;=0,P1591&lt;=Q1591,Q1591&lt;=R1591),P1591/7*0.5+Q1591/14*0.3+R1591/30*0.2,"")</x:f>
      </x:c>
      <x:c r="H1591" s="10" t="str">
        <x:f>IF(ISNUMBER(U1591),U1591,"")</x:f>
      </x:c>
      <x:c r="I1591" s="10" t="n">
        <x:v>0</x:v>
      </x:c>
      <x:c r="J1591" s="11" t="str">
        <x:f>IF(AND(Z1591="共同",ISNUMBER(F1591),ISNUMBER(M1591)),F1591-M1591,"")</x:f>
      </x:c>
      <x:c r="K1591" s="13" t="str">
        <x:f>IF(AND(ISNUMBER(J1591),M1591&lt;&gt;0),J1591/M1591,"")</x:f>
      </x:c>
      <x:c r="L1591" s="10" t="str">
        <x:v>断货</x:v>
      </x:c>
      <x:c r="M1591" s="11"/>
      <x:c r="N1591" s="10" t="str">
        <x:f>IF(AND(Z1591="共同",COUNT(H1591:I1591)=2),H1591-I1591,"")</x:f>
      </x:c>
      <x:c r="O1591" s="10"/>
      <x:c r="P1591" s="10"/>
      <x:c r="Q1591" s="10"/>
      <x:c r="R1591" s="10"/>
      <x:c r="S1591" s="10"/>
      <x:c r="T1591" s="10"/>
      <x:c r="U1591" s="10" t="str">
        <x:f>IF(AND(ISNUMBER(X1591),X1591&gt;=0,Y1591&lt;&gt;1),X1591,"")</x:f>
      </x:c>
      <x:c r="V1591" s="10"/>
      <x:c r="W1591" s="10"/>
      <x:c r="X1591" s="10"/>
      <x:c r="Y1591" s="3"/>
      <x:c r="Z1591" s="3" t="str">
        <x:v>移出</x:v>
      </x:c>
      <x:c r="AA1591" s="3" t="str">
        <x:v>已移出</x:v>
      </x:c>
      <x:c r="AB1591" s="12" t="str">
        <x:f>IF(AND(Z1591="共同",ISNUMBER(G1591),ISNUMBER(AD1591)),G1591-AD1591,"")</x:f>
      </x:c>
      <x:c r="AC1591" s="3" t="str">
        <x:v>基准清单已移出</x:v>
      </x:c>
      <x:c r="AD1591" s="12"/>
      <x:c r="AE1591" s="3" t="str">
        <x:v>[6574,"S02a-ND-37"]</x:v>
      </x:c>
      <x:c r="AF1591" t="n">
        <x:f>IF(ISNUMBER(H1591),1,0)</x:f>
        <x:v>0</x:v>
      </x:c>
      <x:c r="AG1591" t="n">
        <x:f>IF(ISNUMBER(I1591),1,0)</x:f>
        <x:v>1</x:v>
      </x:c>
      <x:c r="AH1591"/>
      <x:c r="AI1591" t="n">
        <x:f>IF(ISNUMBER(G1591),1,0)</x:f>
        <x:v>0</x:v>
      </x:c>
      <x:c r="AJ1591" t="n">
        <x:f>IF(ISNUMBER(AD1591),1,0)</x:f>
        <x:v>0</x:v>
      </x:c>
    </x:row>
    <x:row r="1592" ht="30" customHeight="1">
      <x:c r="A1592" s="3" t="str">
        <x:v>S02a-ND-38</x:v>
      </x:c>
      <x:c r="B1592" s="3" t="str">
        <x:v>3店-SANDIEX-US</x:v>
      </x:c>
      <x:c r="C1592" s="3" t="str">
        <x:v>陈晨</x:v>
      </x:c>
      <x:c r="D1592" s="3" t="str">
        <x:v>S02a</x:v>
      </x:c>
      <x:c r="E1592" s="3" t="str">
        <x:f>IF(Z1592="移出","已移出",IF(NOT(ISNUMBER(H1592)),"数据待核",IF(H1592=0,"断货",IF(NOT(ISNUMBER(G1592)),"数据待核",IF(G1592=0,"零日销待复核",IF(F1592&lt;60,"补货提醒",IF(F1592&lt;=90,"正常库存",IF(F1592&lt;180,"促销",IF(F1592&lt;=365,"红线促销","考虑清仓")))))))))</x:f>
        <x:v>已移出</x:v>
      </x:c>
      <x:c r="F1592" s="11" t="str">
        <x:f>IF(AND(ISNUMBER(H1592),ISNUMBER(G1592),G1592&gt;0),H1592/G1592,"")</x:f>
      </x:c>
      <x:c r="G1592" s="12" t="str">
        <x:f>IF(AND(COUNT(P1592:R1592)=3,MIN(P1592:R1592)&gt;=0,P1592&lt;=Q1592,Q1592&lt;=R1592),P1592/7*0.5+Q1592/14*0.3+R1592/30*0.2,"")</x:f>
      </x:c>
      <x:c r="H1592" s="10" t="str">
        <x:f>IF(ISNUMBER(U1592),U1592,"")</x:f>
      </x:c>
      <x:c r="I1592" s="10" t="n">
        <x:v>0</x:v>
      </x:c>
      <x:c r="J1592" s="11" t="str">
        <x:f>IF(AND(Z1592="共同",ISNUMBER(F1592),ISNUMBER(M1592)),F1592-M1592,"")</x:f>
      </x:c>
      <x:c r="K1592" s="13" t="str">
        <x:f>IF(AND(ISNUMBER(J1592),M1592&lt;&gt;0),J1592/M1592,"")</x:f>
      </x:c>
      <x:c r="L1592" s="10" t="str">
        <x:v>断货</x:v>
      </x:c>
      <x:c r="M1592" s="11"/>
      <x:c r="N1592" s="10" t="str">
        <x:f>IF(AND(Z1592="共同",COUNT(H1592:I1592)=2),H1592-I1592,"")</x:f>
      </x:c>
      <x:c r="O1592" s="10"/>
      <x:c r="P1592" s="10"/>
      <x:c r="Q1592" s="10"/>
      <x:c r="R1592" s="10"/>
      <x:c r="S1592" s="10"/>
      <x:c r="T1592" s="10"/>
      <x:c r="U1592" s="10" t="str">
        <x:f>IF(AND(ISNUMBER(X1592),X1592&gt;=0,Y1592&lt;&gt;1),X1592,"")</x:f>
      </x:c>
      <x:c r="V1592" s="10"/>
      <x:c r="W1592" s="10"/>
      <x:c r="X1592" s="10"/>
      <x:c r="Y1592" s="3"/>
      <x:c r="Z1592" s="3" t="str">
        <x:v>移出</x:v>
      </x:c>
      <x:c r="AA1592" s="3" t="str">
        <x:v>已移出</x:v>
      </x:c>
      <x:c r="AB1592" s="12" t="str">
        <x:f>IF(AND(Z1592="共同",ISNUMBER(G1592),ISNUMBER(AD1592)),G1592-AD1592,"")</x:f>
      </x:c>
      <x:c r="AC1592" s="3" t="str">
        <x:v>基准清单已移出</x:v>
      </x:c>
      <x:c r="AD1592" s="12"/>
      <x:c r="AE1592" s="3" t="str">
        <x:v>[6574,"S02a-ND-38"]</x:v>
      </x:c>
      <x:c r="AF1592" t="n">
        <x:f>IF(ISNUMBER(H1592),1,0)</x:f>
        <x:v>0</x:v>
      </x:c>
      <x:c r="AG1592" t="n">
        <x:f>IF(ISNUMBER(I1592),1,0)</x:f>
        <x:v>1</x:v>
      </x:c>
      <x:c r="AH1592"/>
      <x:c r="AI1592" t="n">
        <x:f>IF(ISNUMBER(G1592),1,0)</x:f>
        <x:v>0</x:v>
      </x:c>
      <x:c r="AJ1592" t="n">
        <x:f>IF(ISNUMBER(AD1592),1,0)</x:f>
        <x:v>0</x:v>
      </x:c>
    </x:row>
  </x:sheetData>
  <x:conditionalFormatting sqref="E9:E1592">
    <x:cfRule type="expression" dxfId="0" priority="1">
      <x:formula>E9="促销"</x:formula>
    </x:cfRule>
    <x:cfRule type="expression" dxfId="1" priority="2">
      <x:formula>E9="红线促销"</x:formula>
    </x:cfRule>
    <x:cfRule type="expression" dxfId="2" priority="3">
      <x:formula>E9="考虑清仓"</x:formula>
    </x:cfRule>
    <x:cfRule type="expression" dxfId="3" priority="4">
      <x:formula>E9="断货"</x:formula>
    </x:cfRule>
    <x:cfRule type="expression" dxfId="4" priority="5">
      <x:formula>E9="数据待核"</x:formula>
    </x:cfRule>
    <x:cfRule type="expression" dxfId="5" priority="6">
      <x:formula>E9="零日销待复核"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4d9989f207cd4590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6" customHeight="1">
      <x:c r="A2" s="5" t="str">
        <x:v>分类覆盖天数环比与统计口径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30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30" customHeight="1">
      <x:c r="A4" s="6" t="str">
        <x:v>当前 1299 个SKU；同店铺同SKU 990 个；新增／店铺变化 309 个；移出／原店铺 285 个。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30" customHeight="1">
      <x:c r="A5" s="6" t="str">
        <x:v>每期分类覆盖＝该类总FBA可售库存÷总正常日加权日销；包含分类迁移，不能直接归因为促销。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3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30" customHeight="1">
      <x:c r="A7" s="25" t="str">
        <x:v>同店铺同SKU比较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42" customHeight="1">
      <x:c r="A8" s="9" t="str">
        <x:v>分类</x:v>
      </x:c>
      <x:c r="B8" s="9" t="str">
        <x:v>基准SKU</x:v>
      </x:c>
      <x:c r="C8" s="9" t="str">
        <x:v>本次SKU</x:v>
      </x:c>
      <x:c r="D8" s="9" t="str">
        <x:v>SKU变化</x:v>
      </x:c>
      <x:c r="E8" s="9" t="str">
        <x:v>基准覆盖 / 天</x:v>
      </x:c>
      <x:c r="F8" s="9" t="str">
        <x:v>本次覆盖 / 天</x:v>
      </x:c>
      <x:c r="G8" s="9" t="str">
        <x:v>覆盖变化 / 天</x:v>
      </x:c>
      <x:c r="H8" s="9" t="str">
        <x:v>覆盖变化率</x:v>
      </x:c>
      <x:c r="I8" s="9" t="str">
        <x:v>辅助基准库存</x:v>
      </x:c>
      <x:c r="J8" s="9" t="str">
        <x:v>辅助本次库存</x:v>
      </x:c>
      <x:c r="K8" s="9" t="str">
        <x:v>基准库存待核</x:v>
      </x:c>
      <x:c r="L8" s="9" t="str">
        <x:v>本期库存待核</x:v>
      </x:c>
    </x:row>
    <x:row r="9" ht="30" customHeight="1">
      <x:c r="A9" s="3" t="str">
        <x:v>促销</x:v>
      </x:c>
      <x:c r="B9" s="10" t="n">
        <x:f>COUNTIFS('SKU明细'!$L$9:$L$1592,"促销",'SKU明细'!$Z$9:$Z$1592,"共同")</x:f>
        <x:v>86</x:v>
      </x:c>
      <x:c r="C9" s="10" t="n">
        <x:f>COUNTIFS('SKU明细'!$E$9:$E$1592,"促销",'SKU明细'!$Z$9:$Z$1592,"共同")</x:f>
        <x:v>75</x:v>
      </x:c>
      <x:c r="D9" s="10" t="n">
        <x:f>C9-B9</x:f>
        <x:v>-11</x:v>
      </x:c>
      <x:c r="E9" s="11" t="n">
        <x:f>IF(AND(B9&gt;0,COUNTIFS('SKU明细'!$L$9:$L$1592,"促销",'SKU明细'!$Z$9:$Z$1592,"共同",'SKU明细'!$AJ$9:$AJ$1592,1)=B9,COUNTIFS('SKU明细'!$L$9:$L$1592,"促销",'SKU明细'!$Z$9:$Z$1592,"共同",'SKU明细'!$AG$9:$AG$1592,1)=B9,SUMIFS('SKU明细'!$AD$9:$AD$1592,'SKU明细'!$L$9:$L$1592,"促销",'SKU明细'!$Z$9:$Z$1592,"共同")&gt;0),SUMIFS('SKU明细'!$I$9:$I$1592,'SKU明细'!$L$9:$L$1592,"促销",'SKU明细'!$Z$9:$Z$1592,"共同")/SUMIFS('SKU明细'!$AD$9:$AD$1592,'SKU明细'!$L$9:$L$1592,"促销",'SKU明细'!$Z$9:$Z$1592,"共同"),"—")</x:f>
        <x:v>120.57342115459124</x:v>
      </x:c>
      <x:c r="F9" s="11" t="n">
        <x:f>IF(AND(C9&gt;0,COUNTIFS('SKU明细'!$E$9:$E$1592,"促销",'SKU明细'!$Z$9:$Z$1592,"共同",'SKU明细'!$AI$9:$AI$1592,1)=C9,COUNTIFS('SKU明细'!$E$9:$E$1592,"促销",'SKU明细'!$Z$9:$Z$1592,"共同",'SKU明细'!$AF$9:$AF$1592,1)=C9,SUMIFS('SKU明细'!$G$9:$G$1592,'SKU明细'!$E$9:$E$1592,"促销",'SKU明细'!$Z$9:$Z$1592,"共同")&gt;0),SUMIFS('SKU明细'!$H$9:$H$1592,'SKU明细'!$E$9:$E$1592,"促销",'SKU明细'!$Z$9:$Z$1592,"共同")/SUMIFS('SKU明细'!$G$9:$G$1592,'SKU明细'!$E$9:$E$1592,"促销",'SKU明细'!$Z$9:$Z$1592,"共同"),"—")</x:f>
        <x:v>116.03163191948238</x:v>
      </x:c>
      <x:c r="G9" s="11" t="n">
        <x:f>IF(COUNT(E9:F9)=2,F9-E9,"—")</x:f>
        <x:v>-4.541789235108865</x:v>
      </x:c>
      <x:c r="H9" s="13" t="n">
        <x:f>IF(AND(ISNUMBER(G9),ISNUMBER(E9),E9&lt;&gt;0),G9/E9,"")</x:f>
        <x:v>-0.03766824555210791</x:v>
      </x:c>
      <x:c r="I9" s="10" t="n">
        <x:f>IF(B9=0,0,IF(COUNTIFS('SKU明细'!$L$9:$L$1592,"促销",'SKU明细'!$Z$9:$Z$1592,"共同",'SKU明细'!$AG$9:$AG$1592,1)=0,"待核",SUMIFS('SKU明细'!$I$9:$I$1592,'SKU明细'!$L$9:$L$1592,"促销",'SKU明细'!$Z$9:$Z$1592,"共同")))</x:f>
        <x:v>3112</x:v>
      </x:c>
      <x:c r="J9" s="10" t="n">
        <x:f>IF(C9=0,0,IF(COUNTIFS('SKU明细'!$E$9:$E$1592,"促销",'SKU明细'!$Z$9:$Z$1592,"共同",'SKU明细'!$AF$9:$AF$1592,1)=0,"待核",SUMIFS('SKU明细'!$H$9:$H$1592,'SKU明细'!$E$9:$E$1592,"促销",'SKU明细'!$Z$9:$Z$1592,"共同")))</x:f>
        <x:v>2690</x:v>
      </x:c>
      <x:c r="K9" s="10" t="n">
        <x:f>B9-COUNTIFS('SKU明细'!$L$9:$L$1592,"促销",'SKU明细'!$Z$9:$Z$1592,"共同",'SKU明细'!$AG$9:$AG$1592,1)</x:f>
        <x:v>0</x:v>
      </x:c>
      <x:c r="L9" s="10" t="n">
        <x:f>C9-COUNTIFS('SKU明细'!$E$9:$E$1592,"促销",'SKU明细'!$Z$9:$Z$1592,"共同",'SKU明细'!$AF$9:$AF$1592,1)</x:f>
        <x:v>0</x:v>
      </x:c>
    </x:row>
    <x:row r="10" ht="30" customHeight="1">
      <x:c r="A10" s="3" t="str">
        <x:v>红线促销</x:v>
      </x:c>
      <x:c r="B10" s="10" t="n">
        <x:f>COUNTIFS('SKU明细'!$L$9:$L$1592,"红线促销",'SKU明细'!$Z$9:$Z$1592,"共同")</x:f>
        <x:v>38</x:v>
      </x:c>
      <x:c r="C10" s="10" t="n">
        <x:f>COUNTIFS('SKU明细'!$E$9:$E$1592,"红线促销",'SKU明细'!$Z$9:$Z$1592,"共同")</x:f>
        <x:v>44</x:v>
      </x:c>
      <x:c r="D10" s="10" t="n">
        <x:f>C10-B10</x:f>
        <x:v>6</x:v>
      </x:c>
      <x:c r="E10" s="11" t="n">
        <x:f>IF(AND(B10&gt;0,COUNTIFS('SKU明细'!$L$9:$L$1592,"红线促销",'SKU明细'!$Z$9:$Z$1592,"共同",'SKU明细'!$AJ$9:$AJ$1592,1)=B10,COUNTIFS('SKU明细'!$L$9:$L$1592,"红线促销",'SKU明细'!$Z$9:$Z$1592,"共同",'SKU明细'!$AG$9:$AG$1592,1)=B10,SUMIFS('SKU明细'!$AD$9:$AD$1592,'SKU明细'!$L$9:$L$1592,"红线促销",'SKU明细'!$Z$9:$Z$1592,"共同")&gt;0),SUMIFS('SKU明细'!$I$9:$I$1592,'SKU明细'!$L$9:$L$1592,"红线促销",'SKU明细'!$Z$9:$Z$1592,"共同")/SUMIFS('SKU明细'!$AD$9:$AD$1592,'SKU明细'!$L$9:$L$1592,"红线促销",'SKU明细'!$Z$9:$Z$1592,"共同"),"—")</x:f>
        <x:v>239.67900133749436</x:v>
      </x:c>
      <x:c r="F10" s="11" t="n">
        <x:f>IF(AND(C10&gt;0,COUNTIFS('SKU明细'!$E$9:$E$1592,"红线促销",'SKU明细'!$Z$9:$Z$1592,"共同",'SKU明细'!$AI$9:$AI$1592,1)=C10,COUNTIFS('SKU明细'!$E$9:$E$1592,"红线促销",'SKU明细'!$Z$9:$Z$1592,"共同",'SKU明细'!$AF$9:$AF$1592,1)=C10,SUMIFS('SKU明细'!$G$9:$G$1592,'SKU明细'!$E$9:$E$1592,"红线促销",'SKU明细'!$Z$9:$Z$1592,"共同")&gt;0),SUMIFS('SKU明细'!$H$9:$H$1592,'SKU明细'!$E$9:$E$1592,"红线促销",'SKU明细'!$Z$9:$Z$1592,"共同")/SUMIFS('SKU明细'!$G$9:$G$1592,'SKU明细'!$E$9:$E$1592,"红线促销",'SKU明细'!$Z$9:$Z$1592,"共同"),"—")</x:f>
        <x:v>256.4346931779225</x:v>
      </x:c>
      <x:c r="G10" s="11" t="n">
        <x:f>IF(COUNT(E10:F10)=2,F10-E10,"—")</x:f>
        <x:v>16.755691840428142</x:v>
      </x:c>
      <x:c r="H10" s="13" t="n">
        <x:f>IF(AND(ISNUMBER(G10),ISNUMBER(E10),E10&lt;&gt;0),G10/E10,"")</x:f>
        <x:v>0.06990888541309585</x:v>
      </x:c>
      <x:c r="I10" s="10" t="n">
        <x:f>IF(B10=0,0,IF(COUNTIFS('SKU明细'!$L$9:$L$1592,"红线促销",'SKU明细'!$Z$9:$Z$1592,"共同",'SKU明细'!$AG$9:$AG$1592,1)=0,"待核",SUMIFS('SKU明细'!$I$9:$I$1592,'SKU明细'!$L$9:$L$1592,"红线促销",'SKU明细'!$Z$9:$Z$1592,"共同")))</x:f>
        <x:v>1280</x:v>
      </x:c>
      <x:c r="J10" s="10" t="n">
        <x:f>IF(C10=0,0,IF(COUNTIFS('SKU明细'!$E$9:$E$1592,"红线促销",'SKU明细'!$Z$9:$Z$1592,"共同",'SKU明细'!$AF$9:$AF$1592,1)=0,"待核",SUMIFS('SKU明细'!$H$9:$H$1592,'SKU明细'!$E$9:$E$1592,"红线促销",'SKU明细'!$Z$9:$Z$1592,"共同")))</x:f>
        <x:v>1781</x:v>
      </x:c>
      <x:c r="K10" s="10" t="n">
        <x:f>B10-COUNTIFS('SKU明细'!$L$9:$L$1592,"红线促销",'SKU明细'!$Z$9:$Z$1592,"共同",'SKU明细'!$AG$9:$AG$1592,1)</x:f>
        <x:v>0</x:v>
      </x:c>
      <x:c r="L10" s="10" t="n">
        <x:f>C10-COUNTIFS('SKU明细'!$E$9:$E$1592,"红线促销",'SKU明细'!$Z$9:$Z$1592,"共同",'SKU明细'!$AF$9:$AF$1592,1)</x:f>
        <x:v>0</x:v>
      </x:c>
    </x:row>
    <x:row r="11" ht="30" customHeight="1">
      <x:c r="A11" s="3" t="str">
        <x:v>考虑清仓</x:v>
      </x:c>
      <x:c r="B11" s="10" t="n">
        <x:f>COUNTIFS('SKU明细'!$L$9:$L$1592,"考虑清仓",'SKU明细'!$Z$9:$Z$1592,"共同")</x:f>
        <x:v>73</x:v>
      </x:c>
      <x:c r="C11" s="10" t="n">
        <x:f>COUNTIFS('SKU明细'!$E$9:$E$1592,"考虑清仓",'SKU明细'!$Z$9:$Z$1592,"共同")</x:f>
        <x:v>74</x:v>
      </x:c>
      <x:c r="D11" s="10" t="n">
        <x:f>C11-B11</x:f>
        <x:v>1</x:v>
      </x:c>
      <x:c r="E11" s="11" t="n">
        <x:f>IF(AND(B11&gt;0,COUNTIFS('SKU明细'!$L$9:$L$1592,"考虑清仓",'SKU明细'!$Z$9:$Z$1592,"共同",'SKU明细'!$AJ$9:$AJ$1592,1)=B11,COUNTIFS('SKU明细'!$L$9:$L$1592,"考虑清仓",'SKU明细'!$Z$9:$Z$1592,"共同",'SKU明细'!$AG$9:$AG$1592,1)=B11,SUMIFS('SKU明细'!$AD$9:$AD$1592,'SKU明细'!$L$9:$L$1592,"考虑清仓",'SKU明细'!$Z$9:$Z$1592,"共同")&gt;0),SUMIFS('SKU明细'!$I$9:$I$1592,'SKU明细'!$L$9:$L$1592,"考虑清仓",'SKU明细'!$Z$9:$Z$1592,"共同")/SUMIFS('SKU明细'!$AD$9:$AD$1592,'SKU明细'!$L$9:$L$1592,"考虑清仓",'SKU明细'!$Z$9:$Z$1592,"共同"),"—")</x:f>
        <x:v>720.4570184983673</x:v>
      </x:c>
      <x:c r="F11" s="11" t="n">
        <x:f>IF(AND(C11&gt;0,COUNTIFS('SKU明细'!$E$9:$E$1592,"考虑清仓",'SKU明细'!$Z$9:$Z$1592,"共同",'SKU明细'!$AI$9:$AI$1592,1)=C11,COUNTIFS('SKU明细'!$E$9:$E$1592,"考虑清仓",'SKU明细'!$Z$9:$Z$1592,"共同",'SKU明细'!$AF$9:$AF$1592,1)=C11,SUMIFS('SKU明细'!$G$9:$G$1592,'SKU明细'!$E$9:$E$1592,"考虑清仓",'SKU明细'!$Z$9:$Z$1592,"共同")&gt;0),SUMIFS('SKU明细'!$H$9:$H$1592,'SKU明细'!$E$9:$E$1592,"考虑清仓",'SKU明细'!$Z$9:$Z$1592,"共同")/SUMIFS('SKU明细'!$G$9:$G$1592,'SKU明细'!$E$9:$E$1592,"考虑清仓",'SKU明细'!$Z$9:$Z$1592,"共同"),"—")</x:f>
        <x:v>936.7172050098878</x:v>
      </x:c>
      <x:c r="G11" s="11" t="n">
        <x:f>IF(COUNT(E11:F11)=2,F11-E11,"—")</x:f>
        <x:v>216.2601865115205</x:v>
      </x:c>
      <x:c r="H11" s="13" t="n">
        <x:f>IF(AND(ISNUMBER(G11),ISNUMBER(E11),E11&lt;&gt;0),G11/E11,"")</x:f>
        <x:v>0.30017083734192335</x:v>
      </x:c>
      <x:c r="I11" s="10" t="n">
        <x:f>IF(B11=0,0,IF(COUNTIFS('SKU明细'!$L$9:$L$1592,"考虑清仓",'SKU明细'!$Z$9:$Z$1592,"共同",'SKU明细'!$AG$9:$AG$1592,1)=0,"待核",SUMIFS('SKU明细'!$I$9:$I$1592,'SKU明细'!$L$9:$L$1592,"考虑清仓",'SKU明细'!$Z$9:$Z$1592,"共同")))</x:f>
        <x:v>2207</x:v>
      </x:c>
      <x:c r="J11" s="10" t="n">
        <x:f>IF(C11=0,0,IF(COUNTIFS('SKU明细'!$E$9:$E$1592,"考虑清仓",'SKU明细'!$Z$9:$Z$1592,"共同",'SKU明细'!$AF$9:$AF$1592,1)=0,"待核",SUMIFS('SKU明细'!$H$9:$H$1592,'SKU明细'!$E$9:$E$1592,"考虑清仓",'SKU明细'!$Z$9:$Z$1592,"共同")))</x:f>
        <x:v>2030</x:v>
      </x:c>
      <x:c r="K11" s="10" t="n">
        <x:f>B11-COUNTIFS('SKU明细'!$L$9:$L$1592,"考虑清仓",'SKU明细'!$Z$9:$Z$1592,"共同",'SKU明细'!$AG$9:$AG$1592,1)</x:f>
        <x:v>0</x:v>
      </x:c>
      <x:c r="L11" s="10" t="n">
        <x:f>C11-COUNTIFS('SKU明细'!$E$9:$E$1592,"考虑清仓",'SKU明细'!$Z$9:$Z$1592,"共同",'SKU明细'!$AF$9:$AF$1592,1)</x:f>
        <x:v>0</x:v>
      </x:c>
    </x:row>
    <x:row r="12" ht="30" customHeight="1">
      <x:c r="A12" s="3" t="str">
        <x:v>断货</x:v>
      </x:c>
      <x:c r="B12" s="10" t="n">
        <x:f>COUNTIFS('SKU明细'!$L$9:$L$1592,"断货",'SKU明细'!$Z$9:$Z$1592,"共同")</x:f>
        <x:v>386</x:v>
      </x:c>
      <x:c r="C12" s="10" t="n">
        <x:f>COUNTIFS('SKU明细'!$E$9:$E$1592,"断货",'SKU明细'!$Z$9:$Z$1592,"共同")</x:f>
        <x:v>404</x:v>
      </x:c>
      <x:c r="D12" s="10" t="n">
        <x:f>C12-B12</x:f>
        <x:v>18</x:v>
      </x:c>
      <x:c r="E12" s="11" t="str">
        <x:f>IF(AND(B12&gt;0,COUNTIFS('SKU明细'!$L$9:$L$1592,"断货",'SKU明细'!$Z$9:$Z$1592,"共同",'SKU明细'!$AJ$9:$AJ$1592,1)=B12,COUNTIFS('SKU明细'!$L$9:$L$1592,"断货",'SKU明细'!$Z$9:$Z$1592,"共同",'SKU明细'!$AG$9:$AG$1592,1)=B12,SUMIFS('SKU明细'!$AD$9:$AD$1592,'SKU明细'!$L$9:$L$1592,"断货",'SKU明细'!$Z$9:$Z$1592,"共同")&gt;0),SUMIFS('SKU明细'!$I$9:$I$1592,'SKU明细'!$L$9:$L$1592,"断货",'SKU明细'!$Z$9:$Z$1592,"共同")/SUMIFS('SKU明细'!$AD$9:$AD$1592,'SKU明细'!$L$9:$L$1592,"断货",'SKU明细'!$Z$9:$Z$1592,"共同"),"—")</x:f>
        <x:v>—</x:v>
      </x:c>
      <x:c r="F12" s="11" t="n">
        <x:f>IF(AND(C12&gt;0,COUNTIFS('SKU明细'!$E$9:$E$1592,"断货",'SKU明细'!$Z$9:$Z$1592,"共同",'SKU明细'!$AI$9:$AI$1592,1)=C12,COUNTIFS('SKU明细'!$E$9:$E$1592,"断货",'SKU明细'!$Z$9:$Z$1592,"共同",'SKU明细'!$AF$9:$AF$1592,1)=C12,SUMIFS('SKU明细'!$G$9:$G$1592,'SKU明细'!$E$9:$E$1592,"断货",'SKU明细'!$Z$9:$Z$1592,"共同")&gt;0),SUMIFS('SKU明细'!$H$9:$H$1592,'SKU明细'!$E$9:$E$1592,"断货",'SKU明细'!$Z$9:$Z$1592,"共同")/SUMIFS('SKU明细'!$G$9:$G$1592,'SKU明细'!$E$9:$E$1592,"断货",'SKU明细'!$Z$9:$Z$1592,"共同"),"—")</x:f>
        <x:v>0</x:v>
      </x:c>
      <x:c r="G12" s="11" t="str">
        <x:f>IF(COUNT(E12:F12)=2,F12-E12,"—")</x:f>
        <x:v>—</x:v>
      </x:c>
      <x:c r="H12" s="13" t="str">
        <x:f>IF(AND(ISNUMBER(G12),ISNUMBER(E12),E12&lt;&gt;0),G12/E12,"")</x:f>
      </x:c>
      <x:c r="I12" s="10" t="n">
        <x:f>IF(B12=0,0,IF(COUNTIFS('SKU明细'!$L$9:$L$1592,"断货",'SKU明细'!$Z$9:$Z$1592,"共同",'SKU明细'!$AG$9:$AG$1592,1)=0,"待核",SUMIFS('SKU明细'!$I$9:$I$1592,'SKU明细'!$L$9:$L$1592,"断货",'SKU明细'!$Z$9:$Z$1592,"共同")))</x:f>
        <x:v>0</x:v>
      </x:c>
      <x:c r="J12" s="10" t="n">
        <x:f>IF(C12=0,0,IF(COUNTIFS('SKU明细'!$E$9:$E$1592,"断货",'SKU明细'!$Z$9:$Z$1592,"共同",'SKU明细'!$AF$9:$AF$1592,1)=0,"待核",SUMIFS('SKU明细'!$H$9:$H$1592,'SKU明细'!$E$9:$E$1592,"断货",'SKU明细'!$Z$9:$Z$1592,"共同")))</x:f>
        <x:v>0</x:v>
      </x:c>
      <x:c r="K12" s="10" t="n">
        <x:f>B12-COUNTIFS('SKU明细'!$L$9:$L$1592,"断货",'SKU明细'!$Z$9:$Z$1592,"共同",'SKU明细'!$AG$9:$AG$1592,1)</x:f>
        <x:v>0</x:v>
      </x:c>
      <x:c r="L12" s="10" t="n">
        <x:f>C12-COUNTIFS('SKU明细'!$E$9:$E$1592,"断货",'SKU明细'!$Z$9:$Z$1592,"共同",'SKU明细'!$AF$9:$AF$1592,1)</x:f>
        <x:v>0</x:v>
      </x:c>
    </x:row>
    <x:row r="13" ht="30" customHeight="1">
      <x:c r="A13" s="3" t="str">
        <x:v>零日销待复核</x:v>
      </x:c>
      <x:c r="B13" s="10" t="n">
        <x:f>COUNTIFS('SKU明细'!$L$9:$L$1592,"零日销待复核",'SKU明细'!$Z$9:$Z$1592,"共同")</x:f>
        <x:v>46</x:v>
      </x:c>
      <x:c r="C13" s="10" t="n">
        <x:f>COUNTIFS('SKU明细'!$E$9:$E$1592,"零日销待复核",'SKU明细'!$Z$9:$Z$1592,"共同")</x:f>
        <x:v>49</x:v>
      </x:c>
      <x:c r="D13" s="10" t="n">
        <x:f>C13-B13</x:f>
        <x:v>3</x:v>
      </x:c>
      <x:c r="E13" s="11" t="str">
        <x:f>IF(AND(B13&gt;0,COUNTIFS('SKU明细'!$L$9:$L$1592,"零日销待复核",'SKU明细'!$Z$9:$Z$1592,"共同",'SKU明细'!$AJ$9:$AJ$1592,1)=B13,COUNTIFS('SKU明细'!$L$9:$L$1592,"零日销待复核",'SKU明细'!$Z$9:$Z$1592,"共同",'SKU明细'!$AG$9:$AG$1592,1)=B13,SUMIFS('SKU明细'!$AD$9:$AD$1592,'SKU明细'!$L$9:$L$1592,"零日销待复核",'SKU明细'!$Z$9:$Z$1592,"共同")&gt;0),SUMIFS('SKU明细'!$I$9:$I$1592,'SKU明细'!$L$9:$L$1592,"零日销待复核",'SKU明细'!$Z$9:$Z$1592,"共同")/SUMIFS('SKU明细'!$AD$9:$AD$1592,'SKU明细'!$L$9:$L$1592,"零日销待复核",'SKU明细'!$Z$9:$Z$1592,"共同"),"—")</x:f>
        <x:v>—</x:v>
      </x:c>
      <x:c r="F13" s="11" t="str">
        <x:f>IF(AND(C13&gt;0,COUNTIFS('SKU明细'!$E$9:$E$1592,"零日销待复核",'SKU明细'!$Z$9:$Z$1592,"共同",'SKU明细'!$AI$9:$AI$1592,1)=C13,COUNTIFS('SKU明细'!$E$9:$E$1592,"零日销待复核",'SKU明细'!$Z$9:$Z$1592,"共同",'SKU明细'!$AF$9:$AF$1592,1)=C13,SUMIFS('SKU明细'!$G$9:$G$1592,'SKU明细'!$E$9:$E$1592,"零日销待复核",'SKU明细'!$Z$9:$Z$1592,"共同")&gt;0),SUMIFS('SKU明细'!$H$9:$H$1592,'SKU明细'!$E$9:$E$1592,"零日销待复核",'SKU明细'!$Z$9:$Z$1592,"共同")/SUMIFS('SKU明细'!$G$9:$G$1592,'SKU明细'!$E$9:$E$1592,"零日销待复核",'SKU明细'!$Z$9:$Z$1592,"共同"),"—")</x:f>
        <x:v>—</x:v>
      </x:c>
      <x:c r="G13" s="11" t="str">
        <x:f>IF(COUNT(E13:F13)=2,F13-E13,"—")</x:f>
        <x:v>—</x:v>
      </x:c>
      <x:c r="H13" s="13" t="str">
        <x:f>IF(AND(ISNUMBER(G13),ISNUMBER(E13),E13&lt;&gt;0),G13/E13,"")</x:f>
      </x:c>
      <x:c r="I13" s="10" t="n">
        <x:f>IF(B13=0,0,IF(COUNTIFS('SKU明细'!$L$9:$L$1592,"零日销待复核",'SKU明细'!$Z$9:$Z$1592,"共同",'SKU明细'!$AG$9:$AG$1592,1)=0,"待核",SUMIFS('SKU明细'!$I$9:$I$1592,'SKU明细'!$L$9:$L$1592,"零日销待复核",'SKU明细'!$Z$9:$Z$1592,"共同")))</x:f>
        <x:v>521</x:v>
      </x:c>
      <x:c r="J13" s="10" t="n">
        <x:f>IF(C13=0,0,IF(COUNTIFS('SKU明细'!$E$9:$E$1592,"零日销待复核",'SKU明细'!$Z$9:$Z$1592,"共同",'SKU明细'!$AF$9:$AF$1592,1)=0,"待核",SUMIFS('SKU明细'!$H$9:$H$1592,'SKU明细'!$E$9:$E$1592,"零日销待复核",'SKU明细'!$Z$9:$Z$1592,"共同")))</x:f>
        <x:v>587</x:v>
      </x:c>
      <x:c r="K13" s="10" t="n">
        <x:f>B13-COUNTIFS('SKU明细'!$L$9:$L$1592,"零日销待复核",'SKU明细'!$Z$9:$Z$1592,"共同",'SKU明细'!$AG$9:$AG$1592,1)</x:f>
        <x:v>0</x:v>
      </x:c>
      <x:c r="L13" s="10" t="n">
        <x:f>C13-COUNTIFS('SKU明细'!$E$9:$E$1592,"零日销待复核",'SKU明细'!$Z$9:$Z$1592,"共同",'SKU明细'!$AF$9:$AF$1592,1)</x:f>
        <x:v>0</x:v>
      </x:c>
    </x:row>
    <x:row r="14" ht="30" customHeight="1">
      <x:c r="A14" s="3" t="str">
        <x:v>数据待核</x:v>
      </x:c>
      <x:c r="B14" s="10" t="n">
        <x:f>COUNTIFS('SKU明细'!$L$9:$L$1592,"数据待核",'SKU明细'!$Z$9:$Z$1592,"共同")</x:f>
        <x:v>26</x:v>
      </x:c>
      <x:c r="C14" s="10" t="n">
        <x:f>COUNTIFS('SKU明细'!$E$9:$E$1592,"数据待核",'SKU明细'!$Z$9:$Z$1592,"共同")</x:f>
        <x:v>6</x:v>
      </x:c>
      <x:c r="D14" s="10" t="n">
        <x:f>C14-B14</x:f>
        <x:v>-20</x:v>
      </x:c>
      <x:c r="E14" s="11" t="str">
        <x:f>IF(AND(B14&gt;0,COUNTIFS('SKU明细'!$L$9:$L$1592,"数据待核",'SKU明细'!$Z$9:$Z$1592,"共同",'SKU明细'!$AJ$9:$AJ$1592,1)=B14,COUNTIFS('SKU明细'!$L$9:$L$1592,"数据待核",'SKU明细'!$Z$9:$Z$1592,"共同",'SKU明细'!$AG$9:$AG$1592,1)=B14,SUMIFS('SKU明细'!$AD$9:$AD$1592,'SKU明细'!$L$9:$L$1592,"数据待核",'SKU明细'!$Z$9:$Z$1592,"共同")&gt;0),SUMIFS('SKU明细'!$I$9:$I$1592,'SKU明细'!$L$9:$L$1592,"数据待核",'SKU明细'!$Z$9:$Z$1592,"共同")/SUMIFS('SKU明细'!$AD$9:$AD$1592,'SKU明细'!$L$9:$L$1592,"数据待核",'SKU明细'!$Z$9:$Z$1592,"共同"),"—")</x:f>
        <x:v>—</x:v>
      </x:c>
      <x:c r="F14" s="11" t="str">
        <x:f>IF(AND(C14&gt;0,COUNTIFS('SKU明细'!$E$9:$E$1592,"数据待核",'SKU明细'!$Z$9:$Z$1592,"共同",'SKU明细'!$AI$9:$AI$1592,1)=C14,COUNTIFS('SKU明细'!$E$9:$E$1592,"数据待核",'SKU明细'!$Z$9:$Z$1592,"共同",'SKU明细'!$AF$9:$AF$1592,1)=C14,SUMIFS('SKU明细'!$G$9:$G$1592,'SKU明细'!$E$9:$E$1592,"数据待核",'SKU明细'!$Z$9:$Z$1592,"共同")&gt;0),SUMIFS('SKU明细'!$H$9:$H$1592,'SKU明细'!$E$9:$E$1592,"数据待核",'SKU明细'!$Z$9:$Z$1592,"共同")/SUMIFS('SKU明细'!$G$9:$G$1592,'SKU明细'!$E$9:$E$1592,"数据待核",'SKU明细'!$Z$9:$Z$1592,"共同"),"—")</x:f>
        <x:v>—</x:v>
      </x:c>
      <x:c r="G14" s="11" t="str">
        <x:f>IF(COUNT(E14:F14)=2,F14-E14,"—")</x:f>
        <x:v>—</x:v>
      </x:c>
      <x:c r="H14" s="13" t="str">
        <x:f>IF(AND(ISNUMBER(G14),ISNUMBER(E14),E14&lt;&gt;0),G14/E14,"")</x:f>
      </x:c>
      <x:c r="I14" s="10" t="n">
        <x:f>IF(B14=0,0,IF(COUNTIFS('SKU明细'!$L$9:$L$1592,"数据待核",'SKU明细'!$Z$9:$Z$1592,"共同",'SKU明细'!$AG$9:$AG$1592,1)=0,"待核",SUMIFS('SKU明细'!$I$9:$I$1592,'SKU明细'!$L$9:$L$1592,"数据待核",'SKU明细'!$Z$9:$Z$1592,"共同")))</x:f>
        <x:v>511</x:v>
      </x:c>
      <x:c r="J14" s="10" t="n">
        <x:f>IF(C14=0,0,IF(COUNTIFS('SKU明细'!$E$9:$E$1592,"数据待核",'SKU明细'!$Z$9:$Z$1592,"共同",'SKU明细'!$AF$9:$AF$1592,1)=0,"待核",SUMIFS('SKU明细'!$H$9:$H$1592,'SKU明细'!$E$9:$E$1592,"数据待核",'SKU明细'!$Z$9:$Z$1592,"共同")))</x:f>
        <x:v>171</x:v>
      </x:c>
      <x:c r="K14" s="10" t="n">
        <x:f>B14-COUNTIFS('SKU明细'!$L$9:$L$1592,"数据待核",'SKU明细'!$Z$9:$Z$1592,"共同",'SKU明细'!$AG$9:$AG$1592,1)</x:f>
        <x:v>0</x:v>
      </x:c>
      <x:c r="L14" s="10" t="n">
        <x:f>C14-COUNTIFS('SKU明细'!$E$9:$E$1592,"数据待核",'SKU明细'!$Z$9:$Z$1592,"共同",'SKU明细'!$AF$9:$AF$1592,1)</x:f>
        <x:v>0</x:v>
      </x:c>
    </x:row>
    <x:row r="15" ht="30" customHeight="1">
      <x:c r="A15" s="3" t="str">
        <x:v>正常库存</x:v>
      </x:c>
      <x:c r="B15" s="10" t="n">
        <x:f>COUNTIFS('SKU明细'!$L$9:$L$1592,"正常库存",'SKU明细'!$Z$9:$Z$1592,"共同")</x:f>
        <x:v>60</x:v>
      </x:c>
      <x:c r="C15" s="10" t="n">
        <x:f>COUNTIFS('SKU明细'!$E$9:$E$1592,"正常库存",'SKU明细'!$Z$9:$Z$1592,"共同")</x:f>
        <x:v>69</x:v>
      </x:c>
      <x:c r="D15" s="10" t="n">
        <x:f>C15-B15</x:f>
        <x:v>9</x:v>
      </x:c>
      <x:c r="E15" s="11" t="n">
        <x:f>IF(AND(B15&gt;0,COUNTIFS('SKU明细'!$L$9:$L$1592,"正常库存",'SKU明细'!$Z$9:$Z$1592,"共同",'SKU明细'!$AJ$9:$AJ$1592,1)=B15,COUNTIFS('SKU明细'!$L$9:$L$1592,"正常库存",'SKU明细'!$Z$9:$Z$1592,"共同",'SKU明细'!$AG$9:$AG$1592,1)=B15,SUMIFS('SKU明细'!$AD$9:$AD$1592,'SKU明细'!$L$9:$L$1592,"正常库存",'SKU明细'!$Z$9:$Z$1592,"共同")&gt;0),SUMIFS('SKU明细'!$I$9:$I$1592,'SKU明细'!$L$9:$L$1592,"正常库存",'SKU明细'!$Z$9:$Z$1592,"共同")/SUMIFS('SKU明细'!$AD$9:$AD$1592,'SKU明细'!$L$9:$L$1592,"正常库存",'SKU明细'!$Z$9:$Z$1592,"共同"),"—")</x:f>
        <x:v>75.15840321197798</x:v>
      </x:c>
      <x:c r="F15" s="11" t="n">
        <x:f>IF(AND(C15&gt;0,COUNTIFS('SKU明细'!$E$9:$E$1592,"正常库存",'SKU明细'!$Z$9:$Z$1592,"共同",'SKU明细'!$AI$9:$AI$1592,1)=C15,COUNTIFS('SKU明细'!$E$9:$E$1592,"正常库存",'SKU明细'!$Z$9:$Z$1592,"共同",'SKU明细'!$AF$9:$AF$1592,1)=C15,SUMIFS('SKU明细'!$G$9:$G$1592,'SKU明细'!$E$9:$E$1592,"正常库存",'SKU明细'!$Z$9:$Z$1592,"共同")&gt;0),SUMIFS('SKU明细'!$H$9:$H$1592,'SKU明细'!$E$9:$E$1592,"正常库存",'SKU明细'!$Z$9:$Z$1592,"共同")/SUMIFS('SKU明细'!$G$9:$G$1592,'SKU明细'!$E$9:$E$1592,"正常库存",'SKU明细'!$Z$9:$Z$1592,"共同"),"—")</x:f>
        <x:v>72.09727184150698</x:v>
      </x:c>
      <x:c r="G15" s="11" t="n">
        <x:f>IF(COUNT(E15:F15)=2,F15-E15,"—")</x:f>
        <x:v>-3.061131370471003</x:v>
      </x:c>
      <x:c r="H15" s="13" t="n">
        <x:f>IF(AND(ISNUMBER(G15),ISNUMBER(E15),E15&lt;&gt;0),G15/E15,"")</x:f>
        <x:v>-0.040729063413406194</x:v>
      </x:c>
      <x:c r="I15" s="10" t="n">
        <x:f>IF(B15=0,0,IF(COUNTIFS('SKU明细'!$L$9:$L$1592,"正常库存",'SKU明细'!$Z$9:$Z$1592,"共同",'SKU明细'!$AG$9:$AG$1592,1)=0,"待核",SUMIFS('SKU明细'!$I$9:$I$1592,'SKU明细'!$L$9:$L$1592,"正常库存",'SKU明细'!$Z$9:$Z$1592,"共同")))</x:f>
        <x:v>3423</x:v>
      </x:c>
      <x:c r="J15" s="10" t="n">
        <x:f>IF(C15=0,0,IF(COUNTIFS('SKU明细'!$E$9:$E$1592,"正常库存",'SKU明细'!$Z$9:$Z$1592,"共同",'SKU明细'!$AF$9:$AF$1592,1)=0,"待核",SUMIFS('SKU明细'!$H$9:$H$1592,'SKU明细'!$E$9:$E$1592,"正常库存",'SKU明细'!$Z$9:$Z$1592,"共同")))</x:f>
        <x:v>2537</x:v>
      </x:c>
      <x:c r="K15" s="10" t="n">
        <x:f>B15-COUNTIFS('SKU明细'!$L$9:$L$1592,"正常库存",'SKU明细'!$Z$9:$Z$1592,"共同",'SKU明细'!$AG$9:$AG$1592,1)</x:f>
        <x:v>0</x:v>
      </x:c>
      <x:c r="L15" s="10" t="n">
        <x:f>C15-COUNTIFS('SKU明细'!$E$9:$E$1592,"正常库存",'SKU明细'!$Z$9:$Z$1592,"共同",'SKU明细'!$AF$9:$AF$1592,1)</x:f>
        <x:v>0</x:v>
      </x:c>
    </x:row>
    <x:row r="16" ht="30" customHeight="1">
      <x:c r="A16" s="3" t="str">
        <x:v>补货提醒</x:v>
      </x:c>
      <x:c r="B16" s="10" t="n">
        <x:f>COUNTIFS('SKU明细'!$L$9:$L$1592,"补货提醒",'SKU明细'!$Z$9:$Z$1592,"共同")</x:f>
        <x:v>275</x:v>
      </x:c>
      <x:c r="C16" s="10" t="n">
        <x:f>COUNTIFS('SKU明细'!$E$9:$E$1592,"补货提醒",'SKU明细'!$Z$9:$Z$1592,"共同")</x:f>
        <x:v>269</x:v>
      </x:c>
      <x:c r="D16" s="10" t="n">
        <x:f>C16-B16</x:f>
        <x:v>-6</x:v>
      </x:c>
      <x:c r="E16" s="11" t="n">
        <x:f>IF(AND(B16&gt;0,COUNTIFS('SKU明细'!$L$9:$L$1592,"补货提醒",'SKU明细'!$Z$9:$Z$1592,"共同",'SKU明细'!$AJ$9:$AJ$1592,1)=B16,COUNTIFS('SKU明细'!$L$9:$L$1592,"补货提醒",'SKU明细'!$Z$9:$Z$1592,"共同",'SKU明细'!$AG$9:$AG$1592,1)=B16,SUMIFS('SKU明细'!$AD$9:$AD$1592,'SKU明细'!$L$9:$L$1592,"补货提醒",'SKU明细'!$Z$9:$Z$1592,"共同")&gt;0),SUMIFS('SKU明细'!$I$9:$I$1592,'SKU明细'!$L$9:$L$1592,"补货提醒",'SKU明细'!$Z$9:$Z$1592,"共同")/SUMIFS('SKU明细'!$AD$9:$AD$1592,'SKU明细'!$L$9:$L$1592,"补货提醒",'SKU明细'!$Z$9:$Z$1592,"共同"),"—")</x:f>
        <x:v>23.74719257191017</x:v>
      </x:c>
      <x:c r="F16" s="11" t="n">
        <x:f>IF(AND(C16&gt;0,COUNTIFS('SKU明细'!$E$9:$E$1592,"补货提醒",'SKU明细'!$Z$9:$Z$1592,"共同",'SKU明细'!$AI$9:$AI$1592,1)=C16,COUNTIFS('SKU明细'!$E$9:$E$1592,"补货提醒",'SKU明细'!$Z$9:$Z$1592,"共同",'SKU明细'!$AF$9:$AF$1592,1)=C16,SUMIFS('SKU明细'!$G$9:$G$1592,'SKU明细'!$E$9:$E$1592,"补货提醒",'SKU明细'!$Z$9:$Z$1592,"共同")&gt;0),SUMIFS('SKU明细'!$H$9:$H$1592,'SKU明细'!$E$9:$E$1592,"补货提醒",'SKU明细'!$Z$9:$Z$1592,"共同")/SUMIFS('SKU明细'!$G$9:$G$1592,'SKU明细'!$E$9:$E$1592,"补货提醒",'SKU明细'!$Z$9:$Z$1592,"共同"),"—")</x:f>
        <x:v>19.239472982789877</x:v>
      </x:c>
      <x:c r="G16" s="11" t="n">
        <x:f>IF(COUNT(E16:F16)=2,F16-E16,"—")</x:f>
        <x:v>-4.507719589120292</x:v>
      </x:c>
      <x:c r="H16" s="13" t="n">
        <x:f>IF(AND(ISNUMBER(G16),ISNUMBER(E16),E16&lt;&gt;0),G16/E16,"")</x:f>
        <x:v>-0.18982115782613967</x:v>
      </x:c>
      <x:c r="I16" s="10" t="n">
        <x:f>IF(B16=0,0,IF(COUNTIFS('SKU明细'!$L$9:$L$1592,"补货提醒",'SKU明细'!$Z$9:$Z$1592,"共同",'SKU明细'!$AG$9:$AG$1592,1)=0,"待核",SUMIFS('SKU明细'!$I$9:$I$1592,'SKU明细'!$L$9:$L$1592,"补货提醒",'SKU明细'!$Z$9:$Z$1592,"共同")))</x:f>
        <x:v>7205</x:v>
      </x:c>
      <x:c r="J16" s="10" t="n">
        <x:f>IF(C16=0,0,IF(COUNTIFS('SKU明细'!$E$9:$E$1592,"补货提醒",'SKU明细'!$Z$9:$Z$1592,"共同",'SKU明细'!$AF$9:$AF$1592,1)=0,"待核",SUMIFS('SKU明细'!$H$9:$H$1592,'SKU明细'!$E$9:$E$1592,"补货提醒",'SKU明细'!$Z$9:$Z$1592,"共同")))</x:f>
        <x:v>7012</x:v>
      </x:c>
      <x:c r="K16" s="10" t="n">
        <x:f>B16-COUNTIFS('SKU明细'!$L$9:$L$1592,"补货提醒",'SKU明细'!$Z$9:$Z$1592,"共同",'SKU明细'!$AG$9:$AG$1592,1)</x:f>
        <x:v>0</x:v>
      </x:c>
      <x:c r="L16" s="10" t="n">
        <x:f>C16-COUNTIFS('SKU明细'!$E$9:$E$1592,"补货提醒",'SKU明细'!$Z$9:$Z$1592,"共同",'SKU明细'!$AF$9:$AF$1592,1)</x:f>
        <x:v>0</x:v>
      </x:c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</x:row>
    <x:row r="18" ht="30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</x:row>
    <x:row r="19" ht="30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</x:row>
    <x:row r="20" ht="30" customHeight="1">
      <x:c r="A20" s="25" t="str">
        <x:v>全量清单比较（含新增、移出）</x:v>
      </x:c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  <x:row r="21" ht="42" customHeight="1">
      <x:c r="A21" s="9" t="str">
        <x:v>分类</x:v>
      </x:c>
      <x:c r="B21" s="9" t="str">
        <x:v>基准SKU</x:v>
      </x:c>
      <x:c r="C21" s="9" t="str">
        <x:v>本次SKU</x:v>
      </x:c>
      <x:c r="D21" s="9" t="str">
        <x:v>SKU变化</x:v>
      </x:c>
      <x:c r="E21" s="9" t="str">
        <x:v>基准覆盖 / 天</x:v>
      </x:c>
      <x:c r="F21" s="9" t="str">
        <x:v>本次覆盖 / 天</x:v>
      </x:c>
      <x:c r="G21" s="9" t="str">
        <x:v>覆盖变化 / 天</x:v>
      </x:c>
      <x:c r="H21" s="9" t="str">
        <x:v>覆盖变化率</x:v>
      </x:c>
      <x:c r="I21" s="9" t="str">
        <x:v>辅助基准库存</x:v>
      </x:c>
      <x:c r="J21" s="9" t="str">
        <x:v>辅助本次库存</x:v>
      </x:c>
      <x:c r="K21" s="9" t="str">
        <x:v>基准库存待核</x:v>
      </x:c>
      <x:c r="L21" s="9" t="str">
        <x:v>本期库存待核</x:v>
      </x:c>
    </x:row>
    <x:row r="22" ht="30" customHeight="1">
      <x:c r="A22" s="3" t="str">
        <x:v>促销</x:v>
      </x:c>
      <x:c r="B22" s="10" t="n">
        <x:f>COUNTIFS('SKU明细'!$L$9:$L$1592,"促销")</x:f>
        <x:v>86</x:v>
      </x:c>
      <x:c r="C22" s="10" t="n">
        <x:f>COUNTIFS('SKU明细'!$E$9:$E$1592,"促销")</x:f>
        <x:v>80</x:v>
      </x:c>
      <x:c r="D22" s="10" t="n">
        <x:f>C22-B22</x:f>
        <x:v>-6</x:v>
      </x:c>
      <x:c r="E22" s="11" t="n">
        <x:f>IF(AND(B22&gt;0,COUNTIFS('SKU明细'!$L$9:$L$1592,"促销",'SKU明细'!$AJ$9:$AJ$1592,1)=B22,COUNTIFS('SKU明细'!$L$9:$L$1592,"促销",'SKU明细'!$AG$9:$AG$1592,1)=B22,SUMIFS('SKU明细'!$AD$9:$AD$1592,'SKU明细'!$L$9:$L$1592,"促销")&gt;0),SUMIFS('SKU明细'!$I$9:$I$1592,'SKU明细'!$L$9:$L$1592,"促销")/SUMIFS('SKU明细'!$AD$9:$AD$1592,'SKU明细'!$L$9:$L$1592,"促销"),"—")</x:f>
        <x:v>120.57342115459124</x:v>
      </x:c>
      <x:c r="F22" s="11" t="n">
        <x:f>IF(AND(C22&gt;0,COUNTIFS('SKU明细'!$E$9:$E$1592,"促销",'SKU明细'!$AI$9:$AI$1592,1)=C22,COUNTIFS('SKU明细'!$E$9:$E$1592,"促销",'SKU明细'!$AF$9:$AF$1592,1)=C22,SUMIFS('SKU明细'!$G$9:$G$1592,'SKU明细'!$E$9:$E$1592,"促销")&gt;0),SUMIFS('SKU明细'!$H$9:$H$1592,'SKU明细'!$E$9:$E$1592,"促销")/SUMIFS('SKU明细'!$G$9:$G$1592,'SKU明细'!$E$9:$E$1592,"促销"),"—")</x:f>
        <x:v>116.18344438441682</x:v>
      </x:c>
      <x:c r="G22" s="11" t="n">
        <x:f>IF(COUNT(E22:F22)=2,F22-E22,"—")</x:f>
        <x:v>-4.389976770174428</x:v>
      </x:c>
      <x:c r="H22" s="13" t="n">
        <x:f>IF(AND(ISNUMBER(G22),ISNUMBER(E22),E22&lt;&gt;0),G22/E22,"")</x:f>
        <x:v>-0.03640915823849678</x:v>
      </x:c>
      <x:c r="I22" s="10" t="n">
        <x:f>IF(B22=0,0,IF(COUNTIFS('SKU明细'!$L$9:$L$1592,"促销",'SKU明细'!$AG$9:$AG$1592,1)=0,"待核",SUMIFS('SKU明细'!$I$9:$I$1592,'SKU明细'!$L$9:$L$1592,"促销")))</x:f>
        <x:v>3112</x:v>
      </x:c>
      <x:c r="J22" s="10" t="n">
        <x:f>IF(C22=0,0,IF(COUNTIFS('SKU明细'!$E$9:$E$1592,"促销",'SKU明细'!$AF$9:$AF$1592,1)=0,"待核",SUMIFS('SKU明细'!$H$9:$H$1592,'SKU明细'!$E$9:$E$1592,"促销")))</x:f>
        <x:v>2765</x:v>
      </x:c>
      <x:c r="K22" s="10" t="n">
        <x:f>B22-COUNTIFS('SKU明细'!$L$9:$L$1592,"促销",'SKU明细'!$AG$9:$AG$1592,1)</x:f>
        <x:v>0</x:v>
      </x:c>
      <x:c r="L22" s="10" t="n">
        <x:f>C22-COUNTIFS('SKU明细'!$E$9:$E$1592,"促销",'SKU明细'!$AF$9:$AF$1592,1)</x:f>
        <x:v>0</x:v>
      </x:c>
    </x:row>
    <x:row r="23" ht="30" customHeight="1">
      <x:c r="A23" s="3" t="str">
        <x:v>红线促销</x:v>
      </x:c>
      <x:c r="B23" s="10" t="n">
        <x:f>COUNTIFS('SKU明细'!$L$9:$L$1592,"红线促销")</x:f>
        <x:v>38</x:v>
      </x:c>
      <x:c r="C23" s="10" t="n">
        <x:f>COUNTIFS('SKU明细'!$E$9:$E$1592,"红线促销")</x:f>
        <x:v>48</x:v>
      </x:c>
      <x:c r="D23" s="10" t="n">
        <x:f>C23-B23</x:f>
        <x:v>10</x:v>
      </x:c>
      <x:c r="E23" s="11" t="n">
        <x:f>IF(AND(B23&gt;0,COUNTIFS('SKU明细'!$L$9:$L$1592,"红线促销",'SKU明细'!$AJ$9:$AJ$1592,1)=B23,COUNTIFS('SKU明细'!$L$9:$L$1592,"红线促销",'SKU明细'!$AG$9:$AG$1592,1)=B23,SUMIFS('SKU明细'!$AD$9:$AD$1592,'SKU明细'!$L$9:$L$1592,"红线促销")&gt;0),SUMIFS('SKU明细'!$I$9:$I$1592,'SKU明细'!$L$9:$L$1592,"红线促销")/SUMIFS('SKU明细'!$AD$9:$AD$1592,'SKU明细'!$L$9:$L$1592,"红线促销"),"—")</x:f>
        <x:v>239.67900133749436</x:v>
      </x:c>
      <x:c r="F23" s="11" t="n">
        <x:f>IF(AND(C23&gt;0,COUNTIFS('SKU明细'!$E$9:$E$1592,"红线促销",'SKU明细'!$AI$9:$AI$1592,1)=C23,COUNTIFS('SKU明细'!$E$9:$E$1592,"红线促销",'SKU明细'!$AF$9:$AF$1592,1)=C23,SUMIFS('SKU明细'!$G$9:$G$1592,'SKU明细'!$E$9:$E$1592,"红线促销")&gt;0),SUMIFS('SKU明细'!$H$9:$H$1592,'SKU明细'!$E$9:$E$1592,"红线促销")/SUMIFS('SKU明细'!$G$9:$G$1592,'SKU明细'!$E$9:$E$1592,"红线促销"),"—")</x:f>
        <x:v>257.2843091953264</x:v>
      </x:c>
      <x:c r="G23" s="11" t="n">
        <x:f>IF(COUNT(E23:F23)=2,F23-E23,"—")</x:f>
        <x:v>17.60530785783203</x:v>
      </x:c>
      <x:c r="H23" s="13" t="n">
        <x:f>IF(AND(ISNUMBER(G23),ISNUMBER(E23),E23&lt;&gt;0),G23/E23,"")</x:f>
        <x:v>0.07345369331309014</x:v>
      </x:c>
      <x:c r="I23" s="10" t="n">
        <x:f>IF(B23=0,0,IF(COUNTIFS('SKU明细'!$L$9:$L$1592,"红线促销",'SKU明细'!$AG$9:$AG$1592,1)=0,"待核",SUMIFS('SKU明细'!$I$9:$I$1592,'SKU明细'!$L$9:$L$1592,"红线促销")))</x:f>
        <x:v>1280</x:v>
      </x:c>
      <x:c r="J23" s="10" t="n">
        <x:f>IF(C23=0,0,IF(COUNTIFS('SKU明细'!$E$9:$E$1592,"红线促销",'SKU明细'!$AF$9:$AF$1592,1)=0,"待核",SUMIFS('SKU明细'!$H$9:$H$1592,'SKU明细'!$E$9:$E$1592,"红线促销")))</x:f>
        <x:v>1856</x:v>
      </x:c>
      <x:c r="K23" s="10" t="n">
        <x:f>B23-COUNTIFS('SKU明细'!$L$9:$L$1592,"红线促销",'SKU明细'!$AG$9:$AG$1592,1)</x:f>
        <x:v>0</x:v>
      </x:c>
      <x:c r="L23" s="10" t="n">
        <x:f>C23-COUNTIFS('SKU明细'!$E$9:$E$1592,"红线促销",'SKU明细'!$AF$9:$AF$1592,1)</x:f>
        <x:v>0</x:v>
      </x:c>
    </x:row>
    <x:row r="24" ht="30" customHeight="1">
      <x:c r="A24" s="3" t="str">
        <x:v>考虑清仓</x:v>
      </x:c>
      <x:c r="B24" s="10" t="n">
        <x:f>COUNTIFS('SKU明细'!$L$9:$L$1592,"考虑清仓")</x:f>
        <x:v>73</x:v>
      </x:c>
      <x:c r="C24" s="10" t="n">
        <x:f>COUNTIFS('SKU明细'!$E$9:$E$1592,"考虑清仓")</x:f>
        <x:v>77</x:v>
      </x:c>
      <x:c r="D24" s="10" t="n">
        <x:f>C24-B24</x:f>
        <x:v>4</x:v>
      </x:c>
      <x:c r="E24" s="11" t="n">
        <x:f>IF(AND(B24&gt;0,COUNTIFS('SKU明细'!$L$9:$L$1592,"考虑清仓",'SKU明细'!$AJ$9:$AJ$1592,1)=B24,COUNTIFS('SKU明细'!$L$9:$L$1592,"考虑清仓",'SKU明细'!$AG$9:$AG$1592,1)=B24,SUMIFS('SKU明细'!$AD$9:$AD$1592,'SKU明细'!$L$9:$L$1592,"考虑清仓")&gt;0),SUMIFS('SKU明细'!$I$9:$I$1592,'SKU明细'!$L$9:$L$1592,"考虑清仓")/SUMIFS('SKU明细'!$AD$9:$AD$1592,'SKU明细'!$L$9:$L$1592,"考虑清仓"),"—")</x:f>
        <x:v>720.4570184983673</x:v>
      </x:c>
      <x:c r="F24" s="11" t="n">
        <x:f>IF(AND(C24&gt;0,COUNTIFS('SKU明细'!$E$9:$E$1592,"考虑清仓",'SKU明细'!$AI$9:$AI$1592,1)=C24,COUNTIFS('SKU明细'!$E$9:$E$1592,"考虑清仓",'SKU明细'!$AF$9:$AF$1592,1)=C24,SUMIFS('SKU明细'!$G$9:$G$1592,'SKU明细'!$E$9:$E$1592,"考虑清仓")&gt;0),SUMIFS('SKU明细'!$H$9:$H$1592,'SKU明细'!$E$9:$E$1592,"考虑清仓")/SUMIFS('SKU明细'!$G$9:$G$1592,'SKU明细'!$E$9:$E$1592,"考虑清仓"),"—")</x:f>
        <x:v>906.6041581736647</x:v>
      </x:c>
      <x:c r="G24" s="11" t="n">
        <x:f>IF(COUNT(E24:F24)=2,F24-E24,"—")</x:f>
        <x:v>186.14713967529735</x:v>
      </x:c>
      <x:c r="H24" s="13" t="n">
        <x:f>IF(AND(ISNUMBER(G24),ISNUMBER(E24),E24&lt;&gt;0),G24/E24,"")</x:f>
        <x:v>0.25837369183144293</x:v>
      </x:c>
      <x:c r="I24" s="10" t="n">
        <x:f>IF(B24=0,0,IF(COUNTIFS('SKU明细'!$L$9:$L$1592,"考虑清仓",'SKU明细'!$AG$9:$AG$1592,1)=0,"待核",SUMIFS('SKU明细'!$I$9:$I$1592,'SKU明细'!$L$9:$L$1592,"考虑清仓")))</x:f>
        <x:v>2207</x:v>
      </x:c>
      <x:c r="J24" s="10" t="n">
        <x:f>IF(C24=0,0,IF(COUNTIFS('SKU明细'!$E$9:$E$1592,"考虑清仓",'SKU明细'!$AF$9:$AF$1592,1)=0,"待核",SUMIFS('SKU明细'!$H$9:$H$1592,'SKU明细'!$E$9:$E$1592,"考虑清仓")))</x:f>
        <x:v>2118</x:v>
      </x:c>
      <x:c r="K24" s="10" t="n">
        <x:f>B24-COUNTIFS('SKU明细'!$L$9:$L$1592,"考虑清仓",'SKU明细'!$AG$9:$AG$1592,1)</x:f>
        <x:v>0</x:v>
      </x:c>
      <x:c r="L24" s="10" t="n">
        <x:f>C24-COUNTIFS('SKU明细'!$E$9:$E$1592,"考虑清仓",'SKU明细'!$AF$9:$AF$1592,1)</x:f>
        <x:v>0</x:v>
      </x:c>
    </x:row>
    <x:row r="25" ht="30" customHeight="1">
      <x:c r="A25" s="3" t="str">
        <x:v>断货</x:v>
      </x:c>
      <x:c r="B25" s="10" t="n">
        <x:f>COUNTIFS('SKU明细'!$L$9:$L$1592,"断货")</x:f>
        <x:v>598</x:v>
      </x:c>
      <x:c r="C25" s="10" t="n">
        <x:f>COUNTIFS('SKU明细'!$E$9:$E$1592,"断货")</x:f>
        <x:v>550</x:v>
      </x:c>
      <x:c r="D25" s="10" t="n">
        <x:f>C25-B25</x:f>
        <x:v>-48</x:v>
      </x:c>
      <x:c r="E25" s="11" t="str">
        <x:f>IF(AND(B25&gt;0,COUNTIFS('SKU明细'!$L$9:$L$1592,"断货",'SKU明细'!$AJ$9:$AJ$1592,1)=B25,COUNTIFS('SKU明细'!$L$9:$L$1592,"断货",'SKU明细'!$AG$9:$AG$1592,1)=B25,SUMIFS('SKU明细'!$AD$9:$AD$1592,'SKU明细'!$L$9:$L$1592,"断货")&gt;0),SUMIFS('SKU明细'!$I$9:$I$1592,'SKU明细'!$L$9:$L$1592,"断货")/SUMIFS('SKU明细'!$AD$9:$AD$1592,'SKU明细'!$L$9:$L$1592,"断货"),"—")</x:f>
        <x:v>—</x:v>
      </x:c>
      <x:c r="F25" s="11" t="n">
        <x:f>IF(AND(C25&gt;0,COUNTIFS('SKU明细'!$E$9:$E$1592,"断货",'SKU明细'!$AI$9:$AI$1592,1)=C25,COUNTIFS('SKU明细'!$E$9:$E$1592,"断货",'SKU明细'!$AF$9:$AF$1592,1)=C25,SUMIFS('SKU明细'!$G$9:$G$1592,'SKU明细'!$E$9:$E$1592,"断货")&gt;0),SUMIFS('SKU明细'!$H$9:$H$1592,'SKU明细'!$E$9:$E$1592,"断货")/SUMIFS('SKU明细'!$G$9:$G$1592,'SKU明细'!$E$9:$E$1592,"断货"),"—")</x:f>
        <x:v>0</x:v>
      </x:c>
      <x:c r="G25" s="11" t="str">
        <x:f>IF(COUNT(E25:F25)=2,F25-E25,"—")</x:f>
        <x:v>—</x:v>
      </x:c>
      <x:c r="H25" s="13" t="str">
        <x:f>IF(AND(ISNUMBER(G25),ISNUMBER(E25),E25&lt;&gt;0),G25/E25,"")</x:f>
      </x:c>
      <x:c r="I25" s="10" t="n">
        <x:f>IF(B25=0,0,IF(COUNTIFS('SKU明细'!$L$9:$L$1592,"断货",'SKU明细'!$AG$9:$AG$1592,1)=0,"待核",SUMIFS('SKU明细'!$I$9:$I$1592,'SKU明细'!$L$9:$L$1592,"断货")))</x:f>
        <x:v>0</x:v>
      </x:c>
      <x:c r="J25" s="10" t="n">
        <x:f>IF(C25=0,0,IF(COUNTIFS('SKU明细'!$E$9:$E$1592,"断货",'SKU明细'!$AF$9:$AF$1592,1)=0,"待核",SUMIFS('SKU明细'!$H$9:$H$1592,'SKU明细'!$E$9:$E$1592,"断货")))</x:f>
        <x:v>0</x:v>
      </x:c>
      <x:c r="K25" s="10" t="n">
        <x:f>B25-COUNTIFS('SKU明细'!$L$9:$L$1592,"断货",'SKU明细'!$AG$9:$AG$1592,1)</x:f>
        <x:v>0</x:v>
      </x:c>
      <x:c r="L25" s="10" t="n">
        <x:f>C25-COUNTIFS('SKU明细'!$E$9:$E$1592,"断货",'SKU明细'!$AF$9:$AF$1592,1)</x:f>
        <x:v>0</x:v>
      </x:c>
    </x:row>
    <x:row r="26" ht="30" customHeight="1">
      <x:c r="A26" s="3" t="str">
        <x:v>零日销待复核</x:v>
      </x:c>
      <x:c r="B26" s="10" t="n">
        <x:f>COUNTIFS('SKU明细'!$L$9:$L$1592,"零日销待复核")</x:f>
        <x:v>46</x:v>
      </x:c>
      <x:c r="C26" s="10" t="n">
        <x:f>COUNTIFS('SKU明细'!$E$9:$E$1592,"零日销待复核")</x:f>
        <x:v>64</x:v>
      </x:c>
      <x:c r="D26" s="10" t="n">
        <x:f>C26-B26</x:f>
        <x:v>18</x:v>
      </x:c>
      <x:c r="E26" s="11" t="str">
        <x:f>IF(AND(B26&gt;0,COUNTIFS('SKU明细'!$L$9:$L$1592,"零日销待复核",'SKU明细'!$AJ$9:$AJ$1592,1)=B26,COUNTIFS('SKU明细'!$L$9:$L$1592,"零日销待复核",'SKU明细'!$AG$9:$AG$1592,1)=B26,SUMIFS('SKU明细'!$AD$9:$AD$1592,'SKU明细'!$L$9:$L$1592,"零日销待复核")&gt;0),SUMIFS('SKU明细'!$I$9:$I$1592,'SKU明细'!$L$9:$L$1592,"零日销待复核")/SUMIFS('SKU明细'!$AD$9:$AD$1592,'SKU明细'!$L$9:$L$1592,"零日销待复核"),"—")</x:f>
        <x:v>—</x:v>
      </x:c>
      <x:c r="F26" s="11" t="str">
        <x:f>IF(AND(C26&gt;0,COUNTIFS('SKU明细'!$E$9:$E$1592,"零日销待复核",'SKU明细'!$AI$9:$AI$1592,1)=C26,COUNTIFS('SKU明细'!$E$9:$E$1592,"零日销待复核",'SKU明细'!$AF$9:$AF$1592,1)=C26,SUMIFS('SKU明细'!$G$9:$G$1592,'SKU明细'!$E$9:$E$1592,"零日销待复核")&gt;0),SUMIFS('SKU明细'!$H$9:$H$1592,'SKU明细'!$E$9:$E$1592,"零日销待复核")/SUMIFS('SKU明细'!$G$9:$G$1592,'SKU明细'!$E$9:$E$1592,"零日销待复核"),"—")</x:f>
        <x:v>—</x:v>
      </x:c>
      <x:c r="G26" s="11" t="str">
        <x:f>IF(COUNT(E26:F26)=2,F26-E26,"—")</x:f>
        <x:v>—</x:v>
      </x:c>
      <x:c r="H26" s="13" t="str">
        <x:f>IF(AND(ISNUMBER(G26),ISNUMBER(E26),E26&lt;&gt;0),G26/E26,"")</x:f>
      </x:c>
      <x:c r="I26" s="10" t="n">
        <x:f>IF(B26=0,0,IF(COUNTIFS('SKU明细'!$L$9:$L$1592,"零日销待复核",'SKU明细'!$AG$9:$AG$1592,1)=0,"待核",SUMIFS('SKU明细'!$I$9:$I$1592,'SKU明细'!$L$9:$L$1592,"零日销待复核")))</x:f>
        <x:v>521</x:v>
      </x:c>
      <x:c r="J26" s="10" t="n">
        <x:f>IF(C26=0,0,IF(COUNTIFS('SKU明细'!$E$9:$E$1592,"零日销待复核",'SKU明细'!$AF$9:$AF$1592,1)=0,"待核",SUMIFS('SKU明细'!$H$9:$H$1592,'SKU明细'!$E$9:$E$1592,"零日销待复核")))</x:f>
        <x:v>696</x:v>
      </x:c>
      <x:c r="K26" s="10" t="n">
        <x:f>B26-COUNTIFS('SKU明细'!$L$9:$L$1592,"零日销待复核",'SKU明细'!$AG$9:$AG$1592,1)</x:f>
        <x:v>0</x:v>
      </x:c>
      <x:c r="L26" s="10" t="n">
        <x:f>C26-COUNTIFS('SKU明细'!$E$9:$E$1592,"零日销待复核",'SKU明细'!$AF$9:$AF$1592,1)</x:f>
        <x:v>0</x:v>
      </x:c>
    </x:row>
    <x:row r="27" ht="30" customHeight="1">
      <x:c r="A27" s="3" t="str">
        <x:v>数据待核</x:v>
      </x:c>
      <x:c r="B27" s="10" t="n">
        <x:f>COUNTIFS('SKU明细'!$L$9:$L$1592,"数据待核")</x:f>
        <x:v>99</x:v>
      </x:c>
      <x:c r="C27" s="10" t="n">
        <x:f>COUNTIFS('SKU明细'!$E$9:$E$1592,"数据待核")</x:f>
        <x:v>110</x:v>
      </x:c>
      <x:c r="D27" s="10" t="n">
        <x:f>C27-B27</x:f>
        <x:v>11</x:v>
      </x:c>
      <x:c r="E27" s="11" t="str">
        <x:f>IF(AND(B27&gt;0,COUNTIFS('SKU明细'!$L$9:$L$1592,"数据待核",'SKU明细'!$AJ$9:$AJ$1592,1)=B27,COUNTIFS('SKU明细'!$L$9:$L$1592,"数据待核",'SKU明细'!$AG$9:$AG$1592,1)=B27,SUMIFS('SKU明细'!$AD$9:$AD$1592,'SKU明细'!$L$9:$L$1592,"数据待核")&gt;0),SUMIFS('SKU明细'!$I$9:$I$1592,'SKU明细'!$L$9:$L$1592,"数据待核")/SUMIFS('SKU明细'!$AD$9:$AD$1592,'SKU明细'!$L$9:$L$1592,"数据待核"),"—")</x:f>
        <x:v>—</x:v>
      </x:c>
      <x:c r="F27" s="11" t="str">
        <x:f>IF(AND(C27&gt;0,COUNTIFS('SKU明细'!$E$9:$E$1592,"数据待核",'SKU明细'!$AI$9:$AI$1592,1)=C27,COUNTIFS('SKU明细'!$E$9:$E$1592,"数据待核",'SKU明细'!$AF$9:$AF$1592,1)=C27,SUMIFS('SKU明细'!$G$9:$G$1592,'SKU明细'!$E$9:$E$1592,"数据待核")&gt;0),SUMIFS('SKU明细'!$H$9:$H$1592,'SKU明细'!$E$9:$E$1592,"数据待核")/SUMIFS('SKU明细'!$G$9:$G$1592,'SKU明细'!$E$9:$E$1592,"数据待核"),"—")</x:f>
        <x:v>—</x:v>
      </x:c>
      <x:c r="G27" s="11" t="str">
        <x:f>IF(COUNT(E27:F27)=2,F27-E27,"—")</x:f>
        <x:v>—</x:v>
      </x:c>
      <x:c r="H27" s="13" t="str">
        <x:f>IF(AND(ISNUMBER(G27),ISNUMBER(E27),E27&lt;&gt;0),G27/E27,"")</x:f>
      </x:c>
      <x:c r="I27" s="10" t="n">
        <x:f>IF(B27=0,0,IF(COUNTIFS('SKU明细'!$L$9:$L$1592,"数据待核",'SKU明细'!$AG$9:$AG$1592,1)=0,"待核",SUMIFS('SKU明细'!$I$9:$I$1592,'SKU明细'!$L$9:$L$1592,"数据待核")))</x:f>
        <x:v>1795</x:v>
      </x:c>
      <x:c r="J27" s="10" t="n">
        <x:f>IF(C27=0,0,IF(COUNTIFS('SKU明细'!$E$9:$E$1592,"数据待核",'SKU明细'!$AF$9:$AF$1592,1)=0,"待核",SUMIFS('SKU明细'!$H$9:$H$1592,'SKU明细'!$E$9:$E$1592,"数据待核")))</x:f>
        <x:v>171</x:v>
      </x:c>
      <x:c r="K27" s="10" t="n">
        <x:f>B27-COUNTIFS('SKU明细'!$L$9:$L$1592,"数据待核",'SKU明细'!$AG$9:$AG$1592,1)</x:f>
        <x:v>19</x:v>
      </x:c>
      <x:c r="L27" s="10" t="n">
        <x:f>C27-COUNTIFS('SKU明细'!$E$9:$E$1592,"数据待核",'SKU明细'!$AF$9:$AF$1592,1)</x:f>
        <x:v>104</x:v>
      </x:c>
    </x:row>
    <x:row r="28" ht="30" customHeight="1">
      <x:c r="A28" s="3" t="str">
        <x:v>正常库存</x:v>
      </x:c>
      <x:c r="B28" s="10" t="n">
        <x:f>COUNTIFS('SKU明细'!$L$9:$L$1592,"正常库存")</x:f>
        <x:v>60</x:v>
      </x:c>
      <x:c r="C28" s="10" t="n">
        <x:f>COUNTIFS('SKU明细'!$E$9:$E$1592,"正常库存")</x:f>
        <x:v>82</x:v>
      </x:c>
      <x:c r="D28" s="10" t="n">
        <x:f>C28-B28</x:f>
        <x:v>22</x:v>
      </x:c>
      <x:c r="E28" s="11" t="n">
        <x:f>IF(AND(B28&gt;0,COUNTIFS('SKU明细'!$L$9:$L$1592,"正常库存",'SKU明细'!$AJ$9:$AJ$1592,1)=B28,COUNTIFS('SKU明细'!$L$9:$L$1592,"正常库存",'SKU明细'!$AG$9:$AG$1592,1)=B28,SUMIFS('SKU明细'!$AD$9:$AD$1592,'SKU明细'!$L$9:$L$1592,"正常库存")&gt;0),SUMIFS('SKU明细'!$I$9:$I$1592,'SKU明细'!$L$9:$L$1592,"正常库存")/SUMIFS('SKU明细'!$AD$9:$AD$1592,'SKU明细'!$L$9:$L$1592,"正常库存"),"—")</x:f>
        <x:v>75.15840321197798</x:v>
      </x:c>
      <x:c r="F28" s="11" t="n">
        <x:f>IF(AND(C28&gt;0,COUNTIFS('SKU明细'!$E$9:$E$1592,"正常库存",'SKU明细'!$AI$9:$AI$1592,1)=C28,COUNTIFS('SKU明细'!$E$9:$E$1592,"正常库存",'SKU明细'!$AF$9:$AF$1592,1)=C28,SUMIFS('SKU明细'!$G$9:$G$1592,'SKU明细'!$E$9:$E$1592,"正常库存")&gt;0),SUMIFS('SKU明细'!$H$9:$H$1592,'SKU明细'!$E$9:$E$1592,"正常库存")/SUMIFS('SKU明细'!$G$9:$G$1592,'SKU明细'!$E$9:$E$1592,"正常库存"),"—")</x:f>
        <x:v>72.11314999515828</x:v>
      </x:c>
      <x:c r="G28" s="11" t="n">
        <x:f>IF(COUNT(E28:F28)=2,F28-E28,"—")</x:f>
        <x:v>-3.0452532168197024</x:v>
      </x:c>
      <x:c r="H28" s="13" t="n">
        <x:f>IF(AND(ISNUMBER(G28),ISNUMBER(E28),E28&lt;&gt;0),G28/E28,"")</x:f>
        <x:v>-0.04051780089354507</x:v>
      </x:c>
      <x:c r="I28" s="10" t="n">
        <x:f>IF(B28=0,0,IF(COUNTIFS('SKU明细'!$L$9:$L$1592,"正常库存",'SKU明细'!$AG$9:$AG$1592,1)=0,"待核",SUMIFS('SKU明细'!$I$9:$I$1592,'SKU明细'!$L$9:$L$1592,"正常库存")))</x:f>
        <x:v>3423</x:v>
      </x:c>
      <x:c r="J28" s="10" t="n">
        <x:f>IF(C28=0,0,IF(COUNTIFS('SKU明细'!$E$9:$E$1592,"正常库存",'SKU明细'!$AF$9:$AF$1592,1)=0,"待核",SUMIFS('SKU明细'!$H$9:$H$1592,'SKU明细'!$E$9:$E$1592,"正常库存")))</x:f>
        <x:v>2837</x:v>
      </x:c>
      <x:c r="K28" s="10" t="n">
        <x:f>B28-COUNTIFS('SKU明细'!$L$9:$L$1592,"正常库存",'SKU明细'!$AG$9:$AG$1592,1)</x:f>
        <x:v>0</x:v>
      </x:c>
      <x:c r="L28" s="10" t="n">
        <x:f>C28-COUNTIFS('SKU明细'!$E$9:$E$1592,"正常库存",'SKU明细'!$AF$9:$AF$1592,1)</x:f>
        <x:v>0</x:v>
      </x:c>
    </x:row>
    <x:row r="29" ht="30" customHeight="1">
      <x:c r="A29" s="3" t="str">
        <x:v>补货提醒</x:v>
      </x:c>
      <x:c r="B29" s="10" t="n">
        <x:f>COUNTIFS('SKU明细'!$L$9:$L$1592,"补货提醒")</x:f>
        <x:v>275</x:v>
      </x:c>
      <x:c r="C29" s="10" t="n">
        <x:f>COUNTIFS('SKU明细'!$E$9:$E$1592,"补货提醒")</x:f>
        <x:v>288</x:v>
      </x:c>
      <x:c r="D29" s="10" t="n">
        <x:f>C29-B29</x:f>
        <x:v>13</x:v>
      </x:c>
      <x:c r="E29" s="11" t="n">
        <x:f>IF(AND(B29&gt;0,COUNTIFS('SKU明细'!$L$9:$L$1592,"补货提醒",'SKU明细'!$AJ$9:$AJ$1592,1)=B29,COUNTIFS('SKU明细'!$L$9:$L$1592,"补货提醒",'SKU明细'!$AG$9:$AG$1592,1)=B29,SUMIFS('SKU明细'!$AD$9:$AD$1592,'SKU明细'!$L$9:$L$1592,"补货提醒")&gt;0),SUMIFS('SKU明细'!$I$9:$I$1592,'SKU明细'!$L$9:$L$1592,"补货提醒")/SUMIFS('SKU明细'!$AD$9:$AD$1592,'SKU明细'!$L$9:$L$1592,"补货提醒"),"—")</x:f>
        <x:v>23.74719257191017</x:v>
      </x:c>
      <x:c r="F29" s="11" t="n">
        <x:f>IF(AND(C29&gt;0,COUNTIFS('SKU明细'!$E$9:$E$1592,"补货提醒",'SKU明细'!$AI$9:$AI$1592,1)=C29,COUNTIFS('SKU明细'!$E$9:$E$1592,"补货提醒",'SKU明细'!$AF$9:$AF$1592,1)=C29,SUMIFS('SKU明细'!$G$9:$G$1592,'SKU明细'!$E$9:$E$1592,"补货提醒")&gt;0),SUMIFS('SKU明细'!$H$9:$H$1592,'SKU明细'!$E$9:$E$1592,"补货提醒")/SUMIFS('SKU明细'!$G$9:$G$1592,'SKU明细'!$E$9:$E$1592,"补货提醒"),"—")</x:f>
        <x:v>19.47986927195604</x:v>
      </x:c>
      <x:c r="G29" s="11" t="n">
        <x:f>IF(COUNT(E29:F29)=2,F29-E29,"—")</x:f>
        <x:v>-4.267323299954128</x:v>
      </x:c>
      <x:c r="H29" s="13" t="n">
        <x:f>IF(AND(ISNUMBER(G29),ISNUMBER(E29),E29&lt;&gt;0),G29/E29,"")</x:f>
        <x:v>-0.17969801217689266</x:v>
      </x:c>
      <x:c r="I29" s="10" t="n">
        <x:f>IF(B29=0,0,IF(COUNTIFS('SKU明细'!$L$9:$L$1592,"补货提醒",'SKU明细'!$AG$9:$AG$1592,1)=0,"待核",SUMIFS('SKU明细'!$I$9:$I$1592,'SKU明细'!$L$9:$L$1592,"补货提醒")))</x:f>
        <x:v>7205</x:v>
      </x:c>
      <x:c r="J29" s="10" t="n">
        <x:f>IF(C29=0,0,IF(COUNTIFS('SKU明细'!$E$9:$E$1592,"补货提醒",'SKU明细'!$AF$9:$AF$1592,1)=0,"待核",SUMIFS('SKU明细'!$H$9:$H$1592,'SKU明细'!$E$9:$E$1592,"补货提醒")))</x:f>
        <x:v>7337</x:v>
      </x:c>
      <x:c r="K29" s="10" t="n">
        <x:f>B29-COUNTIFS('SKU明细'!$L$9:$L$1592,"补货提醒",'SKU明细'!$AG$9:$AG$1592,1)</x:f>
        <x:v>0</x:v>
      </x:c>
      <x:c r="L29" s="10" t="n">
        <x:f>C29-COUNTIFS('SKU明细'!$E$9:$E$1592,"补货提醒",'SKU明细'!$AF$9:$AF$1592,1)</x:f>
        <x:v>0</x:v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</x:row>
    <x:row r="31" ht="30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</x:row>
    <x:row r="32" ht="42" customHeight="1">
      <x:c r="A32" s="9" t="str">
        <x:v>项目</x:v>
      </x:c>
      <x:c r="B32" s="9" t="str">
        <x:v>口径及来源</x:v>
      </x:c>
      <x:c r="C32" s="3"/>
      <x:c r="D32" s="3"/>
      <x:c r="E32" s="3"/>
      <x:c r="F32" s="3"/>
      <x:c r="G32" s="3"/>
      <x:c r="H32" s="3"/>
      <x:c r="I32" s="3"/>
      <x:c r="J32" s="3"/>
      <x:c r="K32" s="3"/>
      <x:c r="L32" s="3"/>
    </x:row>
    <x:row r="33" ht="32" customHeight="1">
      <x:c r="A33" s="26" t="str">
        <x:v>主表阅读</x:v>
      </x:c>
      <x:c r="B33" s="26" t="str">
        <x:v>尺码格是当前覆盖天数；右侧按两期共同SKU比较款色覆盖变化。覆盖＝总FBA可售÷总正常日销，天数不相加。</x:v>
      </x:c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</x:row>
    <x:row r="34" ht="32" customHeight="1">
      <x:c r="A34" s="26" t="str">
        <x:v>明细联动</x:v>
      </x:c>
      <x:c r="B34" s="26" t="str">
        <x:v>P–R为正常销售有效日销量，X为FBA可售，Y为库存冲突；修改后库存、覆盖、分类及主表数字按比较键联动。基准固定。</x:v>
      </x:c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</x:row>
    <x:row r="35" ht="32" customHeight="1">
      <x:c r="A35" s="26" t="str">
        <x:v>分级阈值</x:v>
      </x:c>
      <x:c r="B35" s="26" t="str">
        <x:v>&lt;60天补货；60–90天正常；&gt;90且&lt;180天促销；180–365天红线；&gt;365天清仓评估。</x:v>
      </x:c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</x:row>
    <x:row r="36" ht="32" customHeight="1">
      <x:c r="A36" s="26" t="str">
        <x:v>断货优先</x:v>
      </x:c>
      <x:c r="B36" s="26" t="str">
        <x:v>FBA可售=0即断货；待到货、入库中和在途不能替代可售。日销为0时不计算覆盖。</x:v>
      </x:c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</x:row>
    <x:row r="37" ht="32" customHeight="1">
      <x:c r="A37" s="26" t="str">
        <x:v>加权日销</x:v>
      </x:c>
      <x:c r="B37" s="26" t="str">
        <x:v>近7/14/30个有效日的日均按5:3:2加权，剔除有记录的大促和停售日并向前补足；历史断货记录不完整，未记录不推定，有货零销量保留。不套未来季节预测。</x:v>
      </x:c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</x:row>
    <x:row r="38" ht="32" customHeight="1">
      <x:c r="A38" s="26" t="str">
        <x:v>FBA可售库存</x:v>
      </x:c>
      <x:c r="B38" s="26" t="str">
        <x:v>仅FBA可售；待调仓、调仓中、待发货、入库中、实际在途、国内和工厂采购均不参与分级。</x:v>
      </x:c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</x:row>
    <x:row r="39" ht="32" customHeight="1">
      <x:c r="A39" s="26" t="str">
        <x:v>覆盖环比</x:v>
      </x:c>
      <x:c r="B39" s="26" t="str">
        <x:v>变化天数＝本次覆盖−基准覆盖；变化率＝变化天数÷基准覆盖。仅比较同店铺同SKU；无记录、数据不全或总日销为0时待核；基准覆盖为0不计算百分比。</x:v>
      </x:c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</x:row>
    <x:row r="40" ht="32" customHeight="1">
      <x:c r="A40" s="26" t="str">
        <x:v>分类迁移</x:v>
      </x:c>
      <x:c r="B40" s="26" t="str">
        <x:v>两期按各自分类汇总，分类覆盖变化包含转入/转出。款色矩阵环比则固定为两期共同SKU。</x:v>
      </x:c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</x:row>
    <x:row r="41" ht="32" customHeight="1">
      <x:c r="A41" s="26" t="str">
        <x:v>缺失处理</x:v>
      </x:c>
      <x:c r="B41" s="26" t="str">
        <x:v>空白和待核不等于0；部分未知只汇总已知量，全部未知显示待核；新增和移出不补0。</x:v>
      </x:c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</x:row>
    <x:row r="42" ht="32" customHeight="1">
      <x:c r="A42" s="26" t="str">
        <x:v>业务边界</x:v>
      </x:c>
      <x:c r="B42" s="26" t="str">
        <x:v>快照间隔非固定周/月；覆盖天数同时受FBA可售库存与加权日销影响，到货与调拨仍可能改变覆盖，不能作为纯促销归因。</x:v>
      </x:c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</x:row>
    <x:row r="43" ht="32" customHeight="1">
      <x:c r="A43" s="26" t="str">
        <x:v>本次销量截止</x:v>
      </x:c>
      <x:c r="B43" s="26" t="str">
        <x:v>2026-10-21（美国站点时间）；接口未提供同步截止时间。</x:v>
      </x:c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</x:row>
    <x:row r="44" ht="32" customHeight="1">
      <x:c r="A44" s="26" t="str">
        <x:v>7个有效日窗口</x:v>
      </x:c>
      <x:c r="B44" s="26" t="str">
        <x:v>截至 2026-10-21 向前补足7个有效日；剔除已记录异常日期，各SKU起日可不同。</x:v>
      </x:c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</x:row>
    <x:row r="45" ht="32" customHeight="1">
      <x:c r="A45" s="26" t="str">
        <x:v>14个有效日窗口</x:v>
      </x:c>
      <x:c r="B45" s="26" t="str">
        <x:v>截至 2026-10-21 向前补足14个有效日；剔除已记录异常日期，各SKU起日可不同。</x:v>
      </x:c>
      <x:c r="C45" s="26"/>
      <x:c r="D45" s="26"/>
      <x:c r="E45" s="26"/>
      <x:c r="F45" s="26"/>
      <x:c r="G45" s="26"/>
      <x:c r="H45" s="26"/>
      <x:c r="I45" s="26"/>
      <x:c r="J45" s="26"/>
      <x:c r="K45" s="26"/>
      <x:c r="L45" s="26"/>
    </x:row>
    <x:row r="46" ht="32" customHeight="1">
      <x:c r="A46" s="26" t="str">
        <x:v>30个有效日窗口</x:v>
      </x:c>
      <x:c r="B46" s="26" t="str">
        <x:v>截至 2026-10-21 向前补足30个有效日；剔除已记录异常日期，各SKU起日可不同。</x:v>
      </x:c>
      <x:c r="C46" s="26"/>
      <x:c r="D46" s="26"/>
      <x:c r="E46" s="26"/>
      <x:c r="F46" s="26"/>
      <x:c r="G46" s="26"/>
      <x:c r="H46" s="26"/>
      <x:c r="I46" s="26"/>
      <x:c r="J46" s="26"/>
      <x:c r="K46" s="26"/>
      <x:c r="L46" s="26"/>
    </x:row>
    <x:row r="47" ht="32" customHeight="1">
      <x:c r="A47" s="26" t="str">
        <x:v>本次FBA可售库存</x:v>
      </x:c>
      <x:c r="B47" s="26" t="str">
        <x:v>2026-10-22 16:01:25（北京时间）</x:v>
      </x:c>
      <x:c r="C47" s="26"/>
      <x:c r="D47" s="26"/>
      <x:c r="E47" s="26"/>
      <x:c r="F47" s="26"/>
      <x:c r="G47" s="26"/>
      <x:c r="H47" s="26"/>
      <x:c r="I47" s="26"/>
      <x:c r="J47" s="26"/>
      <x:c r="K47" s="26"/>
      <x:c r="L47" s="26"/>
    </x:row>
    <x:row r="48" ht="32" customHeight="1">
      <x:c r="A48" s="26" t="str">
        <x:v>国内可用库存</x:v>
      </x:c>
      <x:c r="B48" s="26" t="str">
        <x:v>2026-10-19 11:02:39（北京时间）</x:v>
      </x:c>
      <x:c r="C48" s="26"/>
      <x:c r="D48" s="26"/>
      <x:c r="E48" s="26"/>
      <x:c r="F48" s="26"/>
      <x:c r="G48" s="26"/>
      <x:c r="H48" s="26"/>
      <x:c r="I48" s="26"/>
      <x:c r="J48" s="26"/>
      <x:c r="K48" s="26"/>
      <x:c r="L48" s="26"/>
    </x:row>
    <x:row r="49" ht="32" customHeight="1">
      <x:c r="A49" s="26" t="str">
        <x:v>基准销量截止</x:v>
      </x:c>
      <x:c r="B49" s="26" t="str">
        <x:v>2026-10-07</x:v>
      </x:c>
      <x:c r="C49" s="26"/>
      <x:c r="D49" s="26"/>
      <x:c r="E49" s="26"/>
      <x:c r="F49" s="26"/>
      <x:c r="G49" s="26"/>
      <x:c r="H49" s="26"/>
      <x:c r="I49" s="26"/>
      <x:c r="J49" s="26"/>
      <x:c r="K49" s="26"/>
      <x:c r="L49" s="26"/>
    </x:row>
    <x:row r="50" ht="32" customHeight="1">
      <x:c r="A50" s="26" t="str">
        <x:v>基准FBA可售库存</x:v>
      </x:c>
      <x:c r="B50" s="26" t="d">
        <x:v>2026-10-08T10:04:43.000Z</x:v>
      </x:c>
      <x:c r="C50" s="26"/>
      <x:c r="D50" s="26"/>
      <x:c r="E50" s="26"/>
      <x:c r="F50" s="26"/>
      <x:c r="G50" s="26"/>
      <x:c r="H50" s="26"/>
      <x:c r="I50" s="26"/>
      <x:c r="J50" s="26"/>
      <x:c r="K50" s="26"/>
      <x:c r="L50" s="26"/>
    </x:row>
    <x:row r="51" ht="32" customHeight="1">
      <x:c r="A51" s="26" t="str">
        <x:v>基准保存时间</x:v>
      </x:c>
      <x:c r="B51" s="26" t="d">
        <x:v>2026-10-19T01:24:03.119Z</x:v>
      </x:c>
      <x:c r="C51" s="26"/>
      <x:c r="D51" s="26"/>
      <x:c r="E51" s="26"/>
      <x:c r="F51" s="26"/>
      <x:c r="G51" s="26"/>
      <x:c r="H51" s="26"/>
      <x:c r="I51" s="26"/>
      <x:c r="J51" s="26"/>
      <x:c r="K51" s="26"/>
      <x:c r="L51" s="26"/>
    </x:row>
    <x:row r="52" ht="32" customHeight="1">
      <x:c r="A52" s="26" t="str">
        <x:v>SKU清单来源</x:v>
      </x:c>
      <x:c r="B52" s="26" t="str">
        <x:v>https://alidocs.dingtalk.com/i/nodes/14lgGw3P8vLoXyKghnynewypV5daZ90D</x:v>
      </x:c>
      <x:c r="C52" s="26"/>
      <x:c r="D52" s="26"/>
      <x:c r="E52" s="26"/>
      <x:c r="F52" s="26"/>
      <x:c r="G52" s="26"/>
      <x:c r="H52" s="26"/>
      <x:c r="I52" s="26"/>
      <x:c r="J52" s="26"/>
      <x:c r="K52" s="26"/>
      <x:c r="L52" s="26"/>
    </x:row>
    <x:row r="53" ht="32" customHeight="1">
      <x:c r="A53" s="26" t="str">
        <x:v>海外来源</x:v>
      </x:c>
      <x:c r="B53" s="26" t="str">
        <x:v>领星OpenAPI /basicOpen/openapi/storage/fbaWarehouseDetail</x:v>
      </x:c>
      <x:c r="C53" s="26"/>
      <x:c r="D53" s="26"/>
      <x:c r="E53" s="26"/>
      <x:c r="F53" s="26"/>
      <x:c r="G53" s="26"/>
      <x:c r="H53" s="26"/>
      <x:c r="I53" s="26"/>
      <x:c r="J53" s="26"/>
      <x:c r="K53" s="26"/>
      <x:c r="L53" s="26"/>
    </x:row>
    <x:row r="54" ht="32" customHeight="1">
      <x:c r="A54" s="26" t="str">
        <x:v>销量来源</x:v>
      </x:c>
      <x:c r="B54" s="26" t="str">
        <x:v>领星OpenAPI /basicOpen/platformStatisticsV2/saleStat/pageList；同店铺＋完整SKU，逐日有效窗口；基准使用原历史逐日快照重新计算，未覆盖保留待核。</x:v>
      </x:c>
      <x:c r="C54" s="26"/>
      <x:c r="D54" s="26"/>
      <x:c r="E54" s="26"/>
      <x:c r="F54" s="26"/>
      <x:c r="G54" s="26"/>
      <x:c r="H54" s="26"/>
      <x:c r="I54" s="26"/>
      <x:c r="J54" s="26"/>
      <x:c r="K54" s="26"/>
      <x:c r="L54" s="26"/>
    </x:row>
    <x:row r="55" ht="32" customHeight="1">
      <x:c r="A55" s="26" t="str">
        <x:v>国内来源</x:v>
      </x:c>
      <x:c r="B55" s="26" t="str">
        <x:v>环新路17915＋默认9039的product_valid_num；沿用本站已核定国内快照。</x:v>
      </x:c>
      <x:c r="C55" s="26"/>
      <x:c r="D55" s="26"/>
      <x:c r="E55" s="26"/>
      <x:c r="F55" s="26"/>
      <x:c r="G55" s="26"/>
      <x:c r="H55" s="26"/>
      <x:c r="I55" s="26"/>
      <x:c r="J55" s="26"/>
      <x:c r="K55" s="26"/>
      <x:c r="L55" s="26"/>
    </x:row>
    <x:row r="56" ht="32" customHeight="1">
      <x:c r="A56" s="26" t="str">
        <x:v>Listing来源</x:v>
      </x:c>
      <x:c r="B56" s="26" t="str">
        <x:v>2026-10-19T11:03:02.749272+08:00；完整SKU未删除Listing，未匹配不当停售。</x:v>
      </x:c>
      <x:c r="C56" s="26"/>
      <x:c r="D56" s="26"/>
      <x:c r="E56" s="26"/>
      <x:c r="F56" s="26"/>
      <x:c r="G56" s="26"/>
      <x:c r="H56" s="26"/>
      <x:c r="I56" s="26"/>
      <x:c r="J56" s="26"/>
      <x:c r="K56" s="26"/>
      <x:c r="L56" s="26"/>
    </x:row>
    <x:row r="57" ht="32" customHeight="1">
      <x:c r="A57" s="26" t="str">
        <x:v>文件生成</x:v>
      </x:c>
      <x:c r="B57" s="26" t="str">
        <x:v>2026-10-23T02:22:08.844Z（UTC）；下载为已发布快照，不自动刷新领星。</x:v>
      </x:c>
      <x:c r="C57" s="26"/>
      <x:c r="D57" s="26"/>
      <x:c r="E57" s="26"/>
      <x:c r="F57" s="26"/>
      <x:c r="G57" s="26"/>
      <x:c r="H57" s="26"/>
      <x:c r="I57" s="26"/>
      <x:c r="J57" s="26"/>
      <x:c r="K57" s="26"/>
      <x:c r="L57" s="26"/>
    </x:row>
    <x:row r="58" ht="32" customHeight="1">
      <x:c r="A58" s="26" t="str">
        <x:v>筛选与图片</x:v>
      </x:c>
      <x:c r="B58" s="26" t="str">
        <x:v>主表、明细原生筛选独立；导出不受网页筛选分页影响。图片为SPU代表图。</x:v>
      </x:c>
      <x:c r="C58" s="26"/>
      <x:c r="D58" s="26"/>
      <x:c r="E58" s="26"/>
      <x:c r="F58" s="26"/>
      <x:c r="G58" s="26"/>
      <x:c r="H58" s="26"/>
      <x:c r="I58" s="26"/>
      <x:c r="J58" s="26"/>
      <x:c r="K58" s="26"/>
      <x:c r="L58" s="26"/>
    </x:row>
    <x:row r="59" ht="30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</x:row>
    <x:row r="60" ht="30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</x:row>
    <x:row r="61" ht="30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</x:row>
    <x:row r="62" ht="30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</x:row>
    <x:row r="63" ht="30" customHeight="1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</x:row>
    <x:row r="64" ht="30" customHeight="1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</x:row>
    <x:row r="65" ht="30" customHeight="1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</x:row>
    <x:row r="66" ht="30" customHeight="1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</x:row>
    <x:row r="67" ht="30" customHeight="1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</x:row>
    <x:row r="68" ht="30" customHeight="1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</x:row>
    <x:row r="69" ht="30" customHeight="1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</x:row>
    <x:row r="70" ht="30" customHeight="1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</x:row>
  </x:sheetData>
  <x:mergeCells>
    <x:mergeCell ref="B33:L33"/>
    <x:mergeCell ref="B34:L34"/>
    <x:mergeCell ref="B35:L35"/>
    <x:mergeCell ref="B36:L36"/>
    <x:mergeCell ref="B37:L37"/>
    <x:mergeCell ref="B38:L38"/>
    <x:mergeCell ref="B39:L39"/>
    <x:mergeCell ref="B40:L40"/>
    <x:mergeCell ref="B41:L41"/>
    <x:mergeCell ref="B42:L42"/>
    <x:mergeCell ref="B43:L43"/>
    <x:mergeCell ref="B44:L44"/>
    <x:mergeCell ref="B45:L45"/>
    <x:mergeCell ref="B46:L46"/>
    <x:mergeCell ref="B47:L47"/>
    <x:mergeCell ref="B48:L48"/>
    <x:mergeCell ref="B49:L49"/>
    <x:mergeCell ref="B50:L50"/>
    <x:mergeCell ref="B51:L51"/>
    <x:mergeCell ref="B52:L52"/>
    <x:mergeCell ref="B53:L53"/>
    <x:mergeCell ref="B54:L54"/>
    <x:mergeCell ref="B55:L55"/>
    <x:mergeCell ref="B56:L56"/>
    <x:mergeCell ref="B57:L57"/>
    <x:mergeCell ref="B58:L58"/>
  </x:mergeCells>
  <x:pageMargins left="0.7" right="0.7" top="0.75" bottom="0.75" header="0.3" footer="0.3"/>
</x:worksheet>
</file>